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y Sheet" sheetId="1" r:id="rId5"/>
    <sheet state="visible" name="Weekly Scores" sheetId="2" r:id="rId6"/>
    <sheet state="visible" name="League Standings" sheetId="3" r:id="rId7"/>
    <sheet state="hidden" name="Sheet5" sheetId="4" r:id="rId8"/>
    <sheet state="hidden" name="League Standings Positioning" sheetId="5" r:id="rId9"/>
    <sheet state="visible" name="BACKEND 1" sheetId="6" r:id="rId10"/>
    <sheet state="visible" name="MVT 2.0" sheetId="7" r:id="rId11"/>
    <sheet state="visible" name="League Stats" sheetId="8" r:id="rId12"/>
    <sheet state="visible" name="All-Stars" sheetId="9" r:id="rId13"/>
    <sheet state="hidden" name="Pick Em" sheetId="10" r:id="rId14"/>
    <sheet state="hidden" name="Sheet1" sheetId="11" r:id="rId15"/>
    <sheet state="hidden" name="League History (obsolete)" sheetId="12" r:id="rId16"/>
    <sheet state="hidden" name="NFL POWER RANKINGS" sheetId="13" r:id="rId17"/>
    <sheet state="visible" name="S.O.S" sheetId="14" r:id="rId18"/>
    <sheet state="visible" name="League History" sheetId="15" r:id="rId19"/>
    <sheet state="hidden" name="League History BACKEND" sheetId="16" r:id="rId20"/>
    <sheet state="visible" name="Playoff History" sheetId="17" r:id="rId21"/>
    <sheet state="hidden" name="League History BACKEND 2020" sheetId="18" r:id="rId22"/>
    <sheet state="hidden" name="League History BACKEND 2021" sheetId="19" r:id="rId23"/>
    <sheet state="visible" name="MVT SCORING" sheetId="20" r:id="rId24"/>
    <sheet state="visible" name="Settings" sheetId="21" r:id="rId25"/>
    <sheet state="hidden" name="Copy of Settings" sheetId="22" r:id="rId26"/>
    <sheet state="hidden" name="Sheet3" sheetId="23" r:id="rId27"/>
    <sheet state="hidden" name="Draft Food" sheetId="24" r:id="rId28"/>
    <sheet state="hidden" name="League History BACKEND 2019" sheetId="25" r:id="rId29"/>
    <sheet state="hidden" name="League History BACKEND 2023" sheetId="26" r:id="rId30"/>
    <sheet state="hidden" name="League History BACKEND 2022" sheetId="27" r:id="rId31"/>
    <sheet state="hidden" name="BACKEND 2" sheetId="28" r:id="rId32"/>
  </sheets>
  <definedNames>
    <definedName hidden="1" localSheetId="2" name="_xlnm._FilterDatabase">'League Standings'!$A$15:$T$25</definedName>
    <definedName hidden="1" localSheetId="8" name="_xlnm._FilterDatabase">'All-Stars'!$A$1:$F$1821</definedName>
    <definedName hidden="1" localSheetId="14" name="_xlnm._FilterDatabase">'League History'!$C$1:$U$422</definedName>
    <definedName hidden="1" localSheetId="16" name="_xlnm._FilterDatabase">'Playoff History'!$B$1:$S$82</definedName>
    <definedName hidden="1" localSheetId="17" name="_xlnm._FilterDatabase">'League History BACKEND 2020'!$G$20:$K$197</definedName>
    <definedName hidden="1" localSheetId="18" name="_xlnm._FilterDatabase">'League History BACKEND 2021'!$G$20:$K$229</definedName>
    <definedName hidden="1" localSheetId="22" name="_xlnm._FilterDatabase">Sheet3!$A$1:$L$545</definedName>
    <definedName hidden="1" localSheetId="24" name="_xlnm._FilterDatabase">'League History BACKEND 2019'!$G$20:$K$181</definedName>
    <definedName hidden="1" localSheetId="25" name="_xlnm._FilterDatabase">'League History BACKEND 2023'!$G$19:$K$212</definedName>
    <definedName hidden="1" localSheetId="26" name="_xlnm._FilterDatabase">'League History BACKEND 2022'!$G$19:$K$138</definedName>
  </definedNames>
  <calcPr/>
</workbook>
</file>

<file path=xl/sharedStrings.xml><?xml version="1.0" encoding="utf-8"?>
<sst xmlns="http://schemas.openxmlformats.org/spreadsheetml/2006/main" count="20252" uniqueCount="2193">
  <si>
    <t>Team name</t>
  </si>
  <si>
    <t xml:space="preserve">walk </t>
  </si>
  <si>
    <t>Div Win %</t>
  </si>
  <si>
    <t>Div Wins</t>
  </si>
  <si>
    <t>Div Losses</t>
  </si>
  <si>
    <t>Total Score rank</t>
  </si>
  <si>
    <t>Primary Key</t>
  </si>
  <si>
    <t>WEEK</t>
  </si>
  <si>
    <t>Tie KEy</t>
  </si>
  <si>
    <t>GAME</t>
  </si>
  <si>
    <t>TEAM 1 RANK</t>
  </si>
  <si>
    <t>DIVISON</t>
  </si>
  <si>
    <t>Away Team</t>
  </si>
  <si>
    <t>TEAM 1 SCORE</t>
  </si>
  <si>
    <t>Wins vs only the teams tied with you on F</t>
  </si>
  <si>
    <t>Losses vs that same tied group</t>
  </si>
  <si>
    <t>Home Team</t>
  </si>
  <si>
    <t>Head-to-head score</t>
  </si>
  <si>
    <t>TEAM 2</t>
  </si>
  <si>
    <t>TEAM 2 RANK</t>
  </si>
  <si>
    <t>MOTW RANKING</t>
  </si>
  <si>
    <t>GAME #</t>
  </si>
  <si>
    <t>WINNER</t>
  </si>
  <si>
    <t>OPPOSING TEAM</t>
  </si>
  <si>
    <t>BLOWOUT</t>
  </si>
  <si>
    <t>SCORE GAP</t>
  </si>
  <si>
    <t>COMBINED SCORE</t>
  </si>
  <si>
    <t>MOTW</t>
  </si>
  <si>
    <t>TEAM WITH HIGHEST SCORE</t>
  </si>
  <si>
    <t>UPSET</t>
  </si>
  <si>
    <t>Week</t>
  </si>
  <si>
    <t>LOW SCORE GAP RANK</t>
  </si>
  <si>
    <t>HIGH SCORE GAP RANK</t>
  </si>
  <si>
    <t>LOW COMBINED SCORE RANK</t>
  </si>
  <si>
    <t>HIGH COMBINED SCORE RANK</t>
  </si>
  <si>
    <t>GAME QUALITY</t>
  </si>
  <si>
    <t>BEST GAME QUALITY RANK</t>
  </si>
  <si>
    <t>WORST GAME QUALITY RANK</t>
  </si>
  <si>
    <t xml:space="preserve"> </t>
  </si>
  <si>
    <t>MOTW BEST GAME QUALITY RANK</t>
  </si>
  <si>
    <t>UPSET MOTW RANK</t>
  </si>
  <si>
    <t>UPSET RANK</t>
  </si>
  <si>
    <t>Rank</t>
  </si>
  <si>
    <t>Team Name</t>
  </si>
  <si>
    <t>Overall Wins</t>
  </si>
  <si>
    <t>Overall Losses</t>
  </si>
  <si>
    <t>Overall Win %</t>
  </si>
  <si>
    <t>Division Name</t>
  </si>
  <si>
    <t>Week 1</t>
  </si>
  <si>
    <t>Divisional Wins</t>
  </si>
  <si>
    <t>Divisonal Losses</t>
  </si>
  <si>
    <t>Week 2</t>
  </si>
  <si>
    <t>Divisional Win %</t>
  </si>
  <si>
    <t>MOTW Wins</t>
  </si>
  <si>
    <t>MOTW Losses</t>
  </si>
  <si>
    <t>Week 3</t>
  </si>
  <si>
    <t>MOTW Win %</t>
  </si>
  <si>
    <t>OVERALL WIN RANK</t>
  </si>
  <si>
    <t>Week 4</t>
  </si>
  <si>
    <t>MOTW GAMES PLAY</t>
  </si>
  <si>
    <t>Week 5</t>
  </si>
  <si>
    <t>MOTW RANK</t>
  </si>
  <si>
    <t>Week 6</t>
  </si>
  <si>
    <t>UPSETS</t>
  </si>
  <si>
    <t>Week 7</t>
  </si>
  <si>
    <t>BLOWOUTS</t>
  </si>
  <si>
    <t>Week 8</t>
  </si>
  <si>
    <t>AWAY Wins</t>
  </si>
  <si>
    <t>Week 9</t>
  </si>
  <si>
    <t>AWAY Losses</t>
  </si>
  <si>
    <t>Week 10</t>
  </si>
  <si>
    <t>Away Win %</t>
  </si>
  <si>
    <t>HOME Wins</t>
  </si>
  <si>
    <t>Week 11</t>
  </si>
  <si>
    <t>HOME Losses</t>
  </si>
  <si>
    <t>HOME Win %</t>
  </si>
  <si>
    <t>Week 12</t>
  </si>
  <si>
    <t>Schedule Competivness</t>
  </si>
  <si>
    <t>Week 13</t>
  </si>
  <si>
    <t>Week 14</t>
  </si>
  <si>
    <t>DIV RANK</t>
  </si>
  <si>
    <t>SOS L</t>
  </si>
  <si>
    <t>SOS R</t>
  </si>
  <si>
    <t>Finale</t>
  </si>
  <si>
    <t>Div Total Rank</t>
  </si>
  <si>
    <t>Team Rank</t>
  </si>
  <si>
    <t>DIVISIONAL WIN % RANK</t>
  </si>
  <si>
    <t>Most amount of Div Wins</t>
  </si>
  <si>
    <t>Least amount of Div losees</t>
  </si>
  <si>
    <t>Total Score Rank/ Flipped for POS</t>
  </si>
  <si>
    <t>Team Score Rank</t>
  </si>
  <si>
    <t>TOTAL SCORE</t>
  </si>
  <si>
    <t>Cross-Divisonal Wins</t>
  </si>
  <si>
    <t>Cross-Divisonal Losses</t>
  </si>
  <si>
    <t>Cross Divisional Win %</t>
  </si>
  <si>
    <t>C-DIV RANK</t>
  </si>
  <si>
    <t>MVTS - RANK</t>
  </si>
  <si>
    <t>MVTS - SCORE</t>
  </si>
  <si>
    <t>ALL-STARS - RANK</t>
  </si>
  <si>
    <t>ALL-STARS - COUNT</t>
  </si>
  <si>
    <t>QB</t>
  </si>
  <si>
    <t>J. DANIELS</t>
  </si>
  <si>
    <t>D. JONES</t>
  </si>
  <si>
    <t>J. FIELDS</t>
  </si>
  <si>
    <t>D. PRESCOTT</t>
  </si>
  <si>
    <t>J. DART</t>
  </si>
  <si>
    <t>RB</t>
  </si>
  <si>
    <t>C. BROWN</t>
  </si>
  <si>
    <t>B. IRVING</t>
  </si>
  <si>
    <t>W. MARKS</t>
  </si>
  <si>
    <t>R. WHITE</t>
  </si>
  <si>
    <t>J. GIBBS</t>
  </si>
  <si>
    <t>AWAY RANK</t>
  </si>
  <si>
    <t>J. WARREN</t>
  </si>
  <si>
    <t>HOME RANK</t>
  </si>
  <si>
    <t>T. BENSON</t>
  </si>
  <si>
    <t>T. TRACY</t>
  </si>
  <si>
    <t>WR</t>
  </si>
  <si>
    <t>C. LAMB</t>
  </si>
  <si>
    <t>J. MEYERS</t>
  </si>
  <si>
    <t>W. ROBINSON</t>
  </si>
  <si>
    <t>C. GODWIN JR.</t>
  </si>
  <si>
    <t>R. SHAHEED</t>
  </si>
  <si>
    <t>R. RICE</t>
  </si>
  <si>
    <t>G. WILSON</t>
  </si>
  <si>
    <t>T. MCLAURIN</t>
  </si>
  <si>
    <t>Closest Score Game, Winner</t>
  </si>
  <si>
    <t>D. MOONEY</t>
  </si>
  <si>
    <t>J. TOLBERT</t>
  </si>
  <si>
    <t>L. MCCAFFREY</t>
  </si>
  <si>
    <t>K. BOUTTE</t>
  </si>
  <si>
    <t>R. DOUBS</t>
  </si>
  <si>
    <t>TE</t>
  </si>
  <si>
    <t>T. KELCE</t>
  </si>
  <si>
    <t>T. KRAFT</t>
  </si>
  <si>
    <t>D. KINCAID</t>
  </si>
  <si>
    <t>FLEX</t>
  </si>
  <si>
    <t>S. DIGGS</t>
  </si>
  <si>
    <t>A. KAMARA</t>
  </si>
  <si>
    <t>D/ST</t>
  </si>
  <si>
    <t>LAR D/ST</t>
  </si>
  <si>
    <t>BUF D/ST</t>
  </si>
  <si>
    <t>KC D/ST</t>
  </si>
  <si>
    <t>CLE D/ST</t>
  </si>
  <si>
    <t>MIA D/ST</t>
  </si>
  <si>
    <t>JAX D/ST</t>
  </si>
  <si>
    <t>K</t>
  </si>
  <si>
    <t>J. ELLIOTT</t>
  </si>
  <si>
    <t xml:space="preserve">Top 20 </t>
  </si>
  <si>
    <t>S. SHRADER</t>
  </si>
  <si>
    <t>M. PRATER</t>
  </si>
  <si>
    <t>Game Value</t>
  </si>
  <si>
    <t>K. FAIRBURN</t>
  </si>
  <si>
    <t>Year</t>
  </si>
  <si>
    <t>K. FAIRBAIRN</t>
  </si>
  <si>
    <t>Winner</t>
  </si>
  <si>
    <t>Opposing Team</t>
  </si>
  <si>
    <t>Game Ref #</t>
  </si>
  <si>
    <t>W. REICHARD</t>
  </si>
  <si>
    <t>Score gap</t>
  </si>
  <si>
    <t>Z. GONZALEZ</t>
  </si>
  <si>
    <t>Combined Scoring</t>
  </si>
  <si>
    <t>HC</t>
  </si>
  <si>
    <t>PHI HC</t>
  </si>
  <si>
    <t>LAC HC</t>
  </si>
  <si>
    <t>NE HC</t>
  </si>
  <si>
    <t>SEA HC</t>
  </si>
  <si>
    <t>Total Score</t>
  </si>
  <si>
    <t>MVP</t>
  </si>
  <si>
    <t>Team</t>
  </si>
  <si>
    <t>Tie signature for rules 1–4</t>
  </si>
  <si>
    <t>#2</t>
  </si>
  <si>
    <t>Biggiest Blowout Game, Winner</t>
  </si>
  <si>
    <t>#3</t>
  </si>
  <si>
    <t>B. MAYFIELD</t>
  </si>
  <si>
    <t>M. STAFFORD</t>
  </si>
  <si>
    <t>S. DARNOLD</t>
  </si>
  <si>
    <t>D. ACHANE</t>
  </si>
  <si>
    <t>K. WALKER</t>
  </si>
  <si>
    <t>T. HENDERSON</t>
  </si>
  <si>
    <t>K. WALKER III</t>
  </si>
  <si>
    <t>J. MASON</t>
  </si>
  <si>
    <t>B. KNIGHT</t>
  </si>
  <si>
    <t>J. JEFFERSON</t>
  </si>
  <si>
    <t>Highest Combined Score Game, Winner</t>
  </si>
  <si>
    <t>P. NACUA</t>
  </si>
  <si>
    <t>E. EGBUKA</t>
  </si>
  <si>
    <t>B. THOMAS JR.</t>
  </si>
  <si>
    <t>B. THOMAS JR</t>
  </si>
  <si>
    <t>D. SMITH</t>
  </si>
  <si>
    <t>B. THOMAS</t>
  </si>
  <si>
    <t>T. HOCKENSON</t>
  </si>
  <si>
    <t>K. PITTS SR</t>
  </si>
  <si>
    <t>D. WALLER</t>
  </si>
  <si>
    <t>K. PITTS SR.</t>
  </si>
  <si>
    <t>K. PITTS</t>
  </si>
  <si>
    <t>D. SCHULTZ</t>
  </si>
  <si>
    <t>H. FANNIN</t>
  </si>
  <si>
    <t>T.J. HOCKENSON</t>
  </si>
  <si>
    <t>D. NEAL</t>
  </si>
  <si>
    <t>NE D/ST</t>
  </si>
  <si>
    <t>IND D/ST</t>
  </si>
  <si>
    <t>Average</t>
  </si>
  <si>
    <t>DAL D/ST</t>
  </si>
  <si>
    <t>T. LOOP</t>
  </si>
  <si>
    <t>LAR HC</t>
  </si>
  <si>
    <t>CHI HC</t>
  </si>
  <si>
    <t>Highest Score</t>
  </si>
  <si>
    <t>DEN HC</t>
  </si>
  <si>
    <t>RB1</t>
  </si>
  <si>
    <t>RB2</t>
  </si>
  <si>
    <t>RB3</t>
  </si>
  <si>
    <t>WR1</t>
  </si>
  <si>
    <t>WR2</t>
  </si>
  <si>
    <t>WR3</t>
  </si>
  <si>
    <t>WR4</t>
  </si>
  <si>
    <t>Highest Combined Score Game, Loser</t>
  </si>
  <si>
    <t>B. NIX</t>
  </si>
  <si>
    <t>J. MCCARTHY</t>
  </si>
  <si>
    <t>B. ROBINSON</t>
  </si>
  <si>
    <t>J. TAYLOR</t>
  </si>
  <si>
    <t>E. DEMERCADO</t>
  </si>
  <si>
    <t>D. SWIFT</t>
  </si>
  <si>
    <t>A. BROWN</t>
  </si>
  <si>
    <t>J. WADDLE</t>
  </si>
  <si>
    <t>T. MCMILLAN</t>
  </si>
  <si>
    <t>T. MCMILLIAN</t>
  </si>
  <si>
    <t>C. SUTTON</t>
  </si>
  <si>
    <t>Total Thru Season</t>
  </si>
  <si>
    <t>T. FRANKLIN</t>
  </si>
  <si>
    <t>M. WILSON</t>
  </si>
  <si>
    <t>Highest Rank</t>
  </si>
  <si>
    <t>S. LAPORTA</t>
  </si>
  <si>
    <t>Highest Rank Game, Winner</t>
  </si>
  <si>
    <t>Rank Change Value</t>
  </si>
  <si>
    <t>T. WARREN</t>
  </si>
  <si>
    <t>T. JOHNSON</t>
  </si>
  <si>
    <t>K. MONANGAI</t>
  </si>
  <si>
    <t>TB D/ST</t>
  </si>
  <si>
    <t>ATL D/ST</t>
  </si>
  <si>
    <t>J. MYERS</t>
  </si>
  <si>
    <t>Seed</t>
  </si>
  <si>
    <t>M. BADGLEY</t>
  </si>
  <si>
    <t>A. BORREGALES</t>
  </si>
  <si>
    <t>A. BORRAGALES</t>
  </si>
  <si>
    <t>TB HC</t>
  </si>
  <si>
    <t>STK</t>
  </si>
  <si>
    <t>Div</t>
  </si>
  <si>
    <t>MVTS Score</t>
  </si>
  <si>
    <t>MVTS Rank</t>
  </si>
  <si>
    <t>Column 1</t>
  </si>
  <si>
    <t>Column 2</t>
  </si>
  <si>
    <t>Column 3</t>
  </si>
  <si>
    <t>Column 4</t>
  </si>
  <si>
    <t>Column 5</t>
  </si>
  <si>
    <t>Column 6</t>
  </si>
  <si>
    <t>All Stars</t>
  </si>
  <si>
    <t>Highest Rank Game, Loser</t>
  </si>
  <si>
    <t>K. MURRAY</t>
  </si>
  <si>
    <t>J. GOFF</t>
  </si>
  <si>
    <t>Biggest Upset</t>
  </si>
  <si>
    <t>A. RODGERS</t>
  </si>
  <si>
    <t>A. JEANTY</t>
  </si>
  <si>
    <t>T. ETIENNE JR</t>
  </si>
  <si>
    <t>T. ETIENNE JR.</t>
  </si>
  <si>
    <t>J.K. DOBBINS</t>
  </si>
  <si>
    <t>T. ETIENNE</t>
  </si>
  <si>
    <t>T. TRACY JR</t>
  </si>
  <si>
    <t>J. DOBBINS</t>
  </si>
  <si>
    <t>T. ALLGEIER</t>
  </si>
  <si>
    <t>J. CHASE</t>
  </si>
  <si>
    <t>D. LONDON</t>
  </si>
  <si>
    <t>T. HIGGINS</t>
  </si>
  <si>
    <t>Q. JOHNSTON</t>
  </si>
  <si>
    <t>K. ALLEN</t>
  </si>
  <si>
    <t>LIST OF TEAMS</t>
  </si>
  <si>
    <t>T. MCBRIDE</t>
  </si>
  <si>
    <t>D. GOEDERT</t>
  </si>
  <si>
    <t>M. GOLDEN</t>
  </si>
  <si>
    <t>D. GODERT</t>
  </si>
  <si>
    <t>DET D/ST</t>
  </si>
  <si>
    <t>DET D/T</t>
  </si>
  <si>
    <t>MIN D/ST</t>
  </si>
  <si>
    <t>C. LITTLE</t>
  </si>
  <si>
    <t>E. PINEIRO</t>
  </si>
  <si>
    <t>C. MCLAUGHLIN</t>
  </si>
  <si>
    <t>BAL HC</t>
  </si>
  <si>
    <t>JAX HC</t>
  </si>
  <si>
    <t>CIN HC</t>
  </si>
  <si>
    <t>CAR HC</t>
  </si>
  <si>
    <t>SF HC</t>
  </si>
  <si>
    <t>TYPE</t>
  </si>
  <si>
    <t>Position</t>
  </si>
  <si>
    <t>Stat Type</t>
  </si>
  <si>
    <t>Row</t>
  </si>
  <si>
    <t>Place</t>
  </si>
  <si>
    <t>Points</t>
  </si>
  <si>
    <t>RANK</t>
  </si>
  <si>
    <t>TEAM</t>
  </si>
  <si>
    <t>POINTS</t>
  </si>
  <si>
    <t>POSITION</t>
  </si>
  <si>
    <t>ACHIEVEMENT</t>
  </si>
  <si>
    <t>DIV/LEAGUE</t>
  </si>
  <si>
    <t>BONUS</t>
  </si>
  <si>
    <t>Categories</t>
  </si>
  <si>
    <t>MMDAWGS</t>
  </si>
  <si>
    <t xml:space="preserve">QB </t>
  </si>
  <si>
    <t>AVERAGE</t>
  </si>
  <si>
    <t>J. HERBERT</t>
  </si>
  <si>
    <t>LONGEST WIN STREAK</t>
  </si>
  <si>
    <t>J. LOVE</t>
  </si>
  <si>
    <t>J. JACOBS</t>
  </si>
  <si>
    <t>K. WILLIAMS</t>
  </si>
  <si>
    <t>D. MONTGOMERY</t>
  </si>
  <si>
    <t>D. ADAMS</t>
  </si>
  <si>
    <t>M. PITTMAN JR.</t>
  </si>
  <si>
    <t>M. HARRISON JR</t>
  </si>
  <si>
    <t>MOST TRADES</t>
  </si>
  <si>
    <t>M. HARRISON JR.</t>
  </si>
  <si>
    <t>M. HARRISON</t>
  </si>
  <si>
    <t>G. DORTCH</t>
  </si>
  <si>
    <t>M. PITTMAN</t>
  </si>
  <si>
    <t>M. PITTMAN JR</t>
  </si>
  <si>
    <t>J. NOEL</t>
  </si>
  <si>
    <t>C. AUSTIN</t>
  </si>
  <si>
    <t>D. NJOKU</t>
  </si>
  <si>
    <t>J. JOHNSON</t>
  </si>
  <si>
    <t>J.JOHNSON</t>
  </si>
  <si>
    <t>WAIVER WIRE</t>
  </si>
  <si>
    <t>MIN D/DT</t>
  </si>
  <si>
    <t>TEN D/ST</t>
  </si>
  <si>
    <t>CAR D/ST</t>
  </si>
  <si>
    <t>NYJ D/ST</t>
  </si>
  <si>
    <t>LV D/ST</t>
  </si>
  <si>
    <t>BAL D/ST</t>
  </si>
  <si>
    <t>C. DICKER</t>
  </si>
  <si>
    <t>C. SANTOS</t>
  </si>
  <si>
    <t>IND HC</t>
  </si>
  <si>
    <t>ARI HC</t>
  </si>
  <si>
    <t>PIT HC</t>
  </si>
  <si>
    <t>HOU HC</t>
  </si>
  <si>
    <t>RANK START</t>
  </si>
  <si>
    <t>CURRENT RANK</t>
  </si>
  <si>
    <t>RANK CHANGE</t>
  </si>
  <si>
    <t>MOTW RECORD</t>
  </si>
  <si>
    <t>J. HURTS</t>
  </si>
  <si>
    <t>D. MAYE</t>
  </si>
  <si>
    <t>S. BARKLEY</t>
  </si>
  <si>
    <t>R.J. HARVEY</t>
  </si>
  <si>
    <t>R. HARVEY</t>
  </si>
  <si>
    <t>K. HUNT</t>
  </si>
  <si>
    <t>MOST BLOWOUTS</t>
  </si>
  <si>
    <t>O. HAMPTON</t>
  </si>
  <si>
    <t>J. CONNER</t>
  </si>
  <si>
    <t>S. TUCKER</t>
  </si>
  <si>
    <t>N. COLLINS</t>
  </si>
  <si>
    <t>J. SMITH-NJIGBA</t>
  </si>
  <si>
    <t>D.K. METCALF</t>
  </si>
  <si>
    <t>J. SMITH-NJIBA</t>
  </si>
  <si>
    <t>J. JEUDY</t>
  </si>
  <si>
    <t>D. METCALF</t>
  </si>
  <si>
    <t>C. KUPP</t>
  </si>
  <si>
    <t>EMPTY</t>
  </si>
  <si>
    <t>M. ANDREWS</t>
  </si>
  <si>
    <t>B. STRANGE</t>
  </si>
  <si>
    <t>M. MAYER</t>
  </si>
  <si>
    <t>MOST UPSETS</t>
  </si>
  <si>
    <t>J. CONNOR</t>
  </si>
  <si>
    <t>CHI D/ST</t>
  </si>
  <si>
    <t>HIGHEST SCORE</t>
  </si>
  <si>
    <t>SEA D/ST</t>
  </si>
  <si>
    <t>J. BATES</t>
  </si>
  <si>
    <t>BEST OVERALL RECORD</t>
  </si>
  <si>
    <t>BEST DIVISONAL RECORD</t>
  </si>
  <si>
    <t xml:space="preserve">Top 5 </t>
  </si>
  <si>
    <t>Score Gap</t>
  </si>
  <si>
    <t>MOST DIVISIONAL / CROSS DIV SWEEPS</t>
  </si>
  <si>
    <t>BEST CROSS-DIVISONAL RECORD</t>
  </si>
  <si>
    <t>BEST HOME RECORD</t>
  </si>
  <si>
    <t>BEST AWAY RECORD</t>
  </si>
  <si>
    <t>J. BURROW</t>
  </si>
  <si>
    <t>C. STROUD</t>
  </si>
  <si>
    <t>C. WILLIAMS</t>
  </si>
  <si>
    <t>B. PURDY</t>
  </si>
  <si>
    <t>D. HENRY</t>
  </si>
  <si>
    <t>Q. JUDKINS</t>
  </si>
  <si>
    <t>J. FORD</t>
  </si>
  <si>
    <t>D. SAMPSON</t>
  </si>
  <si>
    <t>K. GAINWELL</t>
  </si>
  <si>
    <t>R. DOWDLE</t>
  </si>
  <si>
    <t>J. WILLIAMS</t>
  </si>
  <si>
    <t>Z. FLOWERS</t>
  </si>
  <si>
    <t>R. ODUNZE</t>
  </si>
  <si>
    <t>C. DIKE</t>
  </si>
  <si>
    <t>M. MIMS JR</t>
  </si>
  <si>
    <t>C. RIDLEY</t>
  </si>
  <si>
    <t>B. BOWERS</t>
  </si>
  <si>
    <t>M. TAYLOR</t>
  </si>
  <si>
    <t>H. FANNIN JR.</t>
  </si>
  <si>
    <t>O. GADSDEN II</t>
  </si>
  <si>
    <t>A. EKELER</t>
  </si>
  <si>
    <t>K. VIDAL</t>
  </si>
  <si>
    <t>HOU D/ST</t>
  </si>
  <si>
    <t>GB D/ST</t>
  </si>
  <si>
    <t>C. BOSWELL</t>
  </si>
  <si>
    <t>N. FOLK</t>
  </si>
  <si>
    <t>DET HC</t>
  </si>
  <si>
    <t>ATL HC</t>
  </si>
  <si>
    <t>L. JACKSON</t>
  </si>
  <si>
    <t>T. LAWRENCE</t>
  </si>
  <si>
    <t>C. HUBBARD</t>
  </si>
  <si>
    <t>C.HUBBARD</t>
  </si>
  <si>
    <t>J. COOK</t>
  </si>
  <si>
    <t>J. COOK III</t>
  </si>
  <si>
    <t>B. HALL</t>
  </si>
  <si>
    <t>A. JONES SR</t>
  </si>
  <si>
    <t>C. SKATTEBO</t>
  </si>
  <si>
    <t>A. JONES</t>
  </si>
  <si>
    <t>A. ST. BROWN</t>
  </si>
  <si>
    <t>D. SAMUEL</t>
  </si>
  <si>
    <t>M. EVANS</t>
  </si>
  <si>
    <t>C. OLAVE</t>
  </si>
  <si>
    <t>J. JENNINGS</t>
  </si>
  <si>
    <t>E. ENGRAM</t>
  </si>
  <si>
    <t>J. FERGUSON</t>
  </si>
  <si>
    <t>PIT D/ST</t>
  </si>
  <si>
    <t>LAC D/ST</t>
  </si>
  <si>
    <t>B. AUBREY</t>
  </si>
  <si>
    <t>BUF HC</t>
  </si>
  <si>
    <t>DAL HC</t>
  </si>
  <si>
    <t>ALL STAR PLAYERS</t>
  </si>
  <si>
    <t>Most</t>
  </si>
  <si>
    <t>BEST</t>
  </si>
  <si>
    <t>J. ALLEN</t>
  </si>
  <si>
    <t>R. STEVENSON</t>
  </si>
  <si>
    <t>J. CROSKEY-MERRITT</t>
  </si>
  <si>
    <t>JA. WILLIAMS</t>
  </si>
  <si>
    <t>T. POLLARD</t>
  </si>
  <si>
    <t>M. NABERS</t>
  </si>
  <si>
    <t>MOST</t>
  </si>
  <si>
    <t>X. WORTHY</t>
  </si>
  <si>
    <t>M. WASHINGTON</t>
  </si>
  <si>
    <t>G. PICKENS</t>
  </si>
  <si>
    <t>D. DOUGLAS</t>
  </si>
  <si>
    <t>J. DOWNS</t>
  </si>
  <si>
    <t>JM. WILLIAMS</t>
  </si>
  <si>
    <t>G. KITTLE</t>
  </si>
  <si>
    <t>Z. ERTZ</t>
  </si>
  <si>
    <t>C. WATSON</t>
  </si>
  <si>
    <t>DEN D/ST</t>
  </si>
  <si>
    <t>BEST OVERALL RECORD - P</t>
  </si>
  <si>
    <t>NYG D/ST</t>
  </si>
  <si>
    <t>-</t>
  </si>
  <si>
    <t>W. LUTZ</t>
  </si>
  <si>
    <t>H. MEVIS</t>
  </si>
  <si>
    <t>KC HC</t>
  </si>
  <si>
    <t>GB HC</t>
  </si>
  <si>
    <t>BEST OVERALL RECORD - E</t>
  </si>
  <si>
    <t>BEST DIVISIONAL RECORD</t>
  </si>
  <si>
    <t>BEST DIVISIONAL RECORD - P</t>
  </si>
  <si>
    <t>BEST DIVISIONAL RECORD - E</t>
  </si>
  <si>
    <t>MOST DIVISIONAL SWEEPS</t>
  </si>
  <si>
    <t>MOST DIVISIONAL SWEEPS - P</t>
  </si>
  <si>
    <t>MOST DIVISIONAL SWEEPS - E</t>
  </si>
  <si>
    <t>BEST CROSS DIVISIONAL RECORD</t>
  </si>
  <si>
    <t>BEST CROSS DIVISIONAL RECORD - P</t>
  </si>
  <si>
    <t>BEST CROSS DIVISIONAL RECORD - E</t>
  </si>
  <si>
    <t>Combined Score</t>
  </si>
  <si>
    <t>LONGEST WIN STREAK - P</t>
  </si>
  <si>
    <t>LONGEST WIN STREAK - E</t>
  </si>
  <si>
    <t>P. MAHOMES</t>
  </si>
  <si>
    <t>C. MCCAFFREY</t>
  </si>
  <si>
    <t>OVERALL STATS</t>
  </si>
  <si>
    <t>N. CHUBB</t>
  </si>
  <si>
    <t>PRODIGIES division</t>
  </si>
  <si>
    <t>Z. CHARBONNET</t>
  </si>
  <si>
    <t>BEST HOME RECORD - P</t>
  </si>
  <si>
    <t>KINGS</t>
  </si>
  <si>
    <t>EAGLES</t>
  </si>
  <si>
    <t>T. HILL</t>
  </si>
  <si>
    <t>MVT RANK</t>
  </si>
  <si>
    <t>L. MCCONKEY</t>
  </si>
  <si>
    <t>D. MOORE</t>
  </si>
  <si>
    <t>BEST HOME RECORD - E</t>
  </si>
  <si>
    <t>J. ADDISON</t>
  </si>
  <si>
    <t>T. TUCKER</t>
  </si>
  <si>
    <t>D.J. MOORE</t>
  </si>
  <si>
    <t>K. SHAKIR</t>
  </si>
  <si>
    <t>H. HENRY</t>
  </si>
  <si>
    <t>C. OTTON</t>
  </si>
  <si>
    <t>T. HUNTER</t>
  </si>
  <si>
    <t>PHI D/ST</t>
  </si>
  <si>
    <t>TEAM NAME</t>
  </si>
  <si>
    <t>DECOUPES</t>
  </si>
  <si>
    <t>POPEYES</t>
  </si>
  <si>
    <t>GREEN</t>
  </si>
  <si>
    <t>SF D/ST</t>
  </si>
  <si>
    <t>SAVAGES</t>
  </si>
  <si>
    <t>Kings</t>
  </si>
  <si>
    <t>H. BUTKER</t>
  </si>
  <si>
    <t>QB AVG</t>
  </si>
  <si>
    <t>WSH HC</t>
  </si>
  <si>
    <t>RB AVG</t>
  </si>
  <si>
    <t>WR AVG</t>
  </si>
  <si>
    <t>TE AVG</t>
  </si>
  <si>
    <t>FLEX AVG</t>
  </si>
  <si>
    <t>D/ST AVG</t>
  </si>
  <si>
    <t>REF</t>
  </si>
  <si>
    <t>K AVG</t>
  </si>
  <si>
    <t>PLAYER</t>
  </si>
  <si>
    <t>SCORE</t>
  </si>
  <si>
    <t>ALL STAR TEAM OF THE WEEK</t>
  </si>
  <si>
    <t>WEEK 1</t>
  </si>
  <si>
    <t>WEEK 2</t>
  </si>
  <si>
    <t>WEEK 3</t>
  </si>
  <si>
    <t>WEEK 4</t>
  </si>
  <si>
    <t>WEEK 5</t>
  </si>
  <si>
    <t>WEEK 6</t>
  </si>
  <si>
    <t>WEEK 7</t>
  </si>
  <si>
    <t>WEEK 8</t>
  </si>
  <si>
    <t>WEEK 9</t>
  </si>
  <si>
    <t>WEEK 10</t>
  </si>
  <si>
    <t>WEEK 11</t>
  </si>
  <si>
    <t>WEEK 12</t>
  </si>
  <si>
    <t>WEEK 13</t>
  </si>
  <si>
    <t>WEEK 14</t>
  </si>
  <si>
    <t>PTS</t>
  </si>
  <si>
    <t>POS</t>
  </si>
  <si>
    <t>Manual</t>
  </si>
  <si>
    <t>Auto</t>
  </si>
  <si>
    <t>Name</t>
  </si>
  <si>
    <t>Score</t>
  </si>
  <si>
    <t>HC AVG</t>
  </si>
  <si>
    <t>Total Score AVG</t>
  </si>
  <si>
    <t>Total Score TOTAL</t>
  </si>
  <si>
    <t>ESTEEMED division</t>
  </si>
  <si>
    <t>CHAMPS</t>
  </si>
  <si>
    <t>YARDIES</t>
  </si>
  <si>
    <t>MUTTS</t>
  </si>
  <si>
    <t>Eagles</t>
  </si>
  <si>
    <t>1st place</t>
  </si>
  <si>
    <t>RB 1</t>
  </si>
  <si>
    <t xml:space="preserve">ALL STARS </t>
  </si>
  <si>
    <t>VALUE</t>
  </si>
  <si>
    <t>PLAYERS USED</t>
  </si>
  <si>
    <t>AVG</t>
  </si>
  <si>
    <t>1ST PLACE</t>
  </si>
  <si>
    <t>2ND PLACE</t>
  </si>
  <si>
    <t>3RD PLACE</t>
  </si>
  <si>
    <t>2nd place</t>
  </si>
  <si>
    <t>RB 2</t>
  </si>
  <si>
    <t>3rd place</t>
  </si>
  <si>
    <t>WR 1</t>
  </si>
  <si>
    <t>HIGHEST RANK</t>
  </si>
  <si>
    <t>HS</t>
  </si>
  <si>
    <t>RANK 1</t>
  </si>
  <si>
    <t>RANK 2</t>
  </si>
  <si>
    <t>GAME VALUE</t>
  </si>
  <si>
    <t>WR 2</t>
  </si>
  <si>
    <t>MOST DIV/ CROSS-DIV SWEEPS</t>
  </si>
  <si>
    <t>MOST DIV/ CROSS-DIV SWEEPS - P</t>
  </si>
  <si>
    <t>MOST DIV/ CROSS-DIV SWEEPS - E</t>
  </si>
  <si>
    <t>2ND</t>
  </si>
  <si>
    <t>BEST CROSS- DIVISIONAL RECORD</t>
  </si>
  <si>
    <t>BEST CROSS- DIVISIONAL RECORD - P</t>
  </si>
  <si>
    <t>WR 3</t>
  </si>
  <si>
    <t>BEST CROSS- DIVISIONAL RECORD - E</t>
  </si>
  <si>
    <t xml:space="preserve">BEST AWAY RECORD </t>
  </si>
  <si>
    <t>BEST AWAY RECORD  - P</t>
  </si>
  <si>
    <t>BEST AWAY RECORD  - E</t>
  </si>
  <si>
    <t>Biggest Blowout, Winner</t>
  </si>
  <si>
    <t>LOSER</t>
  </si>
  <si>
    <t>Greatest MOTW Game, Winner</t>
  </si>
  <si>
    <t>Greatest MOTW Game, Loser</t>
  </si>
  <si>
    <t>Greatest Regular Season Game, Winner</t>
  </si>
  <si>
    <t>Greatest Regular Season Game, Loser</t>
  </si>
  <si>
    <t>ERROR CHECK</t>
  </si>
  <si>
    <t>Fav</t>
  </si>
  <si>
    <t>METAMOOKDAWGS</t>
  </si>
  <si>
    <t>PLACE</t>
  </si>
  <si>
    <t>W</t>
  </si>
  <si>
    <t>L</t>
  </si>
  <si>
    <t>TIE</t>
  </si>
  <si>
    <t>UD</t>
  </si>
  <si>
    <t>WIN %</t>
  </si>
  <si>
    <t>FAV</t>
  </si>
  <si>
    <t>SUM</t>
  </si>
  <si>
    <t>WEEK 15</t>
  </si>
  <si>
    <t>WEEK 16</t>
  </si>
  <si>
    <t>WEEK 17</t>
  </si>
  <si>
    <t>WEEK 18</t>
  </si>
  <si>
    <t>FAVORITES</t>
  </si>
  <si>
    <t>WEEK 8 OF 18</t>
  </si>
  <si>
    <t>NE</t>
  </si>
  <si>
    <t>NYJ</t>
  </si>
  <si>
    <t>LAC</t>
  </si>
  <si>
    <t>PIT</t>
  </si>
  <si>
    <t>HOU</t>
  </si>
  <si>
    <t>MIN</t>
  </si>
  <si>
    <t>PHI</t>
  </si>
  <si>
    <t>NO</t>
  </si>
  <si>
    <t>DEN</t>
  </si>
  <si>
    <t>TB</t>
  </si>
  <si>
    <t>GB</t>
  </si>
  <si>
    <t>TEN</t>
  </si>
  <si>
    <t>NYG</t>
  </si>
  <si>
    <t>CLE</t>
  </si>
  <si>
    <t>CHI</t>
  </si>
  <si>
    <t>IND</t>
  </si>
  <si>
    <t>CAR</t>
  </si>
  <si>
    <t>LV</t>
  </si>
  <si>
    <t>MIA</t>
  </si>
  <si>
    <t>SEA</t>
  </si>
  <si>
    <t>BAL</t>
  </si>
  <si>
    <t>DAL</t>
  </si>
  <si>
    <t>DET</t>
  </si>
  <si>
    <t>ARI</t>
  </si>
  <si>
    <t>SF</t>
  </si>
  <si>
    <t>LAR</t>
  </si>
  <si>
    <t>KC</t>
  </si>
  <si>
    <t>ATL</t>
  </si>
  <si>
    <t>JAX</t>
  </si>
  <si>
    <t>BUF</t>
  </si>
  <si>
    <t>WSH</t>
  </si>
  <si>
    <t>CIN</t>
  </si>
  <si>
    <t>TOTAL</t>
  </si>
  <si>
    <t>TOTAL SEASON  SCORE</t>
  </si>
  <si>
    <t>LEAGUE HISTORY</t>
  </si>
  <si>
    <t>CURRENT</t>
  </si>
  <si>
    <t>COUP</t>
  </si>
  <si>
    <t xml:space="preserve">POP </t>
  </si>
  <si>
    <t>GG</t>
  </si>
  <si>
    <t>EAS</t>
  </si>
  <si>
    <t>MOOK</t>
  </si>
  <si>
    <t>UYM</t>
  </si>
  <si>
    <t>CMM</t>
  </si>
  <si>
    <t>OREG</t>
  </si>
  <si>
    <t>Team Rank &amp; Record</t>
  </si>
  <si>
    <t>Wins</t>
  </si>
  <si>
    <t>Losses</t>
  </si>
  <si>
    <t>Win %</t>
  </si>
  <si>
    <t>Avg Score</t>
  </si>
  <si>
    <t>Wk 9-11 Avg</t>
  </si>
  <si>
    <t>Season Schedule</t>
  </si>
  <si>
    <t>Season Competitiveness by Rank</t>
  </si>
  <si>
    <t>AWAY</t>
  </si>
  <si>
    <t>HOME</t>
  </si>
  <si>
    <t>First 7</t>
  </si>
  <si>
    <t>Last 7</t>
  </si>
  <si>
    <t>Last 3</t>
  </si>
  <si>
    <t>Total</t>
  </si>
  <si>
    <t>#</t>
  </si>
  <si>
    <t>Team Names</t>
  </si>
  <si>
    <t>Week #</t>
  </si>
  <si>
    <t>Game #</t>
  </si>
  <si>
    <t>Team 1 Name</t>
  </si>
  <si>
    <t>Team 1 Score</t>
  </si>
  <si>
    <t>Team 2 Score</t>
  </si>
  <si>
    <t>Team 2 Name</t>
  </si>
  <si>
    <t>Loser</t>
  </si>
  <si>
    <t>Closest</t>
  </si>
  <si>
    <t>Blowout</t>
  </si>
  <si>
    <t>Game Quality Rank</t>
  </si>
  <si>
    <t>Game 1</t>
  </si>
  <si>
    <t>Top 20 Closest Games of all time - PVE FFL</t>
  </si>
  <si>
    <t>Game 2</t>
  </si>
  <si>
    <t>Reg Wins</t>
  </si>
  <si>
    <t>Reg Losses</t>
  </si>
  <si>
    <t>Reg Win %</t>
  </si>
  <si>
    <t>Reg Rank</t>
  </si>
  <si>
    <t>Game 3</t>
  </si>
  <si>
    <t>Game 4</t>
  </si>
  <si>
    <t>DEEZ NUTS</t>
  </si>
  <si>
    <t>GIRLS</t>
  </si>
  <si>
    <t>BYE WEEK</t>
  </si>
  <si>
    <t>N/A</t>
  </si>
  <si>
    <t>Total Win/Loss REGULAR SEASON</t>
  </si>
  <si>
    <t>Rank by Wins</t>
  </si>
  <si>
    <t>Rank by Win %</t>
  </si>
  <si>
    <t>AVG (Wins &amp; Win %)</t>
  </si>
  <si>
    <t>Rank by AVG</t>
  </si>
  <si>
    <t>Top 20 Biggest Regular Season Blowouts of all time - PVE FFL</t>
  </si>
  <si>
    <t>ALL TIME STATS</t>
  </si>
  <si>
    <t>vs. Team</t>
  </si>
  <si>
    <t>Reg Total</t>
  </si>
  <si>
    <t>MOTW W</t>
  </si>
  <si>
    <t>MOTW L</t>
  </si>
  <si>
    <t>MOTW WIN %</t>
  </si>
  <si>
    <t>MOTW Total</t>
  </si>
  <si>
    <t>Avg Reg SG</t>
  </si>
  <si>
    <t>Avg Reg CS</t>
  </si>
  <si>
    <t>Avg Reg GQ</t>
  </si>
  <si>
    <t>PO Wins</t>
  </si>
  <si>
    <t>PO Losses</t>
  </si>
  <si>
    <t>PO Win %</t>
  </si>
  <si>
    <t>PO Total</t>
  </si>
  <si>
    <t>ALL Wins</t>
  </si>
  <si>
    <t>ALL Losses</t>
  </si>
  <si>
    <t>ALL Win %</t>
  </si>
  <si>
    <t>ALL Total</t>
  </si>
  <si>
    <t>Top 20 Biggest Scoring Regular Season Games of all time - PVE FFL</t>
  </si>
  <si>
    <t>Avg Reg SG 1</t>
  </si>
  <si>
    <t>Avg Reg SG 2</t>
  </si>
  <si>
    <t>Avg Reg CS 1</t>
  </si>
  <si>
    <t>Avg Reg CS 2</t>
  </si>
  <si>
    <t>Avg Reg GQ 1</t>
  </si>
  <si>
    <t>Avg Reg GQ 2</t>
  </si>
  <si>
    <t>REVL</t>
  </si>
  <si>
    <t>Top 20 Closest PLAYOFF Games of all time - PVE FFL</t>
  </si>
  <si>
    <t>WILD CARD</t>
  </si>
  <si>
    <t xml:space="preserve">WEEK 14 </t>
  </si>
  <si>
    <t>PO App</t>
  </si>
  <si>
    <t>Losess</t>
  </si>
  <si>
    <t>RECORD vs. Prodigies</t>
  </si>
  <si>
    <t>RECORD vs. Esteemed</t>
  </si>
  <si>
    <t>LOSER CON - 1</t>
  </si>
  <si>
    <t>DIV CHAMP</t>
  </si>
  <si>
    <t>REG REF #</t>
  </si>
  <si>
    <t>5TH-6TH MATCH - 1</t>
  </si>
  <si>
    <t>Top 20 Lowest Scoring Regular Season Games of all time - PVE FFL</t>
  </si>
  <si>
    <t>LOSER CON - 2</t>
  </si>
  <si>
    <t>Chris Morris Sr</t>
  </si>
  <si>
    <t>Anthony Morris</t>
  </si>
  <si>
    <t>Matt Morris</t>
  </si>
  <si>
    <t>Muhsinah Morris</t>
  </si>
  <si>
    <t>Vivian Morris</t>
  </si>
  <si>
    <t>Chris Morris</t>
  </si>
  <si>
    <t>Kai Green</t>
  </si>
  <si>
    <t>Decatur Dan</t>
  </si>
  <si>
    <t>Naimah Holmes</t>
  </si>
  <si>
    <t>NFL Week 1</t>
  </si>
  <si>
    <t>AWAY TEAM</t>
  </si>
  <si>
    <t>HOME TEAM</t>
  </si>
  <si>
    <r>
      <rPr>
        <rFont val="Ubuntu"/>
        <color rgb="FF0066CC"/>
        <sz val="12.0"/>
      </rPr>
      <t>Them Decatur Girls</t>
    </r>
    <r>
      <rPr>
        <rFont val="Ubuntu"/>
        <color rgb="FF797B7D"/>
        <sz val="12.0"/>
      </rPr>
      <t>(5-8-0)</t>
    </r>
  </si>
  <si>
    <r>
      <rPr>
        <rFont val="Ubuntu"/>
        <color rgb="FF0066CC"/>
        <sz val="12.0"/>
      </rPr>
      <t>Cumgetsum Yardies</t>
    </r>
    <r>
      <rPr>
        <rFont val="Ubuntu"/>
        <color rgb="FF797B7D"/>
        <sz val="12.0"/>
      </rPr>
      <t>(4-9-0)</t>
    </r>
  </si>
  <si>
    <r>
      <rPr>
        <rFont val="Ubuntu"/>
        <b/>
        <color rgb="FF0066CC"/>
        <sz val="12.0"/>
      </rPr>
      <t>Bandera Decoupes</t>
    </r>
    <r>
      <rPr>
        <rFont val="Ubuntu"/>
        <b/>
        <color rgb="FF797B7D"/>
        <sz val="12.0"/>
      </rPr>
      <t>(8-5-0)</t>
    </r>
  </si>
  <si>
    <r>
      <rPr>
        <rFont val="Ubuntu"/>
        <color rgb="FF0066CC"/>
        <sz val="12.0"/>
      </rPr>
      <t>East Atlanta Savages</t>
    </r>
    <r>
      <rPr>
        <rFont val="Ubuntu"/>
        <color rgb="FF797B7D"/>
        <sz val="12.0"/>
      </rPr>
      <t>(5-8-0)</t>
    </r>
  </si>
  <si>
    <r>
      <rPr>
        <rFont val="Ubuntu"/>
        <color rgb="FF0066CC"/>
        <sz val="12.0"/>
      </rPr>
      <t>West End Popeyes</t>
    </r>
    <r>
      <rPr>
        <rFont val="Ubuntu"/>
        <color rgb="FF797B7D"/>
        <sz val="12.0"/>
      </rPr>
      <t>(11-2-0)</t>
    </r>
  </si>
  <si>
    <r>
      <rPr>
        <rFont val="Ubuntu"/>
        <color rgb="FF0066CC"/>
        <sz val="12.0"/>
      </rPr>
      <t>Georgia Green</t>
    </r>
    <r>
      <rPr>
        <rFont val="Ubuntu"/>
        <color rgb="FF797B7D"/>
        <sz val="12.0"/>
      </rPr>
      <t>(1-12-0)</t>
    </r>
  </si>
  <si>
    <r>
      <rPr>
        <rFont val="Ubuntu"/>
        <color rgb="FF0066CC"/>
        <sz val="12.0"/>
      </rPr>
      <t>Muthafkn Dec MookDawg</t>
    </r>
    <r>
      <rPr>
        <rFont val="Ubuntu"/>
        <color rgb="FF797B7D"/>
        <sz val="12.0"/>
      </rPr>
      <t>(10-3-0)</t>
    </r>
  </si>
  <si>
    <r>
      <rPr>
        <rFont val="Ubuntu"/>
        <color rgb="FF0066CC"/>
        <sz val="12.0"/>
      </rPr>
      <t>Uncross Your Mutt</t>
    </r>
    <r>
      <rPr>
        <rFont val="Ubuntu"/>
        <color rgb="FF797B7D"/>
        <sz val="12.0"/>
      </rPr>
      <t>(8-5-0)</t>
    </r>
  </si>
  <si>
    <t>NFL Week 2</t>
  </si>
  <si>
    <t>FANTASY BOWL</t>
  </si>
  <si>
    <t>Christine Morris</t>
  </si>
  <si>
    <r>
      <rPr>
        <rFont val="Ubuntu"/>
        <color rgb="FF0066CC"/>
        <sz val="12.0"/>
      </rPr>
      <t>Them Decatur Girls</t>
    </r>
    <r>
      <rPr>
        <rFont val="Ubuntu"/>
        <color rgb="FF797B7D"/>
        <sz val="12.0"/>
      </rPr>
      <t>(5-8-0)</t>
    </r>
  </si>
  <si>
    <r>
      <rPr>
        <rFont val="Ubuntu"/>
        <b/>
        <color rgb="FF0066CC"/>
        <sz val="12.0"/>
      </rPr>
      <t>Bandera Decoupes</t>
    </r>
    <r>
      <rPr>
        <rFont val="Ubuntu"/>
        <b/>
        <color rgb="FF797B7D"/>
        <sz val="12.0"/>
      </rPr>
      <t>(8-5-0)</t>
    </r>
  </si>
  <si>
    <t xml:space="preserve">     </t>
  </si>
  <si>
    <r>
      <rPr>
        <rFont val="Ubuntu"/>
        <color rgb="FF0066CC"/>
        <sz val="12.0"/>
      </rPr>
      <t>Georgia Green</t>
    </r>
    <r>
      <rPr>
        <rFont val="Ubuntu"/>
        <color rgb="FF797B7D"/>
        <sz val="12.0"/>
      </rPr>
      <t>(1-12-0)</t>
    </r>
  </si>
  <si>
    <r>
      <rPr>
        <rFont val="Ubuntu"/>
        <color rgb="FF0066CC"/>
        <sz val="12.0"/>
      </rPr>
      <t>Uncross Your Mutt</t>
    </r>
    <r>
      <rPr>
        <rFont val="Ubuntu"/>
        <color rgb="FF797B7D"/>
        <sz val="12.0"/>
      </rPr>
      <t>(8-5-0)</t>
    </r>
  </si>
  <si>
    <r>
      <rPr>
        <rFont val="Ubuntu"/>
        <color rgb="FF0066CC"/>
        <sz val="12.0"/>
      </rPr>
      <t>West End Popeyes</t>
    </r>
    <r>
      <rPr>
        <rFont val="Ubuntu"/>
        <color rgb="FF797B7D"/>
        <sz val="12.0"/>
      </rPr>
      <t>(8-5-0)</t>
    </r>
  </si>
  <si>
    <r>
      <rPr>
        <rFont val="Ubuntu"/>
        <color rgb="FF0066CC"/>
        <sz val="12.0"/>
      </rPr>
      <t>Muthafkn Dec MookDawg</t>
    </r>
    <r>
      <rPr>
        <rFont val="Ubuntu"/>
        <color rgb="FF797B7D"/>
        <sz val="12.0"/>
      </rPr>
      <t>(3-10-0)</t>
    </r>
  </si>
  <si>
    <r>
      <rPr>
        <rFont val="Ubuntu"/>
        <color rgb="FF0066CC"/>
        <sz val="12.0"/>
      </rPr>
      <t>Muthafkn Dec MookDawg</t>
    </r>
    <r>
      <rPr>
        <rFont val="Ubuntu"/>
        <color rgb="FF797B7D"/>
        <sz val="12.0"/>
      </rPr>
      <t>(10-3-0)</t>
    </r>
  </si>
  <si>
    <r>
      <rPr>
        <rFont val="Ubuntu"/>
        <color rgb="FF0066CC"/>
        <sz val="12.0"/>
      </rPr>
      <t>East Atlanta Savages</t>
    </r>
    <r>
      <rPr>
        <rFont val="Ubuntu"/>
        <color rgb="FF797B7D"/>
        <sz val="12.0"/>
      </rPr>
      <t>(5-8-0)</t>
    </r>
  </si>
  <si>
    <r>
      <rPr>
        <rFont val="Ubuntu"/>
        <color rgb="FF0066CC"/>
        <sz val="12.0"/>
      </rPr>
      <t>East Atlanta Savages</t>
    </r>
    <r>
      <rPr>
        <rFont val="Ubuntu"/>
        <color rgb="FF797B7D"/>
        <sz val="12.0"/>
      </rPr>
      <t>(7-6-0)</t>
    </r>
  </si>
  <si>
    <r>
      <rPr>
        <rFont val="Ubuntu"/>
        <color rgb="FF0066CC"/>
        <sz val="12.0"/>
      </rPr>
      <t>Down South Champs</t>
    </r>
    <r>
      <rPr>
        <rFont val="Ubuntu"/>
        <color rgb="FF797B7D"/>
        <sz val="12.0"/>
      </rPr>
      <t>(5-8-0)</t>
    </r>
  </si>
  <si>
    <r>
      <rPr>
        <rFont val="Ubuntu"/>
        <color rgb="FF0066CC"/>
        <sz val="12.0"/>
      </rPr>
      <t>Cumgetsum Yardies</t>
    </r>
    <r>
      <rPr>
        <rFont val="Ubuntu"/>
        <color rgb="FF797B7D"/>
        <sz val="12.0"/>
      </rPr>
      <t>(4-9-0)</t>
    </r>
  </si>
  <si>
    <r>
      <rPr>
        <rFont val="Ubuntu"/>
        <color rgb="FF0066CC"/>
        <sz val="12.0"/>
      </rPr>
      <t>West End Popeyes</t>
    </r>
    <r>
      <rPr>
        <rFont val="Ubuntu"/>
        <color rgb="FF797B7D"/>
        <sz val="12.0"/>
      </rPr>
      <t>(11-2-0)</t>
    </r>
  </si>
  <si>
    <t>NFL Week 3</t>
  </si>
  <si>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</si>
  <si>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</si>
  <si>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b/>
        <color rgb="FF0066CC"/>
        <sz val="12.0"/>
      </rPr>
      <t>HYI Football Team</t>
    </r>
    <r>
      <rPr>
        <rFont val="Ubuntu"/>
        <b/>
        <color rgb="FF797B7D"/>
        <sz val="12.0"/>
      </rPr>
      <t>(4-9-0)</t>
    </r>
  </si>
  <si>
    <r>
      <rPr>
        <rFont val="Ubuntu"/>
        <color rgb="FF0066CC"/>
        <sz val="12.0"/>
      </rPr>
      <t>East Atlanta Savages</t>
    </r>
    <r>
      <rPr>
        <rFont val="Ubuntu"/>
        <color rgb="FF797B7D"/>
        <sz val="12.0"/>
      </rPr>
      <t>(5-8-0)</t>
    </r>
  </si>
  <si>
    <r>
      <rPr>
        <rFont val="Ubuntu"/>
        <color rgb="FF0066CC"/>
        <sz val="12.0"/>
      </rPr>
      <t>Georgia Green</t>
    </r>
    <r>
      <rPr>
        <rFont val="Ubuntu"/>
        <color rgb="FF797B7D"/>
        <sz val="12.0"/>
      </rPr>
      <t>(1-12-0)</t>
    </r>
  </si>
  <si>
    <r>
      <rPr>
        <rFont val="Ubuntu"/>
        <color rgb="FF0066CC"/>
        <sz val="12.0"/>
      </rPr>
      <t>Uncross Your Mutt</t>
    </r>
    <r>
      <rPr>
        <rFont val="Ubuntu"/>
        <color rgb="FF797B7D"/>
        <sz val="12.0"/>
      </rPr>
      <t>(8-5-0)</t>
    </r>
  </si>
  <si>
    <r>
      <rPr>
        <rFont val="Ubuntu"/>
        <color rgb="FF0066CC"/>
        <sz val="12.0"/>
      </rPr>
      <t>Seth Soldiers</t>
    </r>
    <r>
      <rPr>
        <rFont val="Ubuntu"/>
        <color rgb="FF797B7D"/>
        <sz val="12.0"/>
      </rPr>
      <t>(9-4-0)</t>
    </r>
  </si>
  <si>
    <t>3RD-4TH MATCH</t>
  </si>
  <si>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</si>
  <si>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</si>
  <si>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(7-6-0)</t>
    </r>
  </si>
  <si>
    <r>
      <rPr>
        <rFont val="Ubuntu"/>
        <b/>
        <color rgb="FF0066CC"/>
        <sz val="12.0"/>
      </rPr>
      <t>Bandera Decoupes</t>
    </r>
    <r>
      <rPr>
        <rFont val="Ubuntu"/>
        <b/>
        <color rgb="FF797B7D"/>
        <sz val="12.0"/>
      </rPr>
      <t>(8-5-0)</t>
    </r>
  </si>
  <si>
    <r>
      <rPr>
        <rFont val="Ubuntu"/>
        <color rgb="FF0066CC"/>
        <sz val="12.0"/>
      </rPr>
      <t>West End Popeyes</t>
    </r>
    <r>
      <rPr>
        <rFont val="Ubuntu"/>
        <color rgb="FF797B7D"/>
        <sz val="12.0"/>
      </rPr>
      <t>(11-2-0)</t>
    </r>
  </si>
  <si>
    <r>
      <rPr>
        <rFont val="Ubuntu"/>
        <color rgb="FF0066CC"/>
        <sz val="12.0"/>
      </rPr>
      <t>West End Popeyes</t>
    </r>
    <r>
      <rPr>
        <rFont val="Ubuntu"/>
        <color rgb="FF797B7D"/>
        <sz val="12.0"/>
      </rPr>
      <t>(8-5-0)</t>
    </r>
  </si>
  <si>
    <r>
      <rPr>
        <rFont val="Ubuntu"/>
        <b/>
        <color rgb="FF0066CC"/>
        <sz val="12.0"/>
      </rPr>
      <t>Bandera Decoupes</t>
    </r>
    <r>
      <rPr>
        <rFont val="Ubuntu"/>
        <b/>
        <color rgb="FF797B7D"/>
        <sz val="12.0"/>
      </rPr>
      <t>(8-5-0)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</si>
  <si>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</si>
  <si>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(10-3-0)</t>
    </r>
  </si>
  <si>
    <t>NFL Week 4</t>
  </si>
  <si>
    <r>
      <rPr>
        <rFont val="Ubuntu"/>
        <color rgb="FF0066CC"/>
        <sz val="12.0"/>
      </rPr>
      <t>East Atlanta Savages</t>
    </r>
    <r>
      <rPr>
        <rFont val="Ubuntu"/>
        <color rgb="FF797B7D"/>
        <sz val="12.0"/>
      </rPr>
      <t>(7-6-0)</t>
    </r>
  </si>
  <si>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</si>
  <si>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(10-3-0)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</si>
  <si>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</si>
  <si>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</si>
  <si>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color rgb="FF0066CC"/>
        <sz val="12.0"/>
      </rPr>
      <t>Down South Champs</t>
    </r>
    <r>
      <rPr>
        <rFont val="Ubuntu"/>
        <color rgb="FF797B7D"/>
        <sz val="12.0"/>
      </rPr>
      <t>(5-8-0)</t>
    </r>
  </si>
  <si>
    <r>
      <rPr>
        <rFont val="Ubuntu"/>
        <color rgb="FF0066CC"/>
        <sz val="12.0"/>
      </rPr>
      <t>Uncross Your Mutt</t>
    </r>
    <r>
      <rPr>
        <rFont val="Ubuntu"/>
        <color rgb="FF797B7D"/>
        <sz val="12.0"/>
      </rPr>
      <t>(8-5-0)</t>
    </r>
  </si>
  <si>
    <r>
      <rPr>
        <rFont val="Ubuntu"/>
        <color rgb="FF0066CC"/>
        <sz val="12.0"/>
      </rPr>
      <t>West End Popeyes</t>
    </r>
    <r>
      <rPr>
        <rFont val="Ubuntu"/>
        <color rgb="FF797B7D"/>
        <sz val="12.0"/>
      </rPr>
      <t>(11-2-0)</t>
    </r>
  </si>
  <si>
    <r>
      <rPr>
        <rFont val="Ubuntu"/>
        <color rgb="FF0066CC"/>
        <sz val="12.0"/>
      </rPr>
      <t>Muthafkn Dec MookDawg</t>
    </r>
    <r>
      <rPr>
        <rFont val="Ubuntu"/>
        <color rgb="FF797B7D"/>
        <sz val="12.0"/>
      </rPr>
      <t>(3-10-0)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</si>
  <si>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</si>
  <si>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</si>
  <si>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color rgb="FF0066CC"/>
        <sz val="12.0"/>
      </rPr>
      <t>Cumgetsum Yardies</t>
    </r>
    <r>
      <rPr>
        <rFont val="Ubuntu"/>
        <color rgb="FF797B7D"/>
        <sz val="12.0"/>
      </rPr>
      <t>(4-9-0)</t>
    </r>
  </si>
  <si>
    <r>
      <rPr>
        <rFont val="Ubuntu"/>
        <color rgb="FF0066CC"/>
        <sz val="12.0"/>
      </rPr>
      <t>Georgia Green</t>
    </r>
    <r>
      <rPr>
        <rFont val="Ubuntu"/>
        <color rgb="FF797B7D"/>
        <sz val="12.0"/>
      </rPr>
      <t>(1-12-0)</t>
    </r>
  </si>
  <si>
    <r>
      <rPr>
        <rFont val="Ubuntu"/>
        <b/>
        <color rgb="FF0066CC"/>
        <sz val="12.0"/>
      </rPr>
      <t>HYI Football Team</t>
    </r>
    <r>
      <rPr>
        <rFont val="Ubuntu"/>
        <b/>
        <color rgb="FF797B7D"/>
        <sz val="12.0"/>
      </rPr>
      <t>(4-9-0)</t>
    </r>
  </si>
  <si>
    <r>
      <rPr>
        <rFont val="Ubuntu"/>
        <color rgb="FF0066CC"/>
        <sz val="12.0"/>
      </rPr>
      <t>East Atlanta Savages</t>
    </r>
    <r>
      <rPr>
        <rFont val="Ubuntu"/>
        <color rgb="FF797B7D"/>
        <sz val="12.0"/>
      </rPr>
      <t>(5-8-0)</t>
    </r>
  </si>
  <si>
    <r>
      <rPr>
        <rFont val="Ubuntu"/>
        <color rgb="FF0066CC"/>
        <sz val="12.0"/>
      </rPr>
      <t>Them Decatur Girls</t>
    </r>
    <r>
      <rPr>
        <rFont val="Ubuntu"/>
        <color rgb="FF797B7D"/>
        <sz val="12.0"/>
      </rPr>
      <t>(5-8-0)</t>
    </r>
  </si>
  <si>
    <t>NFL Week 5</t>
  </si>
  <si>
    <t>5TH-6TH MATCH - 2</t>
  </si>
  <si>
    <r>
      <rPr>
        <rFont val="Ubuntu"/>
        <color rgb="FF0066CC"/>
        <sz val="12.0"/>
      </rPr>
      <t>West End Popeyes</t>
    </r>
    <r>
      <rPr>
        <rFont val="Ubuntu"/>
        <color rgb="FF797B7D"/>
        <sz val="12.0"/>
      </rPr>
      <t>(8-5-0)</t>
    </r>
  </si>
  <si>
    <r>
      <rPr>
        <rFont val="Ubuntu"/>
        <color rgb="FF0066CC"/>
        <sz val="12.0"/>
      </rPr>
      <t>Cumgetsum Yardies</t>
    </r>
    <r>
      <rPr>
        <rFont val="Ubuntu"/>
        <color rgb="FF797B7D"/>
        <sz val="12.0"/>
      </rPr>
      <t>(7-6-0)</t>
    </r>
  </si>
  <si>
    <r>
      <rPr>
        <rFont val="Ubuntu"/>
        <color rgb="FF0066CC"/>
        <sz val="12.0"/>
      </rPr>
      <t>West End Popeyes</t>
    </r>
    <r>
      <rPr>
        <rFont val="Ubuntu"/>
        <color rgb="FF797B7D"/>
        <sz val="12.0"/>
      </rPr>
      <t>(11-2-0)</t>
    </r>
  </si>
  <si>
    <r>
      <rPr>
        <rFont val="Ubuntu"/>
        <color rgb="FF0066CC"/>
        <sz val="12.0"/>
      </rPr>
      <t>East Atlanta Savages</t>
    </r>
    <r>
      <rPr>
        <rFont val="Ubuntu"/>
        <color rgb="FF797B7D"/>
        <sz val="12.0"/>
      </rPr>
      <t>(5-8-0)</t>
    </r>
  </si>
  <si>
    <r>
      <rPr>
        <rFont val="Ubuntu"/>
        <color rgb="FF0066CC"/>
        <sz val="12.0"/>
      </rPr>
      <t>Seth Soldiers</t>
    </r>
    <r>
      <rPr>
        <rFont val="Ubuntu"/>
        <color rgb="FF797B7D"/>
        <sz val="12.0"/>
      </rPr>
      <t>(9-4-0)</t>
    </r>
  </si>
  <si>
    <r>
      <rPr>
        <rFont val="Ubuntu"/>
        <color rgb="FF0066CC"/>
        <sz val="12.0"/>
      </rPr>
      <t>East Atlanta Savages</t>
    </r>
    <r>
      <rPr>
        <rFont val="Ubuntu"/>
        <color rgb="FF797B7D"/>
        <sz val="12.0"/>
      </rPr>
      <t>(7-6-0)</t>
    </r>
  </si>
  <si>
    <r>
      <rPr>
        <rFont val="Ubuntu"/>
        <color rgb="FF0066CC"/>
        <sz val="12.0"/>
      </rPr>
      <t>Georgia Green</t>
    </r>
    <r>
      <rPr>
        <rFont val="Ubuntu"/>
        <color rgb="FF797B7D"/>
        <sz val="12.0"/>
      </rPr>
      <t>(1-12-0)</t>
    </r>
  </si>
  <si>
    <r>
      <rPr>
        <rFont val="Ubuntu"/>
        <b/>
        <color rgb="FF0066CC"/>
        <sz val="12.0"/>
      </rPr>
      <t>HYI Football Team</t>
    </r>
    <r>
      <rPr>
        <rFont val="Ubuntu"/>
        <b/>
        <color rgb="FF797B7D"/>
        <sz val="12.0"/>
      </rPr>
      <t>(4-9-0)</t>
    </r>
  </si>
  <si>
    <r>
      <rPr>
        <rFont val="Ubuntu"/>
        <b/>
        <color rgb="FF0066CC"/>
        <sz val="12.0"/>
      </rPr>
      <t>Bandera Decoupes</t>
    </r>
    <r>
      <rPr>
        <rFont val="Ubuntu"/>
        <b/>
        <color rgb="FF797B7D"/>
        <sz val="12.0"/>
      </rPr>
      <t>(8-5-0)</t>
    </r>
  </si>
  <si>
    <r>
      <rPr>
        <rFont val="Ubuntu"/>
        <b/>
        <color rgb="FF0066CC"/>
        <sz val="12.0"/>
      </rPr>
      <t>Bandera Decoupes</t>
    </r>
    <r>
      <rPr>
        <rFont val="Ubuntu"/>
        <b/>
        <color rgb="FF797B7D"/>
        <sz val="12.0"/>
      </rPr>
      <t>(8-5-0)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</si>
  <si>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</si>
  <si>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</si>
  <si>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r>
      <rPr>
        <rFont val="Ubuntu"/>
        <color rgb="FF0066CC"/>
        <sz val="12.0"/>
      </rPr>
      <t>Georgia Green</t>
    </r>
    <r>
      <rPr>
        <rFont val="Ubuntu"/>
        <color rgb="FF797B7D"/>
        <sz val="12.0"/>
      </rPr>
      <t>(6-7-0)</t>
    </r>
  </si>
  <si>
    <r>
      <rPr>
        <rFont val="Ubuntu"/>
        <color rgb="FF0066CC"/>
        <sz val="12.0"/>
      </rPr>
      <t>Muthafkn Dec MookDawg</t>
    </r>
    <r>
      <rPr>
        <rFont val="Ubuntu"/>
        <color rgb="FF797B7D"/>
        <sz val="12.0"/>
      </rPr>
      <t>(3-10-0)</t>
    </r>
  </si>
  <si>
    <r>
      <rPr>
        <rFont val="Ubuntu"/>
        <color rgb="FF0066CC"/>
        <sz val="12.0"/>
      </rPr>
      <t>Muthafkn Dec MookDawg</t>
    </r>
    <r>
      <rPr>
        <rFont val="Ubuntu"/>
        <color rgb="FF797B7D"/>
        <sz val="12.0"/>
      </rPr>
      <t>(10-3-0)</t>
    </r>
  </si>
  <si>
    <r>
      <rPr>
        <rFont val="Ubuntu"/>
        <color rgb="FF0066CC"/>
        <sz val="12.0"/>
      </rPr>
      <t>Down South Champs</t>
    </r>
    <r>
      <rPr>
        <rFont val="Ubuntu"/>
        <color rgb="FF797B7D"/>
        <sz val="12.0"/>
      </rPr>
      <t>(5-8-0)</t>
    </r>
  </si>
  <si>
    <r>
      <rPr>
        <rFont val="Ubuntu"/>
        <color rgb="FF0066CC"/>
        <sz val="12.0"/>
      </rPr>
      <t>Uncross Your Mutt</t>
    </r>
    <r>
      <rPr>
        <rFont val="Ubuntu"/>
        <color rgb="FF797B7D"/>
        <sz val="12.0"/>
      </rPr>
      <t>(8-5-0)</t>
    </r>
  </si>
  <si>
    <r>
      <rPr>
        <rFont val="Ubuntu"/>
        <color rgb="FF0066CC"/>
        <sz val="12.0"/>
      </rPr>
      <t>Them Decatur Girls</t>
    </r>
    <r>
      <rPr>
        <rFont val="Ubuntu"/>
        <color rgb="FF797B7D"/>
        <sz val="12.0"/>
      </rPr>
      <t>(5-8-0)</t>
    </r>
  </si>
  <si>
    <t>NFL Week 6</t>
  </si>
  <si>
    <r>
      <rPr>
        <rFont val="Ubuntu"/>
        <color rgb="FF0066CC"/>
        <sz val="12.0"/>
      </rPr>
      <t>Seth Soldiers</t>
    </r>
    <r>
      <rPr>
        <rFont val="Ubuntu"/>
        <color rgb="FF797B7D"/>
        <sz val="12.0"/>
      </rPr>
      <t>(9-4-0)</t>
    </r>
  </si>
  <si>
    <r>
      <rPr>
        <rFont val="Ubuntu"/>
        <color rgb="FF0066CC"/>
        <sz val="12.0"/>
      </rPr>
      <t>West End Popeyes</t>
    </r>
    <r>
      <rPr>
        <rFont val="Ubuntu"/>
        <color rgb="FF797B7D"/>
        <sz val="12.0"/>
      </rPr>
      <t>(8-5-0)</t>
    </r>
  </si>
  <si>
    <r>
      <rPr>
        <rFont val="Ubuntu"/>
        <color rgb="FF0066CC"/>
        <sz val="12.0"/>
      </rPr>
      <t>East Atlanta Savages</t>
    </r>
    <r>
      <rPr>
        <rFont val="Ubuntu"/>
        <color rgb="FF797B7D"/>
        <sz val="12.0"/>
      </rPr>
      <t>(5-8-0)</t>
    </r>
  </si>
  <si>
    <r>
      <rPr>
        <rFont val="Ubuntu"/>
        <b/>
        <color rgb="FF0066CC"/>
        <sz val="12.0"/>
      </rPr>
      <t>Bandera Decoupes</t>
    </r>
    <r>
      <rPr>
        <rFont val="Ubuntu"/>
        <b/>
        <color rgb="FF797B7D"/>
        <sz val="12.0"/>
      </rPr>
      <t>(8-5-0)</t>
    </r>
  </si>
  <si>
    <t>LOSER CON - 3</t>
  </si>
  <si>
    <r>
      <rPr>
        <rFont val="Ubuntu"/>
        <b/>
        <color rgb="FF0066CC"/>
        <sz val="12.0"/>
      </rPr>
      <t>HYI Football Team</t>
    </r>
    <r>
      <rPr>
        <rFont val="Ubuntu"/>
        <b/>
        <color rgb="FF797B7D"/>
        <sz val="12.0"/>
      </rPr>
      <t>(4-9-0)</t>
    </r>
  </si>
  <si>
    <r>
      <rPr>
        <rFont val="Ubuntu"/>
        <color rgb="FF0066CC"/>
        <sz val="12.0"/>
      </rPr>
      <t>East Atlanta Savages</t>
    </r>
    <r>
      <rPr>
        <rFont val="Ubuntu"/>
        <color rgb="FF797B7D"/>
        <sz val="12.0"/>
      </rPr>
      <t>(7-6-0)</t>
    </r>
  </si>
  <si>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</si>
  <si>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</si>
  <si>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r>
      <rPr>
        <rFont val="Ubuntu"/>
        <b/>
        <color rgb="FF0066CC"/>
        <sz val="12.0"/>
      </rPr>
      <t>Bandera Decoupes</t>
    </r>
    <r>
      <rPr>
        <rFont val="Ubuntu"/>
        <b/>
        <color rgb="FF797B7D"/>
        <sz val="12.0"/>
      </rPr>
      <t>(8-5-0)</t>
    </r>
  </si>
  <si>
    <r>
      <rPr>
        <rFont val="Ubuntu"/>
        <color rgb="FF0066CC"/>
        <sz val="12.0"/>
      </rPr>
      <t>Muthafkn Dec MookDawg</t>
    </r>
    <r>
      <rPr>
        <rFont val="Ubuntu"/>
        <color rgb="FF797B7D"/>
        <sz val="12.0"/>
      </rPr>
      <t>(3-10-0)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</si>
  <si>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</si>
  <si>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(10-3-0)</t>
    </r>
  </si>
  <si>
    <r>
      <rPr>
        <rFont val="Ubuntu"/>
        <color rgb="FF0066CC"/>
        <sz val="12.0"/>
      </rPr>
      <t>Georgia Green</t>
    </r>
    <r>
      <rPr>
        <rFont val="Ubuntu"/>
        <color rgb="FF797B7D"/>
        <sz val="12.0"/>
      </rPr>
      <t>(6-7-0)</t>
    </r>
  </si>
  <si>
    <r>
      <rPr>
        <rFont val="Ubuntu"/>
        <color rgb="FF0066CC"/>
        <sz val="12.0"/>
      </rPr>
      <t>Uncross Your Mutt</t>
    </r>
    <r>
      <rPr>
        <rFont val="Ubuntu"/>
        <color rgb="FF797B7D"/>
        <sz val="12.0"/>
      </rPr>
      <t>(8-5-0)</t>
    </r>
  </si>
  <si>
    <r>
      <rPr>
        <rFont val="Ubuntu"/>
        <color rgb="FF0066CC"/>
        <sz val="12.0"/>
      </rPr>
      <t>Georgia Green</t>
    </r>
    <r>
      <rPr>
        <rFont val="Ubuntu"/>
        <color rgb="FF797B7D"/>
        <sz val="12.0"/>
      </rPr>
      <t>(1-12-0)</t>
    </r>
  </si>
  <si>
    <r>
      <rPr>
        <rFont val="Ubuntu"/>
        <color rgb="FF0066CC"/>
        <sz val="12.0"/>
      </rPr>
      <t>West End Popeyes</t>
    </r>
    <r>
      <rPr>
        <rFont val="Ubuntu"/>
        <color rgb="FF797B7D"/>
        <sz val="12.0"/>
      </rPr>
      <t>(11-2-0)</t>
    </r>
  </si>
  <si>
    <t>NFL Week 7</t>
  </si>
  <si>
    <r>
      <rPr>
        <rFont val="Ubuntu"/>
        <color rgb="FF0066CC"/>
        <sz val="12.0"/>
      </rPr>
      <t>Down South Champs</t>
    </r>
    <r>
      <rPr>
        <rFont val="Ubuntu"/>
        <color rgb="FF797B7D"/>
        <sz val="12.0"/>
      </rPr>
      <t>(5-8-0)</t>
    </r>
  </si>
  <si>
    <r>
      <rPr>
        <rFont val="Ubuntu"/>
        <color rgb="FF0066CC"/>
        <sz val="12.0"/>
      </rPr>
      <t>Cumgetsum Yardies</t>
    </r>
    <r>
      <rPr>
        <rFont val="Ubuntu"/>
        <color rgb="FF797B7D"/>
        <sz val="12.0"/>
      </rPr>
      <t>(7-6-0)</t>
    </r>
  </si>
  <si>
    <r>
      <rPr>
        <rFont val="Ubuntu"/>
        <b/>
        <color rgb="FF0066CC"/>
        <sz val="12.0"/>
      </rPr>
      <t>Bandera Decoupes</t>
    </r>
    <r>
      <rPr>
        <rFont val="Ubuntu"/>
        <b/>
        <color rgb="FF797B7D"/>
        <sz val="12.0"/>
      </rPr>
      <t>(8-5-0)</t>
    </r>
  </si>
  <si>
    <r>
      <rPr>
        <rFont val="Ubuntu"/>
        <color rgb="FF0066CC"/>
        <sz val="12.0"/>
      </rPr>
      <t>Uncross Your Mutt</t>
    </r>
    <r>
      <rPr>
        <rFont val="Ubuntu"/>
        <color rgb="FF797B7D"/>
        <sz val="12.0"/>
      </rPr>
      <t>(8-5-0)</t>
    </r>
  </si>
  <si>
    <r>
      <rPr>
        <rFont val="Ubuntu"/>
        <color rgb="FF0066CC"/>
        <sz val="12.0"/>
      </rPr>
      <t>West End Popeyes</t>
    </r>
    <r>
      <rPr>
        <rFont val="Ubuntu"/>
        <color rgb="FF797B7D"/>
        <sz val="12.0"/>
      </rPr>
      <t>(8-5-0)</t>
    </r>
  </si>
  <si>
    <r>
      <rPr>
        <rFont val="Ubuntu"/>
        <color rgb="FF0066CC"/>
        <sz val="12.0"/>
      </rPr>
      <t>East Atlanta Savages</t>
    </r>
    <r>
      <rPr>
        <rFont val="Ubuntu"/>
        <color rgb="FF797B7D"/>
        <sz val="12.0"/>
      </rPr>
      <t>(7-6-0)</t>
    </r>
  </si>
  <si>
    <r>
      <rPr>
        <rFont val="Ubuntu"/>
        <color rgb="FF0066CC"/>
        <sz val="12.0"/>
      </rPr>
      <t>West End Popeyes</t>
    </r>
    <r>
      <rPr>
        <rFont val="Ubuntu"/>
        <color rgb="FF797B7D"/>
        <sz val="12.0"/>
      </rPr>
      <t>(11-2-0)</t>
    </r>
  </si>
  <si>
    <r>
      <rPr>
        <rFont val="Ubuntu"/>
        <color rgb="FF0066CC"/>
        <sz val="12.0"/>
      </rPr>
      <t>Muthafkn Dec MookDawg</t>
    </r>
    <r>
      <rPr>
        <rFont val="Ubuntu"/>
        <color rgb="FF797B7D"/>
        <sz val="12.0"/>
      </rPr>
      <t>(10-3-0)</t>
    </r>
  </si>
  <si>
    <r>
      <rPr>
        <rFont val="Ubuntu"/>
        <b/>
        <color rgb="FF0066CC"/>
        <sz val="12.0"/>
      </rPr>
      <t>Bandera Decoupes</t>
    </r>
    <r>
      <rPr>
        <rFont val="Ubuntu"/>
        <b/>
        <color rgb="FF797B7D"/>
        <sz val="12.0"/>
      </rPr>
      <t>(8-5-0)</t>
    </r>
  </si>
  <si>
    <r>
      <rPr>
        <rFont val="Ubuntu"/>
        <color rgb="FF0066CC"/>
        <sz val="12.0"/>
      </rPr>
      <t>Down South Champs</t>
    </r>
    <r>
      <rPr>
        <rFont val="Ubuntu"/>
        <color rgb="FF797B7D"/>
        <sz val="12.0"/>
      </rPr>
      <t>(5-8-0)</t>
    </r>
  </si>
  <si>
    <r>
      <rPr>
        <rFont val="Ubuntu"/>
        <color rgb="FF0066CC"/>
        <sz val="12.0"/>
      </rPr>
      <t>East Atlanta Savages</t>
    </r>
    <r>
      <rPr>
        <rFont val="Ubuntu"/>
        <color rgb="FF797B7D"/>
        <sz val="12.0"/>
      </rPr>
      <t>(5-8-0)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</si>
  <si>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</si>
  <si>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(3-10-0)</t>
    </r>
  </si>
  <si>
    <r>
      <rPr>
        <rFont val="Ubuntu"/>
        <color rgb="FF0066CC"/>
        <sz val="12.0"/>
      </rPr>
      <t>Uncross Your Mutt</t>
    </r>
    <r>
      <rPr>
        <rFont val="Ubuntu"/>
        <color rgb="FF797B7D"/>
        <sz val="12.0"/>
      </rPr>
      <t>(8-5-0)</t>
    </r>
  </si>
  <si>
    <r>
      <rPr>
        <rFont val="Ubuntu"/>
        <color rgb="FF0066CC"/>
        <sz val="12.0"/>
      </rPr>
      <t>Them Decatur Girls</t>
    </r>
    <r>
      <rPr>
        <rFont val="Ubuntu"/>
        <color rgb="FF797B7D"/>
        <sz val="12.0"/>
      </rPr>
      <t>(5-8-0)</t>
    </r>
  </si>
  <si>
    <r>
      <rPr>
        <rFont val="Ubuntu"/>
        <color rgb="FF0066CC"/>
        <sz val="12.0"/>
      </rPr>
      <t>Georgia Green</t>
    </r>
    <r>
      <rPr>
        <rFont val="Ubuntu"/>
        <color rgb="FF797B7D"/>
        <sz val="12.0"/>
      </rPr>
      <t>(1-12-0)</t>
    </r>
  </si>
  <si>
    <r>
      <rPr>
        <rFont val="Ubuntu"/>
        <b/>
        <color rgb="FF0066CC"/>
        <sz val="12.0"/>
      </rPr>
      <t>HYI Football Team</t>
    </r>
    <r>
      <rPr>
        <rFont val="Ubuntu"/>
        <b/>
        <color rgb="FF797B7D"/>
        <sz val="12.0"/>
      </rPr>
      <t>(4-9-0)</t>
    </r>
  </si>
  <si>
    <t>NFL Week 8</t>
  </si>
  <si>
    <r>
      <rPr>
        <rFont val="Ubuntu"/>
        <color rgb="FF0066CC"/>
        <sz val="12.0"/>
      </rPr>
      <t>Cumgetsum Yardies</t>
    </r>
    <r>
      <rPr>
        <rFont val="Ubuntu"/>
        <color rgb="FF797B7D"/>
        <sz val="12.0"/>
      </rPr>
      <t>(7-6-0)</t>
    </r>
  </si>
  <si>
    <t>Bye:</t>
  </si>
  <si>
    <t>Georgia Green(141.92 Pts)</t>
  </si>
  <si>
    <t>Seth Soldiers(208.31 Pts)</t>
  </si>
  <si>
    <r>
      <rPr>
        <rFont val="Ubuntu"/>
        <color rgb="FF0066CC"/>
        <sz val="12.0"/>
      </rPr>
      <t>Them Decatur Girls</t>
    </r>
    <r>
      <rPr>
        <rFont val="Ubuntu"/>
        <color rgb="FF797B7D"/>
        <sz val="12.0"/>
      </rPr>
      <t>(5-8-0)</t>
    </r>
  </si>
  <si>
    <r>
      <rPr>
        <rFont val="Ubuntu"/>
        <color rgb="FF0066CC"/>
        <sz val="12.0"/>
      </rPr>
      <t>Cumgetsum Yardies</t>
    </r>
    <r>
      <rPr>
        <rFont val="Ubuntu"/>
        <color rgb="FF797B7D"/>
        <sz val="12.0"/>
      </rPr>
      <t>(4-9-0)</t>
    </r>
  </si>
  <si>
    <r>
      <rPr>
        <rFont val="Ubuntu"/>
        <color rgb="FF0066CC"/>
        <sz val="12.0"/>
      </rPr>
      <t>West End Popeyes</t>
    </r>
    <r>
      <rPr>
        <rFont val="Ubuntu"/>
        <color rgb="FF797B7D"/>
        <sz val="12.0"/>
      </rPr>
      <t>(11-2-0)</t>
    </r>
  </si>
  <si>
    <r>
      <rPr>
        <rFont val="Ubuntu"/>
        <color rgb="FF0066CC"/>
        <sz val="12.0"/>
      </rPr>
      <t>East Atlanta Savages</t>
    </r>
    <r>
      <rPr>
        <rFont val="Ubuntu"/>
        <color rgb="FF797B7D"/>
        <sz val="12.0"/>
      </rPr>
      <t>(5-8-0)</t>
    </r>
  </si>
  <si>
    <r>
      <rPr>
        <rFont val="Ubuntu"/>
        <color rgb="FF0066CC"/>
        <sz val="12.0"/>
      </rPr>
      <t>West End Popeyes</t>
    </r>
    <r>
      <rPr>
        <rFont val="Ubuntu"/>
        <color rgb="FF797B7D"/>
        <sz val="12.0"/>
      </rPr>
      <t>(8-5-0)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</si>
  <si>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</si>
  <si>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(1-12-0)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</si>
  <si>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</si>
  <si>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</si>
  <si>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color rgb="FF0066CC"/>
        <sz val="12.0"/>
      </rPr>
      <t>Down South Champs</t>
    </r>
    <r>
      <rPr>
        <rFont val="Ubuntu"/>
        <color rgb="FF797B7D"/>
        <sz val="12.0"/>
      </rPr>
      <t>(5-8-0)</t>
    </r>
  </si>
  <si>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</si>
  <si>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(10-3-0)</t>
    </r>
  </si>
  <si>
    <t>NFL Week 9</t>
  </si>
  <si>
    <r>
      <rPr>
        <rFont val="Ubuntu"/>
        <color rgb="FF0066CC"/>
        <sz val="12.0"/>
      </rPr>
      <t>Muthafkn Dec MookDawg</t>
    </r>
    <r>
      <rPr>
        <rFont val="Ubuntu"/>
        <color rgb="FF797B7D"/>
        <sz val="12.0"/>
      </rPr>
      <t>(3-10-0)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</si>
  <si>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</si>
  <si>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</si>
  <si>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b/>
        <color rgb="FF0066CC"/>
        <sz val="12.0"/>
      </rPr>
      <t>HYI Football Team</t>
    </r>
    <r>
      <rPr>
        <rFont val="Ubuntu"/>
        <b/>
        <color rgb="FF797B7D"/>
        <sz val="12.0"/>
      </rPr>
      <t>(4-9-0)</t>
    </r>
  </si>
  <si>
    <r>
      <rPr>
        <rFont val="Ubuntu"/>
        <color rgb="FF0066CC"/>
        <sz val="12.0"/>
      </rPr>
      <t>East Atlanta Savages</t>
    </r>
    <r>
      <rPr>
        <rFont val="Ubuntu"/>
        <color rgb="FF797B7D"/>
        <sz val="12.0"/>
      </rPr>
      <t>(5-8-0)</t>
    </r>
  </si>
  <si>
    <r>
      <rPr>
        <rFont val="Ubuntu"/>
        <color rgb="FF0066CC"/>
        <sz val="12.0"/>
      </rPr>
      <t>Georgia Green</t>
    </r>
    <r>
      <rPr>
        <rFont val="Ubuntu"/>
        <color rgb="FF797B7D"/>
        <sz val="12.0"/>
      </rPr>
      <t>(1-12-0)</t>
    </r>
  </si>
  <si>
    <t>Uncross Your Mutt(203.76 Pts)</t>
  </si>
  <si>
    <t>East Atlanta Savages(116.96 Pts)</t>
  </si>
  <si>
    <r>
      <rPr>
        <rFont val="Ubuntu"/>
        <b/>
        <color rgb="FF0066CC"/>
        <sz val="12.0"/>
      </rPr>
      <t>Bandera Decoupes</t>
    </r>
    <r>
      <rPr>
        <rFont val="Ubuntu"/>
        <b/>
        <color rgb="FF797B7D"/>
        <sz val="12.0"/>
      </rPr>
      <t>(8-5-0)</t>
    </r>
  </si>
  <si>
    <r>
      <rPr>
        <rFont val="Ubuntu"/>
        <color rgb="FF0066CC"/>
        <sz val="12.0"/>
      </rPr>
      <t>West End Popeyes</t>
    </r>
    <r>
      <rPr>
        <rFont val="Ubuntu"/>
        <color rgb="FF797B7D"/>
        <sz val="12.0"/>
      </rPr>
      <t>(11-2-0)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</si>
  <si>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</si>
  <si>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</si>
  <si>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r>
      <rPr>
        <rFont val="Ubuntu"/>
        <color rgb="FF0066CC"/>
        <sz val="12.0"/>
      </rPr>
      <t>West End Popeyes</t>
    </r>
    <r>
      <rPr>
        <rFont val="Ubuntu"/>
        <color rgb="FF797B7D"/>
        <sz val="12.0"/>
      </rPr>
      <t>(8-5-0)</t>
    </r>
  </si>
  <si>
    <r>
      <rPr>
        <rFont val="Ubuntu"/>
        <color rgb="FF0066CC"/>
        <sz val="12.0"/>
      </rPr>
      <t>Georgia Green</t>
    </r>
    <r>
      <rPr>
        <rFont val="Ubuntu"/>
        <color rgb="FF797B7D"/>
        <sz val="12.0"/>
      </rPr>
      <t>(6-7-0)</t>
    </r>
  </si>
  <si>
    <r>
      <rPr>
        <rFont val="Ubuntu"/>
        <color rgb="FF0066CC"/>
        <sz val="12.0"/>
      </rPr>
      <t>Muthafkn Dec MookDawg</t>
    </r>
    <r>
      <rPr>
        <rFont val="Ubuntu"/>
        <color rgb="FF797B7D"/>
        <sz val="12.0"/>
      </rPr>
      <t>(10-3-0)</t>
    </r>
  </si>
  <si>
    <r>
      <rPr>
        <rFont val="Ubuntu"/>
        <color rgb="FF0066CC"/>
        <sz val="12.0"/>
      </rPr>
      <t>Them Decatur Girls</t>
    </r>
    <r>
      <rPr>
        <rFont val="Ubuntu"/>
        <color rgb="FF797B7D"/>
        <sz val="12.0"/>
      </rPr>
      <t>(5-8-0)</t>
    </r>
  </si>
  <si>
    <t>NFL Week 10</t>
  </si>
  <si>
    <r>
      <rPr>
        <rFont val="Ubuntu"/>
        <color rgb="FF0066CC"/>
        <sz val="12.0"/>
      </rPr>
      <t>East Atlanta Savages</t>
    </r>
    <r>
      <rPr>
        <rFont val="Ubuntu"/>
        <color rgb="FF797B7D"/>
        <sz val="12.0"/>
      </rPr>
      <t>(7-6-0)</t>
    </r>
  </si>
  <si>
    <r>
      <rPr>
        <rFont val="Ubuntu"/>
        <b/>
        <color rgb="FF0066CC"/>
        <sz val="12.0"/>
      </rPr>
      <t>Bandera Decoupes</t>
    </r>
    <r>
      <rPr>
        <rFont val="Ubuntu"/>
        <b/>
        <color rgb="FF797B7D"/>
        <sz val="12.0"/>
      </rPr>
      <t>(8-5-0)</t>
    </r>
  </si>
  <si>
    <r>
      <rPr>
        <rFont val="Ubuntu"/>
        <color rgb="FF0066CC"/>
        <sz val="12.0"/>
      </rPr>
      <t>Seth Soldiers</t>
    </r>
    <r>
      <rPr>
        <rFont val="Ubuntu"/>
        <color rgb="FF797B7D"/>
        <sz val="12.0"/>
      </rPr>
      <t>(9-4-0)</t>
    </r>
  </si>
  <si>
    <r>
      <rPr>
        <rFont val="Ubuntu"/>
        <color rgb="FF0066CC"/>
        <sz val="12.0"/>
      </rPr>
      <t>East Atlanta Savages</t>
    </r>
    <r>
      <rPr>
        <rFont val="Ubuntu"/>
        <color rgb="FF797B7D"/>
        <sz val="12.0"/>
      </rPr>
      <t>(5-8-0)</t>
    </r>
  </si>
  <si>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</si>
  <si>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(3-10-0)</t>
    </r>
  </si>
  <si>
    <r>
      <rPr>
        <rFont val="Ubuntu"/>
        <color rgb="FF0066CC"/>
        <sz val="12.0"/>
      </rPr>
      <t>Muthafkn Dec MookDawg</t>
    </r>
    <r>
      <rPr>
        <rFont val="Ubuntu"/>
        <color rgb="FF797B7D"/>
        <sz val="12.0"/>
      </rPr>
      <t>(10-3-0)</t>
    </r>
  </si>
  <si>
    <r>
      <rPr>
        <rFont val="Ubuntu"/>
        <color rgb="FF0066CC"/>
        <sz val="12.0"/>
      </rPr>
      <t>Georgia Green</t>
    </r>
    <r>
      <rPr>
        <rFont val="Ubuntu"/>
        <color rgb="FF797B7D"/>
        <sz val="12.0"/>
      </rPr>
      <t>(1-12-0)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</si>
  <si>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</si>
  <si>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(7-6-0)</t>
    </r>
  </si>
  <si>
    <r>
      <rPr>
        <rFont val="Ubuntu"/>
        <color rgb="FF0066CC"/>
        <sz val="12.0"/>
      </rPr>
      <t>West End Popeyes</t>
    </r>
    <r>
      <rPr>
        <rFont val="Ubuntu"/>
        <color rgb="FF797B7D"/>
        <sz val="12.0"/>
      </rPr>
      <t>(11-2-0)</t>
    </r>
  </si>
  <si>
    <t>HYI Football Team(81.35 Pts)</t>
  </si>
  <si>
    <r>
      <rPr>
        <rFont val="Ubuntu"/>
        <color rgb="FF0066CC"/>
        <sz val="12.0"/>
      </rPr>
      <t>Them Decatur Girls</t>
    </r>
    <r>
      <rPr>
        <rFont val="Ubuntu"/>
        <color rgb="FF797B7D"/>
        <sz val="12.0"/>
      </rPr>
      <t>(5-8-0)</t>
    </r>
  </si>
  <si>
    <t>Top 20 Greatest Regular Season Games of all time - PVE FFL</t>
  </si>
  <si>
    <t>Down South Champs(127.7 Pts)</t>
  </si>
  <si>
    <r>
      <rPr>
        <rFont val="Ubuntu"/>
        <b/>
        <color rgb="FF0066CC"/>
        <sz val="12.0"/>
      </rPr>
      <t>Bandera Decoupes</t>
    </r>
    <r>
      <rPr>
        <rFont val="Ubuntu"/>
        <b/>
        <color rgb="FF797B7D"/>
        <sz val="12.0"/>
      </rPr>
      <t>(8-5-0)</t>
    </r>
  </si>
  <si>
    <r>
      <rPr>
        <rFont val="Ubuntu"/>
        <color rgb="FF0066CC"/>
        <sz val="12.0"/>
      </rPr>
      <t>Cumgetsum Yardies</t>
    </r>
    <r>
      <rPr>
        <rFont val="Ubuntu"/>
        <color rgb="FF797B7D"/>
        <sz val="12.0"/>
      </rPr>
      <t>(4-9-0)</t>
    </r>
  </si>
  <si>
    <t>NFL Week 11</t>
  </si>
  <si>
    <r>
      <rPr>
        <rFont val="Ubuntu"/>
        <color rgb="FF0066CC"/>
        <sz val="12.0"/>
      </rPr>
      <t>West End Popeyes</t>
    </r>
    <r>
      <rPr>
        <rFont val="Ubuntu"/>
        <color rgb="FF797B7D"/>
        <sz val="12.0"/>
      </rPr>
      <t>(8-5-0)</t>
    </r>
  </si>
  <si>
    <r>
      <rPr>
        <rFont val="Ubuntu"/>
        <color rgb="FF0066CC"/>
        <sz val="12.0"/>
      </rPr>
      <t>Down South Champs</t>
    </r>
    <r>
      <rPr>
        <rFont val="Ubuntu"/>
        <color rgb="FF797B7D"/>
        <sz val="12.0"/>
      </rPr>
      <t>(5-8-0)</t>
    </r>
  </si>
  <si>
    <r>
      <rPr>
        <rFont val="Ubuntu"/>
        <color rgb="FF0066CC"/>
        <sz val="12.0"/>
      </rPr>
      <t>East Atlanta Savages</t>
    </r>
    <r>
      <rPr>
        <rFont val="Ubuntu"/>
        <color rgb="FF797B7D"/>
        <sz val="12.0"/>
      </rPr>
      <t>(5-8-0)</t>
    </r>
  </si>
  <si>
    <r>
      <rPr>
        <rFont val="Ubuntu"/>
        <color rgb="FF0066CC"/>
        <sz val="12.0"/>
      </rPr>
      <t>West End Popeyes</t>
    </r>
    <r>
      <rPr>
        <rFont val="Ubuntu"/>
        <color rgb="FF797B7D"/>
        <sz val="12.0"/>
      </rPr>
      <t>(11-2-0)</t>
    </r>
  </si>
  <si>
    <r>
      <rPr>
        <rFont val="Ubuntu"/>
        <color rgb="FF0066CC"/>
        <sz val="12.0"/>
      </rPr>
      <t>East Atlanta Savages</t>
    </r>
    <r>
      <rPr>
        <rFont val="Ubuntu"/>
        <color rgb="FF797B7D"/>
        <sz val="12.0"/>
      </rPr>
      <t>(7-6-0)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</si>
  <si>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</si>
  <si>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</si>
  <si>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(1-12-0)</t>
    </r>
  </si>
  <si>
    <r>
      <rPr>
        <rFont val="Ubuntu"/>
        <b/>
        <color rgb="FF0066CC"/>
        <sz val="12.0"/>
      </rPr>
      <t>HYI Football Team</t>
    </r>
    <r>
      <rPr>
        <rFont val="Ubuntu"/>
        <b/>
        <color rgb="FF797B7D"/>
        <sz val="12.0"/>
      </rPr>
      <t>(4-9-0)</t>
    </r>
  </si>
  <si>
    <r>
      <rPr>
        <rFont val="Ubuntu"/>
        <color rgb="FF0066CC"/>
        <sz val="12.0"/>
      </rPr>
      <t>Muthafkn Dec MookDawg</t>
    </r>
    <r>
      <rPr>
        <rFont val="Ubuntu"/>
        <color rgb="FF797B7D"/>
        <sz val="12.0"/>
      </rPr>
      <t>(3-10-0)</t>
    </r>
  </si>
  <si>
    <r>
      <rPr>
        <rFont val="Ubuntu"/>
        <color rgb="FF0066CC"/>
        <sz val="12.0"/>
      </rPr>
      <t>Muthafkn Dec MookDawg</t>
    </r>
    <r>
      <rPr>
        <rFont val="Ubuntu"/>
        <color rgb="FF797B7D"/>
        <sz val="12.0"/>
      </rPr>
      <t>(10-3-0)</t>
    </r>
  </si>
  <si>
    <r>
      <rPr>
        <rFont val="Ubuntu"/>
        <color rgb="FF0066CC"/>
        <sz val="12.0"/>
      </rPr>
      <t>Them Decatur Girls</t>
    </r>
    <r>
      <rPr>
        <rFont val="Ubuntu"/>
        <color rgb="FF797B7D"/>
        <sz val="12.0"/>
      </rPr>
      <t>(5-8-0)</t>
    </r>
  </si>
  <si>
    <r>
      <rPr>
        <rFont val="Ubuntu"/>
        <color rgb="FF0066CC"/>
        <sz val="12.0"/>
      </rPr>
      <t>Seth Soldiers</t>
    </r>
    <r>
      <rPr>
        <rFont val="Ubuntu"/>
        <color rgb="FF797B7D"/>
        <sz val="12.0"/>
      </rPr>
      <t>(9-4-0)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</si>
  <si>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</si>
  <si>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</si>
  <si>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r>
      <rPr>
        <rFont val="Ubuntu"/>
        <color rgb="FF0066CC"/>
        <sz val="12.0"/>
      </rPr>
      <t>Uncross Your Mutt</t>
    </r>
    <r>
      <rPr>
        <rFont val="Ubuntu"/>
        <color rgb="FF797B7D"/>
        <sz val="12.0"/>
      </rPr>
      <t>(8-5-0)</t>
    </r>
  </si>
  <si>
    <t>NFL Week 12</t>
  </si>
  <si>
    <t>Cumgetsum Yardies(109.64 Pts)</t>
  </si>
  <si>
    <r>
      <rPr>
        <rFont val="Ubuntu"/>
        <color rgb="FF0066CC"/>
        <sz val="12.0"/>
      </rPr>
      <t>Georgia Green</t>
    </r>
    <r>
      <rPr>
        <rFont val="Ubuntu"/>
        <color rgb="FF797B7D"/>
        <sz val="12.0"/>
      </rPr>
      <t>(1-12-0)</t>
    </r>
  </si>
  <si>
    <r>
      <rPr>
        <rFont val="Ubuntu"/>
        <color rgb="FF0066CC"/>
        <sz val="12.0"/>
      </rPr>
      <t>East Atlanta Savages</t>
    </r>
    <r>
      <rPr>
        <rFont val="Ubuntu"/>
        <color rgb="FF797B7D"/>
        <sz val="12.0"/>
      </rPr>
      <t>(5-8-0)</t>
    </r>
  </si>
  <si>
    <t>Bandera Decoupes(127.76 Pts)</t>
  </si>
  <si>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</si>
  <si>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</si>
  <si>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</si>
  <si>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(10-3-0)</t>
    </r>
  </si>
  <si>
    <r>
      <rPr>
        <rFont val="Ubuntu"/>
        <color rgb="FF0066CC"/>
        <sz val="12.0"/>
      </rPr>
      <t>East Atlanta Savages</t>
    </r>
    <r>
      <rPr>
        <rFont val="Ubuntu"/>
        <color rgb="FF797B7D"/>
        <sz val="12.0"/>
      </rPr>
      <t>(7-6-0)</t>
    </r>
  </si>
  <si>
    <r>
      <rPr>
        <rFont val="Ubuntu"/>
        <color rgb="FF0066CC"/>
        <sz val="12.0"/>
      </rPr>
      <t>Down South Champs</t>
    </r>
    <r>
      <rPr>
        <rFont val="Ubuntu"/>
        <color rgb="FF797B7D"/>
        <sz val="12.0"/>
      </rPr>
      <t>(5-8-0)</t>
    </r>
  </si>
  <si>
    <r>
      <rPr>
        <rFont val="Ubuntu"/>
        <b/>
        <color rgb="FF0066CC"/>
        <sz val="12.0"/>
      </rPr>
      <t>Bandera Decoupes</t>
    </r>
    <r>
      <rPr>
        <rFont val="Ubuntu"/>
        <b/>
        <color rgb="FF797B7D"/>
        <sz val="12.0"/>
      </rPr>
      <t>(8-5-0)</t>
    </r>
  </si>
  <si>
    <r>
      <rPr>
        <rFont val="Ubuntu"/>
        <color rgb="FF0066CC"/>
        <sz val="12.0"/>
      </rPr>
      <t>West End Popeyes</t>
    </r>
    <r>
      <rPr>
        <rFont val="Ubuntu"/>
        <color rgb="FF797B7D"/>
        <sz val="12.0"/>
      </rPr>
      <t>(11-2-0)</t>
    </r>
  </si>
  <si>
    <t>NFL Week 13</t>
  </si>
  <si>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</si>
  <si>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</si>
  <si>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(4-9-0)</t>
    </r>
  </si>
  <si>
    <r>
      <rPr>
        <rFont val="Ubuntu"/>
        <color rgb="FF0066CC"/>
        <sz val="12.0"/>
      </rPr>
      <t>Them Decatur Girls</t>
    </r>
    <r>
      <rPr>
        <rFont val="Ubuntu"/>
        <color rgb="FF797B7D"/>
        <sz val="12.0"/>
      </rPr>
      <t>(5-8-0)</t>
    </r>
  </si>
  <si>
    <r>
      <rPr>
        <rFont val="Ubuntu"/>
        <b/>
        <color rgb="FF0066CC"/>
        <sz val="12.0"/>
      </rPr>
      <t>HYI Football Team</t>
    </r>
    <r>
      <rPr>
        <rFont val="Ubuntu"/>
        <b/>
        <color rgb="FF797B7D"/>
        <sz val="12.0"/>
      </rPr>
      <t>(4-9-0)</t>
    </r>
  </si>
  <si>
    <r>
      <rPr>
        <rFont val="Ubuntu"/>
        <color rgb="FF0066CC"/>
        <sz val="12.0"/>
      </rPr>
      <t>Uncross Your Mutt</t>
    </r>
    <r>
      <rPr>
        <rFont val="Ubuntu"/>
        <color rgb="FF797B7D"/>
        <sz val="12.0"/>
      </rPr>
      <t>(8-5-0)</t>
    </r>
  </si>
  <si>
    <r>
      <rPr>
        <rFont val="Ubuntu"/>
        <b/>
        <color rgb="FF0066CC"/>
        <sz val="12.0"/>
      </rPr>
      <t>Bandera Decoupes</t>
    </r>
    <r>
      <rPr>
        <rFont val="Ubuntu"/>
        <b/>
        <color rgb="FF797B7D"/>
        <sz val="12.0"/>
      </rPr>
      <t>(8-5-0)</t>
    </r>
  </si>
  <si>
    <r>
      <rPr>
        <rFont val="Ubuntu"/>
        <color rgb="FF0066CC"/>
        <sz val="12.0"/>
      </rPr>
      <t>East Atlanta Savages</t>
    </r>
    <r>
      <rPr>
        <rFont val="Ubuntu"/>
        <color rgb="FF797B7D"/>
        <sz val="12.0"/>
      </rPr>
      <t>(5-8-0)</t>
    </r>
  </si>
  <si>
    <r>
      <rPr>
        <rFont val="Ubuntu"/>
        <color rgb="FF0066CC"/>
        <sz val="12.0"/>
      </rPr>
      <t>Muthafkn Dec MookDawg</t>
    </r>
    <r>
      <rPr>
        <rFont val="Ubuntu"/>
        <color rgb="FF797B7D"/>
        <sz val="12.0"/>
      </rPr>
      <t>(10-3-0)</t>
    </r>
  </si>
  <si>
    <r>
      <rPr>
        <rFont val="Ubuntu"/>
        <color rgb="FF0066CC"/>
        <sz val="12.0"/>
      </rPr>
      <t>Uncross Your Mutt</t>
    </r>
    <r>
      <rPr>
        <rFont val="Ubuntu"/>
        <color rgb="FF797B7D"/>
        <sz val="12.0"/>
      </rPr>
      <t>(8-5-0)</t>
    </r>
  </si>
  <si>
    <r>
      <rPr>
        <rFont val="Ubuntu"/>
        <color rgb="FF0066CC"/>
        <sz val="12.0"/>
      </rPr>
      <t>Seth Soldiers</t>
    </r>
    <r>
      <rPr>
        <rFont val="Ubuntu"/>
        <color rgb="FF797B7D"/>
        <sz val="12.0"/>
      </rPr>
      <t>(9-4-0)</t>
    </r>
  </si>
  <si>
    <r>
      <rPr>
        <rFont val="Ubuntu"/>
        <color rgb="FF0066CC"/>
        <sz val="12.0"/>
      </rPr>
      <t>Cumgetsum Yardies</t>
    </r>
    <r>
      <rPr>
        <rFont val="Ubuntu"/>
        <color rgb="FF797B7D"/>
        <sz val="12.0"/>
      </rPr>
      <t>(7-6-0)</t>
    </r>
  </si>
  <si>
    <t>West End Popeyes(148.59 Pts)</t>
  </si>
  <si>
    <r>
      <rPr>
        <rFont val="Ubuntu"/>
        <color rgb="FF0066CC"/>
        <sz val="12.0"/>
      </rPr>
      <t>Georgia Green</t>
    </r>
    <r>
      <rPr>
        <rFont val="Ubuntu"/>
        <color rgb="FF797B7D"/>
        <sz val="12.0"/>
      </rPr>
      <t>(1-12-0)</t>
    </r>
  </si>
  <si>
    <r>
      <rPr>
        <rFont val="Ubuntu"/>
        <color rgb="FF0066CC"/>
        <sz val="12.0"/>
      </rPr>
      <t>West End Popeyes</t>
    </r>
    <r>
      <rPr>
        <rFont val="Ubuntu"/>
        <color rgb="FF797B7D"/>
        <sz val="12.0"/>
      </rPr>
      <t>(11-2-0)</t>
    </r>
  </si>
  <si>
    <t>Muthafkn Dec MookDawg(82.36 Pts)</t>
  </si>
  <si>
    <t>Playoff Round 1 (NFL Week 14)</t>
  </si>
  <si>
    <r>
      <rPr>
        <rFont val="Ubuntu"/>
        <b/>
        <color rgb="FF0066CC"/>
        <sz val="12.0"/>
      </rPr>
      <t>HYI Football Team</t>
    </r>
    <r>
      <rPr>
        <rFont val="Ubuntu"/>
        <b/>
        <color rgb="FF797B7D"/>
        <sz val="12.0"/>
      </rPr>
      <t>(4-9-0)</t>
    </r>
  </si>
  <si>
    <r>
      <rPr>
        <rFont val="Ubuntu"/>
        <color rgb="FF0066CC"/>
        <sz val="12.0"/>
      </rPr>
      <t>East Atlanta Savages</t>
    </r>
    <r>
      <rPr>
        <rFont val="Ubuntu"/>
        <color rgb="FF797B7D"/>
        <sz val="12.0"/>
      </rPr>
      <t>(5-8-0)</t>
    </r>
  </si>
  <si>
    <r>
      <rPr>
        <rFont val="Ubuntu"/>
        <b/>
        <color rgb="FF0066CC"/>
        <sz val="12.0"/>
      </rPr>
      <t>Bandera Decoupes</t>
    </r>
    <r>
      <rPr>
        <rFont val="Ubuntu"/>
        <b/>
        <color rgb="FF797B7D"/>
        <sz val="12.0"/>
      </rPr>
      <t>(8-5-0)</t>
    </r>
  </si>
  <si>
    <r>
      <rPr>
        <rFont val="Ubuntu"/>
        <color rgb="FF0066CC"/>
        <sz val="12.0"/>
      </rPr>
      <t>West End Popeyes</t>
    </r>
    <r>
      <rPr>
        <rFont val="Ubuntu"/>
        <color rgb="FF797B7D"/>
        <sz val="12.0"/>
      </rPr>
      <t>(8-5-0)</t>
    </r>
  </si>
  <si>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</si>
  <si>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</si>
  <si>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t>PVE FFL Playoff Total</t>
  </si>
  <si>
    <r>
      <rPr>
        <rFont val="Ubuntu"/>
        <color rgb="FF0066CC"/>
        <sz val="12.0"/>
      </rPr>
      <t>East Atlanta Savages</t>
    </r>
    <r>
      <rPr>
        <rFont val="Ubuntu"/>
        <color rgb="FF797B7D"/>
        <sz val="12.0"/>
      </rPr>
      <t>(7-6-0)</t>
    </r>
  </si>
  <si>
    <r>
      <rPr>
        <rFont val="Ubuntu"/>
        <color rgb="FF0066CC"/>
        <sz val="12.0"/>
      </rPr>
      <t>Muthafkn Dec MookDawg</t>
    </r>
    <r>
      <rPr>
        <rFont val="Ubuntu"/>
        <color rgb="FF797B7D"/>
        <sz val="12.0"/>
      </rPr>
      <t>(3-10-0)</t>
    </r>
  </si>
  <si>
    <r>
      <rPr>
        <rFont val="Ubuntu"/>
        <color rgb="FF0066CC"/>
        <sz val="12.0"/>
      </rPr>
      <t>Georgia Green</t>
    </r>
    <r>
      <rPr>
        <rFont val="Ubuntu"/>
        <color rgb="FF797B7D"/>
        <sz val="12.0"/>
      </rPr>
      <t>(1-12-0)</t>
    </r>
  </si>
  <si>
    <r>
      <rPr>
        <rFont val="Ubuntu"/>
        <color rgb="FF0066CC"/>
        <sz val="12.0"/>
      </rPr>
      <t>Cumgetsum Yardies</t>
    </r>
    <r>
      <rPr>
        <rFont val="Ubuntu"/>
        <color rgb="FF797B7D"/>
        <sz val="12.0"/>
      </rPr>
      <t>(4-9-0)</t>
    </r>
  </si>
  <si>
    <t>West End Popeyes(252.61 Pts)</t>
  </si>
  <si>
    <r>
      <rPr>
        <rFont val="Ubuntu"/>
        <b/>
        <color rgb="FF0066CC"/>
        <sz val="12.0"/>
      </rPr>
      <t>Bandera Decoupes</t>
    </r>
    <r>
      <rPr>
        <rFont val="Ubuntu"/>
        <b/>
        <color rgb="FF797B7D"/>
        <sz val="12.0"/>
      </rPr>
      <t>(8-5-0)</t>
    </r>
  </si>
  <si>
    <t>Muthafkn Dec MookDawg(115.97 Pts)</t>
  </si>
  <si>
    <r>
      <rPr>
        <rFont val="Ubuntu"/>
        <color rgb="FF0066CC"/>
        <sz val="12.0"/>
      </rPr>
      <t>Uncross Your Mutt</t>
    </r>
    <r>
      <rPr>
        <rFont val="Ubuntu"/>
        <color rgb="FF797B7D"/>
        <sz val="12.0"/>
      </rPr>
      <t>(8-5-0)</t>
    </r>
  </si>
  <si>
    <t>Playoff Round 2 (NFL Week 15)</t>
  </si>
  <si>
    <r>
      <rPr>
        <rFont val="Ubuntu"/>
        <color rgb="FF0066CC"/>
        <sz val="12.0"/>
      </rPr>
      <t>Georgia Green</t>
    </r>
    <r>
      <rPr>
        <rFont val="Ubuntu"/>
        <color rgb="FF797B7D"/>
        <sz val="12.0"/>
      </rPr>
      <t>(6-7-0)</t>
    </r>
  </si>
  <si>
    <r>
      <rPr>
        <rFont val="Ubuntu"/>
        <color rgb="FF0066CC"/>
        <sz val="12.0"/>
      </rPr>
      <t>Cumgetsum Yardies</t>
    </r>
    <r>
      <rPr>
        <rFont val="Ubuntu"/>
        <color rgb="FF797B7D"/>
        <sz val="12.0"/>
      </rPr>
      <t>(7-6-0)</t>
    </r>
  </si>
  <si>
    <r>
      <rPr>
        <rFont val="Ubuntu"/>
        <color rgb="FF0066CC"/>
        <sz val="12.0"/>
      </rPr>
      <t>East Atlanta Savages</t>
    </r>
    <r>
      <rPr>
        <rFont val="Ubuntu"/>
        <color rgb="FF797B7D"/>
        <sz val="12.0"/>
      </rPr>
      <t>(5-8-0)</t>
    </r>
  </si>
  <si>
    <r>
      <rPr>
        <rFont val="Ubuntu"/>
        <color rgb="FF0066CC"/>
        <sz val="12.0"/>
      </rPr>
      <t>West End Popeyes</t>
    </r>
    <r>
      <rPr>
        <rFont val="Ubuntu"/>
        <color rgb="FF797B7D"/>
        <sz val="12.0"/>
      </rPr>
      <t>(11-2-0)</t>
    </r>
  </si>
  <si>
    <r>
      <rPr>
        <rFont val="Ubuntu"/>
        <color rgb="FF0066CC"/>
        <sz val="12.0"/>
      </rPr>
      <t>Seth Soldiers</t>
    </r>
    <r>
      <rPr>
        <rFont val="Ubuntu"/>
        <color rgb="FF797B7D"/>
        <sz val="12.0"/>
      </rPr>
      <t>(9-4-0)</t>
    </r>
  </si>
  <si>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</si>
  <si>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(10-3-0)</t>
    </r>
  </si>
  <si>
    <r>
      <rPr>
        <rFont val="Ubuntu"/>
        <color rgb="FF0066CC"/>
        <sz val="12.0"/>
      </rPr>
      <t>Down South Champs</t>
    </r>
    <r>
      <rPr>
        <rFont val="Ubuntu"/>
        <color rgb="FF797B7D"/>
        <sz val="12.0"/>
      </rPr>
      <t>(5-8-0)</t>
    </r>
  </si>
  <si>
    <r>
      <rPr>
        <rFont val="Ubuntu"/>
        <color rgb="FF0066CC"/>
        <sz val="12.0"/>
      </rPr>
      <t>Them Decatur Girls</t>
    </r>
    <r>
      <rPr>
        <rFont val="Ubuntu"/>
        <color rgb="FF797B7D"/>
        <sz val="12.0"/>
      </rPr>
      <t>(5-8-0)</t>
    </r>
  </si>
  <si>
    <r>
      <rPr>
        <rFont val="Ubuntu"/>
        <b/>
        <color rgb="FF0066CC"/>
        <sz val="12.0"/>
      </rPr>
      <t>Bandera Decoupes</t>
    </r>
    <r>
      <rPr>
        <rFont val="Ubuntu"/>
        <b/>
        <color rgb="FF797B7D"/>
        <sz val="12.0"/>
      </rPr>
      <t>(8-5-0)</t>
    </r>
  </si>
  <si>
    <t>PO Win % Rank</t>
  </si>
  <si>
    <t>Total PO Appearance</t>
  </si>
  <si>
    <t>TPA Rank</t>
  </si>
  <si>
    <t>Total Games</t>
  </si>
  <si>
    <t>TG Rank</t>
  </si>
  <si>
    <t>Fantasy Bowl Wins</t>
  </si>
  <si>
    <t>Fantasy Bowl APP</t>
  </si>
  <si>
    <t>Divisional Champ APP</t>
  </si>
  <si>
    <t>Legacy Score</t>
  </si>
  <si>
    <t>Legacy RANK</t>
  </si>
  <si>
    <t>Legacy RANK by Div</t>
  </si>
  <si>
    <r>
      <rPr>
        <rFont val="Ubuntu"/>
        <color rgb="FF0066CC"/>
        <sz val="12.0"/>
      </rPr>
      <t>Georgia Green</t>
    </r>
    <r>
      <rPr>
        <rFont val="Ubuntu"/>
        <color rgb="FF797B7D"/>
        <sz val="12.0"/>
      </rPr>
      <t>(1-12-0)</t>
    </r>
  </si>
  <si>
    <r>
      <rPr>
        <rFont val="Ubuntu"/>
        <color rgb="FF0066CC"/>
        <sz val="12.0"/>
      </rPr>
      <t>Cumgetsum Yardies</t>
    </r>
    <r>
      <rPr>
        <rFont val="Ubuntu"/>
        <color rgb="FF797B7D"/>
        <sz val="12.0"/>
      </rPr>
      <t>(4-9-0)</t>
    </r>
  </si>
  <si>
    <r>
      <rPr>
        <rFont val="Ubuntu"/>
        <color rgb="FF0066CC"/>
        <sz val="12.0"/>
      </rPr>
      <t>West End Popeyes</t>
    </r>
    <r>
      <rPr>
        <rFont val="Ubuntu"/>
        <color rgb="FF797B7D"/>
        <sz val="12.0"/>
      </rPr>
      <t>(8-5-0)</t>
    </r>
  </si>
  <si>
    <t>Playoff Round 3 (NFL Week 16)</t>
  </si>
  <si>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</si>
  <si>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(10-3-0)</t>
    </r>
  </si>
  <si>
    <r>
      <rPr>
        <rFont val="Ubuntu"/>
        <color rgb="FF0066CC"/>
        <sz val="12.0"/>
      </rPr>
      <t>West End Popeyes</t>
    </r>
    <r>
      <rPr>
        <rFont val="Ubuntu"/>
        <color rgb="FF797B7D"/>
        <sz val="12.0"/>
      </rPr>
      <t>(11-2-0)</t>
    </r>
  </si>
  <si>
    <r>
      <rPr>
        <rFont val="Ubuntu"/>
        <color rgb="FF0066CC"/>
        <sz val="12.0"/>
      </rPr>
      <t>East Atlanta Savages</t>
    </r>
    <r>
      <rPr>
        <rFont val="Ubuntu"/>
        <color rgb="FF797B7D"/>
        <sz val="12.0"/>
      </rPr>
      <t>(7-6-0)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</si>
  <si>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</si>
  <si>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</si>
  <si>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color rgb="FF0066CC"/>
        <sz val="12.0"/>
      </rPr>
      <t>East Atlanta Savages</t>
    </r>
    <r>
      <rPr>
        <rFont val="Ubuntu"/>
        <color rgb="FF797B7D"/>
        <sz val="12.0"/>
      </rPr>
      <t>(5-8-0)</t>
    </r>
  </si>
  <si>
    <r>
      <rPr>
        <rFont val="Ubuntu"/>
        <b/>
        <color rgb="FF0066CC"/>
        <sz val="12.0"/>
      </rPr>
      <t>Bandera Decoupes</t>
    </r>
    <r>
      <rPr>
        <rFont val="Ubuntu"/>
        <b/>
        <color rgb="FF797B7D"/>
        <sz val="12.0"/>
      </rPr>
      <t>(8-5-0)</t>
    </r>
  </si>
  <si>
    <r>
      <rPr>
        <rFont val="Ubuntu"/>
        <color rgb="FF0066CC"/>
        <sz val="12.0"/>
      </rPr>
      <t>Uncross Your Mutt</t>
    </r>
    <r>
      <rPr>
        <rFont val="Ubuntu"/>
        <color rgb="FF797B7D"/>
        <sz val="12.0"/>
      </rPr>
      <t>(8-5-0)</t>
    </r>
  </si>
  <si>
    <r>
      <rPr>
        <rFont val="Ubuntu"/>
        <b/>
        <color rgb="FF0066CC"/>
        <sz val="12.0"/>
      </rPr>
      <t>HYI Football Team</t>
    </r>
    <r>
      <rPr>
        <rFont val="Ubuntu"/>
        <b/>
        <color rgb="FF797B7D"/>
        <sz val="12.0"/>
      </rPr>
      <t>(4-9-0)</t>
    </r>
  </si>
  <si>
    <r>
      <rPr>
        <rFont val="Ubuntu"/>
        <color rgb="FF0066CC"/>
        <sz val="12.0"/>
      </rPr>
      <t>Them Decatur Girls</t>
    </r>
    <r>
      <rPr>
        <rFont val="Ubuntu"/>
        <color rgb="FF797B7D"/>
        <sz val="12.0"/>
      </rPr>
      <t>(5-8-0)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</si>
  <si>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</si>
  <si>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</si>
  <si>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color rgb="FF0066CC"/>
        <sz val="12.0"/>
      </rPr>
      <t>Georgia Green</t>
    </r>
    <r>
      <rPr>
        <rFont val="Ubuntu"/>
        <color rgb="FF797B7D"/>
        <sz val="12.0"/>
      </rPr>
      <t>(1-12-0)</t>
    </r>
  </si>
  <si>
    <r>
      <rPr>
        <rFont val="Ubuntu"/>
        <color rgb="FF0066CC"/>
        <sz val="12.0"/>
      </rPr>
      <t>Down South Champs</t>
    </r>
    <r>
      <rPr>
        <rFont val="Ubuntu"/>
        <color rgb="FF797B7D"/>
        <sz val="12.0"/>
      </rPr>
      <t>(5-8-0)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</si>
  <si>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</si>
  <si>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(3-10-0)</t>
    </r>
  </si>
  <si>
    <r>
      <rPr>
        <rFont val="Ubuntu"/>
        <color rgb="FF0066CC"/>
        <sz val="12.0"/>
      </rPr>
      <t>West End Popeyes</t>
    </r>
    <r>
      <rPr>
        <rFont val="Ubuntu"/>
        <color rgb="FF797B7D"/>
        <sz val="12.0"/>
      </rPr>
      <t>(8-5-0)</t>
    </r>
  </si>
  <si>
    <r>
      <rPr>
        <rFont val="Ubuntu"/>
        <color rgb="FF0066CC"/>
        <sz val="12.0"/>
      </rPr>
      <t>Down South Champs</t>
    </r>
    <r>
      <rPr>
        <rFont val="Ubuntu"/>
        <color rgb="FF797B7D"/>
        <sz val="12.0"/>
      </rPr>
      <t>(5-8-0)</t>
    </r>
  </si>
  <si>
    <r>
      <rPr>
        <rFont val="Ubuntu"/>
        <color rgb="FF0066CC"/>
        <sz val="12.0"/>
      </rPr>
      <t>East Atlanta Savages</t>
    </r>
    <r>
      <rPr>
        <rFont val="Ubuntu"/>
        <color rgb="FF797B7D"/>
        <sz val="12.0"/>
      </rPr>
      <t>(7-6-0)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</si>
  <si>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</si>
  <si>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(8-5-0)</t>
    </r>
  </si>
  <si>
    <r>
      <rPr>
        <rFont val="Ubuntu"/>
        <color rgb="FF0066CC"/>
        <sz val="12.0"/>
      </rPr>
      <t>Cumgetsum Yardies</t>
    </r>
    <r>
      <rPr>
        <rFont val="Ubuntu"/>
        <color rgb="FF797B7D"/>
        <sz val="12.0"/>
      </rPr>
      <t>(7-6-0)</t>
    </r>
  </si>
  <si>
    <r>
      <rPr>
        <rFont val="Ubuntu"/>
        <b/>
        <color rgb="FF0066CC"/>
        <sz val="12.0"/>
      </rPr>
      <t>HYI Football Team</t>
    </r>
    <r>
      <rPr>
        <rFont val="Ubuntu"/>
        <b/>
        <color rgb="FF797B7D"/>
        <sz val="12.0"/>
      </rPr>
      <t>(4-9-0)</t>
    </r>
  </si>
  <si>
    <r>
      <rPr>
        <rFont val="Ubuntu"/>
        <color rgb="FF0066CC"/>
        <sz val="12.0"/>
      </rPr>
      <t>Muthafkn Dec MookDawg</t>
    </r>
    <r>
      <rPr>
        <rFont val="Ubuntu"/>
        <color rgb="FF797B7D"/>
        <sz val="12.0"/>
      </rPr>
      <t>(3-10-0)</t>
    </r>
  </si>
  <si>
    <r>
      <rPr>
        <rFont val="Ubuntu"/>
        <color rgb="FF0066CC"/>
        <sz val="12.0"/>
      </rPr>
      <t>Seth Soldiers</t>
    </r>
    <r>
      <rPr>
        <rFont val="Ubuntu"/>
        <color rgb="FF797B7D"/>
        <sz val="12.0"/>
      </rPr>
      <t>(9-4-0)</t>
    </r>
  </si>
  <si>
    <r>
      <rPr>
        <rFont val="Ubuntu"/>
        <color rgb="FF0066CC"/>
        <sz val="12.0"/>
      </rPr>
      <t>Uncross Your Mutt</t>
    </r>
    <r>
      <rPr>
        <rFont val="Ubuntu"/>
        <color rgb="FF797B7D"/>
        <sz val="12.0"/>
      </rPr>
      <t>(8-5-0)</t>
    </r>
  </si>
  <si>
    <r>
      <rPr>
        <rFont val="Ubuntu"/>
        <color rgb="FF0066CC"/>
        <sz val="12.0"/>
      </rPr>
      <t>West End Popeyes</t>
    </r>
    <r>
      <rPr>
        <rFont val="Ubuntu"/>
        <color rgb="FF797B7D"/>
        <sz val="12.0"/>
      </rPr>
      <t>(8-5-0)</t>
    </r>
  </si>
  <si>
    <r>
      <rPr>
        <rFont val="Ubuntu"/>
        <color rgb="FF0066CC"/>
        <sz val="12.0"/>
      </rPr>
      <t>East Atlanta Savages</t>
    </r>
    <r>
      <rPr>
        <rFont val="Ubuntu"/>
        <color rgb="FF797B7D"/>
        <sz val="12.0"/>
      </rPr>
      <t>(7-6-0)</t>
    </r>
  </si>
  <si>
    <t>Game 5</t>
  </si>
  <si>
    <r>
      <rPr>
        <rFont val="Ubuntu"/>
        <b/>
        <color rgb="FF0066CC"/>
        <sz val="12.0"/>
      </rPr>
      <t>Bandera Decoupes</t>
    </r>
    <r>
      <rPr>
        <rFont val="Ubuntu"/>
        <b/>
        <color rgb="FF797B7D"/>
        <sz val="12.0"/>
      </rPr>
      <t>(8-5-0)</t>
    </r>
  </si>
  <si>
    <r>
      <rPr>
        <rFont val="Ubuntu"/>
        <color rgb="FF0066CC"/>
        <sz val="12.0"/>
      </rPr>
      <t>Down South Champs</t>
    </r>
    <r>
      <rPr>
        <rFont val="Ubuntu"/>
        <color rgb="FF797B7D"/>
        <sz val="12.0"/>
      </rPr>
      <t>(5-8-0)</t>
    </r>
  </si>
  <si>
    <r>
      <rPr>
        <rFont val="Ubuntu"/>
        <color rgb="FF0066CC"/>
        <sz val="12.0"/>
      </rPr>
      <t>Seth Soldiers</t>
    </r>
    <r>
      <rPr>
        <rFont val="Ubuntu"/>
        <color rgb="FF797B7D"/>
        <sz val="12.0"/>
      </rPr>
      <t>(9-4-0)</t>
    </r>
  </si>
  <si>
    <r>
      <rPr>
        <rFont val="Ubuntu"/>
        <color rgb="FF0066CC"/>
        <sz val="12.0"/>
      </rPr>
      <t>Georgia Green</t>
    </r>
    <r>
      <rPr>
        <rFont val="Ubuntu"/>
        <color rgb="FF797B7D"/>
        <sz val="12.0"/>
      </rPr>
      <t>(6-7-0)</t>
    </r>
  </si>
  <si>
    <t>Divisional/league Stats</t>
  </si>
  <si>
    <r>
      <rPr>
        <rFont val="Ubuntu"/>
        <color rgb="FF0066CC"/>
        <sz val="12.0"/>
      </rPr>
      <t>Muthafkn Dec MookDawg</t>
    </r>
    <r>
      <rPr>
        <rFont val="Ubuntu"/>
        <color rgb="FF797B7D"/>
        <sz val="12.0"/>
      </rPr>
      <t>(3-10-0)</t>
    </r>
  </si>
  <si>
    <r>
      <rPr>
        <rFont val="Ubuntu"/>
        <color rgb="FF0066CC"/>
        <sz val="12.0"/>
      </rPr>
      <t>Uncross Your Mutt</t>
    </r>
    <r>
      <rPr>
        <rFont val="Ubuntu"/>
        <color rgb="FF797B7D"/>
        <sz val="12.0"/>
      </rPr>
      <t>(8-5-0)</t>
    </r>
  </si>
  <si>
    <t>Rankings</t>
  </si>
  <si>
    <r>
      <rPr>
        <rFont val="Ubuntu"/>
        <b/>
        <color rgb="FF0066CC"/>
        <sz val="12.0"/>
      </rPr>
      <t>HYI Football Team</t>
    </r>
    <r>
      <rPr>
        <rFont val="Ubuntu"/>
        <b/>
        <color rgb="FF797B7D"/>
        <sz val="12.0"/>
      </rPr>
      <t>(4-9-0)</t>
    </r>
  </si>
  <si>
    <r>
      <rPr>
        <rFont val="Ubuntu"/>
        <color rgb="FF0066CC"/>
        <sz val="12.0"/>
      </rPr>
      <t>Cumgetsum Yardies</t>
    </r>
    <r>
      <rPr>
        <rFont val="Ubuntu"/>
        <color rgb="FF797B7D"/>
        <sz val="12.0"/>
      </rPr>
      <t>(7-6-0)</t>
    </r>
  </si>
  <si>
    <t>NFL Week 14</t>
  </si>
  <si>
    <t>PRODIGY</t>
  </si>
  <si>
    <t>ESTEEMED</t>
  </si>
  <si>
    <t>PvE FFL</t>
  </si>
  <si>
    <t>Placement</t>
  </si>
  <si>
    <r>
      <rPr>
        <rFont val="Ubuntu"/>
        <color rgb="FF0066CC"/>
        <sz val="12.0"/>
      </rPr>
      <t>West End Popeyes</t>
    </r>
    <r>
      <rPr>
        <rFont val="Ubuntu"/>
        <color rgb="FF797B7D"/>
        <sz val="12.0"/>
      </rPr>
      <t>(8-5-0)</t>
    </r>
  </si>
  <si>
    <r>
      <rPr>
        <rFont val="Ubuntu"/>
        <color rgb="FF0066CC"/>
        <sz val="12.0"/>
      </rPr>
      <t>Georgia Green</t>
    </r>
    <r>
      <rPr>
        <rFont val="Ubuntu"/>
        <color rgb="FF797B7D"/>
        <sz val="12.0"/>
      </rPr>
      <t>(6-7-0)</t>
    </r>
  </si>
  <si>
    <t>Divisional Series Wins</t>
  </si>
  <si>
    <t>Divisional Series Sweeps</t>
  </si>
  <si>
    <r>
      <rPr>
        <rFont val="Ubuntu"/>
        <color rgb="FF0066CC"/>
        <sz val="12.0"/>
      </rPr>
      <t>East Atlanta Savages</t>
    </r>
    <r>
      <rPr>
        <rFont val="Ubuntu"/>
        <color rgb="FF797B7D"/>
        <sz val="12.0"/>
      </rPr>
      <t>(7-6-0)</t>
    </r>
  </si>
  <si>
    <t>Season Total</t>
  </si>
  <si>
    <r>
      <rPr>
        <rFont val="Ubuntu"/>
        <b/>
        <color rgb="FF0066CC"/>
        <sz val="12.0"/>
      </rPr>
      <t>Bandera Decoupes</t>
    </r>
    <r>
      <rPr>
        <rFont val="Ubuntu"/>
        <b/>
        <color rgb="FF797B7D"/>
        <sz val="12.0"/>
      </rPr>
      <t>(8-5-0)</t>
    </r>
  </si>
  <si>
    <t>MOTW GAMES</t>
  </si>
  <si>
    <t>Win Streak</t>
  </si>
  <si>
    <t>Upsets</t>
  </si>
  <si>
    <t>Blowouts</t>
  </si>
  <si>
    <t>Waiver Wire</t>
  </si>
  <si>
    <t>Trades</t>
  </si>
  <si>
    <t>Season toal</t>
  </si>
  <si>
    <r>
      <rPr>
        <rFont val="Ubuntu"/>
        <b/>
        <color rgb="FF0066CC"/>
        <sz val="12.0"/>
      </rPr>
      <t>HYI Football Team</t>
    </r>
    <r>
      <rPr>
        <rFont val="Ubuntu"/>
        <b/>
        <color rgb="FF797B7D"/>
        <sz val="12.0"/>
      </rPr>
      <t>(4-9-0)</t>
    </r>
  </si>
  <si>
    <r>
      <rPr>
        <rFont val="Ubuntu"/>
        <color rgb="FF0066CC"/>
        <sz val="12.0"/>
      </rPr>
      <t>Down South Champs</t>
    </r>
    <r>
      <rPr>
        <rFont val="Ubuntu"/>
        <color rgb="FF797B7D"/>
        <sz val="12.0"/>
      </rPr>
      <t>(5-8-0)</t>
    </r>
  </si>
  <si>
    <r>
      <rPr>
        <rFont val="Ubuntu"/>
        <color rgb="FF0066CC"/>
        <sz val="12.0"/>
      </rPr>
      <t>Seth Soldiers</t>
    </r>
    <r>
      <rPr>
        <rFont val="Ubuntu"/>
        <color rgb="FF797B7D"/>
        <sz val="12.0"/>
      </rPr>
      <t>(9-4-0)</t>
    </r>
  </si>
  <si>
    <r>
      <rPr>
        <rFont val="Ubuntu"/>
        <color rgb="FF0066CC"/>
        <sz val="12.0"/>
      </rPr>
      <t>Muthafkn Dec MookDawg</t>
    </r>
    <r>
      <rPr>
        <rFont val="Ubuntu"/>
        <color rgb="FF797B7D"/>
        <sz val="12.0"/>
      </rPr>
      <t>(3-10-0)</t>
    </r>
  </si>
  <si>
    <t xml:space="preserve">WEEK 15 </t>
  </si>
  <si>
    <t>Top 20 Biggest PLAYOFF Blowouts of all time - PVE FFL</t>
  </si>
  <si>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</si>
  <si>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(7-6-0)</t>
    </r>
  </si>
  <si>
    <t>Playoff Round 1 (NFL Week 15)</t>
  </si>
  <si>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</si>
  <si>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</si>
  <si>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color rgb="FF0066CC"/>
        <sz val="12.0"/>
      </rPr>
      <t>East Atlanta Savages</t>
    </r>
    <r>
      <rPr>
        <rFont val="Ubuntu"/>
        <color rgb="FF797B7D"/>
        <sz val="12.0"/>
      </rPr>
      <t>(7-6-0)</t>
    </r>
  </si>
  <si>
    <r>
      <rPr>
        <rFont val="Ubuntu"/>
        <color rgb="FF0066CC"/>
        <sz val="12.0"/>
      </rPr>
      <t>West End Popeyes</t>
    </r>
    <r>
      <rPr>
        <rFont val="Ubuntu"/>
        <color rgb="FF797B7D"/>
        <sz val="12.0"/>
      </rPr>
      <t>(8-5-0)</t>
    </r>
  </si>
  <si>
    <t>Draft day</t>
  </si>
  <si>
    <t>Current</t>
  </si>
  <si>
    <t>Rank Change</t>
  </si>
  <si>
    <t xml:space="preserve">Stat </t>
  </si>
  <si>
    <t>Point</t>
  </si>
  <si>
    <r>
      <rPr>
        <rFont val="Ubuntu"/>
        <color rgb="FF0066CC"/>
        <sz val="12.0"/>
      </rPr>
      <t>Cumgetsum Yardies</t>
    </r>
    <r>
      <rPr>
        <rFont val="Ubuntu"/>
        <color rgb="FF797B7D"/>
        <sz val="12.0"/>
      </rPr>
      <t>(7-6-0)</t>
    </r>
  </si>
  <si>
    <r>
      <rPr>
        <rFont val="Ubuntu"/>
        <color rgb="FF0066CC"/>
        <sz val="12.0"/>
      </rPr>
      <t>Down South Champs</t>
    </r>
    <r>
      <rPr>
        <rFont val="Ubuntu"/>
        <color rgb="FF797B7D"/>
        <sz val="12.0"/>
      </rPr>
      <t>(5-8-0)</t>
    </r>
  </si>
  <si>
    <t>1st Place</t>
  </si>
  <si>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</si>
  <si>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(3-10-0)</t>
    </r>
  </si>
  <si>
    <r>
      <rPr>
        <rFont val="Ubuntu"/>
        <color rgb="FF0066CC"/>
        <sz val="12.0"/>
      </rPr>
      <t>Seth Soldiers</t>
    </r>
    <r>
      <rPr>
        <rFont val="Ubuntu"/>
        <color rgb="FF797B7D"/>
        <sz val="12.0"/>
      </rPr>
      <t>(9-4-0)</t>
    </r>
  </si>
  <si>
    <r>
      <rPr>
        <rFont val="Ubuntu"/>
        <b/>
        <color rgb="FF0066CC"/>
        <sz val="12.0"/>
      </rPr>
      <t>HYI Football Team</t>
    </r>
    <r>
      <rPr>
        <rFont val="Ubuntu"/>
        <b/>
        <color rgb="FF797B7D"/>
        <sz val="12.0"/>
      </rPr>
      <t>(4-9-0)</t>
    </r>
  </si>
  <si>
    <t>Playoff Round 2 (NFL Week 16)</t>
  </si>
  <si>
    <t>Top 20 Worst Regular Season Games of all time - PVE FFL</t>
  </si>
  <si>
    <r>
      <rPr>
        <rFont val="Ubuntu"/>
        <color rgb="FF0066CC"/>
        <sz val="12.0"/>
      </rPr>
      <t>West End Popeyes</t>
    </r>
    <r>
      <rPr>
        <rFont val="Ubuntu"/>
        <color rgb="FF797B7D"/>
        <sz val="12.0"/>
      </rPr>
      <t>(8-5-0)</t>
    </r>
  </si>
  <si>
    <r>
      <rPr>
        <rFont val="Ubuntu"/>
        <b/>
        <color rgb="FF0066CC"/>
        <sz val="12.0"/>
      </rPr>
      <t>Bandera Decoupes</t>
    </r>
    <r>
      <rPr>
        <rFont val="Ubuntu"/>
        <b/>
        <color rgb="FF797B7D"/>
        <sz val="12.0"/>
      </rPr>
      <t>(8-5-0)</t>
    </r>
  </si>
  <si>
    <r>
      <rPr>
        <rFont val="Ubuntu"/>
        <color rgb="FF0066CC"/>
        <sz val="12.0"/>
      </rPr>
      <t>Muthafkn Dec MookDawg</t>
    </r>
    <r>
      <rPr>
        <rFont val="Ubuntu"/>
        <color rgb="FF797B7D"/>
        <sz val="12.0"/>
      </rPr>
      <t>(3-10-0)</t>
    </r>
  </si>
  <si>
    <r>
      <rPr>
        <rFont val="Ubuntu"/>
        <color rgb="FF0066CC"/>
        <sz val="12.0"/>
      </rPr>
      <t>Down South Champs</t>
    </r>
    <r>
      <rPr>
        <rFont val="Ubuntu"/>
        <color rgb="FF797B7D"/>
        <sz val="12.0"/>
      </rPr>
      <t>(5-8-0)</t>
    </r>
  </si>
  <si>
    <r>
      <rPr>
        <rFont val="Ubuntu"/>
        <color rgb="FF0066CC"/>
        <sz val="12.0"/>
      </rPr>
      <t>East Atlanta Savages</t>
    </r>
    <r>
      <rPr>
        <rFont val="Ubuntu"/>
        <color rgb="FF797B7D"/>
        <sz val="12.0"/>
      </rPr>
      <t>(7-6-0)</t>
    </r>
  </si>
  <si>
    <r>
      <rPr>
        <rFont val="Ubuntu"/>
        <color rgb="FF0066CC"/>
        <sz val="12.0"/>
      </rPr>
      <t>Georgia Green</t>
    </r>
    <r>
      <rPr>
        <rFont val="Ubuntu"/>
        <color rgb="FF797B7D"/>
        <sz val="12.0"/>
      </rPr>
      <t>(6-7-0)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</si>
  <si>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</si>
  <si>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</si>
  <si>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</si>
  <si>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b/>
        <color rgb="FF0066CC"/>
        <sz val="12.0"/>
      </rPr>
      <t>HYI Football Team</t>
    </r>
    <r>
      <rPr>
        <rFont val="Ubuntu"/>
        <b/>
        <color rgb="FF797B7D"/>
        <sz val="12.0"/>
      </rPr>
      <t>(4-9-0)</t>
    </r>
  </si>
  <si>
    <t>Playoff Round 3 (NFL Week 17)</t>
  </si>
  <si>
    <r>
      <rPr>
        <rFont val="Ubuntu"/>
        <color rgb="FF0066CC"/>
        <sz val="12.0"/>
      </rPr>
      <t>Down South Champs</t>
    </r>
    <r>
      <rPr>
        <rFont val="Ubuntu"/>
        <color rgb="FF797B7D"/>
        <sz val="12.0"/>
      </rPr>
      <t>(5-8-0)</t>
    </r>
  </si>
  <si>
    <r>
      <rPr>
        <rFont val="Ubuntu"/>
        <b/>
        <color rgb="FF0066CC"/>
        <sz val="12.0"/>
      </rPr>
      <t>Bandera Decoupes</t>
    </r>
    <r>
      <rPr>
        <rFont val="Ubuntu"/>
        <b/>
        <color rgb="FF797B7D"/>
        <sz val="12.0"/>
      </rPr>
      <t>(8-5-0)</t>
    </r>
  </si>
  <si>
    <r>
      <rPr>
        <rFont val="Ubuntu"/>
        <color rgb="FF0066CC"/>
        <sz val="12.0"/>
      </rPr>
      <t>Muthafkn Dec MookDawg</t>
    </r>
    <r>
      <rPr>
        <rFont val="Ubuntu"/>
        <color rgb="FF797B7D"/>
        <sz val="12.0"/>
      </rPr>
      <t>(3-10-0)</t>
    </r>
  </si>
  <si>
    <r>
      <rPr>
        <rFont val="Ubuntu"/>
        <color rgb="FF0066CC"/>
        <sz val="12.0"/>
      </rPr>
      <t>West End Popeyes</t>
    </r>
    <r>
      <rPr>
        <rFont val="Ubuntu"/>
        <color rgb="FF797B7D"/>
        <sz val="12.0"/>
      </rPr>
      <t>(8-5-0)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</si>
  <si>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</si>
  <si>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(7-6-0)</t>
    </r>
  </si>
  <si>
    <r>
      <rPr>
        <rFont val="Ubuntu"/>
        <color rgb="FF0066CC"/>
        <sz val="12.0"/>
      </rPr>
      <t>East Atlanta Savages</t>
    </r>
    <r>
      <rPr>
        <rFont val="Ubuntu"/>
        <color rgb="FF797B7D"/>
        <sz val="12.0"/>
      </rPr>
      <t>(7-6-0)</t>
    </r>
  </si>
  <si>
    <r>
      <rPr>
        <rFont val="Ubuntu"/>
        <color rgb="FF0066CC"/>
        <sz val="12.0"/>
      </rPr>
      <t>Uncross Your Mutt</t>
    </r>
    <r>
      <rPr>
        <rFont val="Ubuntu"/>
        <color rgb="FF797B7D"/>
        <sz val="12.0"/>
      </rPr>
      <t>(8-5-0)</t>
    </r>
  </si>
  <si>
    <r>
      <rPr>
        <rFont val="Ubuntu"/>
        <color rgb="FF0066CC"/>
        <sz val="12.0"/>
      </rPr>
      <t>Seth Soldiers</t>
    </r>
    <r>
      <rPr>
        <rFont val="Ubuntu"/>
        <color rgb="FF797B7D"/>
        <sz val="12.0"/>
      </rPr>
      <t>(9-4-0)</t>
    </r>
  </si>
  <si>
    <t>Best Seasonal Record</t>
  </si>
  <si>
    <r>
      <rPr>
        <rFont val="Ubuntu"/>
        <b/>
        <color rgb="FF0066CC"/>
        <sz val="12.0"/>
      </rPr>
      <t>HYI Football Team</t>
    </r>
    <r>
      <rPr>
        <rFont val="Ubuntu"/>
        <b/>
        <color rgb="FF797B7D"/>
        <sz val="12.0"/>
      </rPr>
      <t>(4-9-0)</t>
    </r>
  </si>
  <si>
    <t>YES</t>
  </si>
  <si>
    <t>2nd Place</t>
  </si>
  <si>
    <t>Away</t>
  </si>
  <si>
    <t>Home</t>
  </si>
  <si>
    <t>Full Name</t>
  </si>
  <si>
    <t>Acronym</t>
  </si>
  <si>
    <t>Division</t>
  </si>
  <si>
    <t>Team Color</t>
  </si>
  <si>
    <t>List of Divisions</t>
  </si>
  <si>
    <t>Full Schedule</t>
  </si>
  <si>
    <t>Number of  Teams</t>
  </si>
  <si>
    <t>YEAR</t>
  </si>
  <si>
    <t>P1</t>
  </si>
  <si>
    <t>P2</t>
  </si>
  <si>
    <t>P3</t>
  </si>
  <si>
    <t>P4</t>
  </si>
  <si>
    <t>P5</t>
  </si>
  <si>
    <t>E1</t>
  </si>
  <si>
    <t>E2</t>
  </si>
  <si>
    <t>E3</t>
  </si>
  <si>
    <t>E4</t>
  </si>
  <si>
    <t>E5</t>
  </si>
  <si>
    <t>B82438</t>
  </si>
  <si>
    <t>GAME 1</t>
  </si>
  <si>
    <t>LEAGUE RANK</t>
  </si>
  <si>
    <t>Code</t>
  </si>
  <si>
    <t>POP</t>
  </si>
  <si>
    <t>FF8B29</t>
  </si>
  <si>
    <t>GAME 2</t>
  </si>
  <si>
    <t>GAME 3</t>
  </si>
  <si>
    <t>GAME 4</t>
  </si>
  <si>
    <t>GAME 5</t>
  </si>
  <si>
    <t>091E7E</t>
  </si>
  <si>
    <t>WILD CARD CON</t>
  </si>
  <si>
    <t>FF0000</t>
  </si>
  <si>
    <t>F04E37</t>
  </si>
  <si>
    <t>F091FF</t>
  </si>
  <si>
    <t>007749</t>
  </si>
  <si>
    <t>3rd Place</t>
  </si>
  <si>
    <t>BBBBBB</t>
  </si>
  <si>
    <t>JEF</t>
  </si>
  <si>
    <t>1 pts each</t>
  </si>
  <si>
    <t>8 pts each</t>
  </si>
  <si>
    <t>4 pts each</t>
  </si>
  <si>
    <t>2 pts each</t>
  </si>
  <si>
    <t>Point System</t>
  </si>
  <si>
    <t>MK</t>
  </si>
  <si>
    <t>H</t>
  </si>
  <si>
    <t>A</t>
  </si>
  <si>
    <t>4th Place</t>
  </si>
  <si>
    <t>PLAYOFF OF WINS</t>
  </si>
  <si>
    <t>5TH-6TH MATCH</t>
  </si>
  <si>
    <t>Top 20 MOTW of all time - PVE FFL</t>
  </si>
  <si>
    <t>7TH-8TH MATCH</t>
  </si>
  <si>
    <t>5th Place</t>
  </si>
  <si>
    <t>6th Place</t>
  </si>
  <si>
    <t>Chat GPT response</t>
  </si>
  <si>
    <t>Have 8 Teams and two Divisions. POPEYES , Prodigies Division, SEED 1 CHAMPS, Esteemed Division, SEED 2 DECOUPES, Prodigies Division, SEED 3 YARDIES, Esteemed Division, SEED 4 MUTTS, Esteemed Division, SEED 5 GREEN, Prodigies Division, SEED 6 METAMOOKDAWGS, Esteemed Division, SEED 7 SAVAGES, Prodigies Division, SEED 8 I need a regular season schedule where higher seed teams schedule start off easier but get harder near the end and lower seed teams schedule start hard but get easier. (the restriction can be very light) Main requirements: *Divisional Games are matches where two teams in the same division play against each( for example: Prodigies vs Prodigies or Esteemed vs Esteemed) *Cross-Divisional Games are matches where two play each in not the same division ( for example: Prodiges vs Esteemed or Esteemed vs Prodigies.) * WEEK 1, WEEK 2 and WEEK 14 must remain the same as given * Each team must play one game per week * Two teams can not play each other back to back weeks. (preferably not within a 2 week timeframe as much as possibly) * Two Cross divisional games must absolutely not be played next to each other back to back weeks unless the week contains two Cross Divisional Matches and 2 Divisional Matches. (preferably not within a 2 week timeframe as much as possibly) * Each team must play each intra division team 3 times within the schedule (9 Divisional game in total) * Excluding WEEK 1, each team must play cross divisional teams once (making 5 Cross Divisional Games in total) * Keep number of Away and Home game near 7 each as close a possible giving higher seeds more home game only if need be. * Please list this in a table making a column for Away Seed, Away Team, Home Team, Home Seed, Match Type (if it is the 1st, 2nd, or 3rd time or Cross Divisional a team has played each other, label accordingly) * Put each week in its own table * Tell me which teams are in each Division in a Table * Make sure to check Divisions when labeling match type WEEK 1: CHAMPS @ POPEYES YARDIES @ DECOUPES GREEN @ MUTTS SAVAGES @ METAMOOKDAWGS WEEK 2: POPEYES @ DECOUPES GREEN @ SAVAGES YARDIES @ CHAMPS MUTTS @ METAMOOKDAWGS WEEK 14: DECOUPES @ POPEYES SAVAGES @ GREEN YARDIES @ CHAMPS METAMOOKDAWGS @ MUTTS</t>
  </si>
  <si>
    <t>7th Place</t>
  </si>
  <si>
    <t>8th Place</t>
  </si>
  <si>
    <t>Top 20 Biggest Scoring PLAYOFF Games of all time - PVE FFL</t>
  </si>
  <si>
    <t>Best Divisonal Record</t>
  </si>
  <si>
    <t>Point Adjustments</t>
  </si>
  <si>
    <t>Y</t>
  </si>
  <si>
    <t>Teams</t>
  </si>
  <si>
    <t>Initial Score</t>
  </si>
  <si>
    <t>Adjustment</t>
  </si>
  <si>
    <t>Final Score</t>
  </si>
  <si>
    <t>Total Wins</t>
  </si>
  <si>
    <t>Total Losses</t>
  </si>
  <si>
    <t>Total Win %</t>
  </si>
  <si>
    <t>A1</t>
  </si>
  <si>
    <t>H1</t>
  </si>
  <si>
    <t>A2</t>
  </si>
  <si>
    <t>H2</t>
  </si>
  <si>
    <t>NOT LAST DIV BOWL</t>
  </si>
  <si>
    <t>Best Cross Divisonal Record</t>
  </si>
  <si>
    <t>#1 DRAFT PICK BOWL</t>
  </si>
  <si>
    <t>TOLIET BOWL</t>
  </si>
  <si>
    <t>Top 20 Lowest Scoring PLAYOFF Games of all time - PVE FFL</t>
  </si>
  <si>
    <t>3TH-4TH MATCH</t>
  </si>
  <si>
    <t>Most Divisonal Series Wins</t>
  </si>
  <si>
    <t>order</t>
  </si>
  <si>
    <t>Bandera Decoupes Box Score</t>
  </si>
  <si>
    <t xml:space="preserve">Bandera Decoupes  </t>
  </si>
  <si>
    <t>STARTERS</t>
  </si>
  <si>
    <t>NFL WEEK 1</t>
  </si>
  <si>
    <t>=</t>
  </si>
  <si>
    <t>SLOT</t>
  </si>
  <si>
    <t>PLAYER, TEAM POS</t>
  </si>
  <si>
    <t>OPP</t>
  </si>
  <si>
    <t>STATUS</t>
  </si>
  <si>
    <t>PROJ</t>
  </si>
  <si>
    <t>FPTS</t>
  </si>
  <si>
    <t>Joe BurrowJoe Burrow</t>
  </si>
  <si>
    <t>Joe Burrow</t>
  </si>
  <si>
    <t>Pit</t>
  </si>
  <si>
    <t>L 20-23</t>
  </si>
  <si>
    <t>CinQB</t>
  </si>
  <si>
    <t>Dalvin CookDalvin Cook</t>
  </si>
  <si>
    <t>Dalvin Cook</t>
  </si>
  <si>
    <t>W 23-7</t>
  </si>
  <si>
    <t>MinRB</t>
  </si>
  <si>
    <t>James ConnerJames Conner</t>
  </si>
  <si>
    <t>James Conner</t>
  </si>
  <si>
    <t>L 21-44</t>
  </si>
  <si>
    <t>AriRB</t>
  </si>
  <si>
    <t>Cam AkersCam Akers</t>
  </si>
  <si>
    <t>Cam Akers</t>
  </si>
  <si>
    <t>Buf</t>
  </si>
  <si>
    <t>L 10-31</t>
  </si>
  <si>
    <t>LARRB</t>
  </si>
  <si>
    <t>Ja'Marr ChaseJa'Marr Chase</t>
  </si>
  <si>
    <t>Ja'Marr Chase</t>
  </si>
  <si>
    <t>CinWR</t>
  </si>
  <si>
    <t>Michael Pittman Jr.Michael Pittman Jr.</t>
  </si>
  <si>
    <t>Michael Pittman Jr.</t>
  </si>
  <si>
    <t>@Hou</t>
  </si>
  <si>
    <t>T 20-20</t>
  </si>
  <si>
    <t>IndWR</t>
  </si>
  <si>
    <t>Tyreek HillTyreek Hill</t>
  </si>
  <si>
    <t>Tyreek Hill</t>
  </si>
  <si>
    <t>W 20-7</t>
  </si>
  <si>
    <t>MiaWR</t>
  </si>
  <si>
    <t>Courtland SuttonCourtland Sutton</t>
  </si>
  <si>
    <t>Courtland Sutton</t>
  </si>
  <si>
    <t>@Sea</t>
  </si>
  <si>
    <t>L 16-17</t>
  </si>
  <si>
    <t>DenWR</t>
  </si>
  <si>
    <t>Darren WallerDarren Waller</t>
  </si>
  <si>
    <t>Darren Waller</t>
  </si>
  <si>
    <t>@Ten</t>
  </si>
  <si>
    <t>W 21-20</t>
  </si>
  <si>
    <t>NYGTE</t>
  </si>
  <si>
    <t>Rashod BatemanRashod Bateman</t>
  </si>
  <si>
    <t>Rashod Bateman</t>
  </si>
  <si>
    <t>@NYJ</t>
  </si>
  <si>
    <t>W 24-9</t>
  </si>
  <si>
    <t>BalWR</t>
  </si>
  <si>
    <t>49ers D/ST49ers D/ST</t>
  </si>
  <si>
    <t>49ers D/ST</t>
  </si>
  <si>
    <t>@Chi</t>
  </si>
  <si>
    <t>L 10-19</t>
  </si>
  <si>
    <t>SFD/ST</t>
  </si>
  <si>
    <t>Daniel CarlsonDaniel Carlson</t>
  </si>
  <si>
    <t>Daniel Carlson</t>
  </si>
  <si>
    <t>@LAC</t>
  </si>
  <si>
    <t>L 19-24</t>
  </si>
  <si>
    <t>LVK</t>
  </si>
  <si>
    <t>Ravens CoachRavens Coach</t>
  </si>
  <si>
    <t>Ravens Coach</t>
  </si>
  <si>
    <t>BalHC</t>
  </si>
  <si>
    <t>Drake LondonDrake London</t>
  </si>
  <si>
    <t>TOTALS</t>
  </si>
  <si>
    <t>Bench</t>
  </si>
  <si>
    <t>Drake London</t>
  </si>
  <si>
    <t>L 26-27</t>
  </si>
  <si>
    <t>AtlWR</t>
  </si>
  <si>
    <t>Chase EdmondsChase Edmonds</t>
  </si>
  <si>
    <t>Chase Edmonds</t>
  </si>
  <si>
    <t>@Dal</t>
  </si>
  <si>
    <t>W 19-3</t>
  </si>
  <si>
    <t>TBRB</t>
  </si>
  <si>
    <t>AJ DillonAJ Dillon</t>
  </si>
  <si>
    <t>AJ Dillon</t>
  </si>
  <si>
    <t>@Min</t>
  </si>
  <si>
    <t>L 7-23</t>
  </si>
  <si>
    <t>GBRB</t>
  </si>
  <si>
    <t>Trey LanceTrey Lance</t>
  </si>
  <si>
    <t>Trey Lance</t>
  </si>
  <si>
    <t>SFQB</t>
  </si>
  <si>
    <t>Dawson KnoxDawson Knox</t>
  </si>
  <si>
    <t>Dawson Knox</t>
  </si>
  <si>
    <t>@LAR</t>
  </si>
  <si>
    <t>W 31-10</t>
  </si>
  <si>
    <t>BufTE</t>
  </si>
  <si>
    <t>Rams CoachRams Coach</t>
  </si>
  <si>
    <t>Rams Coach</t>
  </si>
  <si>
    <t>LARHC</t>
  </si>
  <si>
    <t>Browns D/STBrowns D/ST</t>
  </si>
  <si>
    <t>Browns D/ST</t>
  </si>
  <si>
    <t>@Car</t>
  </si>
  <si>
    <t>W 26-24</t>
  </si>
  <si>
    <t>CleD/ST</t>
  </si>
  <si>
    <t>Dustin HopkinsDustin Hopkins</t>
  </si>
  <si>
    <t>Dustin Hopkins</t>
  </si>
  <si>
    <t>W 24-19</t>
  </si>
  <si>
    <t>LACK</t>
  </si>
  <si>
    <t>Down South Champs Box Score</t>
  </si>
  <si>
    <t xml:space="preserve">Down South Champs  </t>
  </si>
  <si>
    <t>Jalen HurtsJalen Hurts</t>
  </si>
  <si>
    <t>Jalen Hurts</t>
  </si>
  <si>
    <t>@Det</t>
  </si>
  <si>
    <t>W 38-35</t>
  </si>
  <si>
    <t>PhiQB</t>
  </si>
  <si>
    <t>Austin EkelerAustin Ekeler</t>
  </si>
  <si>
    <t>Austin Ekeler</t>
  </si>
  <si>
    <t>LACRB</t>
  </si>
  <si>
    <t>Alvin KamaraAlvin Kamara</t>
  </si>
  <si>
    <t>Alvin Kamara</t>
  </si>
  <si>
    <t>@Atl</t>
  </si>
  <si>
    <t>W 27-26</t>
  </si>
  <si>
    <t>NORB</t>
  </si>
  <si>
    <t>D'Andre SwiftD'Andre Swift</t>
  </si>
  <si>
    <t>D'Andre Swift</t>
  </si>
  <si>
    <t>Phi</t>
  </si>
  <si>
    <t>L 35-38</t>
  </si>
  <si>
    <t>DetRB</t>
  </si>
  <si>
    <t>Keenan AllenKeenan Allen</t>
  </si>
  <si>
    <t>Keenan Allen</t>
  </si>
  <si>
    <t>LACWR</t>
  </si>
  <si>
    <t>Diontae JohnsonDiontae Johnson</t>
  </si>
  <si>
    <t>Diontae Johnson</t>
  </si>
  <si>
    <t>@Cin</t>
  </si>
  <si>
    <t>W 23-20</t>
  </si>
  <si>
    <t>PitWR</t>
  </si>
  <si>
    <t>Brandin CooksBrandin Cooks</t>
  </si>
  <si>
    <t>Brandin Cooks</t>
  </si>
  <si>
    <t>L 3-19</t>
  </si>
  <si>
    <t>DalWR</t>
  </si>
  <si>
    <t>DK MetcalfDK Metcalf</t>
  </si>
  <si>
    <t>DK Metcalf</t>
  </si>
  <si>
    <t>Den</t>
  </si>
  <si>
    <t>W 17-16</t>
  </si>
  <si>
    <t>SeaWR</t>
  </si>
  <si>
    <t>Mark AndrewsMark Andrews</t>
  </si>
  <si>
    <t>Mark Andrews</t>
  </si>
  <si>
    <t>BalTE</t>
  </si>
  <si>
    <t>Devin SingletaryDevin Singletary</t>
  </si>
  <si>
    <t>Devin Singletary</t>
  </si>
  <si>
    <t>Ind</t>
  </si>
  <si>
    <t>HouRB</t>
  </si>
  <si>
    <t>Ravens D/STRavens D/ST</t>
  </si>
  <si>
    <t>Ravens D/ST</t>
  </si>
  <si>
    <t>BalD/ST</t>
  </si>
  <si>
    <t>Matt GayMatt Gay</t>
  </si>
  <si>
    <t>Matt Gay</t>
  </si>
  <si>
    <t>IndK</t>
  </si>
  <si>
    <t>Eagles CoachEagles Coach</t>
  </si>
  <si>
    <t>Eagles Coach</t>
  </si>
  <si>
    <t>PhiHC</t>
  </si>
  <si>
    <t>Aaron RodgersAaron Rodgers</t>
  </si>
  <si>
    <t>Aaron Rodgers</t>
  </si>
  <si>
    <t>GBQB</t>
  </si>
  <si>
    <t>Allen Robinson IIAllen Robinson II</t>
  </si>
  <si>
    <t>Allen Robinson II</t>
  </si>
  <si>
    <t>LARWR</t>
  </si>
  <si>
    <t>Tyler LockettTyler Lockett</t>
  </si>
  <si>
    <t>Tyler Lockett</t>
  </si>
  <si>
    <t>Cardinals CoachCardinals Coach</t>
  </si>
  <si>
    <t>Cardinals Coach</t>
  </si>
  <si>
    <t>AriHC</t>
  </si>
  <si>
    <t>Rashaad PennyRashaad Penny</t>
  </si>
  <si>
    <t>Rashaad Penny</t>
  </si>
  <si>
    <t>PhiRB</t>
  </si>
  <si>
    <t>Cole KmetCole Kmet</t>
  </si>
  <si>
    <t>Cole Kmet</t>
  </si>
  <si>
    <t>W 19-10</t>
  </si>
  <si>
    <t>ChiTE</t>
  </si>
  <si>
    <t>Brandon McManusBrandon McManus</t>
  </si>
  <si>
    <t>Brandon McManus</t>
  </si>
  <si>
    <t>DenK</t>
  </si>
  <si>
    <t>Patriots D/STPatriots D/ST</t>
  </si>
  <si>
    <t>Patriots D/ST</t>
  </si>
  <si>
    <t>@Mia</t>
  </si>
  <si>
    <t>L 7-20</t>
  </si>
  <si>
    <t>NED/ST</t>
  </si>
  <si>
    <t>West End Popeyes Box Score</t>
  </si>
  <si>
    <t xml:space="preserve">West End Popeyes  </t>
  </si>
  <si>
    <t>Dak PrescottDak Prescott</t>
  </si>
  <si>
    <t>Dak Prescott</t>
  </si>
  <si>
    <t>DalQB</t>
  </si>
  <si>
    <t>Najee HarrisNajee Harris</t>
  </si>
  <si>
    <t>Najee Harris</t>
  </si>
  <si>
    <t>PitRB</t>
  </si>
  <si>
    <t>Saquon BarkleySaquon Barkley</t>
  </si>
  <si>
    <t>Saquon Barkley</t>
  </si>
  <si>
    <t>NYGRB</t>
  </si>
  <si>
    <t>Elijah MitchellElijah Mitchell</t>
  </si>
  <si>
    <t>Elijah Mitchell</t>
  </si>
  <si>
    <t>SFRB</t>
  </si>
  <si>
    <t>Cooper KuppCooper Kupp</t>
  </si>
  <si>
    <t>Cooper Kupp</t>
  </si>
  <si>
    <t>Deebo SamuelDeebo Samuel</t>
  </si>
  <si>
    <t>Deebo Samuel</t>
  </si>
  <si>
    <t>SFWR</t>
  </si>
  <si>
    <t>Tee HigginsTee Higgins</t>
  </si>
  <si>
    <t>Tee Higgins</t>
  </si>
  <si>
    <t>Marquise BrownMarquise Brown</t>
  </si>
  <si>
    <t>Marquise Brown</t>
  </si>
  <si>
    <t>AriWR</t>
  </si>
  <si>
    <t>Dallas GoedertDallas Goedert</t>
  </si>
  <si>
    <t>Dallas Goedert</t>
  </si>
  <si>
    <t>PhiTE</t>
  </si>
  <si>
    <t>David MontgomeryDavid Montgomery</t>
  </si>
  <si>
    <t>David Montgomery</t>
  </si>
  <si>
    <t>Colts D/STColts D/ST</t>
  </si>
  <si>
    <t>Colts D/ST</t>
  </si>
  <si>
    <t>IndD/ST</t>
  </si>
  <si>
    <t>Tyler BassTyler Bass</t>
  </si>
  <si>
    <t>Tyler Bass</t>
  </si>
  <si>
    <t>BufK</t>
  </si>
  <si>
    <t>Broncos CoachBroncos Coach</t>
  </si>
  <si>
    <t>Broncos Coach</t>
  </si>
  <si>
    <t>DenHC</t>
  </si>
  <si>
    <t>Mike GesickiMike Gesicki</t>
  </si>
  <si>
    <t>Mike Gesicki</t>
  </si>
  <si>
    <t>NETE</t>
  </si>
  <si>
    <t>Chris GodwinChris Godwin</t>
  </si>
  <si>
    <t>Chris Godwin</t>
  </si>
  <si>
    <t>TBWR</t>
  </si>
  <si>
    <t>Matthew StaffordMatthew Stafford</t>
  </si>
  <si>
    <t>Matthew Stafford</t>
  </si>
  <si>
    <t>LARQB</t>
  </si>
  <si>
    <t>Adam ThielenAdam Thielen</t>
  </si>
  <si>
    <t>Adam Thielen</t>
  </si>
  <si>
    <t>--</t>
  </si>
  <si>
    <t>FAWR</t>
  </si>
  <si>
    <t>Damien HarrisDamien Harris</t>
  </si>
  <si>
    <t>Damien Harris</t>
  </si>
  <si>
    <t>BufRB</t>
  </si>
  <si>
    <t>Commanders D/STCommanders D/ST</t>
  </si>
  <si>
    <t>Commanders D/ST</t>
  </si>
  <si>
    <t>Jax</t>
  </si>
  <si>
    <t>W 28-22</t>
  </si>
  <si>
    <t>WshD/ST</t>
  </si>
  <si>
    <t>Packers CoachPackers Coach</t>
  </si>
  <si>
    <t>Packers Coach</t>
  </si>
  <si>
    <t>GBHC</t>
  </si>
  <si>
    <t>Ryan SuccopRyan Succop</t>
  </si>
  <si>
    <t>Ryan Succop</t>
  </si>
  <si>
    <t>TBK</t>
  </si>
  <si>
    <t>Decatur MetaMookDawgs Box Score</t>
  </si>
  <si>
    <t xml:space="preserve">Decatur MetaMookDawgs  </t>
  </si>
  <si>
    <t>Patrick MahomesPatrick Mahomes</t>
  </si>
  <si>
    <t>Patrick Mahomes</t>
  </si>
  <si>
    <t>@Ari</t>
  </si>
  <si>
    <t>W 44-21</t>
  </si>
  <si>
    <t>KCQB</t>
  </si>
  <si>
    <t>Javonte WilliamsJavonte Williams</t>
  </si>
  <si>
    <t>Javonte Williams</t>
  </si>
  <si>
    <t>DenRB</t>
  </si>
  <si>
    <t>Ezekiel ElliottEzekiel Elliott</t>
  </si>
  <si>
    <t>Ezekiel Elliott</t>
  </si>
  <si>
    <t>FARB</t>
  </si>
  <si>
    <t>Travis Etienne Jr.Travis Etienne Jr.</t>
  </si>
  <si>
    <t>Travis Etienne Jr.</t>
  </si>
  <si>
    <t>@Wsh</t>
  </si>
  <si>
    <t>L 22-28</t>
  </si>
  <si>
    <t>JaxRB</t>
  </si>
  <si>
    <t>Terry McLaurinTerry McLaurin</t>
  </si>
  <si>
    <t>Terry McLaurin</t>
  </si>
  <si>
    <t>WshWR</t>
  </si>
  <si>
    <t>Hunter RenfrowHunter Renfrow</t>
  </si>
  <si>
    <t>Hunter Renfrow</t>
  </si>
  <si>
    <t>LVWR</t>
  </si>
  <si>
    <t>Christian KirkChristian Kirk</t>
  </si>
  <si>
    <t>Christian Kirk</t>
  </si>
  <si>
    <t>JaxWR</t>
  </si>
  <si>
    <t>Elijah MooreElijah Moore</t>
  </si>
  <si>
    <t>Elijah Moore</t>
  </si>
  <si>
    <t>Bal</t>
  </si>
  <si>
    <t>L 9-24</t>
  </si>
  <si>
    <t>NYJWR</t>
  </si>
  <si>
    <t>Travis KelceTravis Kelce</t>
  </si>
  <si>
    <t>Travis Kelce</t>
  </si>
  <si>
    <t>KCTE</t>
  </si>
  <si>
    <t>Antonio GibsonAntonio Gibson</t>
  </si>
  <si>
    <t>Antonio Gibson</t>
  </si>
  <si>
    <t>WshRB</t>
  </si>
  <si>
    <t>Dolphins D/STDolphins D/ST</t>
  </si>
  <si>
    <t>Dolphins D/ST</t>
  </si>
  <si>
    <t>MiaD/ST</t>
  </si>
  <si>
    <t>Evan McPhersonEvan McPherson</t>
  </si>
  <si>
    <t>Evan McPherson</t>
  </si>
  <si>
    <t>CinK</t>
  </si>
  <si>
    <t>Bengals CoachBengals Coach</t>
  </si>
  <si>
    <t>Bengals Coach</t>
  </si>
  <si>
    <t>CinHC</t>
  </si>
  <si>
    <t>Bills D/STBills D/ST</t>
  </si>
  <si>
    <t>Bills D/ST</t>
  </si>
  <si>
    <t>BufD/ST</t>
  </si>
  <si>
    <t>Chase ClaypoolChase Claypool</t>
  </si>
  <si>
    <t>Chase Claypool</t>
  </si>
  <si>
    <t>ChiWR</t>
  </si>
  <si>
    <t>Russell WilsonRussell Wilson</t>
  </si>
  <si>
    <t>Russell Wilson</t>
  </si>
  <si>
    <t>DenQB</t>
  </si>
  <si>
    <t>James RobinsonJames Robinson</t>
  </si>
  <si>
    <t>James Robinson</t>
  </si>
  <si>
    <t>NERB</t>
  </si>
  <si>
    <t>Pat FreiermuthPat Freiermuth</t>
  </si>
  <si>
    <t>Pat Freiermuth</t>
  </si>
  <si>
    <t>PitTE</t>
  </si>
  <si>
    <t>Garrett WilsonGarrett Wilson</t>
  </si>
  <si>
    <t>Garrett Wilson</t>
  </si>
  <si>
    <t>Cowboys CoachCowboys Coach</t>
  </si>
  <si>
    <t>Cowboys Coach</t>
  </si>
  <si>
    <t>DalHC</t>
  </si>
  <si>
    <t>Robbie GouldRobbie Gould</t>
  </si>
  <si>
    <t>Robbie Gould</t>
  </si>
  <si>
    <t>SFK</t>
  </si>
  <si>
    <t>Georgia Green Box Score</t>
  </si>
  <si>
    <t xml:space="preserve">Georgia Green  </t>
  </si>
  <si>
    <t>Lamar JacksonLamar Jackson</t>
  </si>
  <si>
    <t>Lamar Jackson</t>
  </si>
  <si>
    <t>BalQB</t>
  </si>
  <si>
    <t>Christian McCaffreyChristian McCaffrey</t>
  </si>
  <si>
    <t>Christian McCaffrey</t>
  </si>
  <si>
    <t>Leonard FournetteLeonard Fournette</t>
  </si>
  <si>
    <t>Leonard Fournette</t>
  </si>
  <si>
    <t>Breece HallBreece Hall</t>
  </si>
  <si>
    <t>Breece Hall</t>
  </si>
  <si>
    <t>NYJRB</t>
  </si>
  <si>
    <t>Stefon DiggsStefon Diggs</t>
  </si>
  <si>
    <t>Stefon Diggs</t>
  </si>
  <si>
    <t>BufWR</t>
  </si>
  <si>
    <t>A.J. BrownA.J. Brown</t>
  </si>
  <si>
    <t>A.J. Brown</t>
  </si>
  <si>
    <t>PhiWR</t>
  </si>
  <si>
    <t>Amon-Ra St. BrownAmon-Ra St. Brown</t>
  </si>
  <si>
    <t>Amon-Ra St. Brown</t>
  </si>
  <si>
    <t>DetWR</t>
  </si>
  <si>
    <t>Darnell MooneyDarnell Mooney</t>
  </si>
  <si>
    <t>Darnell Mooney</t>
  </si>
  <si>
    <t>Dalton SchultzDalton Schultz</t>
  </si>
  <si>
    <t>Dalton Schultz</t>
  </si>
  <si>
    <t>HouTE</t>
  </si>
  <si>
    <t>Kareem HuntKareem Hunt</t>
  </si>
  <si>
    <t>Kareem Hunt</t>
  </si>
  <si>
    <t>CleRB</t>
  </si>
  <si>
    <t>Saints D/STSaints D/ST</t>
  </si>
  <si>
    <t>Saints D/ST</t>
  </si>
  <si>
    <t>NOD/ST</t>
  </si>
  <si>
    <t>Greg JosephGreg Joseph</t>
  </si>
  <si>
    <t>Greg Joseph</t>
  </si>
  <si>
    <t>MinK</t>
  </si>
  <si>
    <t>Buccaneers CoachBuccaneers Coach</t>
  </si>
  <si>
    <t>Buccaneers Coach</t>
  </si>
  <si>
    <t>TBHC</t>
  </si>
  <si>
    <t>Kirk CousinsKirk Cousins</t>
  </si>
  <si>
    <t>Kirk Cousins</t>
  </si>
  <si>
    <t>MinQB</t>
  </si>
  <si>
    <t>Rhamondre StevensonRhamondre Stevenson</t>
  </si>
  <si>
    <t>Rhamondre Stevenson</t>
  </si>
  <si>
    <t>DeVonta SmithDeVonta Smith</t>
  </si>
  <si>
    <t>DeVonta Smith</t>
  </si>
  <si>
    <t>Hunter HenryHunter Henry</t>
  </si>
  <si>
    <t>Hunter Henry</t>
  </si>
  <si>
    <t>Robert WoodsRobert Woods</t>
  </si>
  <si>
    <t>Robert Woods</t>
  </si>
  <si>
    <t>Nick FolkNick Folk</t>
  </si>
  <si>
    <t>Nick Folk</t>
  </si>
  <si>
    <t>NEK</t>
  </si>
  <si>
    <t>Bengals D/STBengals D/ST</t>
  </si>
  <si>
    <t>Bengals D/ST</t>
  </si>
  <si>
    <t>CinD/ST</t>
  </si>
  <si>
    <t>Vikings CoachVikings Coach</t>
  </si>
  <si>
    <t>Vikings Coach</t>
  </si>
  <si>
    <t>MinHC</t>
  </si>
  <si>
    <t>Cumgetsum Yardies Box Score</t>
  </si>
  <si>
    <t xml:space="preserve">Cumgetsum Yardies  </t>
  </si>
  <si>
    <t>Josh AllenJosh Allen</t>
  </si>
  <si>
    <t>Josh Allen</t>
  </si>
  <si>
    <t>BufQB</t>
  </si>
  <si>
    <t>Aaron JonesAaron Jones</t>
  </si>
  <si>
    <t>Aaron Jones</t>
  </si>
  <si>
    <t>Tony PollardTony Pollard</t>
  </si>
  <si>
    <t>Tony Pollard</t>
  </si>
  <si>
    <t>DalRB</t>
  </si>
  <si>
    <t>Michael CarterMichael Carter</t>
  </si>
  <si>
    <t>Michael Carter</t>
  </si>
  <si>
    <t>Davante AdamsDavante Adams</t>
  </si>
  <si>
    <t>Davante Adams</t>
  </si>
  <si>
    <t>DJ MooreDJ Moore</t>
  </si>
  <si>
    <t>DJ Moore</t>
  </si>
  <si>
    <t>Gabe DavisGabe Davis</t>
  </si>
  <si>
    <t>Gabe Davis</t>
  </si>
  <si>
    <t>Chris OlaveChris Olave</t>
  </si>
  <si>
    <t>Chris Olave</t>
  </si>
  <si>
    <t>NOWR</t>
  </si>
  <si>
    <t>Zach ErtzZach Ertz</t>
  </si>
  <si>
    <t>Zach Ertz</t>
  </si>
  <si>
    <t>AriTE</t>
  </si>
  <si>
    <t>Brandon AiyukBrandon Aiyuk</t>
  </si>
  <si>
    <t>Brandon Aiyuk</t>
  </si>
  <si>
    <t>Packers D/STPackers D/ST</t>
  </si>
  <si>
    <t>Packers D/ST</t>
  </si>
  <si>
    <t>GBD/ST</t>
  </si>
  <si>
    <t>Justin TuckerJustin Tucker</t>
  </si>
  <si>
    <t>Justin Tucker</t>
  </si>
  <si>
    <t>BalK</t>
  </si>
  <si>
    <t>Bills CoachBills Coach</t>
  </si>
  <si>
    <t>Bills Coach</t>
  </si>
  <si>
    <t>BufHC</t>
  </si>
  <si>
    <t>Tom BradyTom Brady</t>
  </si>
  <si>
    <t>Tom Brady</t>
  </si>
  <si>
    <t>TBQB</t>
  </si>
  <si>
    <t>Cowboys D/STCowboys D/ST</t>
  </si>
  <si>
    <t>Cowboys D/ST</t>
  </si>
  <si>
    <t>DalD/ST</t>
  </si>
  <si>
    <t>J.K. DobbinsJ.K. Dobbins</t>
  </si>
  <si>
    <t>J.K. Dobbins</t>
  </si>
  <si>
    <t>BalRB</t>
  </si>
  <si>
    <t>Raiders CoachRaiders Coach</t>
  </si>
  <si>
    <t>Raiders Coach</t>
  </si>
  <si>
    <t>LVHC</t>
  </si>
  <si>
    <t>Hayden HurstHayden Hurst</t>
  </si>
  <si>
    <t>Hayden Hurst</t>
  </si>
  <si>
    <t>Cle</t>
  </si>
  <si>
    <t>L 24-26</t>
  </si>
  <si>
    <t>CarTE</t>
  </si>
  <si>
    <t>Matt PraterMatt Prater</t>
  </si>
  <si>
    <t>Matt Prater</t>
  </si>
  <si>
    <t>AriK</t>
  </si>
  <si>
    <t>Skyy MooreSkyy Moore</t>
  </si>
  <si>
    <t>Skyy Moore</t>
  </si>
  <si>
    <t>KCWR</t>
  </si>
  <si>
    <t>Top 20 Greatest PLAYOFF Games of all time - PVE FFL</t>
  </si>
  <si>
    <t>Nyheim HinesNyheim Hines</t>
  </si>
  <si>
    <t>Nyheim Hines</t>
  </si>
  <si>
    <t>East Atlanta Savages Box Score</t>
  </si>
  <si>
    <t xml:space="preserve">East Atlanta Savages  </t>
  </si>
  <si>
    <t>Justin HerbertJustin Herbert</t>
  </si>
  <si>
    <t>Justin Herbert</t>
  </si>
  <si>
    <t>LACQB</t>
  </si>
  <si>
    <t>Jonathan TaylorJonathan Taylor</t>
  </si>
  <si>
    <t>Jonathan Taylor</t>
  </si>
  <si>
    <t>IndRB</t>
  </si>
  <si>
    <t>Joe MixonJoe Mixon</t>
  </si>
  <si>
    <t>Joe Mixon</t>
  </si>
  <si>
    <t>CinRB</t>
  </si>
  <si>
    <t>Josh JacobsJosh Jacobs</t>
  </si>
  <si>
    <t>Josh Jacobs</t>
  </si>
  <si>
    <t>LVRB</t>
  </si>
  <si>
    <t>Mike EvansMike Evans</t>
  </si>
  <si>
    <t>Mike Evans</t>
  </si>
  <si>
    <t>CeeDee LambCeeDee Lamb</t>
  </si>
  <si>
    <t>CeeDee Lamb</t>
  </si>
  <si>
    <t>Jaylen WaddleJaylen Waddle</t>
  </si>
  <si>
    <t>Jaylen Waddle</t>
  </si>
  <si>
    <t>Amari CooperAmari Cooper</t>
  </si>
  <si>
    <t>Amari Cooper</t>
  </si>
  <si>
    <t>CleWR</t>
  </si>
  <si>
    <t>Kyle PittsKyle Pitts</t>
  </si>
  <si>
    <t>Kyle Pitts</t>
  </si>
  <si>
    <t>AtlTE</t>
  </si>
  <si>
    <t>Dameon PierceDameon Pierce</t>
  </si>
  <si>
    <t>Dameon Pierce</t>
  </si>
  <si>
    <t>Chargers D/STChargers D/ST</t>
  </si>
  <si>
    <t>Chargers D/ST</t>
  </si>
  <si>
    <t>LACD/ST</t>
  </si>
  <si>
    <t>Younghoe KooYounghoe Koo</t>
  </si>
  <si>
    <t>Younghoe Koo</t>
  </si>
  <si>
    <t>AtlK</t>
  </si>
  <si>
    <t>Chargers CoachChargers Coach</t>
  </si>
  <si>
    <t>Chargers Coach</t>
  </si>
  <si>
    <t>LACHC</t>
  </si>
  <si>
    <t>Matt RyanMatt Ryan</t>
  </si>
  <si>
    <t>Matt Ryan</t>
  </si>
  <si>
    <t>FAQB</t>
  </si>
  <si>
    <t>Buccaneers D/STBuccaneers D/ST</t>
  </si>
  <si>
    <t>Buccaneers D/ST</t>
  </si>
  <si>
    <t>TBD/ST</t>
  </si>
  <si>
    <t>Kadarius ToneyKadarius Toney</t>
  </si>
  <si>
    <t>Kadarius Toney</t>
  </si>
  <si>
    <t>Jarvis LandryJarvis Landry</t>
  </si>
  <si>
    <t>Jarvis Landry</t>
  </si>
  <si>
    <t>Alexander MattisonAlexander Mattison</t>
  </si>
  <si>
    <t>Alexander Mattison</t>
  </si>
  <si>
    <t>Noah FantNoah Fant</t>
  </si>
  <si>
    <t>Noah Fant</t>
  </si>
  <si>
    <t>SeaTE</t>
  </si>
  <si>
    <t>Graham GanoGraham Gano</t>
  </si>
  <si>
    <t>Graham Gano</t>
  </si>
  <si>
    <t>NYGK</t>
  </si>
  <si>
    <t>49ers Coach49ers Coach</t>
  </si>
  <si>
    <t>49ers Coach</t>
  </si>
  <si>
    <t>SFHC</t>
  </si>
  <si>
    <t>Uncross Your Mutts Box Score</t>
  </si>
  <si>
    <t xml:space="preserve">Uncross Your Mutts  </t>
  </si>
  <si>
    <t>Kyler MurrayKyler Murray</t>
  </si>
  <si>
    <t>Kyler Murray</t>
  </si>
  <si>
    <t>AriQB</t>
  </si>
  <si>
    <t>Derrick HenryDerrick Henry</t>
  </si>
  <si>
    <t>Derrick Henry</t>
  </si>
  <si>
    <t>L 20-21</t>
  </si>
  <si>
    <t>TenRB</t>
  </si>
  <si>
    <t>Nick ChubbNick Chubb</t>
  </si>
  <si>
    <t>Nick Chubb</t>
  </si>
  <si>
    <t>Miles SandersMiles Sanders</t>
  </si>
  <si>
    <t>Miles Sanders</t>
  </si>
  <si>
    <t>CarRB</t>
  </si>
  <si>
    <t>Justin JeffersonJustin Jefferson</t>
  </si>
  <si>
    <t>Justin Jefferson</t>
  </si>
  <si>
    <t>MinWR</t>
  </si>
  <si>
    <t>Mike WilliamsMike Williams</t>
  </si>
  <si>
    <t>Mike Williams</t>
  </si>
  <si>
    <t>JuJu Smith-SchusterJuJu Smith-Schuster</t>
  </si>
  <si>
    <t>JuJu Smith-Schuster</t>
  </si>
  <si>
    <t>NEWR</t>
  </si>
  <si>
    <t>Jerry JeudyJerry Jeudy</t>
  </si>
  <si>
    <t>Jerry Jeudy</t>
  </si>
  <si>
    <t>T.J. HockensonT.J. Hockenson</t>
  </si>
  <si>
    <t>T.J. Hockenson</t>
  </si>
  <si>
    <t>MinTE</t>
  </si>
  <si>
    <t>Michael ThomasMichael Thomas</t>
  </si>
  <si>
    <t>Michael Thomas</t>
  </si>
  <si>
    <t>Eagles D/STEagles D/ST</t>
  </si>
  <si>
    <t>Eagles D/ST</t>
  </si>
  <si>
    <t>PhiD/ST</t>
  </si>
  <si>
    <t>Harrison ButkerHarrison Butker</t>
  </si>
  <si>
    <t>Harrison Butker</t>
  </si>
  <si>
    <t>KCK</t>
  </si>
  <si>
    <t>Colts CoachColts Coach</t>
  </si>
  <si>
    <t>Colts Coach</t>
  </si>
  <si>
    <t>IndHC</t>
  </si>
  <si>
    <t>George KittleGeorge Kittle</t>
  </si>
  <si>
    <t>George Kittle</t>
  </si>
  <si>
    <t>SFTE</t>
  </si>
  <si>
    <t>Clyde Edwards-HelaireClyde Edwards-Helaire</t>
  </si>
  <si>
    <t>Clyde Edwards-Helaire</t>
  </si>
  <si>
    <t>KCRB</t>
  </si>
  <si>
    <t>Derek CarrDerek Carr</t>
  </si>
  <si>
    <t>Derek Carr</t>
  </si>
  <si>
    <t>NOQB</t>
  </si>
  <si>
    <t>Cordarrelle PattersonCordarrelle Patterson</t>
  </si>
  <si>
    <t>Cordarrelle Patterson</t>
  </si>
  <si>
    <t>AtlRB</t>
  </si>
  <si>
    <t>Allen LazardAllen Lazard</t>
  </si>
  <si>
    <t>Allen Lazard</t>
  </si>
  <si>
    <t>Steelers D/STSteelers D/ST</t>
  </si>
  <si>
    <t>Steelers D/ST</t>
  </si>
  <si>
    <t>PitD/ST</t>
  </si>
  <si>
    <t>Chiefs CoachChiefs Coach</t>
  </si>
  <si>
    <t>Chiefs Coach</t>
  </si>
  <si>
    <t>KCHC</t>
  </si>
  <si>
    <t>Jake ElliottJake Elliott</t>
  </si>
  <si>
    <t>Jake Elliott</t>
  </si>
  <si>
    <t>PhiK</t>
  </si>
  <si>
    <t>FINALE</t>
  </si>
  <si>
    <t>Most Divisonal Series Sweeps</t>
  </si>
  <si>
    <t>Kroger List</t>
  </si>
  <si>
    <t>Food Ordering</t>
  </si>
  <si>
    <t>Order Totals</t>
  </si>
  <si>
    <t>Item</t>
  </si>
  <si>
    <t>Brand</t>
  </si>
  <si>
    <t>Amount</t>
  </si>
  <si>
    <t>Cost</t>
  </si>
  <si>
    <t>Resturant</t>
  </si>
  <si>
    <t>Nacho Chips</t>
  </si>
  <si>
    <t>TOSTITOS</t>
  </si>
  <si>
    <t>Papa Johns</t>
  </si>
  <si>
    <t>12 in Pepperoni Pizza</t>
  </si>
  <si>
    <t>Kroger</t>
  </si>
  <si>
    <t>Velveta Cheese</t>
  </si>
  <si>
    <t>VELVEETA</t>
  </si>
  <si>
    <t>Rotel Salsa</t>
  </si>
  <si>
    <t>ROTEL</t>
  </si>
  <si>
    <t>Jalepenos</t>
  </si>
  <si>
    <t>MT. OLVIE</t>
  </si>
  <si>
    <t>Lettuce</t>
  </si>
  <si>
    <t>KROGER</t>
  </si>
  <si>
    <t>Tomatos</t>
  </si>
  <si>
    <t>Diced Onions</t>
  </si>
  <si>
    <t>Ground Beef</t>
  </si>
  <si>
    <t>Sour Cream</t>
  </si>
  <si>
    <t>DAISY</t>
  </si>
  <si>
    <t>Taco Sauce</t>
  </si>
  <si>
    <t>Cokes, MINI</t>
  </si>
  <si>
    <t>COCA-COLA</t>
  </si>
  <si>
    <t>Sprites, MINI</t>
  </si>
  <si>
    <t>SPRITE</t>
  </si>
  <si>
    <t>Alcohol</t>
  </si>
  <si>
    <t>MIKE'S HARD</t>
  </si>
  <si>
    <t>Cooler</t>
  </si>
  <si>
    <t>CRYOPAK</t>
  </si>
  <si>
    <t>Ice</t>
  </si>
  <si>
    <t>REDDY ICE</t>
  </si>
  <si>
    <t>Cookie Dough</t>
  </si>
  <si>
    <t>TOLL HOUSE</t>
  </si>
  <si>
    <t>Water bottle</t>
  </si>
  <si>
    <t>Longest Win Streak</t>
  </si>
  <si>
    <t>Top 20 Worst PLAYOFF Games of all time - PVE FFL</t>
  </si>
  <si>
    <t>Player Position Stats</t>
  </si>
  <si>
    <t>Highest score</t>
  </si>
  <si>
    <t>y</t>
  </si>
  <si>
    <t/>
  </si>
  <si>
    <r>
      <rPr>
        <rFont val="Ubuntu"/>
        <color rgb="FF0066CC"/>
        <sz val="12.0"/>
      </rPr>
      <t>Uncross Your Mutt</t>
    </r>
    <r>
      <rPr>
        <rFont val="Ubuntu"/>
        <color rgb="FF797B7D"/>
        <sz val="12.0"/>
      </rPr>
      <t>(7-6-0)</t>
    </r>
  </si>
  <si>
    <r>
      <rPr>
        <rFont val="Ubuntu"/>
        <color rgb="FF0066CC"/>
        <sz val="12.0"/>
      </rPr>
      <t>Cumgetsum Yardies</t>
    </r>
    <r>
      <rPr>
        <rFont val="Ubuntu"/>
        <color rgb="FF797B7D"/>
        <sz val="12.0"/>
      </rPr>
      <t>(5-8-0)</t>
    </r>
  </si>
  <si>
    <r>
      <rPr>
        <rFont val="Ubuntu"/>
        <b/>
        <color rgb="FF0066CC"/>
        <sz val="12.0"/>
      </rPr>
      <t>Bandera Decoupes</t>
    </r>
    <r>
      <rPr>
        <rFont val="Ubuntu"/>
        <b/>
        <color rgb="FF797B7D"/>
        <sz val="12.0"/>
      </rPr>
      <t>(6-7-0)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</si>
  <si>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</si>
  <si>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</si>
  <si>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</si>
  <si>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color rgb="FF0066CC"/>
        <sz val="12.0"/>
      </rPr>
      <t>Muthafkn Dec MookDawg</t>
    </r>
    <r>
      <rPr>
        <rFont val="Ubuntu"/>
        <color rgb="FF797B7D"/>
        <sz val="12.0"/>
      </rPr>
      <t>(8-5-0)</t>
    </r>
  </si>
  <si>
    <r>
      <rPr>
        <rFont val="Ubuntu"/>
        <color rgb="FF0066CC"/>
        <sz val="12.0"/>
      </rPr>
      <t>DN-VILLE Deeez Nuuutts!</t>
    </r>
    <r>
      <rPr>
        <rFont val="Ubuntu"/>
        <color rgb="FF797B7D"/>
        <sz val="12.0"/>
      </rPr>
      <t>(6-7-0)</t>
    </r>
  </si>
  <si>
    <r>
      <rPr>
        <rFont val="Ubuntu"/>
        <color rgb="FF0066CC"/>
        <sz val="12.0"/>
      </rPr>
      <t>Uncross Your Mutt</t>
    </r>
    <r>
      <rPr>
        <rFont val="Ubuntu"/>
        <color rgb="FF797B7D"/>
        <sz val="12.0"/>
      </rPr>
      <t>(7-6-0)</t>
    </r>
  </si>
  <si>
    <r>
      <rPr>
        <rFont val="Ubuntu"/>
        <color rgb="FF0066CC"/>
        <sz val="12.0"/>
      </rPr>
      <t>East Atlanta Savages</t>
    </r>
    <r>
      <rPr>
        <rFont val="Ubuntu"/>
        <color rgb="FF797B7D"/>
        <sz val="12.0"/>
      </rPr>
      <t>(9-4-0)</t>
    </r>
  </si>
  <si>
    <r>
      <rPr>
        <rFont val="Ubuntu"/>
        <color rgb="FF0066CC"/>
        <sz val="12.0"/>
      </rPr>
      <t>West End Popeyes</t>
    </r>
    <r>
      <rPr>
        <rFont val="Ubuntu"/>
        <color rgb="FF797B7D"/>
        <sz val="12.0"/>
      </rPr>
      <t>(5-8-0)</t>
    </r>
  </si>
  <si>
    <r>
      <rPr>
        <rFont val="Ubuntu"/>
        <color rgb="FF0066CC"/>
        <sz val="12.0"/>
      </rPr>
      <t>DN-VILLE Deeez Nuuutts!</t>
    </r>
    <r>
      <rPr>
        <rFont val="Ubuntu"/>
        <color rgb="FF797B7D"/>
        <sz val="12.0"/>
      </rPr>
      <t>(6-7-0)</t>
    </r>
  </si>
  <si>
    <r>
      <rPr>
        <rFont val="Ubuntu"/>
        <color rgb="FF0066CC"/>
        <sz val="12.0"/>
      </rPr>
      <t>Muthafkn Dec MookDawg</t>
    </r>
    <r>
      <rPr>
        <rFont val="Ubuntu"/>
        <color rgb="FF797B7D"/>
        <sz val="12.0"/>
      </rPr>
      <t>(8-5-0)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</si>
  <si>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</si>
  <si>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(5-8-0)</t>
    </r>
  </si>
  <si>
    <r>
      <rPr>
        <rFont val="Ubuntu"/>
        <b/>
        <color rgb="FF0066CC"/>
        <sz val="12.0"/>
      </rPr>
      <t>Bandera Decoupes</t>
    </r>
    <r>
      <rPr>
        <rFont val="Ubuntu"/>
        <b/>
        <color rgb="FF797B7D"/>
        <sz val="12.0"/>
      </rPr>
      <t>(6-7-0)</t>
    </r>
  </si>
  <si>
    <r>
      <rPr>
        <rFont val="Ubuntu"/>
        <color rgb="FF0066CC"/>
        <sz val="12.0"/>
      </rPr>
      <t>East Atlanta Savages</t>
    </r>
    <r>
      <rPr>
        <rFont val="Ubuntu"/>
        <color rgb="FF797B7D"/>
        <sz val="12.0"/>
      </rPr>
      <t>(9-4-0)</t>
    </r>
  </si>
  <si>
    <r>
      <rPr>
        <rFont val="Ubuntu"/>
        <b/>
        <color rgb="FF0066CC"/>
        <sz val="12.0"/>
      </rPr>
      <t>Bandera Decoupes</t>
    </r>
    <r>
      <rPr>
        <rFont val="Ubuntu"/>
        <b/>
        <color rgb="FF797B7D"/>
        <sz val="12.0"/>
      </rPr>
      <t>(6-7-0)</t>
    </r>
  </si>
  <si>
    <r>
      <rPr>
        <rFont val="Ubuntu"/>
        <color rgb="FF0066CC"/>
        <sz val="12.0"/>
      </rPr>
      <t>DN-VILLE Deeez Nuuutts!</t>
    </r>
    <r>
      <rPr>
        <rFont val="Ubuntu"/>
        <color rgb="FF797B7D"/>
        <sz val="12.0"/>
      </rPr>
      <t>(6-7-0)</t>
    </r>
  </si>
  <si>
    <r>
      <rPr>
        <rFont val="Ubuntu"/>
        <color rgb="FF0066CC"/>
        <sz val="12.0"/>
      </rPr>
      <t>Uncross Your Mutt</t>
    </r>
    <r>
      <rPr>
        <rFont val="Ubuntu"/>
        <color rgb="FF797B7D"/>
        <sz val="12.0"/>
      </rPr>
      <t>(7-6-0)</t>
    </r>
  </si>
  <si>
    <r>
      <rPr>
        <rFont val="Ubuntu"/>
        <color rgb="FF0066CC"/>
        <sz val="12.0"/>
      </rPr>
      <t>Georgia Green</t>
    </r>
    <r>
      <rPr>
        <rFont val="Ubuntu"/>
        <color rgb="FF797B7D"/>
        <sz val="12.0"/>
      </rPr>
      <t>(6-7-0)</t>
    </r>
  </si>
  <si>
    <r>
      <rPr>
        <rFont val="Ubuntu"/>
        <color rgb="FF0066CC"/>
        <sz val="12.0"/>
      </rPr>
      <t>West End Popeyes</t>
    </r>
    <r>
      <rPr>
        <rFont val="Ubuntu"/>
        <color rgb="FF797B7D"/>
        <sz val="12.0"/>
      </rPr>
      <t>(5-8-0)</t>
    </r>
  </si>
  <si>
    <r>
      <rPr>
        <rFont val="Ubuntu"/>
        <color rgb="FF0066CC"/>
        <sz val="12.0"/>
      </rPr>
      <t>Cumgetsum Yardies</t>
    </r>
    <r>
      <rPr>
        <rFont val="Ubuntu"/>
        <color rgb="FF797B7D"/>
        <sz val="12.0"/>
      </rPr>
      <t>(5-8-0)</t>
    </r>
  </si>
  <si>
    <r>
      <rPr>
        <rFont val="Ubuntu"/>
        <color rgb="FF0066CC"/>
        <sz val="12.0"/>
      </rPr>
      <t>Muthafkn Dec MookDawg</t>
    </r>
    <r>
      <rPr>
        <rFont val="Ubuntu"/>
        <color rgb="FF797B7D"/>
        <sz val="12.0"/>
      </rPr>
      <t>(8-5-0)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</si>
  <si>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</si>
  <si>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(9-4-0)</t>
    </r>
  </si>
  <si>
    <r>
      <rPr>
        <rFont val="Ubuntu"/>
        <color rgb="FF0066CC"/>
        <sz val="12.0"/>
      </rPr>
      <t>Uncross Your Mutt</t>
    </r>
    <r>
      <rPr>
        <rFont val="Ubuntu"/>
        <color rgb="FF797B7D"/>
        <sz val="12.0"/>
      </rPr>
      <t>(7-6-0)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</si>
  <si>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</si>
  <si>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(5-8-0)</t>
    </r>
  </si>
  <si>
    <r>
      <rPr>
        <rFont val="Ubuntu"/>
        <color rgb="FF0066CC"/>
        <sz val="12.0"/>
      </rPr>
      <t>West End Popeyes</t>
    </r>
    <r>
      <rPr>
        <rFont val="Ubuntu"/>
        <color rgb="FF797B7D"/>
        <sz val="12.0"/>
      </rPr>
      <t>(5-8-0)</t>
    </r>
  </si>
  <si>
    <r>
      <rPr>
        <rFont val="Ubuntu"/>
        <b/>
        <color rgb="FF0066CC"/>
        <sz val="12.0"/>
      </rPr>
      <t>Bandera Decoupes</t>
    </r>
    <r>
      <rPr>
        <rFont val="Ubuntu"/>
        <b/>
        <color rgb="FF797B7D"/>
        <sz val="12.0"/>
      </rPr>
      <t>(6-7-0)</t>
    </r>
  </si>
  <si>
    <r>
      <rPr>
        <rFont val="Ubuntu"/>
        <color rgb="FF0066CC"/>
        <sz val="12.0"/>
      </rPr>
      <t>DN-VILLE Deeez Nuuutts!</t>
    </r>
    <r>
      <rPr>
        <rFont val="Ubuntu"/>
        <color rgb="FF797B7D"/>
        <sz val="12.0"/>
      </rPr>
      <t>(6-7-0)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</si>
  <si>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</si>
  <si>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</si>
  <si>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</si>
  <si>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(6-7-0)</t>
    </r>
  </si>
  <si>
    <r>
      <rPr>
        <rFont val="Ubuntu"/>
        <color rgb="FF0066CC"/>
        <sz val="12.0"/>
      </rPr>
      <t>DN-VILLE Deeez Nuuutts!</t>
    </r>
    <r>
      <rPr>
        <rFont val="Ubuntu"/>
        <color rgb="FF797B7D"/>
        <sz val="12.0"/>
      </rPr>
      <t>(6-7-0)</t>
    </r>
  </si>
  <si>
    <r>
      <rPr>
        <rFont val="Ubuntu"/>
        <color rgb="FF0066CC"/>
        <sz val="12.0"/>
      </rPr>
      <t>Cumgetsum Yardies</t>
    </r>
    <r>
      <rPr>
        <rFont val="Ubuntu"/>
        <color rgb="FF797B7D"/>
        <sz val="12.0"/>
      </rPr>
      <t>(5-8-0)</t>
    </r>
  </si>
  <si>
    <r>
      <rPr>
        <rFont val="Ubuntu"/>
        <color rgb="FF0066CC"/>
        <sz val="12.0"/>
      </rPr>
      <t>Muthafkn Dec MookDawg</t>
    </r>
    <r>
      <rPr>
        <rFont val="Ubuntu"/>
        <color rgb="FF797B7D"/>
        <sz val="12.0"/>
      </rPr>
      <t>(8-5-0)</t>
    </r>
  </si>
  <si>
    <r>
      <rPr>
        <rFont val="Ubuntu"/>
        <color rgb="FF0066CC"/>
        <sz val="12.0"/>
      </rPr>
      <t>Uncross Your Mutt</t>
    </r>
    <r>
      <rPr>
        <rFont val="Ubuntu"/>
        <color rgb="FF797B7D"/>
        <sz val="12.0"/>
      </rPr>
      <t>(7-6-0)</t>
    </r>
  </si>
  <si>
    <r>
      <rPr>
        <rFont val="Ubuntu"/>
        <color rgb="FF0066CC"/>
        <sz val="12.0"/>
      </rPr>
      <t>East Atlanta Savages</t>
    </r>
    <r>
      <rPr>
        <rFont val="Ubuntu"/>
        <color rgb="FF797B7D"/>
        <sz val="12.0"/>
      </rPr>
      <t>(9-4-0)</t>
    </r>
  </si>
  <si>
    <r>
      <rPr>
        <rFont val="Ubuntu"/>
        <b/>
        <color rgb="FF0066CC"/>
        <sz val="12.0"/>
      </rPr>
      <t>Bandera Decoupes</t>
    </r>
    <r>
      <rPr>
        <rFont val="Ubuntu"/>
        <b/>
        <color rgb="FF797B7D"/>
        <sz val="12.0"/>
      </rPr>
      <t>(6-7-0)</t>
    </r>
  </si>
  <si>
    <r>
      <rPr>
        <rFont val="Ubuntu"/>
        <color rgb="FF0066CC"/>
        <sz val="12.0"/>
      </rPr>
      <t>Uncross Your Mutt</t>
    </r>
    <r>
      <rPr>
        <rFont val="Ubuntu"/>
        <color rgb="FF797B7D"/>
        <sz val="12.0"/>
      </rPr>
      <t>(7-6-0)</t>
    </r>
  </si>
  <si>
    <r>
      <rPr>
        <rFont val="Ubuntu"/>
        <color rgb="FF0066CC"/>
        <sz val="12.0"/>
      </rPr>
      <t>Cumgetsum Yardies</t>
    </r>
    <r>
      <rPr>
        <rFont val="Ubuntu"/>
        <color rgb="FF797B7D"/>
        <sz val="12.0"/>
      </rPr>
      <t>(5-8-0)</t>
    </r>
  </si>
  <si>
    <r>
      <rPr>
        <rFont val="Ubuntu"/>
        <color rgb="FF0066CC"/>
        <sz val="12.0"/>
      </rPr>
      <t>DN-VILLE Deeez Nuuutts!</t>
    </r>
    <r>
      <rPr>
        <rFont val="Ubuntu"/>
        <color rgb="FF797B7D"/>
        <sz val="12.0"/>
      </rPr>
      <t>(6-7-0)</t>
    </r>
  </si>
  <si>
    <r>
      <rPr>
        <rFont val="Ubuntu"/>
        <color rgb="FF0066CC"/>
        <sz val="12.0"/>
      </rPr>
      <t>Muthafkn Dec MookDawg</t>
    </r>
    <r>
      <rPr>
        <rFont val="Ubuntu"/>
        <color rgb="FF797B7D"/>
        <sz val="12.0"/>
      </rPr>
      <t>(8-5-0)</t>
    </r>
  </si>
  <si>
    <r>
      <rPr>
        <rFont val="Ubuntu"/>
        <color rgb="FF0066CC"/>
        <sz val="12.0"/>
      </rPr>
      <t>Georgia Green</t>
    </r>
    <r>
      <rPr>
        <rFont val="Ubuntu"/>
        <color rgb="FF797B7D"/>
        <sz val="12.0"/>
      </rPr>
      <t>(6-7-0)</t>
    </r>
  </si>
  <si>
    <r>
      <rPr>
        <rFont val="Ubuntu"/>
        <color rgb="FF0066CC"/>
        <sz val="12.0"/>
      </rPr>
      <t>West End Popeyes</t>
    </r>
    <r>
      <rPr>
        <rFont val="Ubuntu"/>
        <color rgb="FF797B7D"/>
        <sz val="12.0"/>
      </rPr>
      <t>(5-8-0)</t>
    </r>
  </si>
  <si>
    <r>
      <rPr>
        <rFont val="Ubuntu"/>
        <b/>
        <color rgb="FF0066CC"/>
        <sz val="12.0"/>
      </rPr>
      <t>Bandera Decoupes</t>
    </r>
    <r>
      <rPr>
        <rFont val="Ubuntu"/>
        <b/>
        <color rgb="FF797B7D"/>
        <sz val="12.0"/>
      </rPr>
      <t>(6-7-0)</t>
    </r>
  </si>
  <si>
    <r>
      <rPr>
        <rFont val="Ubuntu"/>
        <color rgb="FF0066CC"/>
        <sz val="12.0"/>
      </rPr>
      <t>Uncross Your Mutt</t>
    </r>
    <r>
      <rPr>
        <rFont val="Ubuntu"/>
        <color rgb="FF797B7D"/>
        <sz val="12.0"/>
      </rPr>
      <t>(7-6-0)</t>
    </r>
  </si>
  <si>
    <r>
      <rPr>
        <rFont val="Ubuntu"/>
        <color rgb="FF0066CC"/>
        <sz val="12.0"/>
      </rPr>
      <t>West End Popeyes</t>
    </r>
    <r>
      <rPr>
        <rFont val="Ubuntu"/>
        <color rgb="FF797B7D"/>
        <sz val="12.0"/>
      </rPr>
      <t>(5-8-0)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</si>
  <si>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</si>
  <si>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(9-4-0)</t>
    </r>
  </si>
  <si>
    <r>
      <rPr>
        <rFont val="Ubuntu"/>
        <color rgb="FF0066CC"/>
        <sz val="12.0"/>
      </rPr>
      <t>Cumgetsum Yardies</t>
    </r>
    <r>
      <rPr>
        <rFont val="Ubuntu"/>
        <color rgb="FF797B7D"/>
        <sz val="12.0"/>
      </rPr>
      <t>(5-8-0)</t>
    </r>
  </si>
  <si>
    <r>
      <rPr>
        <rFont val="Ubuntu"/>
        <color rgb="FF0066CC"/>
        <sz val="12.0"/>
      </rPr>
      <t>DN-VILLE Deeez Nuuutts!</t>
    </r>
    <r>
      <rPr>
        <rFont val="Ubuntu"/>
        <color rgb="FF797B7D"/>
        <sz val="12.0"/>
      </rPr>
      <t>(6-7-0)</t>
    </r>
  </si>
  <si>
    <r>
      <rPr>
        <rFont val="Ubuntu"/>
        <color rgb="FF0066CC"/>
        <sz val="12.0"/>
      </rPr>
      <t>Georgia Green</t>
    </r>
    <r>
      <rPr>
        <rFont val="Ubuntu"/>
        <color rgb="FF797B7D"/>
        <sz val="12.0"/>
      </rPr>
      <t>(6-7-0)</t>
    </r>
  </si>
  <si>
    <r>
      <rPr>
        <rFont val="Ubuntu"/>
        <color rgb="FF0066CC"/>
        <sz val="12.0"/>
      </rPr>
      <t>DN-VILLE Deeez Nuuutts!</t>
    </r>
    <r>
      <rPr>
        <rFont val="Ubuntu"/>
        <color rgb="FF797B7D"/>
        <sz val="12.0"/>
      </rPr>
      <t>(6-7-0)</t>
    </r>
  </si>
  <si>
    <r>
      <rPr>
        <rFont val="Ubuntu"/>
        <color rgb="FF0066CC"/>
        <sz val="12.0"/>
      </rPr>
      <t>Uncross Your Mutt</t>
    </r>
    <r>
      <rPr>
        <rFont val="Ubuntu"/>
        <color rgb="FF797B7D"/>
        <sz val="12.0"/>
      </rPr>
      <t>(7-6-0)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</si>
  <si>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</si>
  <si>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</si>
  <si>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</si>
  <si>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(6-7-0)</t>
    </r>
  </si>
  <si>
    <r>
      <rPr>
        <rFont val="Ubuntu"/>
        <color rgb="FF0066CC"/>
        <sz val="12.0"/>
      </rPr>
      <t>Cumgetsum Yardies</t>
    </r>
    <r>
      <rPr>
        <rFont val="Ubuntu"/>
        <color rgb="FF797B7D"/>
        <sz val="12.0"/>
      </rPr>
      <t>(5-8-0)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</si>
  <si>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</si>
  <si>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</si>
  <si>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</si>
  <si>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(6-7-0)</t>
    </r>
  </si>
  <si>
    <r>
      <rPr>
        <rFont val="Ubuntu"/>
        <color rgb="FF0066CC"/>
        <sz val="12.0"/>
      </rPr>
      <t>West End Popeyes</t>
    </r>
    <r>
      <rPr>
        <rFont val="Ubuntu"/>
        <color rgb="FF797B7D"/>
        <sz val="12.0"/>
      </rPr>
      <t>(5-8-0)</t>
    </r>
  </si>
  <si>
    <r>
      <rPr>
        <rFont val="Ubuntu"/>
        <color rgb="FF0066CC"/>
        <sz val="12.0"/>
      </rPr>
      <t>Uncross Your Mutt</t>
    </r>
    <r>
      <rPr>
        <rFont val="Ubuntu"/>
        <color rgb="FF797B7D"/>
        <sz val="12.0"/>
      </rPr>
      <t>(7-6-0)</t>
    </r>
  </si>
  <si>
    <r>
      <rPr>
        <rFont val="Ubuntu"/>
        <color rgb="FF0066CC"/>
        <sz val="12.0"/>
      </rPr>
      <t>Muthafkn Dec MookDawg</t>
    </r>
    <r>
      <rPr>
        <rFont val="Ubuntu"/>
        <color rgb="FF797B7D"/>
        <sz val="12.0"/>
      </rPr>
      <t>(8-5-0)</t>
    </r>
  </si>
  <si>
    <r>
      <rPr>
        <rFont val="Ubuntu"/>
        <color rgb="FF0066CC"/>
        <sz val="12.0"/>
      </rPr>
      <t>Cumgetsum Yardies</t>
    </r>
    <r>
      <rPr>
        <rFont val="Ubuntu"/>
        <color rgb="FF797B7D"/>
        <sz val="12.0"/>
      </rPr>
      <t>(5-8-0)</t>
    </r>
  </si>
  <si>
    <r>
      <rPr>
        <rFont val="Ubuntu"/>
        <color rgb="FF0066CC"/>
        <sz val="12.0"/>
      </rPr>
      <t>DN-VILLE Deeez Nuuutts!</t>
    </r>
    <r>
      <rPr>
        <rFont val="Ubuntu"/>
        <color rgb="FF797B7D"/>
        <sz val="12.0"/>
      </rPr>
      <t>(6-7-0)</t>
    </r>
  </si>
  <si>
    <r>
      <rPr>
        <rFont val="Ubuntu"/>
        <color rgb="FF0066CC"/>
        <sz val="12.0"/>
      </rPr>
      <t>East Atlanta Savages</t>
    </r>
    <r>
      <rPr>
        <rFont val="Ubuntu"/>
        <color rgb="FF797B7D"/>
        <sz val="12.0"/>
      </rPr>
      <t>(9-4-0)</t>
    </r>
  </si>
  <si>
    <r>
      <rPr>
        <rFont val="Ubuntu"/>
        <color rgb="FF0066CC"/>
        <sz val="12.0"/>
      </rPr>
      <t>DN-VILLE Deeez Nuuutts!</t>
    </r>
    <r>
      <rPr>
        <rFont val="Ubuntu"/>
        <color rgb="FF797B7D"/>
        <sz val="12.0"/>
      </rPr>
      <t>(6-7-0)</t>
    </r>
  </si>
  <si>
    <r>
      <rPr>
        <rFont val="Ubuntu"/>
        <color rgb="FF0066CC"/>
        <sz val="12.0"/>
      </rPr>
      <t>Muthafkn Dec MookDawg</t>
    </r>
    <r>
      <rPr>
        <rFont val="Ubuntu"/>
        <color rgb="FF797B7D"/>
        <sz val="12.0"/>
      </rPr>
      <t>(8-5-0)</t>
    </r>
  </si>
  <si>
    <r>
      <rPr>
        <rFont val="Ubuntu"/>
        <b/>
        <color rgb="FF0066CC"/>
        <sz val="12.0"/>
      </rPr>
      <t>Bandera Decoupes</t>
    </r>
    <r>
      <rPr>
        <rFont val="Ubuntu"/>
        <b/>
        <color rgb="FF797B7D"/>
        <sz val="12.0"/>
      </rPr>
      <t>(6-7-0)</t>
    </r>
  </si>
  <si>
    <r>
      <rPr>
        <rFont val="Ubuntu"/>
        <color rgb="FF0066CC"/>
        <sz val="12.0"/>
      </rPr>
      <t>West End Popeyes</t>
    </r>
    <r>
      <rPr>
        <rFont val="Ubuntu"/>
        <color rgb="FF797B7D"/>
        <sz val="12.0"/>
      </rPr>
      <t>(5-8-0)</t>
    </r>
  </si>
  <si>
    <r>
      <rPr>
        <rFont val="Ubuntu"/>
        <color rgb="FF0066CC"/>
        <sz val="12.0"/>
      </rPr>
      <t>Uncross Your Mutt</t>
    </r>
    <r>
      <rPr>
        <rFont val="Ubuntu"/>
        <color rgb="FF797B7D"/>
        <sz val="12.0"/>
      </rPr>
      <t>(7-6-0)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</si>
  <si>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</si>
  <si>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(5-8-0)</t>
    </r>
  </si>
  <si>
    <t>TEAM MANAGER(S)</t>
  </si>
  <si>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</si>
  <si>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</si>
  <si>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t>Georgia Green </t>
  </si>
  <si>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</si>
  <si>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(6-7-0)</t>
    </r>
  </si>
  <si>
    <r>
      <rPr>
        <rFont val="Ubuntu"/>
        <color rgb="FF0066CC"/>
        <sz val="12.0"/>
      </rPr>
      <t>Cumgetsum Yardies</t>
    </r>
    <r>
      <rPr>
        <rFont val="Ubuntu"/>
        <color rgb="FF797B7D"/>
        <sz val="12.0"/>
      </rPr>
      <t>(9-5-0)</t>
    </r>
  </si>
  <si>
    <r>
      <rPr>
        <rFont val="Ubuntu"/>
        <color rgb="FF0066CC"/>
        <sz val="12.0"/>
      </rPr>
      <t>West End Popeyes</t>
    </r>
    <r>
      <rPr>
        <rFont val="Ubuntu"/>
        <color rgb="FF797B7D"/>
        <sz val="12.0"/>
      </rPr>
      <t>(5-8-0)</t>
    </r>
  </si>
  <si>
    <r>
      <rPr>
        <rFont val="Ubuntu"/>
        <color rgb="FF0066CC"/>
        <sz val="12.0"/>
      </rPr>
      <t>West End Popeyes</t>
    </r>
    <r>
      <rPr>
        <rFont val="Ubuntu"/>
        <color rgb="FF797B7D"/>
        <sz val="12.0"/>
      </rPr>
      <t>(6-8-0)</t>
    </r>
  </si>
  <si>
    <r>
      <rPr>
        <rFont val="Ubuntu"/>
        <color rgb="FF0066CC"/>
        <sz val="12.0"/>
      </rPr>
      <t>Down South Champs</t>
    </r>
    <r>
      <rPr>
        <rFont val="Ubuntu"/>
        <color rgb="FF797B7D"/>
        <sz val="12.0"/>
      </rPr>
      <t>(6-8-0)</t>
    </r>
  </si>
  <si>
    <t>Christine Morris</t>
  </si>
  <si>
    <t>Anthony Morris</t>
  </si>
  <si>
    <t>Bandera Decoupes</t>
  </si>
  <si>
    <r>
      <rPr>
        <rFont val="Ubuntu"/>
        <color rgb="FF0066CC"/>
        <sz val="12.0"/>
      </rPr>
      <t>East Atlanta Savages</t>
    </r>
    <r>
      <rPr>
        <rFont val="Ubuntu"/>
        <color rgb="FF797B7D"/>
        <sz val="12.0"/>
      </rPr>
      <t>(5-9-0)</t>
    </r>
  </si>
  <si>
    <r>
      <rPr>
        <rFont val="Ubuntu"/>
        <color rgb="FF0066CC"/>
        <sz val="12.0"/>
      </rPr>
      <t>Muthafkn Dec MookDawg</t>
    </r>
    <r>
      <rPr>
        <rFont val="Ubuntu"/>
        <color rgb="FF797B7D"/>
        <sz val="12.0"/>
      </rPr>
      <t>(8-5-0)</t>
    </r>
  </si>
  <si>
    <r>
      <rPr>
        <rFont val="Ubuntu"/>
        <color rgb="FF0066CC"/>
        <sz val="12.0"/>
      </rPr>
      <t>Cumgetsum Yardies</t>
    </r>
    <r>
      <rPr>
        <rFont val="Ubuntu"/>
        <color rgb="FF797B7D"/>
        <sz val="12.0"/>
      </rPr>
      <t>(5-8-0)</t>
    </r>
  </si>
  <si>
    <r>
      <rPr>
        <rFont val="Ubuntu"/>
        <color rgb="FF0066CC"/>
        <sz val="12.0"/>
      </rPr>
      <t>Decatur MetaMookDawgs</t>
    </r>
    <r>
      <rPr>
        <rFont val="Ubuntu"/>
        <color rgb="FF797B7D"/>
        <sz val="12.0"/>
      </rPr>
      <t>(5-9-0)</t>
    </r>
  </si>
  <si>
    <t>Morris</t>
  </si>
  <si>
    <r>
      <rPr>
        <rFont val="Ubuntu"/>
        <color rgb="FF0066CC"/>
        <sz val="12.0"/>
      </rPr>
      <t>Uncross Your Mutt</t>
    </r>
    <r>
      <rPr>
        <rFont val="Ubuntu"/>
        <color rgb="FF797B7D"/>
        <sz val="12.0"/>
      </rPr>
      <t>(7-6-0)</t>
    </r>
  </si>
  <si>
    <r>
      <rPr>
        <rFont val="Ubuntu"/>
        <color rgb="FF0066CC"/>
        <sz val="12.0"/>
      </rPr>
      <t>DN-VILLE Deeez Nuuutts!</t>
    </r>
    <r>
      <rPr>
        <rFont val="Ubuntu"/>
        <color rgb="FF797B7D"/>
        <sz val="12.0"/>
      </rPr>
      <t>(6-7-0)</t>
    </r>
  </si>
  <si>
    <r>
      <rPr>
        <rFont val="Ubuntu"/>
        <color rgb="FF0066CC"/>
        <sz val="12.0"/>
      </rPr>
      <t>West End Popeyes</t>
    </r>
    <r>
      <rPr>
        <rFont val="Ubuntu"/>
        <color rgb="FF797B7D"/>
        <sz val="12.0"/>
      </rPr>
      <t>(6-8-0)</t>
    </r>
  </si>
  <si>
    <r>
      <rPr>
        <rFont val="Ubuntu"/>
        <color rgb="FF0066CC"/>
        <sz val="12.0"/>
      </rPr>
      <t>Uncross Your Mutts</t>
    </r>
    <r>
      <rPr>
        <rFont val="Ubuntu"/>
        <color rgb="FF797B7D"/>
        <sz val="12.0"/>
      </rPr>
      <t>(9-5-0)</t>
    </r>
  </si>
  <si>
    <r>
      <rPr>
        <rFont val="Ubuntu"/>
        <color rgb="FF0066CC"/>
        <sz val="12.0"/>
      </rPr>
      <t>Cumgetsum Yardies</t>
    </r>
    <r>
      <rPr>
        <rFont val="Ubuntu"/>
        <color rgb="FF797B7D"/>
        <sz val="12.0"/>
      </rPr>
      <t>(9-5-0)</t>
    </r>
  </si>
  <si>
    <t> Sr</t>
  </si>
  <si>
    <r>
      <rPr>
        <rFont val="Ubuntu"/>
        <color rgb="FF0066CC"/>
        <sz val="12.0"/>
      </rPr>
      <t>Decatur MetaMookDawgs</t>
    </r>
    <r>
      <rPr>
        <rFont val="Ubuntu"/>
        <color rgb="FF797B7D"/>
        <sz val="12.0"/>
      </rPr>
      <t>(5-9-0)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</si>
  <si>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</si>
  <si>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(9-4-0)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</si>
  <si>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</si>
  <si>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(8-6-0)</t>
    </r>
  </si>
  <si>
    <r>
      <rPr>
        <rFont val="Ubuntu"/>
        <color rgb="FF0066CC"/>
        <sz val="12.0"/>
      </rPr>
      <t>East Atlanta Savages</t>
    </r>
    <r>
      <rPr>
        <rFont val="Ubuntu"/>
        <color rgb="FF797B7D"/>
        <sz val="12.0"/>
      </rPr>
      <t>(5-9-0)</t>
    </r>
  </si>
  <si>
    <r>
      <rPr>
        <rFont val="Ubuntu"/>
        <color rgb="FF0066CC"/>
        <sz val="12.0"/>
      </rPr>
      <t>DN-VILLE Deeez Nuuutts!</t>
    </r>
    <r>
      <rPr>
        <rFont val="Ubuntu"/>
        <color rgb="FF797B7D"/>
        <sz val="12.0"/>
      </rPr>
      <t>(6-7-0)</t>
    </r>
  </si>
  <si>
    <r>
      <rPr>
        <rFont val="Ubuntu"/>
        <color rgb="FF0066CC"/>
        <sz val="12.0"/>
      </rPr>
      <t>Cumgetsum Yardies</t>
    </r>
    <r>
      <rPr>
        <rFont val="Ubuntu"/>
        <color rgb="FF797B7D"/>
        <sz val="12.0"/>
      </rPr>
      <t>(5-8-0)</t>
    </r>
  </si>
  <si>
    <r>
      <rPr>
        <rFont val="Ubuntu"/>
        <color rgb="FF0066CC"/>
        <sz val="12.0"/>
      </rPr>
      <t>Decatur MetaMookDawgs</t>
    </r>
    <r>
      <rPr>
        <rFont val="Ubuntu"/>
        <color rgb="FF797B7D"/>
        <sz val="12.0"/>
      </rPr>
      <t>(5-9-0)</t>
    </r>
  </si>
  <si>
    <t>Green</t>
  </si>
  <si>
    <t>(8-6-0)</t>
  </si>
  <si>
    <r>
      <rPr>
        <rFont val="Ubuntu"/>
        <color rgb="FF0066CC"/>
        <sz val="12.0"/>
      </rPr>
      <t>Uncross Your Mutt</t>
    </r>
    <r>
      <rPr>
        <rFont val="Ubuntu"/>
        <color rgb="FF797B7D"/>
        <sz val="12.0"/>
      </rPr>
      <t>(7-6-0)</t>
    </r>
  </si>
  <si>
    <r>
      <rPr>
        <rFont val="Ubuntu"/>
        <color rgb="FF0066CC"/>
        <sz val="12.0"/>
      </rPr>
      <t>Uncross Your Mutts</t>
    </r>
    <r>
      <rPr>
        <rFont val="Ubuntu"/>
        <color rgb="FF797B7D"/>
        <sz val="12.0"/>
      </rPr>
      <t>(9-5-0)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</si>
  <si>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</si>
  <si>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</si>
  <si>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(9-5-0)</t>
    </r>
  </si>
  <si>
    <r>
      <rPr>
        <rFont val="Ubuntu"/>
        <b/>
        <color rgb="FF0066CC"/>
        <sz val="12.0"/>
      </rPr>
      <t>Bandera Decoupes</t>
    </r>
    <r>
      <rPr>
        <rFont val="Ubuntu"/>
        <b/>
        <color rgb="FF797B7D"/>
        <sz val="12.0"/>
      </rPr>
      <t>(6-7-0)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</si>
  <si>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</si>
  <si>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(8-6-0)</t>
    </r>
  </si>
  <si>
    <r>
      <rPr>
        <rFont val="Ubuntu"/>
        <color rgb="FF0066CC"/>
        <sz val="12.0"/>
      </rPr>
      <t>West End Popeyes</t>
    </r>
    <r>
      <rPr>
        <rFont val="Ubuntu"/>
        <color rgb="FF797B7D"/>
        <sz val="12.0"/>
      </rPr>
      <t>(6-8-0)</t>
    </r>
  </si>
  <si>
    <r>
      <rPr>
        <rFont val="Ubuntu"/>
        <color rgb="FF0066CC"/>
        <sz val="12.0"/>
      </rPr>
      <t>Down South Champs</t>
    </r>
    <r>
      <rPr>
        <rFont val="Ubuntu"/>
        <color rgb="FF797B7D"/>
        <sz val="12.0"/>
      </rPr>
      <t>(6-8-0)</t>
    </r>
  </si>
  <si>
    <r>
      <rPr>
        <rFont val="Ubuntu"/>
        <color rgb="FF0066CC"/>
        <sz val="12.0"/>
      </rPr>
      <t>Cumgetsum Yardies</t>
    </r>
    <r>
      <rPr>
        <rFont val="Ubuntu"/>
        <color rgb="FF797B7D"/>
        <sz val="12.0"/>
      </rPr>
      <t>(5-8-0)</t>
    </r>
  </si>
  <si>
    <r>
      <rPr>
        <rFont val="Ubuntu"/>
        <b/>
        <color rgb="FF0066CC"/>
        <sz val="12.0"/>
      </rPr>
      <t>Bandera Decoupes</t>
    </r>
    <r>
      <rPr>
        <rFont val="Ubuntu"/>
        <b/>
        <color rgb="FF797B7D"/>
        <sz val="12.0"/>
      </rPr>
      <t>(8-6-0)</t>
    </r>
  </si>
  <si>
    <r>
      <rPr>
        <rFont val="Ubuntu"/>
        <color rgb="FF0066CC"/>
        <sz val="12.0"/>
      </rPr>
      <t>Uncross Your Mutt</t>
    </r>
    <r>
      <rPr>
        <rFont val="Ubuntu"/>
        <color rgb="FF797B7D"/>
        <sz val="12.0"/>
      </rPr>
      <t>(7-6-0)</t>
    </r>
  </si>
  <si>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</si>
  <si>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(6-7-0)</t>
    </r>
  </si>
  <si>
    <r>
      <rPr>
        <rFont val="Ubuntu"/>
        <color rgb="FF0066CC"/>
        <sz val="12.0"/>
      </rPr>
      <t>East Atlanta Savages</t>
    </r>
    <r>
      <rPr>
        <rFont val="Ubuntu"/>
        <color rgb="FF797B7D"/>
        <sz val="12.0"/>
      </rPr>
      <t>(9-4-0)</t>
    </r>
  </si>
  <si>
    <r>
      <rPr>
        <rFont val="Ubuntu"/>
        <color rgb="FF0066CC"/>
        <sz val="12.0"/>
      </rPr>
      <t>Down South Champs</t>
    </r>
    <r>
      <rPr>
        <rFont val="Ubuntu"/>
        <color rgb="FF797B7D"/>
        <sz val="12.0"/>
      </rPr>
      <t>(6-8-0)</t>
    </r>
  </si>
  <si>
    <r>
      <rPr>
        <rFont val="Ubuntu"/>
        <color rgb="FF0066CC"/>
        <sz val="12.0"/>
      </rPr>
      <t>Cumgetsum Yardies</t>
    </r>
    <r>
      <rPr>
        <rFont val="Ubuntu"/>
        <color rgb="FF797B7D"/>
        <sz val="12.0"/>
      </rPr>
      <t>(9-5-0)</t>
    </r>
  </si>
  <si>
    <r>
      <rPr>
        <rFont val="Ubuntu"/>
        <color rgb="FF0066CC"/>
        <sz val="12.0"/>
      </rPr>
      <t>Decatur MetaMookDawgs</t>
    </r>
    <r>
      <rPr>
        <rFont val="Ubuntu"/>
        <color rgb="FF797B7D"/>
        <sz val="12.0"/>
      </rPr>
      <t>(5-9-0)</t>
    </r>
  </si>
  <si>
    <r>
      <rPr>
        <rFont val="Ubuntu"/>
        <color rgb="FF0066CC"/>
        <sz val="12.0"/>
      </rPr>
      <t>Muthafkn Dec MookDawg</t>
    </r>
    <r>
      <rPr>
        <rFont val="Ubuntu"/>
        <color rgb="FF797B7D"/>
        <sz val="12.0"/>
      </rPr>
      <t>(8-5-0)</t>
    </r>
  </si>
  <si>
    <r>
      <rPr>
        <rFont val="Ubuntu"/>
        <color rgb="FF0066CC"/>
        <sz val="12.0"/>
      </rPr>
      <t>DN-VILLE Deeez Nuuutts!</t>
    </r>
    <r>
      <rPr>
        <rFont val="Ubuntu"/>
        <color rgb="FF797B7D"/>
        <sz val="12.0"/>
      </rPr>
      <t>(6-7-0)</t>
    </r>
  </si>
  <si>
    <r>
      <rPr>
        <rFont val="Ubuntu"/>
        <color rgb="FF0066CC"/>
        <sz val="12.0"/>
      </rPr>
      <t>West End Popeyes</t>
    </r>
    <r>
      <rPr>
        <rFont val="Ubuntu"/>
        <color rgb="FF797B7D"/>
        <sz val="12.0"/>
      </rPr>
      <t>(6-8-0)</t>
    </r>
  </si>
  <si>
    <r>
      <rPr>
        <rFont val="Ubuntu"/>
        <color rgb="FF0066CC"/>
        <sz val="12.0"/>
      </rPr>
      <t>East Atlanta Savages</t>
    </r>
    <r>
      <rPr>
        <rFont val="Ubuntu"/>
        <color rgb="FF797B7D"/>
        <sz val="12.0"/>
      </rPr>
      <t>(5-9-0)</t>
    </r>
  </si>
  <si>
    <r>
      <rPr>
        <rFont val="Ubuntu"/>
        <color rgb="FF0066CC"/>
        <sz val="12.0"/>
      </rPr>
      <t>Georgia Green</t>
    </r>
    <r>
      <rPr>
        <rFont val="Ubuntu"/>
        <color rgb="FF797B7D"/>
        <sz val="12.0"/>
      </rPr>
      <t>(6-7-0)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</si>
  <si>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</si>
  <si>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</si>
  <si>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(9-5-0)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</si>
  <si>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</si>
  <si>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(9-5-0)</t>
    </r>
  </si>
  <si>
    <r>
      <rPr>
        <rFont val="Ubuntu"/>
        <color rgb="FF0066CC"/>
        <sz val="12.0"/>
      </rPr>
      <t>Down South Champs</t>
    </r>
    <r>
      <rPr>
        <rFont val="Ubuntu"/>
        <color rgb="FF797B7D"/>
        <sz val="12.0"/>
      </rPr>
      <t>(6-8-0)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</si>
  <si>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</si>
  <si>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(8-6-0)</t>
    </r>
  </si>
  <si>
    <r>
      <rPr>
        <rFont val="Ubuntu"/>
        <color rgb="FF0066CC"/>
        <sz val="12.0"/>
      </rPr>
      <t>Georgia Green</t>
    </r>
    <r>
      <rPr>
        <rFont val="Ubuntu"/>
        <color rgb="FF797B7D"/>
        <sz val="12.0"/>
      </rPr>
      <t>(6-7-0)</t>
    </r>
  </si>
  <si>
    <r>
      <rPr>
        <rFont val="Ubuntu"/>
        <color rgb="FF0066CC"/>
        <sz val="12.0"/>
      </rPr>
      <t>DN-VILLE Deeez Nuuutts!</t>
    </r>
    <r>
      <rPr>
        <rFont val="Ubuntu"/>
        <color rgb="FF797B7D"/>
        <sz val="12.0"/>
      </rPr>
      <t>(6-7-0)</t>
    </r>
  </si>
  <si>
    <r>
      <rPr>
        <rFont val="Ubuntu"/>
        <color rgb="FF0066CC"/>
        <sz val="12.0"/>
      </rPr>
      <t>Cumgetsum Yardies</t>
    </r>
    <r>
      <rPr>
        <rFont val="Ubuntu"/>
        <color rgb="FF797B7D"/>
        <sz val="12.0"/>
      </rPr>
      <t>(9-5-0)</t>
    </r>
  </si>
  <si>
    <r>
      <rPr>
        <rFont val="Ubuntu"/>
        <b/>
        <color rgb="FF0066CC"/>
        <sz val="12.0"/>
      </rPr>
      <t>Bandera Decoupes</t>
    </r>
    <r>
      <rPr>
        <rFont val="Ubuntu"/>
        <b/>
        <color rgb="FF797B7D"/>
        <sz val="12.0"/>
      </rPr>
      <t>(6-7-0)</t>
    </r>
  </si>
  <si>
    <r>
      <rPr>
        <rFont val="Ubuntu"/>
        <color rgb="FF0066CC"/>
        <sz val="12.0"/>
      </rPr>
      <t>Uncross Your Mutts</t>
    </r>
    <r>
      <rPr>
        <rFont val="Ubuntu"/>
        <color rgb="FF797B7D"/>
        <sz val="12.0"/>
      </rPr>
      <t>(9-5-0)</t>
    </r>
  </si>
  <si>
    <r>
      <rPr>
        <rFont val="Ubuntu"/>
        <color rgb="FF0066CC"/>
        <sz val="12.0"/>
      </rPr>
      <t>Uncross Your Mutt</t>
    </r>
    <r>
      <rPr>
        <rFont val="Ubuntu"/>
        <color rgb="FF797B7D"/>
        <sz val="12.0"/>
      </rPr>
      <t>(7-6-0)</t>
    </r>
  </si>
  <si>
    <r>
      <rPr>
        <rFont val="Ubuntu"/>
        <b/>
        <color rgb="FF0066CC"/>
        <sz val="12.0"/>
      </rPr>
      <t>Bandera Decoupes</t>
    </r>
    <r>
      <rPr>
        <rFont val="Ubuntu"/>
        <b/>
        <color rgb="FF797B7D"/>
        <sz val="12.0"/>
      </rPr>
      <t>(8-6-0)</t>
    </r>
  </si>
  <si>
    <r>
      <rPr>
        <rFont val="Ubuntu"/>
        <color rgb="FF0066CC"/>
        <sz val="12.0"/>
      </rPr>
      <t>West End Popeyes</t>
    </r>
    <r>
      <rPr>
        <rFont val="Ubuntu"/>
        <color rgb="FF797B7D"/>
        <sz val="12.0"/>
      </rPr>
      <t>(6-8-0)</t>
    </r>
  </si>
  <si>
    <r>
      <rPr>
        <rFont val="Ubuntu"/>
        <color rgb="FF0066CC"/>
        <sz val="12.0"/>
      </rPr>
      <t>Cumgetsum Yardies</t>
    </r>
    <r>
      <rPr>
        <rFont val="Ubuntu"/>
        <color rgb="FF797B7D"/>
        <sz val="12.0"/>
      </rPr>
      <t>(5-8-0)</t>
    </r>
  </si>
  <si>
    <r>
      <rPr>
        <rFont val="Ubuntu"/>
        <color rgb="FF0066CC"/>
        <sz val="12.0"/>
      </rPr>
      <t>West End Popeyes</t>
    </r>
    <r>
      <rPr>
        <rFont val="Ubuntu"/>
        <color rgb="FF797B7D"/>
        <sz val="12.0"/>
      </rPr>
      <t>(5-8-0)</t>
    </r>
  </si>
  <si>
    <r>
      <rPr>
        <rFont val="Ubuntu"/>
        <color rgb="FF0066CC"/>
        <sz val="12.0"/>
      </rPr>
      <t>Decatur MetaMookDawgs</t>
    </r>
    <r>
      <rPr>
        <rFont val="Ubuntu"/>
        <color rgb="FF797B7D"/>
        <sz val="12.0"/>
      </rPr>
      <t>(5-9-0)</t>
    </r>
  </si>
  <si>
    <t>East Atlanta Savages(121.55 Pts)</t>
  </si>
  <si>
    <r>
      <rPr>
        <rFont val="Ubuntu"/>
        <color rgb="FF0066CC"/>
        <sz val="12.0"/>
      </rPr>
      <t>East Atlanta Savages</t>
    </r>
    <r>
      <rPr>
        <rFont val="Ubuntu"/>
        <color rgb="FF797B7D"/>
        <sz val="12.0"/>
      </rPr>
      <t>(5-9-0)</t>
    </r>
  </si>
  <si>
    <r>
      <rPr>
        <rFont val="Ubuntu"/>
        <color rgb="FF0066CC"/>
        <sz val="12.0"/>
      </rPr>
      <t>Down South Champs</t>
    </r>
    <r>
      <rPr>
        <rFont val="Ubuntu"/>
        <color rgb="FF797B7D"/>
        <sz val="12.0"/>
      </rPr>
      <t>(6-8-0)</t>
    </r>
  </si>
  <si>
    <t>Muthafkn Dec MookDawg(131.67 Pts)</t>
  </si>
  <si>
    <r>
      <rPr>
        <rFont val="Ubuntu"/>
        <b/>
        <color rgb="FF0066CC"/>
        <sz val="12.0"/>
      </rPr>
      <t>Bandera Decoupes</t>
    </r>
    <r>
      <rPr>
        <rFont val="Ubuntu"/>
        <b/>
        <color rgb="FF797B7D"/>
        <sz val="12.0"/>
      </rPr>
      <t>(8-6-0)</t>
    </r>
  </si>
  <si>
    <r>
      <rPr>
        <rFont val="Ubuntu"/>
        <color rgb="FF0066CC"/>
        <sz val="12.0"/>
      </rPr>
      <t>Uncross Your Mutts</t>
    </r>
    <r>
      <rPr>
        <rFont val="Ubuntu"/>
        <color rgb="FF797B7D"/>
        <sz val="12.0"/>
      </rPr>
      <t>(9-5-0)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</si>
  <si>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</si>
  <si>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(6-7-0)</t>
    </r>
  </si>
  <si>
    <r>
      <rPr>
        <rFont val="Ubuntu"/>
        <color rgb="FF0066CC"/>
        <sz val="12.0"/>
      </rPr>
      <t>East Atlanta Savages</t>
    </r>
    <r>
      <rPr>
        <rFont val="Ubuntu"/>
        <color rgb="FF797B7D"/>
        <sz val="12.0"/>
      </rPr>
      <t>(9-4-0)</t>
    </r>
  </si>
  <si>
    <r>
      <rPr>
        <rFont val="Ubuntu"/>
        <color rgb="FF0066CC"/>
        <sz val="12.0"/>
      </rPr>
      <t>Cumgetsum Yardies</t>
    </r>
    <r>
      <rPr>
        <rFont val="Ubuntu"/>
        <color rgb="FF797B7D"/>
        <sz val="12.0"/>
      </rPr>
      <t>(9-5-0)</t>
    </r>
  </si>
  <si>
    <r>
      <rPr>
        <rFont val="Ubuntu"/>
        <color rgb="FF0066CC"/>
        <sz val="12.0"/>
      </rPr>
      <t>Decatur MetaMookDawgs</t>
    </r>
    <r>
      <rPr>
        <rFont val="Ubuntu"/>
        <color rgb="FF797B7D"/>
        <sz val="12.0"/>
      </rPr>
      <t>(5-9-0)</t>
    </r>
  </si>
  <si>
    <r>
      <rPr>
        <rFont val="Ubuntu"/>
        <color rgb="FF0066CC"/>
        <sz val="12.0"/>
      </rPr>
      <t>West End Popeyes</t>
    </r>
    <r>
      <rPr>
        <rFont val="Ubuntu"/>
        <color rgb="FF797B7D"/>
        <sz val="12.0"/>
      </rPr>
      <t>(6-8-0)</t>
    </r>
  </si>
  <si>
    <r>
      <rPr>
        <rFont val="Ubuntu"/>
        <color rgb="FF0066CC"/>
        <sz val="12.0"/>
      </rPr>
      <t>East Atlanta Savages</t>
    </r>
    <r>
      <rPr>
        <rFont val="Ubuntu"/>
        <color rgb="FF797B7D"/>
        <sz val="12.0"/>
      </rPr>
      <t>(5-9-0)</t>
    </r>
  </si>
  <si>
    <r>
      <rPr>
        <rFont val="Ubuntu"/>
        <color rgb="FF0066CC"/>
        <sz val="12.0"/>
      </rPr>
      <t>DN-VILLE Deeez Nuuutts!</t>
    </r>
    <r>
      <rPr>
        <rFont val="Ubuntu"/>
        <color rgb="FF797B7D"/>
        <sz val="12.0"/>
      </rPr>
      <t>(6-7-0)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</si>
  <si>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</si>
  <si>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(5-9-0)</t>
    </r>
  </si>
  <si>
    <r>
      <rPr>
        <rFont val="Ubuntu"/>
        <color rgb="FF0066CC"/>
        <sz val="12.0"/>
      </rPr>
      <t>Georgia Green</t>
    </r>
    <r>
      <rPr>
        <rFont val="Ubuntu"/>
        <color rgb="FF797B7D"/>
        <sz val="12.0"/>
      </rPr>
      <t>(6-7-0)</t>
    </r>
  </si>
  <si>
    <r>
      <rPr>
        <rFont val="Ubuntu"/>
        <color rgb="FF0066CC"/>
        <sz val="12.0"/>
      </rPr>
      <t>Uncross Your Mutt</t>
    </r>
    <r>
      <rPr>
        <rFont val="Ubuntu"/>
        <color rgb="FF797B7D"/>
        <sz val="12.0"/>
      </rPr>
      <t>(7-6-0)</t>
    </r>
  </si>
  <si>
    <r>
      <rPr>
        <rFont val="Ubuntu"/>
        <color rgb="FF0066CC"/>
        <sz val="12.0"/>
      </rPr>
      <t>Uncross Your Mutts</t>
    </r>
    <r>
      <rPr>
        <rFont val="Ubuntu"/>
        <color rgb="FF797B7D"/>
        <sz val="12.0"/>
      </rPr>
      <t>(9-5-0)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</si>
  <si>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</si>
  <si>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(5-8-0)</t>
    </r>
  </si>
  <si>
    <r>
      <rPr>
        <rFont val="Ubuntu"/>
        <color rgb="FF0066CC"/>
        <sz val="12.0"/>
      </rPr>
      <t>West End Popeyes</t>
    </r>
    <r>
      <rPr>
        <rFont val="Ubuntu"/>
        <color rgb="FF797B7D"/>
        <sz val="12.0"/>
      </rPr>
      <t>(5-8-0)</t>
    </r>
  </si>
  <si>
    <r>
      <rPr>
        <rFont val="Ubuntu"/>
        <color rgb="FF0066CC"/>
        <sz val="12.0"/>
      </rPr>
      <t>Cumgetsum Yardies</t>
    </r>
    <r>
      <rPr>
        <rFont val="Ubuntu"/>
        <color rgb="FF797B7D"/>
        <sz val="12.0"/>
      </rPr>
      <t>(9-5-0)</t>
    </r>
  </si>
  <si>
    <r>
      <rPr>
        <rFont val="Ubuntu"/>
        <color rgb="FF0066CC"/>
        <sz val="12.0"/>
      </rPr>
      <t>Down South Champs</t>
    </r>
    <r>
      <rPr>
        <rFont val="Ubuntu"/>
        <color rgb="FF797B7D"/>
        <sz val="12.0"/>
      </rPr>
      <t>(6-8-0)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</si>
  <si>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</si>
  <si>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(8-6-0)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</si>
  <si>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</si>
  <si>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(9-4-0)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</si>
  <si>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</si>
  <si>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(6-7-0)</t>
    </r>
  </si>
  <si>
    <r>
      <rPr>
        <rFont val="Ubuntu"/>
        <color rgb="FF0066CC"/>
        <sz val="12.0"/>
      </rPr>
      <t>DN-VILLE Deeez Nuuutts!</t>
    </r>
    <r>
      <rPr>
        <rFont val="Ubuntu"/>
        <color rgb="FF797B7D"/>
        <sz val="12.0"/>
      </rPr>
      <t>(6-7-0)</t>
    </r>
  </si>
  <si>
    <r>
      <rPr>
        <rFont val="Ubuntu"/>
        <color rgb="FF0066CC"/>
        <sz val="12.0"/>
      </rPr>
      <t>Uncross Your Mutts</t>
    </r>
    <r>
      <rPr>
        <rFont val="Ubuntu"/>
        <color rgb="FF797B7D"/>
        <sz val="12.0"/>
      </rPr>
      <t>(9-5-0)</t>
    </r>
  </si>
  <si>
    <r>
      <rPr>
        <rFont val="Ubuntu"/>
        <color rgb="FF0066CC"/>
        <sz val="12.0"/>
      </rPr>
      <t>West End Popeyes</t>
    </r>
    <r>
      <rPr>
        <rFont val="Ubuntu"/>
        <color rgb="FF797B7D"/>
        <sz val="12.0"/>
      </rPr>
      <t>(6-8-0)</t>
    </r>
  </si>
  <si>
    <r>
      <rPr>
        <rFont val="Ubuntu"/>
        <color rgb="FF0066CC"/>
        <sz val="12.0"/>
      </rPr>
      <t>Georgia Green</t>
    </r>
    <r>
      <rPr>
        <rFont val="Ubuntu"/>
        <color rgb="FF797B7D"/>
        <sz val="12.0"/>
      </rPr>
      <t>(6-7-0)</t>
    </r>
  </si>
  <si>
    <r>
      <rPr>
        <rFont val="Ubuntu"/>
        <color rgb="FF0066CC"/>
        <sz val="12.0"/>
      </rPr>
      <t>Uncross Your Mutt</t>
    </r>
    <r>
      <rPr>
        <rFont val="Ubuntu"/>
        <color rgb="FF797B7D"/>
        <sz val="12.0"/>
      </rPr>
      <t>(7-6-0)</t>
    </r>
  </si>
  <si>
    <r>
      <rPr>
        <rFont val="Ubuntu"/>
        <color rgb="FF0066CC"/>
        <sz val="12.0"/>
      </rPr>
      <t>Cumgetsum Yardies</t>
    </r>
    <r>
      <rPr>
        <rFont val="Ubuntu"/>
        <color rgb="FF797B7D"/>
        <sz val="12.0"/>
      </rPr>
      <t>(9-5-0)</t>
    </r>
  </si>
  <si>
    <r>
      <rPr>
        <rFont val="Ubuntu"/>
        <color rgb="FF0066CC"/>
        <sz val="12.0"/>
      </rPr>
      <t>East Atlanta Savages</t>
    </r>
    <r>
      <rPr>
        <rFont val="Ubuntu"/>
        <color rgb="FF797B7D"/>
        <sz val="12.0"/>
      </rPr>
      <t>(5-9-0)</t>
    </r>
  </si>
  <si>
    <r>
      <rPr>
        <rFont val="Ubuntu"/>
        <b/>
        <color rgb="FF0066CC"/>
        <sz val="12.0"/>
      </rPr>
      <t>Bandera Decoupes</t>
    </r>
    <r>
      <rPr>
        <rFont val="Ubuntu"/>
        <b/>
        <color rgb="FF797B7D"/>
        <sz val="12.0"/>
      </rPr>
      <t>(8-6-0)</t>
    </r>
  </si>
  <si>
    <r>
      <rPr>
        <rFont val="Ubuntu"/>
        <color rgb="FF0066CC"/>
        <sz val="12.0"/>
      </rPr>
      <t>Cumgetsum Yardies</t>
    </r>
    <r>
      <rPr>
        <rFont val="Ubuntu"/>
        <color rgb="FF797B7D"/>
        <sz val="12.0"/>
      </rPr>
      <t>(5-8-0)</t>
    </r>
  </si>
  <si>
    <r>
      <rPr>
        <rFont val="Ubuntu"/>
        <color rgb="FF0066CC"/>
        <sz val="12.0"/>
      </rPr>
      <t>Decatur MetaMookDawgs</t>
    </r>
    <r>
      <rPr>
        <rFont val="Ubuntu"/>
        <color rgb="FF797B7D"/>
        <sz val="12.0"/>
      </rPr>
      <t>(5-9-0)</t>
    </r>
  </si>
  <si>
    <r>
      <rPr>
        <rFont val="Ubuntu"/>
        <color rgb="FF0066CC"/>
        <sz val="12.0"/>
      </rPr>
      <t>West End Popeyes</t>
    </r>
    <r>
      <rPr>
        <rFont val="Ubuntu"/>
        <color rgb="FF797B7D"/>
        <sz val="12.0"/>
      </rPr>
      <t>(5-8-0)</t>
    </r>
  </si>
  <si>
    <t>team overall stats</t>
  </si>
  <si>
    <r>
      <rPr>
        <rFont val="Ubuntu"/>
        <color rgb="FF0066CC"/>
        <sz val="12.0"/>
      </rPr>
      <t>West End Popeyes</t>
    </r>
    <r>
      <rPr>
        <rFont val="Ubuntu"/>
        <color rgb="FF797B7D"/>
        <sz val="12.0"/>
      </rPr>
      <t>(6-8-0)</t>
    </r>
  </si>
  <si>
    <r>
      <rPr>
        <rFont val="Ubuntu"/>
        <color rgb="FF0066CC"/>
        <sz val="12.0"/>
      </rPr>
      <t>Uncross Your Mutts</t>
    </r>
    <r>
      <rPr>
        <rFont val="Ubuntu"/>
        <color rgb="FF797B7D"/>
        <sz val="12.0"/>
      </rPr>
      <t>(9-5-0)</t>
    </r>
  </si>
  <si>
    <r>
      <rPr>
        <rFont val="Ubuntu"/>
        <color rgb="FF0066CC"/>
        <sz val="12.0"/>
      </rPr>
      <t>Cumgetsum Yardies</t>
    </r>
    <r>
      <rPr>
        <rFont val="Ubuntu"/>
        <color rgb="FF797B7D"/>
        <sz val="12.0"/>
      </rPr>
      <t>(9-5-0)</t>
    </r>
  </si>
  <si>
    <r>
      <rPr>
        <rFont val="Ubuntu"/>
        <color rgb="FF0066CC"/>
        <sz val="12.0"/>
      </rPr>
      <t>Decatur MetaMookDawgs</t>
    </r>
    <r>
      <rPr>
        <rFont val="Ubuntu"/>
        <color rgb="FF797B7D"/>
        <sz val="12.0"/>
      </rPr>
      <t>(5-9-0)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</si>
  <si>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</si>
  <si>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(8-6-0)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</si>
  <si>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</si>
  <si>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(9-5-0)</t>
    </r>
  </si>
  <si>
    <r>
      <rPr>
        <rFont val="Ubuntu"/>
        <color rgb="FF0066CC"/>
        <sz val="12.0"/>
      </rPr>
      <t>Cumgetsum Yardies</t>
    </r>
    <r>
      <rPr>
        <rFont val="Ubuntu"/>
        <color rgb="FF797B7D"/>
        <sz val="12.0"/>
      </rPr>
      <t>(9-5-0)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</si>
  <si>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</si>
  <si>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(8-6-0)</t>
    </r>
  </si>
  <si>
    <r>
      <rPr>
        <rFont val="Ubuntu"/>
        <color rgb="FF0066CC"/>
        <sz val="12.0"/>
      </rPr>
      <t>Down South Champs</t>
    </r>
    <r>
      <rPr>
        <rFont val="Ubuntu"/>
        <color rgb="FF797B7D"/>
        <sz val="12.0"/>
      </rPr>
      <t>(6-8-0)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</si>
  <si>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</si>
  <si>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</si>
  <si>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</si>
  <si>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(9-5-0)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</si>
  <si>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</si>
  <si>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(9-5-0)</t>
    </r>
  </si>
  <si>
    <r>
      <rPr>
        <rFont val="Ubuntu"/>
        <b/>
        <color rgb="FF0066CC"/>
        <sz val="12.0"/>
      </rPr>
      <t>Bandera Decoupes</t>
    </r>
    <r>
      <rPr>
        <rFont val="Ubuntu"/>
        <b/>
        <color rgb="FF797B7D"/>
        <sz val="12.0"/>
      </rPr>
      <t>(7-7-0)</t>
    </r>
  </si>
  <si>
    <r>
      <rPr>
        <rFont val="Ubuntu"/>
        <color rgb="FF0066CC"/>
        <sz val="12.0"/>
      </rPr>
      <t>Down South Champs</t>
    </r>
    <r>
      <rPr>
        <rFont val="Ubuntu"/>
        <color rgb="FF797B7D"/>
        <sz val="12.0"/>
      </rPr>
      <t>(6-8-0)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</si>
  <si>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</si>
  <si>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(8-6-0)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</si>
  <si>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</si>
  <si>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</si>
  <si>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b/>
        <color rgb="FF0066CC"/>
        <sz val="12.0"/>
      </rPr>
      <t>Bandera Decoupes</t>
    </r>
    <r>
      <rPr>
        <rFont val="Ubuntu"/>
        <b/>
        <color rgb="FF797B7D"/>
        <sz val="12.0"/>
      </rPr>
      <t>(8-6-0)</t>
    </r>
  </si>
  <si>
    <r>
      <rPr>
        <rFont val="Ubuntu"/>
        <color rgb="FF0066CC"/>
        <sz val="12.0"/>
      </rPr>
      <t>Decatur MetaMookDawgs</t>
    </r>
    <r>
      <rPr>
        <rFont val="Ubuntu"/>
        <color rgb="FF797B7D"/>
        <sz val="12.0"/>
      </rPr>
      <t>(5-9-0)</t>
    </r>
  </si>
  <si>
    <r>
      <rPr>
        <rFont val="Ubuntu"/>
        <color rgb="FF0066CC"/>
        <sz val="12.0"/>
      </rPr>
      <t>Uncross Your Mutts</t>
    </r>
    <r>
      <rPr>
        <rFont val="Ubuntu"/>
        <color rgb="FF797B7D"/>
        <sz val="12.0"/>
      </rPr>
      <t>(9-5-0)</t>
    </r>
  </si>
  <si>
    <r>
      <rPr>
        <rFont val="Ubuntu"/>
        <color rgb="FF0066CC"/>
        <sz val="12.0"/>
      </rPr>
      <t>Georgia Green</t>
    </r>
    <r>
      <rPr>
        <rFont val="Ubuntu"/>
        <color rgb="FF797B7D"/>
        <sz val="12.0"/>
      </rPr>
      <t>(10-4-0)</t>
    </r>
  </si>
  <si>
    <r>
      <rPr>
        <rFont val="Ubuntu"/>
        <color rgb="FF0066CC"/>
        <sz val="12.0"/>
      </rPr>
      <t>Cumgetsum Yardies</t>
    </r>
    <r>
      <rPr>
        <rFont val="Ubuntu"/>
        <color rgb="FF797B7D"/>
        <sz val="12.0"/>
      </rPr>
      <t>(11-3-0)</t>
    </r>
  </si>
  <si>
    <r>
      <rPr>
        <rFont val="Ubuntu"/>
        <color rgb="FF0066CC"/>
        <sz val="12.0"/>
      </rPr>
      <t>Down South Champs</t>
    </r>
    <r>
      <rPr>
        <rFont val="Ubuntu"/>
        <color rgb="FF797B7D"/>
        <sz val="12.0"/>
      </rPr>
      <t>(6-8-0)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</si>
  <si>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</si>
  <si>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(9-5-0)</t>
    </r>
  </si>
  <si>
    <r>
      <rPr>
        <rFont val="Ubuntu"/>
        <color rgb="FF0066CC"/>
        <sz val="12.0"/>
      </rPr>
      <t>Decatur MetaMookDawgs</t>
    </r>
    <r>
      <rPr>
        <rFont val="Ubuntu"/>
        <color rgb="FF797B7D"/>
        <sz val="12.0"/>
      </rPr>
      <t>(5-9-0)</t>
    </r>
  </si>
  <si>
    <r>
      <rPr>
        <rFont val="Ubuntu"/>
        <color rgb="FF0066CC"/>
        <sz val="12.0"/>
      </rPr>
      <t>Uncross Your Mutts</t>
    </r>
    <r>
      <rPr>
        <rFont val="Ubuntu"/>
        <color rgb="FF797B7D"/>
        <sz val="12.0"/>
      </rPr>
      <t>(8-6-0)</t>
    </r>
  </si>
  <si>
    <r>
      <rPr>
        <rFont val="Ubuntu"/>
        <color rgb="FF0066CC"/>
        <sz val="12.0"/>
      </rPr>
      <t>West End Popeyes</t>
    </r>
    <r>
      <rPr>
        <rFont val="Ubuntu"/>
        <color rgb="FF797B7D"/>
        <sz val="12.0"/>
      </rPr>
      <t>(6-8-0)</t>
    </r>
  </si>
  <si>
    <r>
      <rPr>
        <rFont val="Ubuntu"/>
        <color rgb="FF0066CC"/>
        <sz val="12.0"/>
      </rPr>
      <t>East Atlanta Savages</t>
    </r>
    <r>
      <rPr>
        <rFont val="Ubuntu"/>
        <color rgb="FF797B7D"/>
        <sz val="12.0"/>
      </rPr>
      <t>(5-9-0)</t>
    </r>
  </si>
  <si>
    <r>
      <rPr>
        <rFont val="Ubuntu"/>
        <b/>
        <color rgb="FF0066CC"/>
        <sz val="12.0"/>
      </rPr>
      <t>Bandera Decoupes</t>
    </r>
    <r>
      <rPr>
        <rFont val="Ubuntu"/>
        <b/>
        <color rgb="FF797B7D"/>
        <sz val="12.0"/>
      </rPr>
      <t>(7-7-0)</t>
    </r>
  </si>
  <si>
    <r>
      <rPr>
        <rFont val="Ubuntu"/>
        <color rgb="FF0066CC"/>
        <sz val="12.0"/>
      </rPr>
      <t>West End Popeyes</t>
    </r>
    <r>
      <rPr>
        <rFont val="Ubuntu"/>
        <color rgb="FF797B7D"/>
        <sz val="12.0"/>
      </rPr>
      <t>(5-9-0)</t>
    </r>
  </si>
  <si>
    <r>
      <rPr>
        <rFont val="Ubuntu"/>
        <color rgb="FF0066CC"/>
        <sz val="12.0"/>
      </rPr>
      <t>West End Popeyes</t>
    </r>
    <r>
      <rPr>
        <rFont val="Ubuntu"/>
        <color rgb="FF797B7D"/>
        <sz val="12.0"/>
      </rPr>
      <t>(6-8-0)</t>
    </r>
  </si>
  <si>
    <r>
      <rPr>
        <rFont val="Ubuntu"/>
        <color rgb="FF0066CC"/>
        <sz val="12.0"/>
      </rPr>
      <t>Uncross Your Mutts</t>
    </r>
    <r>
      <rPr>
        <rFont val="Ubuntu"/>
        <color rgb="FF797B7D"/>
        <sz val="12.0"/>
      </rPr>
      <t>(9-5-0)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</si>
  <si>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</si>
  <si>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(9-5-0)</t>
    </r>
  </si>
  <si>
    <r>
      <rPr>
        <rFont val="Ubuntu"/>
        <color rgb="FF0066CC"/>
        <sz val="12.0"/>
      </rPr>
      <t>Down South Champs</t>
    </r>
    <r>
      <rPr>
        <rFont val="Ubuntu"/>
        <color rgb="FF797B7D"/>
        <sz val="12.0"/>
      </rPr>
      <t>(5-9-0)</t>
    </r>
  </si>
  <si>
    <r>
      <rPr>
        <rFont val="Ubuntu"/>
        <color rgb="FF0066CC"/>
        <sz val="12.0"/>
      </rPr>
      <t>Georgia Green</t>
    </r>
    <r>
      <rPr>
        <rFont val="Ubuntu"/>
        <color rgb="FF797B7D"/>
        <sz val="12.0"/>
      </rPr>
      <t>(10-4-0)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</si>
  <si>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</si>
  <si>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</si>
  <si>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(11-3-0)</t>
    </r>
  </si>
  <si>
    <r>
      <rPr>
        <rFont val="Ubuntu"/>
        <color rgb="FF0066CC"/>
        <sz val="12.0"/>
      </rPr>
      <t>Down South Champs</t>
    </r>
    <r>
      <rPr>
        <rFont val="Ubuntu"/>
        <color rgb="FF797B7D"/>
        <sz val="12.0"/>
      </rPr>
      <t>(6-8-0)</t>
    </r>
  </si>
  <si>
    <r>
      <rPr>
        <rFont val="Ubuntu"/>
        <color rgb="FF0066CC"/>
        <sz val="12.0"/>
      </rPr>
      <t>Uncross Your Mutts</t>
    </r>
    <r>
      <rPr>
        <rFont val="Ubuntu"/>
        <color rgb="FF797B7D"/>
        <sz val="12.0"/>
      </rPr>
      <t>(8-6-0)</t>
    </r>
  </si>
  <si>
    <r>
      <rPr>
        <rFont val="Ubuntu"/>
        <b/>
        <color rgb="FF0066CC"/>
        <sz val="12.0"/>
      </rPr>
      <t>Bandera Decoupes</t>
    </r>
    <r>
      <rPr>
        <rFont val="Ubuntu"/>
        <b/>
        <color rgb="FF797B7D"/>
        <sz val="12.0"/>
      </rPr>
      <t>(8-6-0)</t>
    </r>
  </si>
  <si>
    <r>
      <rPr>
        <rFont val="Ubuntu"/>
        <color rgb="FF0066CC"/>
        <sz val="12.0"/>
      </rPr>
      <t>East Atlanta Savages</t>
    </r>
    <r>
      <rPr>
        <rFont val="Ubuntu"/>
        <color rgb="FF797B7D"/>
        <sz val="12.0"/>
      </rPr>
      <t>(5-9-0)</t>
    </r>
  </si>
  <si>
    <r>
      <rPr>
        <rFont val="Ubuntu"/>
        <b/>
        <color rgb="FF0066CC"/>
        <sz val="12.0"/>
      </rPr>
      <t>Bandera Decoupes</t>
    </r>
    <r>
      <rPr>
        <rFont val="Ubuntu"/>
        <b/>
        <color rgb="FF797B7D"/>
        <sz val="12.0"/>
      </rPr>
      <t>(7-7-0)</t>
    </r>
  </si>
  <si>
    <r>
      <rPr>
        <rFont val="Ubuntu"/>
        <color rgb="FF0066CC"/>
        <sz val="12.0"/>
      </rPr>
      <t>West End Popeyes</t>
    </r>
    <r>
      <rPr>
        <rFont val="Ubuntu"/>
        <color rgb="FF797B7D"/>
        <sz val="12.0"/>
      </rPr>
      <t>(6-8-0)</t>
    </r>
  </si>
  <si>
    <r>
      <rPr>
        <rFont val="Ubuntu"/>
        <color rgb="FF0066CC"/>
        <sz val="12.0"/>
      </rPr>
      <t>Cumgetsum Yardies</t>
    </r>
    <r>
      <rPr>
        <rFont val="Ubuntu"/>
        <color rgb="FF797B7D"/>
        <sz val="12.0"/>
      </rPr>
      <t>(11-3-0)</t>
    </r>
  </si>
  <si>
    <t>Georgia </t>
  </si>
  <si>
    <r>
      <rPr>
        <rFont val="Ubuntu"/>
        <color rgb="FF0066CC"/>
        <sz val="12.0"/>
      </rPr>
      <t>West End Popeyes</t>
    </r>
    <r>
      <rPr>
        <rFont val="Ubuntu"/>
        <color rgb="FF797B7D"/>
        <sz val="12.0"/>
      </rPr>
      <t>(5-9-0)</t>
    </r>
  </si>
  <si>
    <r>
      <rPr>
        <rFont val="Ubuntu"/>
        <color rgb="FF0066CC"/>
        <sz val="12.0"/>
      </rPr>
      <t>Uncross Your Mutts</t>
    </r>
    <r>
      <rPr>
        <rFont val="Ubuntu"/>
        <color rgb="FF797B7D"/>
        <sz val="12.0"/>
      </rPr>
      <t>(8-6-0)</t>
    </r>
  </si>
  <si>
    <r>
      <rPr>
        <rFont val="Ubuntu"/>
        <color rgb="FF0066CC"/>
        <sz val="12.0"/>
      </rPr>
      <t>Uncross Your Mutts</t>
    </r>
    <r>
      <rPr>
        <rFont val="Ubuntu"/>
        <color rgb="FF797B7D"/>
        <sz val="12.0"/>
      </rPr>
      <t>(9-5-0)</t>
    </r>
  </si>
  <si>
    <r>
      <rPr>
        <rFont val="Ubuntu"/>
        <color rgb="FF0066CC"/>
        <sz val="12.0"/>
      </rPr>
      <t>Georgia Green</t>
    </r>
    <r>
      <rPr>
        <rFont val="Ubuntu"/>
        <color rgb="FF797B7D"/>
        <sz val="12.0"/>
      </rPr>
      <t>(10-4-0)</t>
    </r>
  </si>
  <si>
    <r>
      <rPr>
        <rFont val="Ubuntu"/>
        <color rgb="FF0066CC"/>
        <sz val="12.0"/>
      </rPr>
      <t>Down South Champs</t>
    </r>
    <r>
      <rPr>
        <rFont val="Ubuntu"/>
        <color rgb="FF797B7D"/>
        <sz val="12.0"/>
      </rPr>
      <t>(6-8-0)</t>
    </r>
  </si>
  <si>
    <r>
      <rPr>
        <rFont val="Ubuntu"/>
        <color rgb="FF0066CC"/>
        <sz val="12.0"/>
      </rPr>
      <t>East Atlanta Savages</t>
    </r>
    <r>
      <rPr>
        <rFont val="Ubuntu"/>
        <color rgb="FF797B7D"/>
        <sz val="12.0"/>
      </rPr>
      <t>(5-9-0)</t>
    </r>
  </si>
  <si>
    <r>
      <rPr>
        <rFont val="Ubuntu"/>
        <color rgb="FF0066CC"/>
        <sz val="12.0"/>
      </rPr>
      <t>Down South Champs</t>
    </r>
    <r>
      <rPr>
        <rFont val="Ubuntu"/>
        <color rgb="FF797B7D"/>
        <sz val="12.0"/>
      </rPr>
      <t>(5-9-0)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</si>
  <si>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</si>
  <si>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</si>
  <si>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t>Cumgetsum Yardies(107.33 Pts)</t>
  </si>
  <si>
    <r>
      <rPr>
        <rFont val="Ubuntu"/>
        <color rgb="FF0066CC"/>
        <sz val="12.0"/>
      </rPr>
      <t>Decatur MetaMookDawgs</t>
    </r>
    <r>
      <rPr>
        <rFont val="Ubuntu"/>
        <color rgb="FF797B7D"/>
        <sz val="12.0"/>
      </rPr>
      <t>(5-9-0)</t>
    </r>
  </si>
  <si>
    <t>All Star Players of the Week</t>
  </si>
  <si>
    <r>
      <rPr>
        <rFont val="Ubuntu"/>
        <color rgb="FF0066CC"/>
        <sz val="12.0"/>
      </rPr>
      <t>Cumgetsum Yardies</t>
    </r>
    <r>
      <rPr>
        <rFont val="Ubuntu"/>
        <color rgb="FF797B7D"/>
        <sz val="12.0"/>
      </rPr>
      <t>(9-5-0)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</si>
  <si>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</si>
  <si>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(7-7-0)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</si>
  <si>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</si>
  <si>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(8-6-0)</t>
    </r>
  </si>
  <si>
    <r>
      <rPr>
        <rFont val="Ubuntu"/>
        <color rgb="FF0066CC"/>
        <sz val="12.0"/>
      </rPr>
      <t>Georgia Green</t>
    </r>
    <r>
      <rPr>
        <rFont val="Ubuntu"/>
        <color rgb="FF797B7D"/>
        <sz val="12.0"/>
      </rPr>
      <t>(10-4-0)</t>
    </r>
  </si>
  <si>
    <r>
      <rPr>
        <rFont val="Ubuntu"/>
        <color rgb="FF0066CC"/>
        <sz val="12.0"/>
      </rPr>
      <t>Uncross Your Mutts</t>
    </r>
    <r>
      <rPr>
        <rFont val="Ubuntu"/>
        <color rgb="FF797B7D"/>
        <sz val="12.0"/>
      </rPr>
      <t>(9-5-0)</t>
    </r>
  </si>
  <si>
    <r>
      <rPr>
        <rFont val="Ubuntu"/>
        <color rgb="FF0066CC"/>
        <sz val="12.0"/>
      </rPr>
      <t>Cumgetsum Yardies</t>
    </r>
    <r>
      <rPr>
        <rFont val="Ubuntu"/>
        <color rgb="FF797B7D"/>
        <sz val="12.0"/>
      </rPr>
      <t>(11-3-0)</t>
    </r>
  </si>
  <si>
    <r>
      <rPr>
        <rFont val="Ubuntu"/>
        <color rgb="FF0066CC"/>
        <sz val="12.0"/>
      </rPr>
      <t>East Atlanta Savages</t>
    </r>
    <r>
      <rPr>
        <rFont val="Ubuntu"/>
        <color rgb="FF797B7D"/>
        <sz val="12.0"/>
      </rPr>
      <t>(5-9-0)</t>
    </r>
  </si>
  <si>
    <r>
      <rPr>
        <rFont val="Ubuntu"/>
        <color rgb="FF0066CC"/>
        <sz val="12.0"/>
      </rPr>
      <t>Down South Champs</t>
    </r>
    <r>
      <rPr>
        <rFont val="Ubuntu"/>
        <color rgb="FF797B7D"/>
        <sz val="12.0"/>
      </rPr>
      <t>(5-9-0)</t>
    </r>
  </si>
  <si>
    <r>
      <rPr>
        <rFont val="Ubuntu"/>
        <color rgb="FF0066CC"/>
        <sz val="12.0"/>
      </rPr>
      <t>Decatur MetaMookDawgs</t>
    </r>
    <r>
      <rPr>
        <rFont val="Ubuntu"/>
        <color rgb="FF797B7D"/>
        <sz val="12.0"/>
      </rPr>
      <t>(5-9-0)</t>
    </r>
  </si>
  <si>
    <r>
      <rPr>
        <rFont val="Ubuntu"/>
        <color rgb="FF0066CC"/>
        <sz val="12.0"/>
      </rPr>
      <t>West End Popeyes</t>
    </r>
    <r>
      <rPr>
        <rFont val="Ubuntu"/>
        <color rgb="FF797B7D"/>
        <sz val="12.0"/>
      </rPr>
      <t>(5-9-0)</t>
    </r>
  </si>
  <si>
    <r>
      <rPr>
        <rFont val="Ubuntu"/>
        <color rgb="FF0066CC"/>
        <sz val="12.0"/>
      </rPr>
      <t>East Atlanta Savages</t>
    </r>
    <r>
      <rPr>
        <rFont val="Ubuntu"/>
        <color rgb="FF797B7D"/>
        <sz val="12.0"/>
      </rPr>
      <t>(5-9-0)</t>
    </r>
  </si>
  <si>
    <r>
      <rPr>
        <rFont val="Ubuntu"/>
        <color rgb="FF0066CC"/>
        <sz val="12.0"/>
      </rPr>
      <t>West End Popeyes</t>
    </r>
    <r>
      <rPr>
        <rFont val="Ubuntu"/>
        <color rgb="FF797B7D"/>
        <sz val="12.0"/>
      </rPr>
      <t>(6-8-0)</t>
    </r>
  </si>
  <si>
    <r>
      <rPr>
        <rFont val="Ubuntu"/>
        <color rgb="FF0066CC"/>
        <sz val="12.0"/>
      </rPr>
      <t>Decatur MetaMookDawgs</t>
    </r>
    <r>
      <rPr>
        <rFont val="Ubuntu"/>
        <color rgb="FF797B7D"/>
        <sz val="12.0"/>
      </rPr>
      <t>(5-9-0)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</si>
  <si>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</si>
  <si>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(8-6-0)</t>
    </r>
  </si>
  <si>
    <r>
      <rPr>
        <rFont val="Ubuntu"/>
        <color rgb="FF0066CC"/>
        <sz val="12.0"/>
      </rPr>
      <t>Uncross Your Mutts</t>
    </r>
    <r>
      <rPr>
        <rFont val="Ubuntu"/>
        <color rgb="FF797B7D"/>
        <sz val="12.0"/>
      </rPr>
      <t>(8-6-0)</t>
    </r>
  </si>
  <si>
    <r>
      <rPr>
        <rFont val="Ubuntu"/>
        <color rgb="FF0066CC"/>
        <sz val="12.0"/>
      </rPr>
      <t>Cumgetsum Yardies</t>
    </r>
    <r>
      <rPr>
        <rFont val="Ubuntu"/>
        <color rgb="FF797B7D"/>
        <sz val="12.0"/>
      </rPr>
      <t>(9-5-0)</t>
    </r>
  </si>
  <si>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</si>
  <si>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(7-7-0)</t>
    </r>
  </si>
  <si>
    <r>
      <rPr>
        <rFont val="Ubuntu"/>
        <color rgb="FF0066CC"/>
        <sz val="12.0"/>
      </rPr>
      <t>East Atlanta Savages</t>
    </r>
    <r>
      <rPr>
        <rFont val="Ubuntu"/>
        <color rgb="FF797B7D"/>
        <sz val="12.0"/>
      </rPr>
      <t>(5-9-0)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</si>
  <si>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</si>
  <si>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</si>
  <si>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t>Christine </t>
  </si>
  <si>
    <t>Anthony </t>
  </si>
  <si>
    <r>
      <rPr>
        <rFont val="Ubuntu"/>
        <color rgb="FF0066CC"/>
        <sz val="12.0"/>
      </rPr>
      <t>Down South Champs</t>
    </r>
    <r>
      <rPr>
        <rFont val="Ubuntu"/>
        <color rgb="FF797B7D"/>
        <sz val="12.0"/>
      </rPr>
      <t>(6-8-0)</t>
    </r>
  </si>
  <si>
    <r>
      <rPr>
        <rFont val="Ubuntu"/>
        <color rgb="FF0066CC"/>
        <sz val="12.0"/>
      </rPr>
      <t>Uncross Your Mutts</t>
    </r>
    <r>
      <rPr>
        <rFont val="Ubuntu"/>
        <color rgb="FF797B7D"/>
        <sz val="12.0"/>
      </rPr>
      <t>(8-6-0)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</si>
  <si>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</si>
  <si>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</si>
  <si>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</si>
  <si>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</si>
  <si>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(11-3-0)</t>
    </r>
  </si>
  <si>
    <r>
      <rPr>
        <rFont val="Ubuntu"/>
        <b/>
        <color rgb="FF0066CC"/>
        <sz val="12.0"/>
      </rPr>
      <t>Bandera Decoupes</t>
    </r>
    <r>
      <rPr>
        <rFont val="Ubuntu"/>
        <b/>
        <color rgb="FF797B7D"/>
        <sz val="12.0"/>
      </rPr>
      <t>(7-7-0)</t>
    </r>
  </si>
  <si>
    <r>
      <rPr>
        <rFont val="Ubuntu"/>
        <color rgb="FF0066CC"/>
        <sz val="12.0"/>
      </rPr>
      <t>Uncross Your Mutts</t>
    </r>
    <r>
      <rPr>
        <rFont val="Ubuntu"/>
        <color rgb="FF797B7D"/>
        <sz val="12.0"/>
      </rPr>
      <t>(8-6-0)</t>
    </r>
  </si>
  <si>
    <r>
      <rPr>
        <rFont val="Ubuntu"/>
        <color rgb="FF0066CC"/>
        <sz val="12.0"/>
      </rPr>
      <t>West End Popeyes</t>
    </r>
    <r>
      <rPr>
        <rFont val="Ubuntu"/>
        <color rgb="FF797B7D"/>
        <sz val="12.0"/>
      </rPr>
      <t>(5-9-0)</t>
    </r>
  </si>
  <si>
    <r>
      <rPr>
        <rFont val="Ubuntu"/>
        <color rgb="FF0066CC"/>
        <sz val="12.0"/>
      </rPr>
      <t>Down South Champs</t>
    </r>
    <r>
      <rPr>
        <rFont val="Ubuntu"/>
        <color rgb="FF797B7D"/>
        <sz val="12.0"/>
      </rPr>
      <t>(5-9-0)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</si>
  <si>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</si>
  <si>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</si>
  <si>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</si>
  <si>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(11-3-0)</t>
    </r>
  </si>
  <si>
    <r>
      <rPr>
        <rFont val="Ubuntu"/>
        <b/>
        <color rgb="FF0066CC"/>
        <sz val="12.0"/>
      </rPr>
      <t>Bandera Decoupes</t>
    </r>
    <r>
      <rPr>
        <rFont val="Ubuntu"/>
        <b/>
        <color rgb="FF797B7D"/>
        <sz val="12.0"/>
      </rPr>
      <t>(7-7-0)</t>
    </r>
  </si>
  <si>
    <r>
      <rPr>
        <rFont val="Ubuntu"/>
        <color rgb="FF0066CC"/>
        <sz val="12.0"/>
      </rPr>
      <t>Georgia Green</t>
    </r>
    <r>
      <rPr>
        <rFont val="Ubuntu"/>
        <color rgb="FF797B7D"/>
        <sz val="12.0"/>
      </rPr>
      <t>(10-4-0)</t>
    </r>
  </si>
  <si>
    <r>
      <rPr>
        <rFont val="Ubuntu"/>
        <color rgb="FF0066CC"/>
        <sz val="12.0"/>
      </rPr>
      <t>Cumgetsum Yardies</t>
    </r>
    <r>
      <rPr>
        <rFont val="Ubuntu"/>
        <color rgb="FF797B7D"/>
        <sz val="12.0"/>
      </rPr>
      <t>(11-3-0)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</si>
  <si>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</si>
  <si>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</si>
  <si>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</si>
  <si>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</si>
  <si>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r>
      <rPr>
        <rFont val="Ubuntu"/>
        <color rgb="FF0066CC"/>
        <sz val="12.0"/>
      </rPr>
      <t>Uncross Your Mutts</t>
    </r>
    <r>
      <rPr>
        <rFont val="Ubuntu"/>
        <color rgb="FF797B7D"/>
        <sz val="12.0"/>
      </rPr>
      <t>(8-6-0)</t>
    </r>
  </si>
  <si>
    <r>
      <rPr>
        <rFont val="Ubuntu"/>
        <b/>
        <color rgb="FF0066CC"/>
        <sz val="12.0"/>
      </rPr>
      <t>Bandera Decoupes</t>
    </r>
    <r>
      <rPr>
        <rFont val="Ubuntu"/>
        <b/>
        <color rgb="FF797B7D"/>
        <sz val="12.0"/>
      </rPr>
      <t>(7-7-0)</t>
    </r>
  </si>
  <si>
    <r>
      <rPr>
        <rFont val="Ubuntu"/>
        <color rgb="FF0066CC"/>
        <sz val="12.0"/>
      </rPr>
      <t>East Atlanta Savages</t>
    </r>
    <r>
      <rPr>
        <rFont val="Ubuntu"/>
        <color rgb="FF797B7D"/>
        <sz val="12.0"/>
      </rPr>
      <t>(5-9-0)</t>
    </r>
  </si>
  <si>
    <t>Match of the Week Record</t>
  </si>
  <si>
    <r>
      <rPr>
        <rFont val="Ubuntu"/>
        <color rgb="FF0066CC"/>
        <sz val="12.0"/>
      </rPr>
      <t>Uncross Your Mutts</t>
    </r>
    <r>
      <rPr>
        <rFont val="Ubuntu"/>
        <color rgb="FF797B7D"/>
        <sz val="12.0"/>
      </rPr>
      <t>(8-6-0)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</si>
  <si>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</si>
  <si>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</si>
  <si>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</si>
  <si>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</si>
  <si>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(11-3-0)</t>
    </r>
  </si>
  <si>
    <r>
      <rPr>
        <rFont val="Ubuntu"/>
        <b/>
        <color rgb="FF0066CC"/>
        <sz val="12.0"/>
      </rPr>
      <t>Bandera Decoupes</t>
    </r>
    <r>
      <rPr>
        <rFont val="Ubuntu"/>
        <b/>
        <color rgb="FF797B7D"/>
        <sz val="12.0"/>
      </rPr>
      <t>(7-7-0)</t>
    </r>
  </si>
  <si>
    <r>
      <rPr>
        <rFont val="Ubuntu"/>
        <color rgb="FF0066CC"/>
        <sz val="12.0"/>
      </rPr>
      <t>Decatur MetaMookDawgs</t>
    </r>
    <r>
      <rPr>
        <rFont val="Ubuntu"/>
        <color rgb="FF797B7D"/>
        <sz val="12.0"/>
      </rPr>
      <t>(5-9-0)</t>
    </r>
  </si>
  <si>
    <r>
      <rPr>
        <rFont val="Ubuntu"/>
        <color rgb="FF0066CC"/>
        <sz val="12.0"/>
      </rPr>
      <t>West End Popeyes</t>
    </r>
    <r>
      <rPr>
        <rFont val="Ubuntu"/>
        <color rgb="FF797B7D"/>
        <sz val="12.0"/>
      </rPr>
      <t>(5-9-0)</t>
    </r>
  </si>
  <si>
    <r>
      <rPr>
        <rFont val="Ubuntu"/>
        <color rgb="FF0066CC"/>
        <sz val="12.0"/>
      </rPr>
      <t>Cumgetsum Yardies</t>
    </r>
    <r>
      <rPr>
        <rFont val="Ubuntu"/>
        <color rgb="FF797B7D"/>
        <sz val="12.0"/>
      </rPr>
      <t>(11-3-0)</t>
    </r>
  </si>
  <si>
    <r>
      <rPr>
        <rFont val="Ubuntu"/>
        <color rgb="FF0066CC"/>
        <sz val="12.0"/>
      </rPr>
      <t>Georgia Green</t>
    </r>
    <r>
      <rPr>
        <rFont val="Ubuntu"/>
        <color rgb="FF797B7D"/>
        <sz val="12.0"/>
      </rPr>
      <t>(10-4-0)</t>
    </r>
  </si>
  <si>
    <r>
      <rPr>
        <rFont val="Ubuntu"/>
        <color rgb="FF0066CC"/>
        <sz val="12.0"/>
      </rPr>
      <t>Uncross Your Mutts</t>
    </r>
    <r>
      <rPr>
        <rFont val="Ubuntu"/>
        <color rgb="FF797B7D"/>
        <sz val="12.0"/>
      </rPr>
      <t>(8-6-0)</t>
    </r>
  </si>
  <si>
    <r>
      <rPr>
        <rFont val="Ubuntu"/>
        <color rgb="FF0066CC"/>
        <sz val="12.0"/>
      </rPr>
      <t>East Atlanta Savages</t>
    </r>
    <r>
      <rPr>
        <rFont val="Ubuntu"/>
        <color rgb="FF797B7D"/>
        <sz val="12.0"/>
      </rPr>
      <t>(5-9-0)</t>
    </r>
  </si>
  <si>
    <t>PLAYER NAME</t>
  </si>
  <si>
    <r>
      <rPr>
        <rFont val="Ubuntu"/>
        <color rgb="FF0066CC"/>
        <sz val="12.0"/>
      </rPr>
      <t>Down South Champs</t>
    </r>
    <r>
      <rPr>
        <rFont val="Ubuntu"/>
        <color rgb="FF797B7D"/>
        <sz val="12.0"/>
      </rPr>
      <t>(5-9-0)</t>
    </r>
  </si>
  <si>
    <r>
      <rPr>
        <rFont val="Ubuntu"/>
        <b/>
        <color rgb="FF0066CC"/>
        <sz val="12.0"/>
      </rPr>
      <t>Bandera Decoupes</t>
    </r>
    <r>
      <rPr>
        <rFont val="Ubuntu"/>
        <b/>
        <color rgb="FF797B7D"/>
        <sz val="12.0"/>
      </rPr>
      <t>(7-7-0)</t>
    </r>
  </si>
  <si>
    <r>
      <rPr>
        <rFont val="Ubuntu"/>
        <color rgb="FF0066CC"/>
        <sz val="12.0"/>
      </rPr>
      <t>West End Popeyes</t>
    </r>
    <r>
      <rPr>
        <rFont val="Ubuntu"/>
        <color rgb="FF797B7D"/>
        <sz val="12.0"/>
      </rPr>
      <t>(5-9-0)</t>
    </r>
  </si>
  <si>
    <r>
      <rPr>
        <rFont val="Ubuntu"/>
        <color rgb="FF0066CC"/>
        <sz val="12.0"/>
      </rPr>
      <t>Decatur MetaMookDawgs</t>
    </r>
    <r>
      <rPr>
        <rFont val="Ubuntu"/>
        <color rgb="FF797B7D"/>
        <sz val="12.0"/>
      </rPr>
      <t>(5-9-0)</t>
    </r>
  </si>
  <si>
    <r>
      <rPr>
        <rFont val="Ubuntu"/>
        <color rgb="FF0066CC"/>
        <sz val="12.0"/>
      </rPr>
      <t>Down South Champs</t>
    </r>
    <r>
      <rPr>
        <rFont val="Ubuntu"/>
        <color rgb="FF797B7D"/>
        <sz val="12.0"/>
      </rPr>
      <t>(5-9-0)</t>
    </r>
  </si>
  <si>
    <r>
      <rPr>
        <rFont val="Ubuntu"/>
        <color rgb="FF0066CC"/>
        <sz val="12.0"/>
      </rPr>
      <t>Georgia Green</t>
    </r>
    <r>
      <rPr>
        <rFont val="Ubuntu"/>
        <color rgb="FF797B7D"/>
        <sz val="12.0"/>
      </rPr>
      <t>(10-4-0)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</si>
  <si>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</si>
  <si>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(11-3-0)</t>
    </r>
  </si>
  <si>
    <r>
      <rPr>
        <rFont val="Ubuntu"/>
        <color rgb="FF0066CC"/>
        <sz val="12.0"/>
      </rPr>
      <t>Uncross Your Mutts</t>
    </r>
    <r>
      <rPr>
        <rFont val="Ubuntu"/>
        <color rgb="FF797B7D"/>
        <sz val="12.0"/>
      </rPr>
      <t>(8-6-0)</t>
    </r>
  </si>
  <si>
    <r>
      <rPr>
        <rFont val="Ubuntu"/>
        <b/>
        <color rgb="FF0066CC"/>
        <sz val="12.0"/>
      </rPr>
      <t>Bandera Decoupes</t>
    </r>
    <r>
      <rPr>
        <rFont val="Ubuntu"/>
        <b/>
        <color rgb="FF797B7D"/>
        <sz val="12.0"/>
      </rPr>
      <t>(7-7-0)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</si>
  <si>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</si>
  <si>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</si>
  <si>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Decatur MetaMookDawgs</t>
    </r>
    <r>
      <rPr>
        <rFont val="Ubuntu"/>
        <color rgb="FF797B7D"/>
        <sz val="12.0"/>
      </rPr>
      <t>(5-9-0)</t>
    </r>
  </si>
  <si>
    <r>
      <rPr>
        <rFont val="Ubuntu"/>
        <color rgb="FF0066CC"/>
        <sz val="12.0"/>
      </rPr>
      <t>Georgia Green</t>
    </r>
    <r>
      <rPr>
        <rFont val="Ubuntu"/>
        <color rgb="FF797B7D"/>
        <sz val="12.0"/>
      </rPr>
      <t>(10-4-0)</t>
    </r>
  </si>
  <si>
    <r>
      <rPr>
        <rFont val="Ubuntu"/>
        <color rgb="FF0066CC"/>
        <sz val="12.0"/>
      </rPr>
      <t>Cumgetsum Yardies</t>
    </r>
    <r>
      <rPr>
        <rFont val="Ubuntu"/>
        <color rgb="FF797B7D"/>
        <sz val="12.0"/>
      </rPr>
      <t>(11-3-0)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</si>
  <si>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</si>
  <si>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(8-6-0)</t>
    </r>
  </si>
  <si>
    <r>
      <rPr>
        <rFont val="Ubuntu"/>
        <b/>
        <color rgb="FF0066CC"/>
        <sz val="12.0"/>
      </rPr>
      <t>Bandera Decoupes</t>
    </r>
    <r>
      <rPr>
        <rFont val="Ubuntu"/>
        <b/>
        <color rgb="FF797B7D"/>
        <sz val="12.0"/>
      </rPr>
      <t>(7-7-0)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</si>
  <si>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</si>
  <si>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(8-6-0)</t>
    </r>
  </si>
  <si>
    <r>
      <rPr>
        <rFont val="Ubuntu"/>
        <color rgb="FF0066CC"/>
        <sz val="12.0"/>
      </rPr>
      <t>Down South Champs</t>
    </r>
    <r>
      <rPr>
        <rFont val="Ubuntu"/>
        <color rgb="FF797B7D"/>
        <sz val="12.0"/>
      </rPr>
      <t>(5-9-0)</t>
    </r>
  </si>
  <si>
    <t>Most Blowouts</t>
  </si>
  <si>
    <r>
      <rPr>
        <rFont val="Ubuntu"/>
        <color rgb="FF0066CC"/>
        <sz val="12.0"/>
      </rPr>
      <t>West End Popeyes</t>
    </r>
    <r>
      <rPr>
        <rFont val="Ubuntu"/>
        <color rgb="FF797B7D"/>
        <sz val="12.0"/>
      </rPr>
      <t>(5-9-0)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</si>
  <si>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</si>
  <si>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</si>
  <si>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(11-3-0)</t>
    </r>
  </si>
  <si>
    <r>
      <rPr>
        <rFont val="Ubuntu"/>
        <b/>
        <color rgb="FF0066CC"/>
        <sz val="12.0"/>
      </rPr>
      <t>Bandera Decoupes</t>
    </r>
    <r>
      <rPr>
        <rFont val="Ubuntu"/>
        <b/>
        <color rgb="FF797B7D"/>
        <sz val="12.0"/>
      </rPr>
      <t>(7-7-0)</t>
    </r>
  </si>
  <si>
    <r>
      <rPr>
        <rFont val="Ubuntu"/>
        <color rgb="FF0066CC"/>
        <sz val="12.0"/>
      </rPr>
      <t>Georgia Green</t>
    </r>
    <r>
      <rPr>
        <rFont val="Ubuntu"/>
        <color rgb="FF797B7D"/>
        <sz val="12.0"/>
      </rPr>
      <t>(10-4-0)</t>
    </r>
  </si>
  <si>
    <t>a</t>
  </si>
  <si>
    <r>
      <rPr>
        <rFont val="Ubuntu"/>
        <color rgb="FF0066CC"/>
        <sz val="12.0"/>
      </rPr>
      <t>Cumgetsum Yardies</t>
    </r>
    <r>
      <rPr>
        <rFont val="Ubuntu"/>
        <color rgb="FF797B7D"/>
        <sz val="12.0"/>
      </rPr>
      <t>(11-3-0)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</si>
  <si>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</si>
  <si>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</si>
  <si>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</si>
  <si>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</si>
  <si>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r>
      <rPr>
        <rFont val="Ubuntu"/>
        <color rgb="FF0066CC"/>
        <sz val="12.0"/>
      </rPr>
      <t>Uncross Your Mutts</t>
    </r>
    <r>
      <rPr>
        <rFont val="Ubuntu"/>
        <color rgb="FF797B7D"/>
        <sz val="12.0"/>
      </rPr>
      <t>(8-6-0)</t>
    </r>
  </si>
  <si>
    <r>
      <rPr>
        <rFont val="Ubuntu"/>
        <b/>
        <color rgb="FF0066CC"/>
        <sz val="12.0"/>
      </rPr>
      <t>Bandera Decoupes</t>
    </r>
    <r>
      <rPr>
        <rFont val="Ubuntu"/>
        <b/>
        <color rgb="FF797B7D"/>
        <sz val="12.0"/>
      </rPr>
      <t>(7-7-0)</t>
    </r>
  </si>
  <si>
    <r>
      <rPr>
        <rFont val="Ubuntu"/>
        <color rgb="FF0066CC"/>
        <sz val="12.0"/>
      </rPr>
      <t>West End Popeyes</t>
    </r>
    <r>
      <rPr>
        <rFont val="Ubuntu"/>
        <color rgb="FF797B7D"/>
        <sz val="12.0"/>
      </rPr>
      <t>(5-9-0)</t>
    </r>
  </si>
  <si>
    <r>
      <rPr>
        <rFont val="Ubuntu"/>
        <color rgb="FF0066CC"/>
        <sz val="12.0"/>
      </rPr>
      <t>Decatur MetaMookDawgs</t>
    </r>
    <r>
      <rPr>
        <rFont val="Ubuntu"/>
        <color rgb="FF797B7D"/>
        <sz val="12.0"/>
      </rPr>
      <t>(5-9-0)</t>
    </r>
  </si>
  <si>
    <r>
      <rPr>
        <rFont val="Ubuntu"/>
        <color rgb="FF0066CC"/>
        <sz val="12.0"/>
      </rPr>
      <t>Down South Champs</t>
    </r>
    <r>
      <rPr>
        <rFont val="Ubuntu"/>
        <color rgb="FF797B7D"/>
        <sz val="12.0"/>
      </rPr>
      <t>(5-9-0)</t>
    </r>
  </si>
  <si>
    <r>
      <rPr>
        <rFont val="Ubuntu"/>
        <color rgb="FF0066CC"/>
        <sz val="12.0"/>
      </rPr>
      <t>Georgia Green</t>
    </r>
    <r>
      <rPr>
        <rFont val="Ubuntu"/>
        <color rgb="FF797B7D"/>
        <sz val="12.0"/>
      </rPr>
      <t>(10-4-0)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</si>
  <si>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</si>
  <si>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(11-3-0)</t>
    </r>
  </si>
  <si>
    <r>
      <rPr>
        <rFont val="Ubuntu"/>
        <color rgb="FF0066CC"/>
        <sz val="12.0"/>
      </rPr>
      <t>Uncross Your Mutts</t>
    </r>
    <r>
      <rPr>
        <rFont val="Ubuntu"/>
        <color rgb="FF797B7D"/>
        <sz val="12.0"/>
      </rPr>
      <t>(8-6-0)</t>
    </r>
  </si>
  <si>
    <t>Most Trades</t>
  </si>
  <si>
    <r>
      <rPr>
        <rFont val="Ubuntu"/>
        <color rgb="FF0066CC"/>
        <sz val="12.0"/>
      </rPr>
      <t>Uncross Your Mutts</t>
    </r>
    <r>
      <rPr>
        <rFont val="Ubuntu"/>
        <color rgb="FF797B7D"/>
        <sz val="12.0"/>
      </rPr>
      <t>(8-6-0)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</si>
  <si>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</si>
  <si>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</si>
  <si>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b/>
        <color rgb="FF0066CC"/>
        <sz val="12.0"/>
      </rPr>
      <t>Bandera Decoupes</t>
    </r>
    <r>
      <rPr>
        <rFont val="Ubuntu"/>
        <b/>
        <color rgb="FF797B7D"/>
        <sz val="12.0"/>
      </rPr>
      <t>(7-7-0)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</si>
  <si>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</si>
  <si>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</si>
  <si>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t>Cumgetsum Yardies(171.3 Pts)</t>
  </si>
  <si>
    <t>Georgia Green(197.4 Pts)</t>
  </si>
  <si>
    <r>
      <rPr>
        <rFont val="Ubuntu"/>
        <color rgb="FF0066CC"/>
        <sz val="12.0"/>
      </rPr>
      <t>Uncross Your Mutts</t>
    </r>
    <r>
      <rPr>
        <rFont val="Ubuntu"/>
        <color rgb="FF797B7D"/>
        <sz val="12.0"/>
      </rPr>
      <t>(8-6-0)</t>
    </r>
  </si>
  <si>
    <r>
      <rPr>
        <rFont val="Ubuntu"/>
        <color rgb="FF0066CC"/>
        <sz val="12.0"/>
      </rPr>
      <t>Cumgetsum Yardies</t>
    </r>
    <r>
      <rPr>
        <rFont val="Ubuntu"/>
        <color rgb="FF797B7D"/>
        <sz val="12.0"/>
      </rPr>
      <t>(11-3-0)</t>
    </r>
  </si>
  <si>
    <r>
      <rPr>
        <rFont val="Ubuntu"/>
        <color rgb="FF0066CC"/>
        <sz val="12.0"/>
      </rPr>
      <t>West End Popeyes</t>
    </r>
    <r>
      <rPr>
        <rFont val="Ubuntu"/>
        <color rgb="FF797B7D"/>
        <sz val="12.0"/>
      </rPr>
      <t>(5-9-0)</t>
    </r>
  </si>
  <si>
    <r>
      <rPr>
        <rFont val="Ubuntu"/>
        <color rgb="FF0066CC"/>
        <sz val="12.0"/>
      </rPr>
      <t>Georgia Green</t>
    </r>
    <r>
      <rPr>
        <rFont val="Ubuntu"/>
        <color rgb="FF797B7D"/>
        <sz val="12.0"/>
      </rPr>
      <t>(10-4-0)</t>
    </r>
  </si>
  <si>
    <r>
      <rPr>
        <rFont val="Ubuntu"/>
        <b/>
        <color rgb="FF0066CC"/>
        <sz val="12.0"/>
      </rPr>
      <t>Bandera Decoupes</t>
    </r>
    <r>
      <rPr>
        <rFont val="Ubuntu"/>
        <b/>
        <color rgb="FF797B7D"/>
        <sz val="12.0"/>
      </rPr>
      <t>(7-7-0)</t>
    </r>
  </si>
  <si>
    <r>
      <rPr>
        <rFont val="Ubuntu"/>
        <color rgb="FF0066CC"/>
        <sz val="12.0"/>
      </rPr>
      <t>Down South Champs</t>
    </r>
    <r>
      <rPr>
        <rFont val="Ubuntu"/>
        <color rgb="FF797B7D"/>
        <sz val="12.0"/>
      </rPr>
      <t>(5-9-0)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</si>
  <si>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</si>
  <si>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</si>
  <si>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(8-6-0)</t>
    </r>
  </si>
  <si>
    <t>Most Upsets</t>
  </si>
  <si>
    <r>
      <rPr>
        <rFont val="Ubuntu"/>
        <color rgb="FF0066CC"/>
        <sz val="12.0"/>
      </rPr>
      <t>Georgia Green</t>
    </r>
    <r>
      <rPr>
        <rFont val="Ubuntu"/>
        <color rgb="FF797B7D"/>
        <sz val="12.0"/>
      </rPr>
      <t>(10-4-0)</t>
    </r>
  </si>
  <si>
    <r>
      <rPr>
        <rFont val="Ubuntu"/>
        <color rgb="FF0066CC"/>
        <sz val="12.0"/>
      </rPr>
      <t>West End Popeyes</t>
    </r>
    <r>
      <rPr>
        <rFont val="Ubuntu"/>
        <color rgb="FF797B7D"/>
        <sz val="12.0"/>
      </rPr>
      <t>(5-9-0)</t>
    </r>
  </si>
  <si>
    <r>
      <rPr>
        <rFont val="Ubuntu"/>
        <color rgb="FF0066CC"/>
        <sz val="12.0"/>
      </rPr>
      <t>Cumgetsum Yardies</t>
    </r>
    <r>
      <rPr>
        <rFont val="Ubuntu"/>
        <color rgb="FF797B7D"/>
        <sz val="12.0"/>
      </rPr>
      <t>(11-3-0)</t>
    </r>
  </si>
  <si>
    <r>
      <rPr>
        <rFont val="Ubuntu"/>
        <b/>
        <color rgb="FF0066CC"/>
        <sz val="12.0"/>
      </rPr>
      <t>Bandera Decoupes</t>
    </r>
    <r>
      <rPr>
        <rFont val="Ubuntu"/>
        <b/>
        <color rgb="FF797B7D"/>
        <sz val="12.0"/>
      </rPr>
      <t>(7-7-0)</t>
    </r>
  </si>
  <si>
    <r>
      <rPr>
        <rFont val="Ubuntu"/>
        <color rgb="FF0066CC"/>
        <sz val="12.0"/>
      </rPr>
      <t>Down South Champs</t>
    </r>
    <r>
      <rPr>
        <rFont val="Ubuntu"/>
        <color rgb="FF797B7D"/>
        <sz val="12.0"/>
      </rPr>
      <t>(5-9-0)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</si>
  <si>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</si>
  <si>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</si>
  <si>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t>Waiver Wire Warrior</t>
  </si>
  <si>
    <t>fantasy acheivement stats</t>
  </si>
  <si>
    <t>Stat</t>
  </si>
  <si>
    <t>Most Valuable Upset</t>
  </si>
  <si>
    <t>Biggest Upsets in Season</t>
  </si>
  <si>
    <t>Biggest Positive Rank Change, Draft Day to Finale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</si>
</sst>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_(&quot;$&quot;* #,##0.00_);_(&quot;$&quot;* \(#,##0.00\);_(&quot;$&quot;* &quot;-&quot;??_);_(@_)"/>
  </numFmts>
  <fonts count="144">
    <font>
      <sz val="12.0"/>
      <color theme="1"/>
      <name val="Calibri"/>
      <scheme val="minor"/>
    </font>
    <font>
      <color theme="1"/>
      <name val="Calibri"/>
      <scheme val="minor"/>
    </font>
    <font>
      <sz val="14.0"/>
      <color rgb="FFF2F2F2"/>
      <name val="Calibri"/>
    </font>
    <font>
      <b/>
      <sz val="14.0"/>
      <color theme="0"/>
      <name val="Calibri"/>
    </font>
    <font>
      <b/>
      <sz val="14.0"/>
      <color theme="0"/>
      <name val="Evogria"/>
    </font>
    <font>
      <b/>
      <sz val="14.0"/>
      <color rgb="FFFFFFFF"/>
      <name val="Calibri"/>
    </font>
    <font>
      <b/>
      <sz val="12.0"/>
      <color theme="0"/>
      <name val="Calibri"/>
    </font>
    <font>
      <sz val="14.0"/>
      <color theme="1"/>
      <name val="Calibri"/>
    </font>
    <font>
      <sz val="10.0"/>
      <color theme="1"/>
      <name val="Calibri"/>
    </font>
    <font>
      <b/>
      <sz val="10.0"/>
      <color rgb="FFFFFFFF"/>
      <name val="Calibri"/>
      <scheme val="minor"/>
    </font>
    <font>
      <b/>
      <sz val="20.0"/>
      <color theme="0"/>
      <name val="Calibri"/>
    </font>
    <font/>
    <font>
      <b/>
      <sz val="22.0"/>
      <color theme="0"/>
      <name val="Calibri"/>
    </font>
    <font>
      <b/>
      <sz val="14.0"/>
      <color rgb="FFF2F2F2"/>
      <name val="Calibri"/>
    </font>
    <font>
      <b/>
      <sz val="14.0"/>
      <color rgb="FF000000"/>
      <name val="Calibri"/>
    </font>
    <font>
      <sz val="12.0"/>
      <color theme="1"/>
      <name val="Calibri"/>
    </font>
    <font>
      <sz val="12.0"/>
      <color theme="0"/>
      <name val="Calibri"/>
    </font>
    <font>
      <sz val="14.0"/>
      <color theme="0"/>
      <name val="Calibri"/>
    </font>
    <font>
      <sz val="14.0"/>
      <color rgb="FF000000"/>
      <name val="Calibri"/>
    </font>
    <font>
      <b/>
      <sz val="14.0"/>
      <color rgb="FFFF0000"/>
      <name val="Calibri"/>
    </font>
    <font>
      <sz val="12.0"/>
      <color rgb="FFF2F2F2"/>
      <name val="Calibri"/>
    </font>
    <font>
      <b/>
      <sz val="16.0"/>
      <color theme="0"/>
      <name val="Calibri"/>
    </font>
    <font>
      <b/>
      <sz val="10.0"/>
      <color rgb="FF000000"/>
      <name val="Calibri"/>
      <scheme val="minor"/>
    </font>
    <font>
      <b/>
      <sz val="16.0"/>
      <color theme="1"/>
      <name val="Calibri"/>
    </font>
    <font>
      <sz val="16.0"/>
      <color theme="1"/>
      <name val="Evogria"/>
    </font>
    <font>
      <b/>
      <sz val="10.0"/>
      <color theme="1"/>
      <name val="Calibri"/>
      <scheme val="minor"/>
    </font>
    <font>
      <sz val="16.0"/>
      <color rgb="FF111827"/>
      <name val="Evogria"/>
    </font>
    <font>
      <b/>
      <sz val="15.0"/>
      <color theme="1"/>
      <name val="Calibri"/>
      <scheme val="minor"/>
    </font>
    <font>
      <b/>
      <color rgb="FFFFFFFF"/>
      <name val="Calibri"/>
      <scheme val="minor"/>
    </font>
    <font>
      <sz val="16.0"/>
      <color theme="1"/>
      <name val="Calibri"/>
    </font>
    <font>
      <b/>
      <sz val="20.0"/>
      <color theme="1"/>
      <name val="Calibri"/>
    </font>
    <font>
      <b/>
      <color theme="1"/>
      <name val="Calibri"/>
      <scheme val="minor"/>
    </font>
    <font>
      <b/>
      <sz val="22.0"/>
      <color theme="1"/>
      <name val="Evogria"/>
    </font>
    <font>
      <b/>
      <sz val="18.0"/>
      <color theme="1"/>
      <name val="Calibri"/>
    </font>
    <font>
      <sz val="14.0"/>
      <color rgb="FF111827"/>
      <name val="Monaco"/>
    </font>
    <font>
      <b/>
      <sz val="8.0"/>
      <color theme="1"/>
      <name val="Calibri"/>
      <scheme val="minor"/>
    </font>
    <font>
      <sz val="14.0"/>
      <color rgb="FF131313"/>
      <name val="Var(--font-mono)"/>
    </font>
    <font>
      <color rgb="FFFFFF00"/>
      <name val="Calibri"/>
      <scheme val="minor"/>
    </font>
    <font>
      <sz val="12.0"/>
      <color theme="1"/>
      <name val="Evogria"/>
    </font>
    <font>
      <b/>
      <color rgb="FF000000"/>
      <name val="Calibri"/>
      <scheme val="minor"/>
    </font>
    <font>
      <b/>
      <sz val="13.0"/>
      <color theme="1"/>
      <name val="Calibri"/>
      <scheme val="minor"/>
    </font>
    <font>
      <b/>
      <sz val="12.0"/>
      <color theme="1"/>
      <name val="Calibri"/>
    </font>
    <font>
      <b/>
      <sz val="18.0"/>
      <color theme="0"/>
      <name val="Calibri"/>
    </font>
    <font>
      <sz val="11.0"/>
      <color theme="0"/>
      <name val="Calibri"/>
    </font>
    <font>
      <sz val="20.0"/>
      <color theme="0"/>
      <name val="Calibri"/>
    </font>
    <font>
      <sz val="12.0"/>
      <color rgb="FFFFFFFF"/>
      <name val="Calibri"/>
    </font>
    <font>
      <sz val="20.0"/>
      <color theme="1"/>
      <name val="Calibri"/>
    </font>
    <font>
      <b/>
      <sz val="18.0"/>
      <color rgb="FFFFFFFF"/>
      <name val="Calibri"/>
      <scheme val="minor"/>
    </font>
    <font>
      <b/>
      <sz val="18.0"/>
      <color theme="1"/>
      <name val="Calibri"/>
      <scheme val="minor"/>
    </font>
    <font>
      <b/>
      <sz val="22.0"/>
      <color theme="1"/>
      <name val="Calibri"/>
    </font>
    <font>
      <b/>
      <sz val="12.0"/>
      <color rgb="FFFFFFFF"/>
      <name val="Calibri"/>
    </font>
    <font>
      <b/>
      <sz val="24.0"/>
      <color theme="0"/>
      <name val="Calibri"/>
    </font>
    <font>
      <sz val="18.0"/>
      <color theme="0"/>
      <name val="Evogria"/>
    </font>
    <font>
      <sz val="22.0"/>
      <color theme="0"/>
      <name val="Evogria"/>
    </font>
    <font>
      <sz val="20.0"/>
      <color theme="1"/>
      <name val="Evogria"/>
    </font>
    <font>
      <sz val="36.0"/>
      <color theme="0"/>
      <name val="Origicide"/>
    </font>
    <font>
      <b/>
      <sz val="36.0"/>
      <color theme="0"/>
      <name val="Rockwell"/>
    </font>
    <font>
      <sz val="36.0"/>
      <color theme="0"/>
      <name val="Freshman"/>
    </font>
    <font>
      <sz val="36.0"/>
      <color theme="0"/>
      <name val="One Slice"/>
    </font>
    <font>
      <sz val="36.0"/>
      <color theme="0"/>
      <name val="Vampire Wars"/>
    </font>
    <font>
      <sz val="18.0"/>
      <color theme="1"/>
      <name val="Evogria"/>
    </font>
    <font>
      <b/>
      <sz val="11.0"/>
      <color theme="0"/>
      <name val="Calibri"/>
    </font>
    <font>
      <sz val="36.0"/>
      <color theme="0"/>
      <name val="Quicksilver"/>
    </font>
    <font>
      <sz val="36.0"/>
      <color theme="1"/>
      <name val="Robot Crush"/>
    </font>
    <font>
      <sz val="28.0"/>
      <color theme="0"/>
      <name val="AkiraExpanded-SuperBold"/>
    </font>
    <font>
      <sz val="36.0"/>
      <color theme="1"/>
      <name val="Sheeping Dogs Regular"/>
    </font>
    <font>
      <sz val="36.0"/>
      <color theme="1"/>
      <name val="Anta"/>
    </font>
    <font>
      <sz val="16.0"/>
      <color theme="1"/>
      <name val="Arial"/>
    </font>
    <font>
      <b/>
      <sz val="26.0"/>
      <color theme="1"/>
      <name val="Calibri"/>
    </font>
    <font>
      <sz val="22.0"/>
      <color theme="0"/>
      <name val="Calibri"/>
    </font>
    <font>
      <sz val="12.0"/>
      <color rgb="FF000000"/>
      <name val="Calibri"/>
    </font>
    <font>
      <sz val="24.0"/>
      <color theme="0"/>
      <name val="Calibri"/>
    </font>
    <font>
      <b/>
      <sz val="22.0"/>
      <color theme="1"/>
      <name val="Arial"/>
    </font>
    <font>
      <sz val="14.0"/>
      <color rgb="FF111827"/>
      <name val="Evogria"/>
    </font>
    <font>
      <sz val="14.0"/>
      <color rgb="FF111827"/>
      <name val="Calibri"/>
    </font>
    <font>
      <b/>
      <sz val="16.0"/>
      <color rgb="FFF2F2F2"/>
      <name val="Calibri"/>
    </font>
    <font>
      <b/>
      <sz val="11.0"/>
      <color rgb="FFF2F2F2"/>
      <name val="Calibri"/>
    </font>
    <font>
      <b/>
      <sz val="12.0"/>
      <color rgb="FFF2F2F2"/>
      <name val="Calibri"/>
    </font>
    <font>
      <sz val="12.0"/>
      <color rgb="FF120D17"/>
      <name val="Calibri"/>
    </font>
    <font>
      <sz val="12.0"/>
      <color rgb="FF9C0006"/>
      <name val="Calibri"/>
    </font>
    <font>
      <sz val="12.0"/>
      <color rgb="FF006100"/>
      <name val="Calibri"/>
    </font>
    <font>
      <sz val="12.0"/>
      <color rgb="FFFFFF00"/>
      <name val="Calibri"/>
    </font>
    <font>
      <b/>
      <sz val="11.0"/>
      <color theme="1"/>
      <name val="Calibri"/>
    </font>
    <font>
      <b/>
      <sz val="14.0"/>
      <color theme="1"/>
      <name val="Calibri"/>
    </font>
    <font>
      <u/>
      <sz val="12.0"/>
      <color theme="10"/>
      <name val="Calibri"/>
    </font>
    <font>
      <u/>
      <sz val="12.0"/>
      <color theme="10"/>
      <name val="Calibri"/>
    </font>
    <font>
      <sz val="12.0"/>
      <color theme="7"/>
      <name val="Calibri"/>
    </font>
    <font>
      <u/>
      <sz val="12.0"/>
      <color rgb="FF0563C1"/>
      <name val="Calibri"/>
    </font>
    <font>
      <sz val="15.0"/>
      <color theme="1"/>
      <name val="Calibri"/>
      <scheme val="minor"/>
    </font>
    <font>
      <u/>
      <sz val="12.0"/>
      <color theme="10"/>
      <name val="Calibri"/>
    </font>
    <font>
      <u/>
      <sz val="12.0"/>
      <color theme="10"/>
      <name val="Calibri"/>
    </font>
    <font>
      <u/>
      <sz val="12.0"/>
      <color theme="10"/>
      <name val="Calibri"/>
    </font>
    <font>
      <u/>
      <sz val="12.0"/>
      <color theme="10"/>
      <name val="Calibri"/>
    </font>
    <font>
      <sz val="12.0"/>
      <color rgb="FF6C6D6F"/>
      <name val="Ubuntu"/>
    </font>
    <font>
      <b/>
      <sz val="12.0"/>
      <color rgb="FF6C6D6F"/>
      <name val="Ubuntu"/>
    </font>
    <font>
      <b/>
      <sz val="16.0"/>
      <color rgb="FF151617"/>
      <name val="Ubuntu"/>
    </font>
    <font>
      <sz val="11.0"/>
      <color rgb="FF151617"/>
      <name val="Ubuntu"/>
    </font>
    <font>
      <b/>
      <sz val="11.0"/>
      <color rgb="FF48494A"/>
      <name val="Ubuntu"/>
    </font>
    <font>
      <sz val="12.0"/>
      <color rgb="FF0066CC"/>
      <name val="Ubuntu"/>
    </font>
    <font>
      <u/>
      <sz val="12.0"/>
      <color theme="10"/>
      <name val="Calibri"/>
    </font>
    <font>
      <u/>
      <sz val="12.0"/>
      <color theme="1"/>
      <name val="Calibri"/>
    </font>
    <font>
      <u/>
      <color rgb="FF0000FF"/>
    </font>
    <font>
      <b/>
      <sz val="12.0"/>
      <color rgb="FF0066CC"/>
      <name val="Ubuntu"/>
    </font>
    <font>
      <u/>
      <sz val="12.0"/>
      <color theme="10"/>
      <name val="Calibri"/>
    </font>
    <font>
      <u/>
      <sz val="12.0"/>
      <color theme="10"/>
      <name val="Calibri"/>
    </font>
    <font>
      <sz val="12.0"/>
      <color rgb="FF000000"/>
      <name val="Ubuntu"/>
    </font>
    <font>
      <sz val="16.0"/>
      <color rgb="FF000000"/>
      <name val="Ubuntu"/>
    </font>
    <font>
      <u/>
      <sz val="12.0"/>
      <color theme="10"/>
      <name val="Calibri"/>
    </font>
    <font>
      <u/>
      <sz val="12.0"/>
      <color theme="1"/>
      <name val="Calibri"/>
    </font>
    <font>
      <u/>
      <sz val="12.0"/>
      <color theme="1"/>
      <name val="Calibri"/>
    </font>
    <font>
      <u/>
      <sz val="12.0"/>
      <color theme="10"/>
      <name val="Calibri"/>
    </font>
    <font>
      <sz val="12.0"/>
      <color theme="0"/>
      <name val="Evogria"/>
    </font>
    <font>
      <sz val="10.0"/>
      <color theme="0"/>
      <name val="Calibri"/>
    </font>
    <font>
      <sz val="9.0"/>
      <color theme="0"/>
      <name val="Calibri"/>
    </font>
    <font>
      <sz val="8.0"/>
      <color theme="0"/>
      <name val="Calibri"/>
    </font>
    <font>
      <sz val="12.0"/>
      <color rgb="FF15A041"/>
      <name val="Calibri"/>
    </font>
    <font>
      <u/>
      <sz val="12.0"/>
      <color theme="10"/>
      <name val="Calibri"/>
    </font>
    <font>
      <u/>
      <sz val="12.0"/>
      <color theme="1"/>
      <name val="Calibri"/>
    </font>
    <font>
      <u/>
      <sz val="12.0"/>
      <color theme="1"/>
      <name val="Calibri"/>
    </font>
    <font>
      <u/>
      <sz val="12.0"/>
      <color theme="10"/>
      <name val="Calibri"/>
    </font>
    <font>
      <u/>
      <sz val="12.0"/>
      <color theme="10"/>
      <name val="Calibri"/>
    </font>
    <font>
      <u/>
      <sz val="12.0"/>
      <color theme="10"/>
      <name val="Calibri"/>
    </font>
    <font>
      <u/>
      <sz val="12.0"/>
      <color theme="10"/>
      <name val="Calibri"/>
    </font>
    <font>
      <u/>
      <sz val="12.0"/>
      <color theme="10"/>
      <name val="Calibri"/>
    </font>
    <font>
      <u/>
      <sz val="12.0"/>
      <color theme="10"/>
      <name val="Calibri"/>
    </font>
    <font>
      <u/>
      <sz val="12.0"/>
      <color theme="10"/>
      <name val="Calibri"/>
    </font>
    <font>
      <b/>
      <sz val="12.0"/>
      <color rgb="FF7F7F7F"/>
      <name val="Calibri"/>
    </font>
    <font>
      <b/>
      <sz val="10.0"/>
      <color rgb="FF7F7F7F"/>
      <name val="Calibri"/>
    </font>
    <font>
      <sz val="12.0"/>
      <color rgb="FF0563C1"/>
      <name val="Calibri"/>
    </font>
    <font>
      <u/>
      <sz val="12.0"/>
      <color theme="10"/>
      <name val="Calibri"/>
    </font>
    <font>
      <u/>
      <sz val="12.0"/>
      <color theme="10"/>
      <name val="Calibri"/>
    </font>
    <font>
      <u/>
      <sz val="12.0"/>
      <color theme="10"/>
      <name val="Calibri"/>
    </font>
    <font>
      <u/>
      <sz val="12.0"/>
      <color theme="10"/>
      <name val="Calibri"/>
    </font>
    <font>
      <b/>
      <sz val="14.0"/>
      <color rgb="FF000000"/>
      <name val="Ubuntu"/>
    </font>
    <font>
      <sz val="12.0"/>
      <color rgb="FF797B7D"/>
      <name val="Ubuntu"/>
    </font>
    <font>
      <sz val="11.0"/>
      <color rgb="FF797B7D"/>
      <name val="Ubuntu"/>
    </font>
    <font>
      <u/>
      <sz val="12.0"/>
      <color theme="10"/>
      <name val="Calibri"/>
    </font>
    <font>
      <b/>
      <sz val="12.0"/>
      <color rgb="FF004D9A"/>
      <name val="Ubuntu"/>
    </font>
    <font>
      <u/>
      <sz val="12.0"/>
      <color theme="10"/>
      <name val="Calibri"/>
    </font>
    <font>
      <u/>
      <sz val="12.0"/>
      <color theme="10"/>
      <name val="Calibri"/>
    </font>
    <font>
      <u/>
      <sz val="12.0"/>
      <color theme="1"/>
      <name val="Calibri"/>
    </font>
    <font>
      <u/>
      <sz val="12.0"/>
      <color theme="1"/>
      <name val="Calibri"/>
    </font>
    <font>
      <sz val="11.0"/>
      <color theme="1"/>
      <name val="Calibri"/>
    </font>
    <font>
      <b/>
      <sz val="18.0"/>
      <color rgb="FFF2F2F2"/>
      <name val="Calibri"/>
    </font>
  </fonts>
  <fills count="119">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15A041"/>
        <bgColor rgb="FF15A041"/>
      </patternFill>
    </fill>
    <fill>
      <patternFill patternType="solid">
        <fgColor rgb="FFB82438"/>
        <bgColor rgb="FFB82438"/>
      </patternFill>
    </fill>
    <fill>
      <patternFill patternType="solid">
        <fgColor rgb="FF00FFFF"/>
        <bgColor rgb="FF00FFFF"/>
      </patternFill>
    </fill>
    <fill>
      <patternFill patternType="solid">
        <fgColor rgb="FF980000"/>
        <bgColor rgb="FF980000"/>
      </patternFill>
    </fill>
    <fill>
      <patternFill patternType="solid">
        <fgColor rgb="FF9900FF"/>
        <bgColor rgb="FF9900FF"/>
      </patternFill>
    </fill>
    <fill>
      <patternFill patternType="solid">
        <fgColor rgb="FF7F7F7F"/>
        <bgColor rgb="FF7F7F7F"/>
      </patternFill>
    </fill>
    <fill>
      <patternFill patternType="solid">
        <fgColor rgb="FF0000FF"/>
        <bgColor rgb="FF0000FF"/>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FF002A"/>
        <bgColor rgb="FFFF002A"/>
      </patternFill>
    </fill>
    <fill>
      <patternFill patternType="solid">
        <fgColor rgb="FFFEF2CB"/>
        <bgColor rgb="FFFEF2CB"/>
      </patternFill>
    </fill>
    <fill>
      <patternFill patternType="solid">
        <fgColor rgb="FFF2F2F2"/>
        <bgColor rgb="FFF2F2F2"/>
      </patternFill>
    </fill>
    <fill>
      <patternFill patternType="solid">
        <fgColor rgb="FF4A86E8"/>
        <bgColor rgb="FF4A86E8"/>
      </patternFill>
    </fill>
    <fill>
      <patternFill patternType="solid">
        <fgColor rgb="FF385623"/>
        <bgColor rgb="FF385623"/>
      </patternFill>
    </fill>
    <fill>
      <patternFill patternType="solid">
        <fgColor rgb="FFFF00FF"/>
        <bgColor rgb="FFFF00FF"/>
      </patternFill>
    </fill>
    <fill>
      <patternFill patternType="solid">
        <fgColor rgb="FFA8D08D"/>
        <bgColor rgb="FFA8D08D"/>
      </patternFill>
    </fill>
    <fill>
      <patternFill patternType="solid">
        <fgColor rgb="FFE2EFD9"/>
        <bgColor rgb="FFE2EFD9"/>
      </patternFill>
    </fill>
    <fill>
      <patternFill patternType="solid">
        <fgColor rgb="FFC5E0B3"/>
        <bgColor rgb="FFC5E0B3"/>
      </patternFill>
    </fill>
    <fill>
      <patternFill patternType="solid">
        <fgColor rgb="FF00FF00"/>
        <bgColor rgb="FF00FF00"/>
      </patternFill>
    </fill>
    <fill>
      <patternFill patternType="solid">
        <fgColor rgb="FFEBEBEB"/>
        <bgColor rgb="FFEBEBEB"/>
      </patternFill>
    </fill>
    <fill>
      <patternFill patternType="solid">
        <fgColor theme="0"/>
        <bgColor theme="0"/>
      </patternFill>
    </fill>
    <fill>
      <patternFill patternType="solid">
        <fgColor rgb="FFD0E0E3"/>
        <bgColor rgb="FFD0E0E3"/>
      </patternFill>
    </fill>
    <fill>
      <patternFill patternType="solid">
        <fgColor rgb="FFFF8B29"/>
        <bgColor rgb="FFFF8B29"/>
      </patternFill>
    </fill>
    <fill>
      <patternFill patternType="solid">
        <fgColor rgb="FFFFE598"/>
        <bgColor rgb="FFFFE598"/>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091E7E"/>
        <bgColor rgb="FF091E7E"/>
      </patternFill>
    </fill>
    <fill>
      <patternFill patternType="solid">
        <fgColor rgb="FF3F3F3F"/>
        <bgColor rgb="FF3F3F3F"/>
      </patternFill>
    </fill>
    <fill>
      <patternFill patternType="solid">
        <fgColor rgb="FFECECEC"/>
        <bgColor rgb="FFECECEC"/>
      </patternFill>
    </fill>
    <fill>
      <patternFill patternType="solid">
        <fgColor rgb="FFFBE4D5"/>
        <bgColor rgb="FFFBE4D5"/>
      </patternFill>
    </fill>
    <fill>
      <patternFill patternType="solid">
        <fgColor rgb="FF4F00B3"/>
        <bgColor rgb="FF4F00B3"/>
      </patternFill>
    </fill>
    <fill>
      <patternFill patternType="solid">
        <fgColor rgb="FFBFBFBF"/>
        <bgColor rgb="FFBFBFBF"/>
      </patternFill>
    </fill>
    <fill>
      <patternFill patternType="solid">
        <fgColor rgb="FFF04E37"/>
        <bgColor rgb="FFF04E37"/>
      </patternFill>
    </fill>
    <fill>
      <patternFill patternType="solid">
        <fgColor rgb="FFFFD124"/>
        <bgColor rgb="FFFFD124"/>
      </patternFill>
    </fill>
    <fill>
      <patternFill patternType="solid">
        <fgColor rgb="FFF091FF"/>
        <bgColor rgb="FFF091FF"/>
      </patternFill>
    </fill>
    <fill>
      <patternFill patternType="solid">
        <fgColor rgb="FF007749"/>
        <bgColor rgb="FF007749"/>
      </patternFill>
    </fill>
    <fill>
      <patternFill patternType="solid">
        <fgColor rgb="FFBBBBBB"/>
        <bgColor rgb="FFBBBBBB"/>
      </patternFill>
    </fill>
    <fill>
      <patternFill patternType="solid">
        <fgColor rgb="FF43F40C"/>
        <bgColor rgb="FF43F40C"/>
      </patternFill>
    </fill>
    <fill>
      <patternFill patternType="solid">
        <fgColor rgb="FF1E4E79"/>
        <bgColor rgb="FF1E4E79"/>
      </patternFill>
    </fill>
    <fill>
      <patternFill patternType="solid">
        <fgColor rgb="FF9CC2E5"/>
        <bgColor rgb="FF9CC2E5"/>
      </patternFill>
    </fill>
    <fill>
      <patternFill patternType="solid">
        <fgColor rgb="FFDEEAF6"/>
        <bgColor rgb="FFDEEAF6"/>
      </patternFill>
    </fill>
    <fill>
      <patternFill patternType="solid">
        <fgColor rgb="FFBDD6EE"/>
        <bgColor rgb="FFBDD6EE"/>
      </patternFill>
    </fill>
    <fill>
      <patternFill patternType="solid">
        <fgColor theme="9"/>
        <bgColor theme="9"/>
      </patternFill>
    </fill>
    <fill>
      <patternFill patternType="solid">
        <fgColor rgb="FFFFE599"/>
        <bgColor rgb="FFFFE599"/>
      </patternFill>
    </fill>
    <fill>
      <patternFill patternType="solid">
        <fgColor rgb="FFE6B8AF"/>
        <bgColor rgb="FFE6B8AF"/>
      </patternFill>
    </fill>
    <fill>
      <patternFill patternType="solid">
        <fgColor rgb="FFF4CCCC"/>
        <bgColor rgb="FFF4CCCC"/>
      </patternFill>
    </fill>
    <fill>
      <patternFill patternType="solid">
        <fgColor rgb="FFEAD1DC"/>
        <bgColor rgb="FFEAD1DC"/>
      </patternFill>
    </fill>
    <fill>
      <patternFill patternType="solid">
        <fgColor rgb="FFEFEFEF"/>
        <bgColor rgb="FFEFEFEF"/>
      </patternFill>
    </fill>
    <fill>
      <patternFill patternType="solid">
        <fgColor rgb="FFF9CB9C"/>
        <bgColor rgb="FFF9CB9C"/>
      </patternFill>
    </fill>
    <fill>
      <patternFill patternType="solid">
        <fgColor rgb="FFFFFFFF"/>
        <bgColor rgb="FFFFFFFF"/>
      </patternFill>
    </fill>
    <fill>
      <patternFill patternType="solid">
        <fgColor rgb="FFEA9999"/>
        <bgColor rgb="FFEA9999"/>
      </patternFill>
    </fill>
    <fill>
      <patternFill patternType="solid">
        <fgColor rgb="FFE06666"/>
        <bgColor rgb="FFE06666"/>
      </patternFill>
    </fill>
    <fill>
      <patternFill patternType="solid">
        <fgColor rgb="FFC00000"/>
        <bgColor rgb="FFC00000"/>
      </patternFill>
    </fill>
    <fill>
      <patternFill patternType="solid">
        <fgColor rgb="FF2000B3"/>
        <bgColor rgb="FF2000B3"/>
      </patternFill>
    </fill>
    <fill>
      <patternFill patternType="solid">
        <fgColor theme="7"/>
        <bgColor theme="7"/>
      </patternFill>
    </fill>
    <fill>
      <patternFill patternType="solid">
        <fgColor rgb="FF595959"/>
        <bgColor rgb="FF595959"/>
      </patternFill>
    </fill>
    <fill>
      <patternFill patternType="solid">
        <fgColor rgb="FF7F6000"/>
        <bgColor rgb="FF7F6000"/>
      </patternFill>
    </fill>
    <fill>
      <patternFill patternType="solid">
        <fgColor rgb="FFFFD965"/>
        <bgColor rgb="FFFFD965"/>
      </patternFill>
    </fill>
    <fill>
      <patternFill patternType="solid">
        <fgColor rgb="FFD0CECE"/>
        <bgColor rgb="FFD0CECE"/>
      </patternFill>
    </fill>
    <fill>
      <patternFill patternType="solid">
        <fgColor rgb="FF7B7B7B"/>
        <bgColor rgb="FF7B7B7B"/>
      </patternFill>
    </fill>
    <fill>
      <patternFill patternType="solid">
        <fgColor rgb="FFC8C8C8"/>
        <bgColor rgb="FFC8C8C8"/>
      </patternFill>
    </fill>
    <fill>
      <patternFill patternType="solid">
        <fgColor rgb="FFDADADA"/>
        <bgColor rgb="FFDADADA"/>
      </patternFill>
    </fill>
    <fill>
      <patternFill patternType="solid">
        <fgColor rgb="FF833C0B"/>
        <bgColor rgb="FF833C0B"/>
      </patternFill>
    </fill>
    <fill>
      <patternFill patternType="solid">
        <fgColor rgb="FFF4B083"/>
        <bgColor rgb="FFF4B083"/>
      </patternFill>
    </fill>
    <fill>
      <patternFill patternType="solid">
        <fgColor rgb="FFF7CAAC"/>
        <bgColor rgb="FFF7CAAC"/>
      </patternFill>
    </fill>
    <fill>
      <patternFill patternType="solid">
        <fgColor rgb="FF00B050"/>
        <bgColor rgb="FF00B050"/>
      </patternFill>
    </fill>
    <fill>
      <patternFill patternType="solid">
        <fgColor rgb="FFFCFCFF"/>
        <bgColor rgb="FFFCFCFF"/>
      </patternFill>
    </fill>
    <fill>
      <patternFill patternType="solid">
        <fgColor rgb="FFC2A3FA"/>
        <bgColor rgb="FFC2A3FA"/>
      </patternFill>
    </fill>
    <fill>
      <patternFill patternType="solid">
        <fgColor rgb="FFD8D8D8"/>
        <bgColor rgb="FFD8D8D8"/>
      </patternFill>
    </fill>
    <fill>
      <patternFill patternType="solid">
        <fgColor rgb="FF99D9ED"/>
        <bgColor rgb="FF99D9ED"/>
      </patternFill>
    </fill>
    <fill>
      <patternFill patternType="solid">
        <fgColor rgb="FF9BDBA3"/>
        <bgColor rgb="FF9BDBA3"/>
      </patternFill>
    </fill>
    <fill>
      <patternFill patternType="solid">
        <fgColor rgb="FFEF92A3"/>
        <bgColor rgb="FFEF92A3"/>
      </patternFill>
    </fill>
    <fill>
      <patternFill patternType="solid">
        <fgColor rgb="FFFFC7F9"/>
        <bgColor rgb="FFFFC7F9"/>
      </patternFill>
    </fill>
    <fill>
      <patternFill patternType="solid">
        <fgColor rgb="FFBEC3CC"/>
        <bgColor rgb="FFBEC3CC"/>
      </patternFill>
    </fill>
    <fill>
      <patternFill patternType="solid">
        <fgColor rgb="FFF2BD84"/>
        <bgColor rgb="FFF2BD84"/>
      </patternFill>
    </fill>
    <fill>
      <patternFill patternType="solid">
        <fgColor rgb="FF525252"/>
        <bgColor rgb="FF525252"/>
      </patternFill>
    </fill>
    <fill>
      <patternFill patternType="solid">
        <fgColor rgb="FF99DAED"/>
        <bgColor rgb="FF99DAED"/>
      </patternFill>
    </fill>
    <fill>
      <patternFill patternType="solid">
        <fgColor rgb="FFDEEE79"/>
        <bgColor rgb="FFDEEE79"/>
      </patternFill>
    </fill>
    <fill>
      <patternFill patternType="solid">
        <fgColor rgb="FFF3E2FF"/>
        <bgColor rgb="FFF3E2FF"/>
      </patternFill>
    </fill>
    <fill>
      <patternFill patternType="solid">
        <fgColor rgb="FFE7E6E6"/>
        <bgColor rgb="FFE7E6E6"/>
      </patternFill>
    </fill>
    <fill>
      <patternFill patternType="solid">
        <fgColor rgb="FFD9EAD3"/>
        <bgColor rgb="FFD9EAD3"/>
      </patternFill>
    </fill>
    <fill>
      <patternFill patternType="solid">
        <fgColor rgb="FFF0BCB5"/>
        <bgColor rgb="FFF0BCB5"/>
      </patternFill>
    </fill>
    <fill>
      <patternFill patternType="solid">
        <fgColor rgb="FFFAD9FF"/>
        <bgColor rgb="FFFAD9FF"/>
      </patternFill>
    </fill>
    <fill>
      <patternFill patternType="solid">
        <fgColor rgb="FFD9E2F3"/>
        <bgColor rgb="FFD9E2F3"/>
      </patternFill>
    </fill>
    <fill>
      <patternFill patternType="solid">
        <fgColor rgb="FFF4FFC9"/>
        <bgColor rgb="FFF4FFC9"/>
      </patternFill>
    </fill>
    <fill>
      <patternFill patternType="solid">
        <fgColor rgb="FFA5A5A5"/>
        <bgColor rgb="FFA5A5A5"/>
      </patternFill>
    </fill>
    <fill>
      <patternFill patternType="solid">
        <fgColor rgb="FF151839"/>
        <bgColor rgb="FF151839"/>
      </patternFill>
    </fill>
    <fill>
      <patternFill patternType="solid">
        <fgColor rgb="FF262626"/>
        <bgColor rgb="FF262626"/>
      </patternFill>
    </fill>
    <fill>
      <patternFill patternType="solid">
        <fgColor rgb="FFFFC7CE"/>
        <bgColor rgb="FFFFC7CE"/>
      </patternFill>
    </fill>
    <fill>
      <patternFill patternType="solid">
        <fgColor rgb="FFC6EFCE"/>
        <bgColor rgb="FFC6EFCE"/>
      </patternFill>
    </fill>
    <fill>
      <patternFill patternType="solid">
        <fgColor theme="4"/>
        <bgColor theme="4"/>
      </patternFill>
    </fill>
    <fill>
      <patternFill patternType="solid">
        <fgColor rgb="FF1F3864"/>
        <bgColor rgb="FF1F3864"/>
      </patternFill>
    </fill>
    <fill>
      <patternFill patternType="solid">
        <fgColor rgb="FFFFD966"/>
        <bgColor rgb="FFFFD966"/>
      </patternFill>
    </fill>
    <fill>
      <patternFill patternType="solid">
        <fgColor rgb="FF44546A"/>
        <bgColor rgb="FF44546A"/>
      </patternFill>
    </fill>
    <fill>
      <patternFill patternType="solid">
        <fgColor theme="5"/>
        <bgColor theme="5"/>
      </patternFill>
    </fill>
    <fill>
      <patternFill patternType="solid">
        <fgColor rgb="FFB4C6E7"/>
        <bgColor rgb="FFB4C6E7"/>
      </patternFill>
    </fill>
    <fill>
      <patternFill patternType="solid">
        <fgColor theme="8"/>
        <bgColor theme="8"/>
      </patternFill>
    </fill>
    <fill>
      <patternFill patternType="solid">
        <fgColor rgb="FF7030A0"/>
        <bgColor rgb="FF7030A0"/>
      </patternFill>
    </fill>
    <fill>
      <patternFill patternType="solid">
        <fgColor rgb="FF8EAADB"/>
        <bgColor rgb="FF8EAADB"/>
      </patternFill>
    </fill>
    <fill>
      <patternFill patternType="solid">
        <fgColor rgb="FFB7B7B7"/>
        <bgColor rgb="FFB7B7B7"/>
      </patternFill>
    </fill>
    <fill>
      <patternFill patternType="solid">
        <fgColor theme="6"/>
        <bgColor theme="6"/>
      </patternFill>
    </fill>
    <fill>
      <patternFill patternType="solid">
        <fgColor rgb="FFFFAFAA"/>
        <bgColor rgb="FFFFAFAA"/>
      </patternFill>
    </fill>
    <fill>
      <patternFill patternType="solid">
        <fgColor rgb="FFFFBCCA"/>
        <bgColor rgb="FFFFBCCA"/>
      </patternFill>
    </fill>
    <fill>
      <patternFill patternType="solid">
        <fgColor rgb="FFD6DCE4"/>
        <bgColor rgb="FFD6DCE4"/>
      </patternFill>
    </fill>
    <fill>
      <patternFill patternType="solid">
        <fgColor rgb="FF8496B0"/>
        <bgColor rgb="FF8496B0"/>
      </patternFill>
    </fill>
    <fill>
      <patternFill patternType="solid">
        <fgColor rgb="FF00B0F0"/>
        <bgColor rgb="FF00B0F0"/>
      </patternFill>
    </fill>
    <fill>
      <patternFill patternType="solid">
        <fgColor rgb="FFC27BA0"/>
        <bgColor rgb="FFC27BA0"/>
      </patternFill>
    </fill>
    <fill>
      <patternFill patternType="solid">
        <fgColor rgb="FFC9DAF8"/>
        <bgColor rgb="FFC9DAF8"/>
      </patternFill>
    </fill>
    <fill>
      <patternFill patternType="solid">
        <fgColor rgb="FFF6B26B"/>
        <bgColor rgb="FFF6B26B"/>
      </patternFill>
    </fill>
    <fill>
      <patternFill patternType="solid">
        <fgColor rgb="FFB6D7A8"/>
        <bgColor rgb="FFB6D7A8"/>
      </patternFill>
    </fill>
    <fill>
      <patternFill patternType="solid">
        <fgColor rgb="FF93C47D"/>
        <bgColor rgb="FF93C47D"/>
      </patternFill>
    </fill>
    <fill>
      <patternFill patternType="solid">
        <fgColor rgb="FFFFC000"/>
        <bgColor rgb="FFFFC000"/>
      </patternFill>
    </fill>
  </fills>
  <borders count="208">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ck">
        <color rgb="FF000000"/>
      </left>
      <right style="thin">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border>
    <border>
      <left style="thin">
        <color rgb="FF000000"/>
      </left>
      <right style="thin">
        <color rgb="FF000000"/>
      </right>
      <top style="thick">
        <color rgb="FF000000"/>
      </top>
      <bottom style="thick">
        <color rgb="FF000000"/>
      </bottom>
    </border>
    <border>
      <left style="thin">
        <color rgb="FF000000"/>
      </left>
      <right style="thin">
        <color rgb="FF000000"/>
      </right>
      <top style="medium">
        <color rgb="FF000000"/>
      </top>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ck">
        <color rgb="FF000000"/>
      </right>
      <top style="thick">
        <color rgb="FF000000"/>
      </top>
      <bottom style="thick">
        <color rgb="FF000000"/>
      </bottom>
    </border>
    <border>
      <top style="thick">
        <color rgb="FF000000"/>
      </top>
      <bottom style="thick">
        <color rgb="FF000000"/>
      </bottom>
    </border>
    <border>
      <left style="thin">
        <color rgb="FF000000"/>
      </left>
      <right/>
      <top style="medium">
        <color rgb="FF000000"/>
      </top>
      <bottom/>
    </border>
    <border>
      <left style="thin">
        <color rgb="FF000000"/>
      </left>
      <right style="medium">
        <color rgb="FF000000"/>
      </right>
      <top style="medium">
        <color rgb="FF000000"/>
      </top>
      <bottom/>
    </border>
    <border>
      <left style="thick">
        <color rgb="FF000000"/>
      </left>
      <right style="thin">
        <color rgb="FF000000"/>
      </right>
      <top style="thick">
        <color rgb="FF000000"/>
      </top>
      <bottom style="thin">
        <color rgb="FF000000"/>
      </bottom>
    </border>
    <border>
      <bottom/>
    </border>
    <border>
      <left style="thin">
        <color rgb="FF000000"/>
      </left>
      <right style="thin">
        <color rgb="FF000000"/>
      </right>
      <top style="thick">
        <color rgb="FF000000"/>
      </top>
      <bottom style="thin">
        <color rgb="FF000000"/>
      </bottom>
    </border>
    <border>
      <left style="medium">
        <color rgb="FF000000"/>
      </left>
      <right style="medium">
        <color rgb="FF000000"/>
      </right>
      <top style="medium">
        <color rgb="FF000000"/>
      </top>
      <bottom/>
    </border>
    <border>
      <left style="thin">
        <color rgb="FF000000"/>
      </left>
      <right style="thick">
        <color rgb="FF000000"/>
      </right>
      <top style="thick">
        <color rgb="FF000000"/>
      </top>
      <bottom style="thin">
        <color rgb="FF000000"/>
      </bottom>
    </border>
    <border>
      <right style="medium">
        <color rgb="FF000000"/>
      </right>
      <top style="thin">
        <color rgb="FF000000"/>
      </top>
      <bottom style="thin">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top style="thick">
        <color rgb="FF000000"/>
      </top>
      <bottom style="thick">
        <color rgb="FF000000"/>
      </bottom>
    </border>
    <border>
      <left style="thin">
        <color rgb="FF000000"/>
      </left>
      <right style="medium">
        <color rgb="FF000000"/>
      </right>
      <top style="thin">
        <color rgb="FF000000"/>
      </top>
      <bottom style="thin">
        <color rgb="FF000000"/>
      </bottom>
    </border>
    <border>
      <left style="thin">
        <color rgb="FF000000"/>
      </lef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thin">
        <color rgb="FF000000"/>
      </left>
      <right style="thick">
        <color rgb="FF000000"/>
      </right>
      <bottom style="thin">
        <color rgb="FF000000"/>
      </bottom>
    </border>
    <border>
      <left style="thick">
        <color rgb="FF000000"/>
      </lef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bottom style="thin">
        <color rgb="FF000000"/>
      </bottom>
    </border>
    <border>
      <left style="medium">
        <color rgb="FF000000"/>
      </left>
      <top style="thin">
        <color rgb="FF000000"/>
      </top>
      <bottom style="thin">
        <color rgb="FF000000"/>
      </bottom>
    </border>
    <border>
      <right style="thin">
        <color rgb="FF000000"/>
      </right>
      <top style="thick">
        <color rgb="FF000000"/>
      </top>
      <bottom style="thin">
        <color rgb="FF000000"/>
      </bottom>
    </border>
    <border>
      <left style="thick">
        <color rgb="FF000000"/>
      </left>
      <bottom style="thin">
        <color rgb="FF000000"/>
      </bottom>
    </border>
    <border>
      <right style="thick">
        <color rgb="FF000000"/>
      </right>
      <bottom style="thin">
        <color rgb="FF000000"/>
      </bottom>
    </border>
    <border>
      <left style="thin">
        <color rgb="FF000000"/>
      </left>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ck">
        <color rgb="FF000000"/>
      </left>
      <top style="thin">
        <color rgb="FF000000"/>
      </top>
      <bottom style="thin">
        <color rgb="FF000000"/>
      </bottom>
    </border>
    <border>
      <left style="thin">
        <color rgb="FF000000"/>
      </left>
      <top style="medium">
        <color rgb="FF000000"/>
      </top>
      <bottom style="thin">
        <color rgb="FF000000"/>
      </bottom>
    </border>
    <border>
      <right style="thick">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bottom/>
    </border>
    <border>
      <left/>
      <right style="thin">
        <color rgb="FF000000"/>
      </right>
      <top style="thin">
        <color rgb="FF000000"/>
      </top>
      <bottom style="thin">
        <color rgb="FF000000"/>
      </bottom>
    </border>
    <border>
      <left style="medium">
        <color rgb="FF000000"/>
      </left>
      <right style="medium">
        <color rgb="FF000000"/>
      </right>
    </border>
    <border>
      <left/>
      <right style="medium">
        <color rgb="FF000000"/>
      </right>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bottom style="medium">
        <color rgb="FF000000"/>
      </bottom>
    </border>
    <border>
      <left/>
      <right/>
      <top/>
      <bottom style="medium">
        <color rgb="FF000000"/>
      </bottom>
    </border>
    <border>
      <left style="medium">
        <color rgb="FF000000"/>
      </left>
      <right style="medium">
        <color rgb="FF000000"/>
      </right>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medium">
        <color rgb="FF000000"/>
      </bottom>
    </border>
    <border>
      <left style="thin">
        <color rgb="FF000000"/>
      </left>
      <right style="thick">
        <color rgb="FF000000"/>
      </right>
      <top style="thin">
        <color rgb="FF000000"/>
      </top>
      <bottom style="thick">
        <color rgb="FF000000"/>
      </bottom>
    </border>
    <border>
      <left style="thick">
        <color rgb="FF000000"/>
      </left>
      <bottom style="thick">
        <color rgb="FF000000"/>
      </bottom>
    </border>
    <border>
      <left style="thick">
        <color rgb="FF000000"/>
      </left>
      <right style="thin">
        <color rgb="FF000000"/>
      </righ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thin">
        <color rgb="FF000000"/>
      </left>
      <top style="thin">
        <color rgb="FF000000"/>
      </top>
      <bottom style="thick">
        <color rgb="FF000000"/>
      </bottom>
    </border>
    <border>
      <bottom style="thick">
        <color rgb="FFFF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style="thin">
        <color rgb="FF000000"/>
      </top>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bottom/>
    </border>
    <border>
      <left style="medium">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medium">
        <color rgb="FF000000"/>
      </bottom>
    </border>
    <border>
      <left style="thin">
        <color rgb="FF000000"/>
      </left>
      <right/>
      <top/>
      <bottom/>
    </border>
    <border>
      <left style="medium">
        <color rgb="FF000000"/>
      </left>
      <top/>
      <bottom/>
    </border>
    <border>
      <top/>
      <bottom/>
    </border>
    <border>
      <right/>
      <top/>
      <bottom/>
    </border>
    <border>
      <left style="thin">
        <color rgb="FF000000"/>
      </left>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thin">
        <color rgb="FF000000"/>
      </left>
      <right/>
      <top style="thin">
        <color rgb="FF000000"/>
      </top>
      <bottom/>
    </border>
    <border>
      <left style="thin">
        <color rgb="FF000000"/>
      </left>
      <right style="medium">
        <color rgb="FF000000"/>
      </right>
      <top style="medium">
        <color rgb="FF000000"/>
      </top>
    </border>
    <border>
      <left style="medium">
        <color rgb="FF000000"/>
      </left>
      <right style="thin">
        <color rgb="FF000000"/>
      </right>
      <top style="medium">
        <color rgb="FF000000"/>
      </top>
    </border>
    <border>
      <left/>
      <right style="medium">
        <color rgb="FF000000"/>
      </right>
      <top style="medium">
        <color rgb="FF000000"/>
      </top>
    </border>
    <border>
      <left style="medium">
        <color rgb="FF000000"/>
      </left>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style="thin">
        <color rgb="FF000000"/>
      </bottom>
    </border>
    <border>
      <left style="medium">
        <color rgb="FF000000"/>
      </left>
      <right style="thin">
        <color rgb="FF000000"/>
      </right>
      <bottom style="medium">
        <color rgb="FF000000"/>
      </bottom>
    </border>
    <border>
      <left/>
      <right style="medium">
        <color rgb="FF000000"/>
      </right>
      <bottom style="medium">
        <color rgb="FF000000"/>
      </bottom>
    </border>
    <border>
      <left style="medium">
        <color rgb="FF000000"/>
      </left>
      <right style="thin">
        <color rgb="FF000000"/>
      </right>
      <top/>
      <bottom style="thin">
        <color rgb="FF000000"/>
      </bottom>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thin">
        <color rgb="FF000000"/>
      </top>
    </border>
    <border>
      <left style="medium">
        <color rgb="FF000000"/>
      </left>
      <right style="thin">
        <color rgb="FF000000"/>
      </right>
    </border>
    <border>
      <left/>
      <right style="medium">
        <color rgb="FF000000"/>
      </right>
    </border>
    <border>
      <left style="thin">
        <color rgb="FF000000"/>
      </left>
      <right style="thin">
        <color rgb="FF000000"/>
      </right>
      <top/>
      <bottom style="thin">
        <color rgb="FF000000"/>
      </bottom>
    </border>
    <border>
      <right style="medium">
        <color rgb="FF000000"/>
      </right>
      <top style="medium">
        <color rgb="FF000000"/>
      </top>
    </border>
    <border>
      <right style="medium">
        <color rgb="FF000000"/>
      </right>
    </border>
    <border>
      <right style="medium">
        <color rgb="FF000000"/>
      </right>
      <bottom style="medium">
        <color rgb="FF000000"/>
      </bottom>
    </border>
    <border>
      <left/>
      <right/>
      <top style="thin">
        <color rgb="FF000000"/>
      </top>
      <bottom style="thin">
        <color rgb="FF000000"/>
      </bottom>
    </border>
    <border>
      <left style="medium">
        <color rgb="FF000000"/>
      </left>
      <right style="medium">
        <color rgb="FF000000"/>
      </right>
      <top/>
      <bottom/>
    </border>
    <border>
      <left/>
      <right/>
      <top/>
      <bottom style="thin">
        <color rgb="FF000000"/>
      </bottom>
    </border>
    <border>
      <left/>
      <right style="medium">
        <color rgb="FF000000"/>
      </right>
      <top/>
      <bottom style="thin">
        <color rgb="FF000000"/>
      </bottom>
    </border>
    <border>
      <left style="medium">
        <color rgb="FF000000"/>
      </left>
      <top style="medium">
        <color rgb="FF000000"/>
      </top>
    </border>
    <border>
      <top style="medium">
        <color rgb="FF000000"/>
      </top>
    </border>
    <border>
      <left/>
      <right style="medium">
        <color rgb="FF000000"/>
      </right>
      <top style="thin">
        <color rgb="FF000000"/>
      </top>
      <bottom style="thin">
        <color rgb="FF000000"/>
      </bottom>
    </border>
    <border>
      <left style="medium">
        <color rgb="FF000000"/>
      </left>
    </border>
    <border>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border>
    <border>
      <left/>
      <right style="thin">
        <color rgb="FF000000"/>
      </right>
      <top style="thin">
        <color rgb="FF000000"/>
      </top>
      <bottom/>
    </border>
    <border>
      <right/>
      <top style="thin">
        <color rgb="FF000000"/>
      </top>
      <bottom style="thin">
        <color rgb="FF000000"/>
      </bottom>
    </border>
    <border>
      <left style="thin">
        <color rgb="FF000000"/>
      </left>
      <top/>
      <bottom/>
    </border>
    <border>
      <top style="medium">
        <color rgb="FF000000"/>
      </top>
      <bottom style="medium">
        <color rgb="FF000000"/>
      </bottom>
    </border>
    <border>
      <right/>
      <top style="medium">
        <color rgb="FF000000"/>
      </top>
      <bottom style="medium">
        <color rgb="FF000000"/>
      </bottom>
    </border>
    <border>
      <left/>
      <top/>
      <bottom/>
    </border>
    <border>
      <left style="medium">
        <color rgb="FF000000"/>
      </left>
      <top style="medium">
        <color rgb="FF000000"/>
      </top>
      <bottom/>
    </border>
    <border>
      <right style="medium">
        <color rgb="FF000000"/>
      </right>
      <top style="medium">
        <color rgb="FF000000"/>
      </top>
      <bottom/>
    </border>
    <border>
      <left style="thin">
        <color rgb="FF000000"/>
      </left>
    </border>
    <border>
      <top style="medium">
        <color rgb="FF000000"/>
      </top>
      <bottom/>
    </border>
    <border>
      <left/>
      <top style="medium">
        <color rgb="FF000000"/>
      </top>
      <bottom/>
    </border>
    <border>
      <left style="medium">
        <color rgb="FF000000"/>
      </left>
      <right/>
      <bottom style="thin">
        <color rgb="FF000000"/>
      </bottom>
    </border>
    <border>
      <left/>
      <top style="medium">
        <color rgb="FF000000"/>
      </top>
    </border>
    <border>
      <left style="medium">
        <color rgb="FF000000"/>
      </left>
      <right/>
      <top style="thin">
        <color rgb="FF000000"/>
      </top>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medium">
        <color rgb="FF000000"/>
      </right>
      <top/>
      <bottom style="thin">
        <color rgb="FF000000"/>
      </bottom>
    </border>
    <border>
      <left/>
      <right style="thin">
        <color rgb="FF000000"/>
      </right>
      <top/>
      <bottom style="thin">
        <color rgb="FF000000"/>
      </bottom>
    </border>
    <border>
      <left style="medium">
        <color rgb="FF000000"/>
      </left>
      <top style="thin">
        <color rgb="FF000000"/>
      </top>
      <bottom style="medium">
        <color rgb="FF000000"/>
      </bottom>
    </border>
    <border>
      <left/>
      <right style="thin">
        <color rgb="FF000000"/>
      </right>
      <top/>
      <bottom/>
    </border>
    <border>
      <left style="medium">
        <color rgb="FF000000"/>
      </left>
      <right style="thin">
        <color rgb="FF000000"/>
      </right>
      <bottom style="thin">
        <color rgb="FF000000"/>
      </bottom>
    </border>
    <border>
      <left style="thin">
        <color rgb="FF000000"/>
      </left>
      <right style="thin">
        <color rgb="FF000000"/>
      </right>
      <top style="medium">
        <color rgb="FF000000"/>
      </top>
    </border>
    <border>
      <left style="thick">
        <color rgb="FF000000"/>
      </left>
      <right style="thin">
        <color rgb="FF000000"/>
      </right>
      <top style="thick">
        <color rgb="FF000000"/>
      </top>
      <bottom/>
    </border>
    <border>
      <left style="thin">
        <color rgb="FF000000"/>
      </left>
      <right style="thin">
        <color rgb="FF000000"/>
      </right>
      <top style="thick">
        <color rgb="FF000000"/>
      </top>
      <bottom/>
    </border>
    <border>
      <left style="thick">
        <color rgb="FF000000"/>
      </left>
      <right style="thick">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right style="thick">
        <color rgb="FF000000"/>
      </right>
      <top style="thick">
        <color rgb="FF000000"/>
      </top>
      <bottom style="thin">
        <color rgb="FF000000"/>
      </bottom>
    </border>
    <border>
      <right style="thin">
        <color rgb="FF000000"/>
      </right>
      <top style="medium">
        <color rgb="FF000000"/>
      </top>
      <bottom style="thin">
        <color rgb="FF000000"/>
      </bottom>
    </border>
    <border>
      <left/>
      <top style="thin">
        <color rgb="FF000000"/>
      </top>
      <bottom style="thin">
        <color rgb="FF000000"/>
      </bottom>
    </border>
    <border>
      <left style="thick">
        <color rgb="FF000000"/>
      </left>
      <right style="thin">
        <color rgb="FF000000"/>
      </right>
      <top style="medium">
        <color rgb="FF000000"/>
      </top>
      <bottom style="thin">
        <color rgb="FF000000"/>
      </bottom>
    </border>
    <border>
      <left/>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medium">
        <color rgb="FF000000"/>
      </bottom>
    </border>
    <border>
      <right style="thin">
        <color rgb="FF000000"/>
      </right>
      <top style="thin">
        <color rgb="FF000000"/>
      </top>
    </border>
    <border>
      <left style="thin">
        <color rgb="FF000000"/>
      </left>
      <right style="medium">
        <color rgb="FF000000"/>
      </right>
      <top style="thin">
        <color rgb="FF000000"/>
      </top>
    </border>
    <border>
      <left/>
      <top style="thin">
        <color rgb="FF000000"/>
      </top>
    </border>
    <border>
      <left style="thin">
        <color rgb="FF000000"/>
      </left>
      <top style="thin">
        <color rgb="FF000000"/>
      </top>
    </border>
    <border>
      <left style="thick">
        <color rgb="FF000000"/>
      </left>
      <right style="thick">
        <color rgb="FF000000"/>
      </right>
      <bottom style="thick">
        <color rgb="FF000000"/>
      </bottom>
    </border>
    <border>
      <bottom style="thick">
        <color rgb="FF000000"/>
      </bottom>
    </border>
    <border>
      <right style="thick">
        <color rgb="FF000000"/>
      </right>
      <bottom style="thick">
        <color rgb="FF000000"/>
      </bottom>
    </border>
    <border>
      <right style="thin">
        <color rgb="FF000000"/>
      </right>
      <top style="thin">
        <color rgb="FF000000"/>
      </top>
      <bottom style="medium">
        <color rgb="FF000000"/>
      </bottom>
    </border>
    <border>
      <right style="thin">
        <color rgb="FF000000"/>
      </right>
      <bottom style="thin">
        <color rgb="FF000000"/>
      </bottom>
    </border>
    <border>
      <left style="medium">
        <color rgb="FF000000"/>
      </left>
      <top/>
      <bottom style="medium">
        <color rgb="FF000000"/>
      </bottom>
    </border>
    <border>
      <right/>
      <top/>
      <bottom style="medium">
        <color rgb="FF000000"/>
      </bottom>
    </border>
    <border>
      <right/>
      <top style="medium">
        <color rgb="FF000000"/>
      </top>
    </border>
    <border>
      <left style="medium">
        <color rgb="FF000000"/>
      </left>
      <bottom/>
    </border>
    <border>
      <right/>
      <bottom/>
    </border>
    <border>
      <left style="medium">
        <color rgb="FF000000"/>
      </left>
      <right style="medium">
        <color rgb="FF000000"/>
      </right>
      <top/>
      <bottom style="thin">
        <color rgb="FF000000"/>
      </bottom>
    </border>
    <border>
      <left style="medium">
        <color rgb="FF000000"/>
      </left>
      <right style="medium">
        <color rgb="FF000000"/>
      </right>
      <bottom style="thin">
        <color rgb="FF000000"/>
      </bottom>
    </border>
    <border>
      <right/>
      <top style="medium">
        <color rgb="FF000000"/>
      </top>
      <bottom/>
    </border>
    <border>
      <left/>
      <top/>
    </border>
    <border>
      <right/>
      <top/>
    </border>
    <border>
      <left/>
    </border>
    <border>
      <right/>
    </border>
    <border>
      <left/>
      <bottom/>
    </border>
    <border>
      <left/>
      <right style="thin">
        <color rgb="FF000000"/>
      </right>
      <top style="medium">
        <color rgb="FF000000"/>
      </top>
      <bottom style="thin">
        <color rgb="FF000000"/>
      </bottom>
    </border>
    <border>
      <left/>
      <right style="thin">
        <color rgb="FF000000"/>
      </right>
      <top style="thin">
        <color rgb="FF000000"/>
      </top>
      <bottom style="medium">
        <color rgb="FF000000"/>
      </bottom>
    </border>
    <border>
      <left/>
      <right/>
      <top/>
    </border>
    <border>
      <left/>
      <right/>
    </border>
    <border>
      <left style="medium">
        <color rgb="FF000000"/>
      </left>
      <right/>
      <top style="thin">
        <color rgb="FF000000"/>
      </top>
      <bottom style="medium">
        <color rgb="FF000000"/>
      </bottom>
    </border>
    <border>
      <left/>
      <right/>
      <bottom/>
    </border>
    <border>
      <right style="medium">
        <color rgb="FF000000"/>
      </right>
      <bottom/>
    </border>
    <border>
      <left style="medium">
        <color rgb="FF000000"/>
      </left>
      <top/>
    </border>
    <border>
      <left style="medium">
        <color rgb="FF000000"/>
      </left>
      <right/>
      <top style="medium">
        <color rgb="FF000000"/>
      </top>
    </border>
    <border>
      <left style="medium">
        <color rgb="FF000000"/>
      </left>
      <right/>
    </border>
    <border>
      <left style="medium">
        <color rgb="FF000000"/>
      </left>
      <right/>
      <bottom style="medium">
        <color rgb="FF000000"/>
      </bottom>
    </border>
    <border>
      <right/>
      <bottom style="medium">
        <color rgb="FF000000"/>
      </bottom>
    </border>
    <border>
      <right style="medium">
        <color rgb="FF000000"/>
      </right>
      <top/>
    </border>
    <border>
      <left/>
      <top style="medium">
        <color rgb="FF000000"/>
      </top>
      <bottom style="medium">
        <color rgb="FF000000"/>
      </bottom>
    </border>
    <border>
      <top/>
    </border>
  </borders>
  <cellStyleXfs count="1">
    <xf borderId="0" fillId="0" fontId="0" numFmtId="0" applyAlignment="1" applyFont="1"/>
  </cellStyleXfs>
  <cellXfs count="171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2" fillId="2" fontId="3" numFmtId="0" xfId="0" applyAlignment="1" applyBorder="1" applyFont="1">
      <alignment horizontal="center" vertical="center"/>
    </xf>
    <xf borderId="3" fillId="2" fontId="3" numFmtId="0" xfId="0" applyAlignment="1" applyBorder="1" applyFont="1">
      <alignment horizontal="center" vertical="center"/>
    </xf>
    <xf borderId="3" fillId="2" fontId="4" numFmtId="0" xfId="0" applyAlignment="1" applyBorder="1" applyFont="1">
      <alignment horizontal="center" shrinkToFit="0" vertical="center" wrapText="1"/>
    </xf>
    <xf borderId="3" fillId="2" fontId="5" numFmtId="0" xfId="0" applyAlignment="1" applyBorder="1" applyFont="1">
      <alignment horizontal="center" readingOrder="0" vertical="center"/>
    </xf>
    <xf borderId="0" fillId="0" fontId="1" numFmtId="0" xfId="0" applyAlignment="1" applyFont="1">
      <alignment horizontal="center" shrinkToFit="0" vertical="center" wrapText="1"/>
    </xf>
    <xf borderId="3" fillId="2" fontId="3" numFmtId="0" xfId="0" applyAlignment="1" applyBorder="1" applyFont="1">
      <alignment horizontal="center" shrinkToFit="0" vertical="center" wrapText="1"/>
    </xf>
    <xf borderId="3" fillId="2" fontId="5" numFmtId="0" xfId="0" applyAlignment="1" applyBorder="1" applyFont="1">
      <alignment horizontal="center" readingOrder="0" shrinkToFit="0" vertical="center" wrapText="1"/>
    </xf>
    <xf borderId="4" fillId="2" fontId="3"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6" numFmtId="0" xfId="0" applyAlignment="1" applyBorder="1" applyFont="1">
      <alignment horizontal="center" vertical="center"/>
    </xf>
    <xf borderId="0" fillId="0" fontId="1" numFmtId="0" xfId="0" applyFont="1"/>
    <xf borderId="1" fillId="2" fontId="6" numFmtId="0" xfId="0" applyAlignment="1" applyBorder="1" applyFont="1">
      <alignment horizontal="center" shrinkToFit="0" vertical="center" wrapText="1"/>
    </xf>
    <xf borderId="0" fillId="0" fontId="1" numFmtId="164" xfId="0" applyFont="1" applyNumberFormat="1"/>
    <xf borderId="0" fillId="0" fontId="7" numFmtId="0" xfId="0" applyAlignment="1" applyFont="1">
      <alignment horizontal="center" vertical="center"/>
    </xf>
    <xf borderId="0" fillId="0" fontId="8" numFmtId="0" xfId="0" applyAlignment="1" applyFont="1">
      <alignment horizontal="center" shrinkToFit="0" vertical="center" wrapText="1"/>
    </xf>
    <xf borderId="0" fillId="0" fontId="1" numFmtId="0" xfId="0" applyAlignment="1" applyFont="1">
      <alignment readingOrder="0"/>
    </xf>
    <xf borderId="5" fillId="3" fontId="9" numFmtId="0" xfId="0" applyAlignment="1" applyBorder="1" applyFill="1" applyFont="1">
      <alignment horizontal="center" readingOrder="0" shrinkToFit="0" vertical="center" wrapText="1"/>
    </xf>
    <xf borderId="6" fillId="4" fontId="10" numFmtId="0" xfId="0" applyAlignment="1" applyBorder="1" applyFill="1" applyFont="1">
      <alignment horizontal="center" vertical="center"/>
    </xf>
    <xf borderId="7" fillId="0" fontId="11" numFmtId="0" xfId="0" applyBorder="1" applyFont="1"/>
    <xf borderId="8" fillId="5" fontId="12" numFmtId="0" xfId="0" applyAlignment="1" applyBorder="1" applyFill="1" applyFont="1">
      <alignment horizontal="left"/>
    </xf>
    <xf borderId="9" fillId="0" fontId="11" numFmtId="0" xfId="0" applyBorder="1" applyFont="1"/>
    <xf borderId="10" fillId="0" fontId="11" numFmtId="0" xfId="0" applyBorder="1" applyFont="1"/>
    <xf borderId="11" fillId="2" fontId="13" numFmtId="0" xfId="0" applyAlignment="1" applyBorder="1" applyFont="1">
      <alignment horizontal="center" shrinkToFit="0" vertical="center" wrapText="1"/>
    </xf>
    <xf borderId="12" fillId="3" fontId="9" numFmtId="0" xfId="0" applyAlignment="1" applyBorder="1" applyFont="1">
      <alignment horizontal="center" shrinkToFit="0" vertical="center" wrapText="1"/>
    </xf>
    <xf borderId="13" fillId="2" fontId="13" numFmtId="0" xfId="0" applyAlignment="1" applyBorder="1" applyFont="1">
      <alignment horizontal="center" shrinkToFit="0" vertical="center" wrapText="1"/>
    </xf>
    <xf borderId="13" fillId="6" fontId="14" numFmtId="0" xfId="0" applyAlignment="1" applyBorder="1" applyFill="1" applyFont="1">
      <alignment horizontal="center" shrinkToFit="0" vertical="center" wrapText="1"/>
    </xf>
    <xf borderId="14" fillId="0" fontId="11" numFmtId="0" xfId="0" applyBorder="1" applyFont="1"/>
    <xf borderId="12" fillId="7" fontId="9" numFmtId="0" xfId="0" applyAlignment="1" applyBorder="1" applyFill="1" applyFont="1">
      <alignment horizontal="center" shrinkToFit="0" vertical="center" wrapText="1"/>
    </xf>
    <xf borderId="15" fillId="2" fontId="15" numFmtId="0" xfId="0" applyBorder="1" applyFont="1"/>
    <xf borderId="13" fillId="8" fontId="13" numFmtId="0" xfId="0" applyAlignment="1" applyBorder="1" applyFill="1" applyFont="1">
      <alignment horizontal="center" shrinkToFit="0" vertical="center" wrapText="1"/>
    </xf>
    <xf borderId="6" fillId="2" fontId="16" numFmtId="0" xfId="0" applyAlignment="1" applyBorder="1" applyFont="1">
      <alignment horizontal="center"/>
    </xf>
    <xf borderId="6" fillId="9" fontId="16" numFmtId="0" xfId="0" applyAlignment="1" applyBorder="1" applyFill="1" applyFont="1">
      <alignment horizontal="center"/>
    </xf>
    <xf borderId="13" fillId="10" fontId="13" numFmtId="0" xfId="0" applyAlignment="1" applyBorder="1" applyFill="1" applyFont="1">
      <alignment horizontal="center" shrinkToFit="0" vertical="center" wrapText="1"/>
    </xf>
    <xf borderId="16" fillId="7" fontId="9" numFmtId="0" xfId="0" applyAlignment="1" applyBorder="1" applyFont="1">
      <alignment horizontal="center" shrinkToFit="0" vertical="center" wrapText="1"/>
    </xf>
    <xf borderId="17" fillId="7" fontId="9" numFmtId="0" xfId="0" applyAlignment="1" applyBorder="1" applyFont="1">
      <alignment horizontal="center" readingOrder="0" shrinkToFit="0" vertical="center" wrapText="1"/>
    </xf>
    <xf borderId="18" fillId="10" fontId="13" numFmtId="0" xfId="0" applyAlignment="1" applyBorder="1" applyFont="1">
      <alignment horizontal="center" shrinkToFit="0" vertical="center" wrapText="1"/>
    </xf>
    <xf borderId="19" fillId="2" fontId="13" numFmtId="0" xfId="0" applyAlignment="1" applyBorder="1" applyFont="1">
      <alignment horizontal="center" shrinkToFit="0" vertical="center" wrapText="1"/>
    </xf>
    <xf borderId="1" fillId="2" fontId="13" numFmtId="0" xfId="0" applyAlignment="1" applyBorder="1" applyFont="1">
      <alignment horizontal="center" shrinkToFit="0" vertical="center" wrapText="1"/>
    </xf>
    <xf borderId="20" fillId="11" fontId="9" numFmtId="0" xfId="0" applyAlignment="1" applyBorder="1" applyFill="1" applyFont="1">
      <alignment horizontal="center" shrinkToFit="0" vertical="center" wrapText="1"/>
    </xf>
    <xf borderId="1" fillId="2" fontId="17" numFmtId="0" xfId="0" applyAlignment="1" applyBorder="1" applyFont="1">
      <alignment horizontal="center" vertical="center"/>
    </xf>
    <xf borderId="21" fillId="12" fontId="18" numFmtId="0" xfId="0" applyAlignment="1" applyBorder="1" applyFill="1" applyFont="1">
      <alignment horizontal="center" readingOrder="0" vertical="center"/>
    </xf>
    <xf borderId="22" fillId="11" fontId="9" numFmtId="0" xfId="0" applyAlignment="1" applyBorder="1" applyFont="1">
      <alignment horizontal="center" shrinkToFit="0" vertical="center" wrapText="1"/>
    </xf>
    <xf borderId="21" fillId="13" fontId="18" numFmtId="0" xfId="0" applyAlignment="1" applyBorder="1" applyFill="1" applyFont="1">
      <alignment horizontal="center" readingOrder="0" vertical="center"/>
    </xf>
    <xf borderId="21" fillId="2" fontId="17" numFmtId="0" xfId="0" applyAlignment="1" applyBorder="1" applyFont="1">
      <alignment horizontal="center" vertical="center"/>
    </xf>
    <xf borderId="23" fillId="2" fontId="19" numFmtId="0" xfId="0" applyAlignment="1" applyBorder="1" applyFont="1">
      <alignment horizontal="center" shrinkToFit="0" vertical="center" wrapText="1"/>
    </xf>
    <xf borderId="24" fillId="11" fontId="9" numFmtId="0" xfId="0" applyAlignment="1" applyBorder="1" applyFont="1">
      <alignment horizontal="center" readingOrder="0" shrinkToFit="0" vertical="center" wrapText="1"/>
    </xf>
    <xf borderId="6" fillId="14" fontId="16" numFmtId="0" xfId="0" applyAlignment="1" applyBorder="1" applyFill="1" applyFont="1">
      <alignment horizontal="center"/>
    </xf>
    <xf borderId="25" fillId="0" fontId="11" numFmtId="0" xfId="0" applyBorder="1" applyFont="1"/>
    <xf borderId="17" fillId="11" fontId="9" numFmtId="0" xfId="0" applyAlignment="1" applyBorder="1" applyFont="1">
      <alignment horizontal="center" readingOrder="0" shrinkToFit="0" vertical="center" wrapText="1"/>
    </xf>
    <xf borderId="2" fillId="2" fontId="20" numFmtId="0" xfId="0" applyAlignment="1" applyBorder="1" applyFont="1">
      <alignment horizontal="center" shrinkToFit="0" vertical="center" wrapText="1"/>
    </xf>
    <xf borderId="15" fillId="15" fontId="15" numFmtId="0" xfId="0" applyBorder="1" applyFill="1" applyFont="1"/>
    <xf borderId="6" fillId="0" fontId="15" numFmtId="0" xfId="0" applyAlignment="1" applyBorder="1" applyFont="1">
      <alignment horizontal="center" readingOrder="0"/>
    </xf>
    <xf borderId="6" fillId="16" fontId="15" numFmtId="0" xfId="0" applyAlignment="1" applyBorder="1" applyFill="1" applyFont="1">
      <alignment horizontal="center" readingOrder="0"/>
    </xf>
    <xf borderId="17" fillId="8" fontId="9" numFmtId="0" xfId="0" applyAlignment="1" applyBorder="1" applyFont="1">
      <alignment horizontal="center" readingOrder="0" shrinkToFit="0" vertical="center" wrapText="1"/>
    </xf>
    <xf borderId="20" fillId="17" fontId="9" numFmtId="0" xfId="0" applyAlignment="1" applyBorder="1" applyFill="1" applyFont="1">
      <alignment horizontal="center" shrinkToFit="0" vertical="center" wrapText="1"/>
    </xf>
    <xf borderId="22" fillId="17" fontId="9" numFmtId="0" xfId="0" applyAlignment="1" applyBorder="1" applyFont="1">
      <alignment horizontal="center" shrinkToFit="0" vertical="center" wrapText="1"/>
    </xf>
    <xf borderId="2" fillId="18" fontId="21" numFmtId="0" xfId="0" applyAlignment="1" applyBorder="1" applyFill="1" applyFont="1">
      <alignment horizontal="center" vertical="center"/>
    </xf>
    <xf borderId="24" fillId="17" fontId="9" numFmtId="0" xfId="0" applyAlignment="1" applyBorder="1" applyFont="1">
      <alignment horizontal="center" readingOrder="0" shrinkToFit="0" vertical="center" wrapText="1"/>
    </xf>
    <xf borderId="17" fillId="19" fontId="9" numFmtId="0" xfId="0" applyAlignment="1" applyBorder="1" applyFill="1" applyFont="1">
      <alignment horizontal="center" readingOrder="0" shrinkToFit="0" vertical="center" wrapText="1"/>
    </xf>
    <xf borderId="26" fillId="19" fontId="9" numFmtId="0" xfId="0" applyAlignment="1" applyBorder="1" applyFont="1">
      <alignment horizontal="center" readingOrder="0" shrinkToFit="0" vertical="center" wrapText="1"/>
    </xf>
    <xf borderId="27" fillId="6" fontId="22" numFmtId="0" xfId="0" applyAlignment="1" applyBorder="1" applyFont="1">
      <alignment horizontal="center" readingOrder="0" shrinkToFit="0" vertical="center" wrapText="1"/>
    </xf>
    <xf borderId="3" fillId="20" fontId="23" numFmtId="0" xfId="0" applyAlignment="1" applyBorder="1" applyFill="1" applyFont="1">
      <alignment horizontal="center" vertical="center"/>
    </xf>
    <xf borderId="26" fillId="6" fontId="22" numFmtId="0" xfId="0" applyAlignment="1" applyBorder="1" applyFont="1">
      <alignment horizontal="center" readingOrder="0" shrinkToFit="0" vertical="center" wrapText="1"/>
    </xf>
    <xf borderId="6" fillId="0" fontId="15" numFmtId="0" xfId="0" applyAlignment="1" applyBorder="1" applyFont="1">
      <alignment horizontal="center"/>
    </xf>
    <xf borderId="28" fillId="0" fontId="15" numFmtId="0" xfId="0" applyAlignment="1" applyBorder="1" applyFont="1">
      <alignment readingOrder="0"/>
    </xf>
    <xf borderId="28" fillId="0" fontId="15" numFmtId="2" xfId="0" applyAlignment="1" applyBorder="1" applyFont="1" applyNumberFormat="1">
      <alignment readingOrder="0"/>
    </xf>
    <xf borderId="5" fillId="10" fontId="9" numFmtId="0" xfId="0" applyAlignment="1" applyBorder="1" applyFont="1">
      <alignment horizontal="center" shrinkToFit="0" vertical="center" wrapText="1"/>
    </xf>
    <xf borderId="28" fillId="16" fontId="15" numFmtId="0" xfId="0" applyAlignment="1" applyBorder="1" applyFont="1">
      <alignment readingOrder="0"/>
    </xf>
    <xf borderId="28" fillId="16" fontId="15" numFmtId="2" xfId="0" applyAlignment="1" applyBorder="1" applyFont="1" applyNumberFormat="1">
      <alignment readingOrder="0"/>
    </xf>
    <xf borderId="12" fillId="10" fontId="9" numFmtId="0" xfId="0" applyAlignment="1" applyBorder="1" applyFont="1">
      <alignment horizontal="center" shrinkToFit="0" vertical="center" wrapText="1"/>
    </xf>
    <xf borderId="3" fillId="21" fontId="24" numFmtId="0" xfId="0" applyAlignment="1" applyBorder="1" applyFill="1" applyFont="1">
      <alignment horizontal="center" vertical="center"/>
    </xf>
    <xf borderId="16" fillId="10" fontId="9" numFmtId="0" xfId="0" applyAlignment="1" applyBorder="1" applyFont="1">
      <alignment horizontal="center" shrinkToFit="0" vertical="center" wrapText="1"/>
    </xf>
    <xf borderId="5" fillId="13" fontId="25" numFmtId="0" xfId="0" applyAlignment="1" applyBorder="1" applyFont="1">
      <alignment horizontal="center" shrinkToFit="0" vertical="center" wrapText="1"/>
    </xf>
    <xf borderId="12" fillId="13" fontId="25" numFmtId="0" xfId="0" applyAlignment="1" applyBorder="1" applyFont="1">
      <alignment horizontal="center" shrinkToFit="0" vertical="center" wrapText="1"/>
    </xf>
    <xf borderId="28" fillId="2" fontId="15" numFmtId="0" xfId="0" applyBorder="1" applyFont="1"/>
    <xf borderId="3" fillId="21" fontId="26" numFmtId="0" xfId="0" applyAlignment="1" applyBorder="1" applyFont="1">
      <alignment horizontal="center" vertical="center"/>
    </xf>
    <xf borderId="29" fillId="13" fontId="25" numFmtId="0" xfId="0" applyAlignment="1" applyBorder="1" applyFont="1">
      <alignment horizontal="center" shrinkToFit="0" vertical="center" wrapText="1"/>
    </xf>
    <xf borderId="30" fillId="2" fontId="15" numFmtId="0" xfId="0" applyBorder="1" applyFont="1"/>
    <xf borderId="20" fillId="12" fontId="25" numFmtId="0" xfId="0" applyAlignment="1" applyBorder="1" applyFont="1">
      <alignment horizontal="center" shrinkToFit="0" vertical="center" wrapText="1"/>
    </xf>
    <xf borderId="3" fillId="21" fontId="23" numFmtId="2" xfId="0" applyAlignment="1" applyBorder="1" applyFont="1" applyNumberFormat="1">
      <alignment vertical="center"/>
    </xf>
    <xf borderId="22" fillId="12" fontId="25" numFmtId="0" xfId="0" applyAlignment="1" applyBorder="1" applyFont="1">
      <alignment horizontal="center" shrinkToFit="0" vertical="center" wrapText="1"/>
    </xf>
    <xf borderId="31" fillId="12" fontId="25" numFmtId="0" xfId="0" applyAlignment="1" applyBorder="1" applyFont="1">
      <alignment horizontal="center" readingOrder="0" shrinkToFit="0" vertical="center" wrapText="1"/>
    </xf>
    <xf borderId="3" fillId="22" fontId="23" numFmtId="2" xfId="0" applyAlignment="1" applyBorder="1" applyFill="1" applyFont="1" applyNumberFormat="1">
      <alignment horizontal="left" vertical="center"/>
    </xf>
    <xf borderId="20" fillId="23" fontId="25" numFmtId="0" xfId="0" applyAlignment="1" applyBorder="1" applyFill="1" applyFont="1">
      <alignment horizontal="center" shrinkToFit="0" vertical="center" wrapText="1"/>
    </xf>
    <xf borderId="22" fillId="23" fontId="25" numFmtId="0" xfId="0" applyAlignment="1" applyBorder="1" applyFont="1">
      <alignment horizontal="center" shrinkToFit="0" vertical="center" wrapText="1"/>
    </xf>
    <xf borderId="3" fillId="22" fontId="26" numFmtId="0" xfId="0" applyAlignment="1" applyBorder="1" applyFont="1">
      <alignment horizontal="center" vertical="center"/>
    </xf>
    <xf borderId="24" fillId="23" fontId="25" numFmtId="0" xfId="0" applyAlignment="1" applyBorder="1" applyFont="1">
      <alignment horizontal="center" readingOrder="0" shrinkToFit="0" vertical="center" wrapText="1"/>
    </xf>
    <xf borderId="17" fillId="0" fontId="25" numFmtId="0" xfId="0" applyAlignment="1" applyBorder="1" applyFont="1">
      <alignment horizontal="center" shrinkToFit="0" vertical="center" wrapText="1"/>
    </xf>
    <xf borderId="5" fillId="0" fontId="25" numFmtId="0" xfId="0" applyAlignment="1" applyBorder="1" applyFont="1">
      <alignment horizontal="center" shrinkToFit="0" vertical="center" wrapText="1"/>
    </xf>
    <xf borderId="16" fillId="0" fontId="25" numFmtId="0" xfId="0" applyAlignment="1" applyBorder="1" applyFont="1">
      <alignment horizontal="center" shrinkToFit="0" vertical="center" wrapText="1"/>
    </xf>
    <xf borderId="32" fillId="12" fontId="27" numFmtId="0" xfId="0" applyAlignment="1" applyBorder="1" applyFont="1">
      <alignment horizontal="center" shrinkToFit="0" vertical="center" wrapText="1"/>
    </xf>
    <xf borderId="33" fillId="5" fontId="28" numFmtId="0" xfId="0" applyAlignment="1" applyBorder="1" applyFont="1">
      <alignment horizontal="center" shrinkToFit="0" vertical="center" wrapText="1"/>
    </xf>
    <xf borderId="34" fillId="0" fontId="29" numFmtId="2" xfId="0" applyAlignment="1" applyBorder="1" applyFont="1" applyNumberFormat="1">
      <alignment horizontal="center" vertical="center"/>
    </xf>
    <xf borderId="28" fillId="2" fontId="15" numFmtId="2" xfId="0" applyBorder="1" applyFont="1" applyNumberFormat="1"/>
    <xf borderId="33" fillId="0" fontId="1" numFmtId="0" xfId="0" applyAlignment="1" applyBorder="1" applyFont="1">
      <alignment horizontal="center" shrinkToFit="0" vertical="center" wrapText="1"/>
    </xf>
    <xf borderId="34" fillId="0" fontId="30" numFmtId="1" xfId="0" applyAlignment="1" applyBorder="1" applyFont="1" applyNumberFormat="1">
      <alignment horizontal="center" vertical="center"/>
    </xf>
    <xf borderId="35" fillId="0" fontId="1" numFmtId="164" xfId="0" applyAlignment="1" applyBorder="1" applyFont="1" applyNumberFormat="1">
      <alignment horizontal="center" shrinkToFit="0" vertical="center" wrapText="1"/>
    </xf>
    <xf borderId="3" fillId="15" fontId="24" numFmtId="0" xfId="0" applyAlignment="1" applyBorder="1" applyFont="1">
      <alignment horizontal="center" vertical="center"/>
    </xf>
    <xf borderId="36" fillId="0" fontId="1" numFmtId="0" xfId="0" applyAlignment="1" applyBorder="1" applyFont="1">
      <alignment horizontal="center" shrinkToFit="0" vertical="center" wrapText="1"/>
    </xf>
    <xf borderId="37" fillId="24" fontId="31" numFmtId="0" xfId="0" applyAlignment="1" applyBorder="1" applyFill="1" applyFont="1">
      <alignment horizontal="center" shrinkToFit="0" vertical="center" wrapText="1"/>
    </xf>
    <xf borderId="3" fillId="9" fontId="24" numFmtId="0" xfId="0" applyAlignment="1" applyBorder="1" applyFont="1">
      <alignment horizontal="center" vertical="center"/>
    </xf>
    <xf borderId="28" fillId="0" fontId="1" numFmtId="0" xfId="0" applyAlignment="1" applyBorder="1" applyFont="1">
      <alignment horizontal="center" shrinkToFit="0" vertical="center" wrapText="1"/>
    </xf>
    <xf borderId="3" fillId="25" fontId="30" numFmtId="0" xfId="0" applyAlignment="1" applyBorder="1" applyFill="1" applyFont="1">
      <alignment horizontal="center" vertical="center"/>
    </xf>
    <xf borderId="28" fillId="0" fontId="1" numFmtId="164" xfId="0" applyAlignment="1" applyBorder="1" applyFont="1" applyNumberFormat="1">
      <alignment horizontal="center" shrinkToFit="0" vertical="center" wrapText="1"/>
    </xf>
    <xf borderId="3" fillId="25" fontId="29" numFmtId="2" xfId="0" applyAlignment="1" applyBorder="1" applyFont="1" applyNumberFormat="1">
      <alignment horizontal="right" vertical="center"/>
    </xf>
    <xf borderId="38" fillId="0" fontId="1" numFmtId="0" xfId="0" applyAlignment="1" applyBorder="1" applyFont="1">
      <alignment horizontal="center" shrinkToFit="0" vertical="center" wrapText="1"/>
    </xf>
    <xf borderId="39" fillId="0" fontId="1" numFmtId="0" xfId="0" applyAlignment="1" applyBorder="1" applyFont="1">
      <alignment horizontal="center" shrinkToFit="0" vertical="center" wrapText="1"/>
    </xf>
    <xf borderId="3" fillId="25" fontId="32" numFmtId="0" xfId="0" applyAlignment="1" applyBorder="1" applyFont="1">
      <alignment horizontal="center" vertical="center"/>
    </xf>
    <xf borderId="3" fillId="16" fontId="24" numFmtId="0" xfId="0" applyAlignment="1" applyBorder="1" applyFont="1">
      <alignment horizontal="center" vertical="center"/>
    </xf>
    <xf borderId="4" fillId="16" fontId="24" numFmtId="0" xfId="0" applyAlignment="1" applyBorder="1" applyFont="1">
      <alignment horizontal="center" vertical="center"/>
    </xf>
    <xf borderId="1" fillId="16" fontId="24" numFmtId="0" xfId="0" applyAlignment="1" applyBorder="1" applyFont="1">
      <alignment horizontal="center" vertical="center"/>
    </xf>
    <xf borderId="0" fillId="0" fontId="24" numFmtId="0" xfId="0" applyAlignment="1" applyFont="1">
      <alignment horizontal="center" vertical="center"/>
    </xf>
    <xf borderId="39" fillId="0" fontId="31" numFmtId="0" xfId="0" applyAlignment="1" applyBorder="1" applyFont="1">
      <alignment horizontal="center" shrinkToFit="0" vertical="center" wrapText="1"/>
    </xf>
    <xf borderId="40" fillId="0" fontId="33" numFmtId="0" xfId="0" applyAlignment="1" applyBorder="1" applyFont="1">
      <alignment horizontal="center" shrinkToFit="0" vertical="center" wrapText="1"/>
    </xf>
    <xf borderId="39" fillId="0" fontId="31" numFmtId="2" xfId="0" applyAlignment="1" applyBorder="1" applyFont="1" applyNumberFormat="1">
      <alignment horizontal="center" shrinkToFit="0" vertical="center" wrapText="1"/>
    </xf>
    <xf borderId="37" fillId="0" fontId="1" numFmtId="0" xfId="0" applyAlignment="1" applyBorder="1" applyFont="1">
      <alignment horizontal="center" shrinkToFit="0" vertical="center" wrapText="1"/>
    </xf>
    <xf borderId="0" fillId="0" fontId="15" numFmtId="2" xfId="0" applyAlignment="1" applyFont="1" applyNumberFormat="1">
      <alignment vertical="center"/>
    </xf>
    <xf borderId="0" fillId="0" fontId="15" numFmtId="0" xfId="0" applyAlignment="1" applyFont="1">
      <alignment vertical="center"/>
    </xf>
    <xf borderId="41" fillId="0" fontId="1" numFmtId="0" xfId="0" applyAlignment="1" applyBorder="1" applyFont="1">
      <alignment horizontal="center" shrinkToFit="0" vertical="center" wrapText="1"/>
    </xf>
    <xf borderId="24" fillId="0" fontId="1" numFmtId="2" xfId="0" applyAlignment="1" applyBorder="1" applyFont="1" applyNumberFormat="1">
      <alignment horizontal="center" shrinkToFit="0" vertical="center" wrapText="1"/>
    </xf>
    <xf borderId="42" fillId="0" fontId="1" numFmtId="0" xfId="0" applyAlignment="1" applyBorder="1" applyFont="1">
      <alignment horizontal="center" shrinkToFit="0" vertical="center" wrapText="1"/>
    </xf>
    <xf borderId="43" fillId="0" fontId="1" numFmtId="0" xfId="0" applyAlignment="1" applyBorder="1" applyFont="1">
      <alignment horizontal="center" shrinkToFit="0" vertical="center" wrapText="1"/>
    </xf>
    <xf borderId="32" fillId="0" fontId="1" numFmtId="0" xfId="0" applyAlignment="1" applyBorder="1" applyFont="1">
      <alignment horizontal="center" shrinkToFit="0" vertical="center" wrapText="1"/>
    </xf>
    <xf borderId="0" fillId="0" fontId="8" numFmtId="165" xfId="0" applyAlignment="1" applyFont="1" applyNumberFormat="1">
      <alignment horizontal="center" shrinkToFit="0" vertical="center" wrapText="1"/>
    </xf>
    <xf borderId="33" fillId="0" fontId="1" numFmtId="164" xfId="0" applyAlignment="1" applyBorder="1" applyFont="1" applyNumberFormat="1">
      <alignment horizontal="center" shrinkToFit="0" vertical="center" wrapText="1"/>
    </xf>
    <xf borderId="33" fillId="0" fontId="1" numFmtId="1" xfId="0" applyAlignment="1" applyBorder="1" applyFont="1" applyNumberFormat="1">
      <alignment horizontal="center" shrinkToFit="0" vertical="center" wrapText="1"/>
    </xf>
    <xf borderId="35" fillId="0" fontId="1" numFmtId="1" xfId="0" applyAlignment="1" applyBorder="1" applyFont="1" applyNumberFormat="1">
      <alignment horizontal="center" shrinkToFit="0" vertical="center" wrapText="1"/>
    </xf>
    <xf borderId="44" fillId="0" fontId="1" numFmtId="0" xfId="0" applyAlignment="1" applyBorder="1" applyFont="1">
      <alignment horizontal="center" shrinkToFit="0" vertical="center" wrapText="1"/>
    </xf>
    <xf borderId="0" fillId="0" fontId="8" numFmtId="2" xfId="0" applyAlignment="1" applyFont="1" applyNumberFormat="1">
      <alignment horizontal="center" shrinkToFit="0" vertical="center" wrapText="1"/>
    </xf>
    <xf borderId="6" fillId="0" fontId="1" numFmtId="0" xfId="0" applyAlignment="1" applyBorder="1" applyFont="1">
      <alignment horizontal="center" shrinkToFit="0" vertical="center" wrapText="1"/>
    </xf>
    <xf borderId="0" fillId="0" fontId="8" numFmtId="0" xfId="0" applyAlignment="1" applyFont="1">
      <alignment shrinkToFit="0" vertical="center" wrapText="1"/>
    </xf>
    <xf borderId="28" fillId="2" fontId="6" numFmtId="0" xfId="0" applyAlignment="1" applyBorder="1" applyFont="1">
      <alignment horizontal="center" shrinkToFit="0" vertical="center" wrapText="1"/>
    </xf>
    <xf borderId="45" fillId="0" fontId="15" numFmtId="0" xfId="0" applyAlignment="1" applyBorder="1" applyFont="1">
      <alignment horizontal="center" vertical="center"/>
    </xf>
    <xf borderId="46" fillId="15" fontId="15" numFmtId="0" xfId="0" applyBorder="1" applyFont="1"/>
    <xf borderId="47" fillId="0" fontId="15" numFmtId="0" xfId="0" applyAlignment="1" applyBorder="1" applyFont="1">
      <alignment readingOrder="0"/>
    </xf>
    <xf borderId="48" fillId="0" fontId="34" numFmtId="0" xfId="0" applyAlignment="1" applyBorder="1" applyFont="1">
      <alignment horizontal="center" vertical="center"/>
    </xf>
    <xf borderId="47" fillId="0" fontId="15" numFmtId="2" xfId="0" applyAlignment="1" applyBorder="1" applyFont="1" applyNumberFormat="1">
      <alignment readingOrder="0"/>
    </xf>
    <xf borderId="49" fillId="16" fontId="15" numFmtId="0" xfId="0" applyAlignment="1" applyBorder="1" applyFont="1">
      <alignment readingOrder="0"/>
    </xf>
    <xf borderId="49" fillId="16" fontId="15" numFmtId="2" xfId="0" applyAlignment="1" applyBorder="1" applyFont="1" applyNumberFormat="1">
      <alignment readingOrder="0"/>
    </xf>
    <xf borderId="32" fillId="0" fontId="1" numFmtId="2" xfId="0" applyAlignment="1" applyBorder="1" applyFont="1" applyNumberFormat="1">
      <alignment horizontal="center" shrinkToFit="0" vertical="center" wrapText="1"/>
    </xf>
    <xf borderId="35" fillId="0" fontId="1" numFmtId="0" xfId="0" applyAlignment="1" applyBorder="1" applyFont="1">
      <alignment horizontal="center" shrinkToFit="0" vertical="center" wrapText="1"/>
    </xf>
    <xf borderId="48" fillId="26" fontId="34" numFmtId="0" xfId="0" applyAlignment="1" applyBorder="1" applyFill="1" applyFont="1">
      <alignment horizontal="center" vertical="center"/>
    </xf>
    <xf borderId="49" fillId="2" fontId="15" numFmtId="0" xfId="0" applyBorder="1" applyFont="1"/>
    <xf borderId="50" fillId="2" fontId="15" numFmtId="0" xfId="0" applyBorder="1" applyFont="1"/>
    <xf borderId="28" fillId="27" fontId="28" numFmtId="0" xfId="0" applyAlignment="1" applyBorder="1" applyFill="1" applyFont="1">
      <alignment horizontal="center" shrinkToFit="0" vertical="center" wrapText="1"/>
    </xf>
    <xf borderId="28" fillId="28" fontId="15" numFmtId="0" xfId="0" applyBorder="1" applyFill="1" applyFont="1"/>
    <xf borderId="6" fillId="28" fontId="15" numFmtId="2" xfId="0" applyAlignment="1" applyBorder="1" applyFont="1" applyNumberFormat="1">
      <alignment horizontal="right"/>
    </xf>
    <xf borderId="38" fillId="0" fontId="1" numFmtId="164" xfId="0" applyAlignment="1" applyBorder="1" applyFont="1" applyNumberFormat="1">
      <alignment horizontal="center" shrinkToFit="0" vertical="center" wrapText="1"/>
    </xf>
    <xf borderId="6" fillId="28" fontId="15" numFmtId="0" xfId="0" applyAlignment="1" applyBorder="1" applyFont="1">
      <alignment horizontal="right"/>
    </xf>
    <xf borderId="48" fillId="0" fontId="15" numFmtId="164" xfId="0" applyAlignment="1" applyBorder="1" applyFont="1" applyNumberFormat="1">
      <alignment horizontal="center" vertical="center"/>
    </xf>
    <xf borderId="37" fillId="24" fontId="35" numFmtId="0" xfId="0" applyAlignment="1" applyBorder="1" applyFont="1">
      <alignment horizontal="center" shrinkToFit="0" vertical="center" wrapText="1"/>
    </xf>
    <xf borderId="48" fillId="29" fontId="34" numFmtId="0" xfId="0" applyAlignment="1" applyBorder="1" applyFill="1" applyFont="1">
      <alignment horizontal="center" vertical="center"/>
    </xf>
    <xf borderId="48" fillId="0" fontId="34" numFmtId="164" xfId="0" applyAlignment="1" applyBorder="1" applyFont="1" applyNumberFormat="1">
      <alignment horizontal="center" vertical="center"/>
    </xf>
    <xf borderId="48" fillId="30" fontId="15" numFmtId="0" xfId="0" applyAlignment="1" applyBorder="1" applyFill="1" applyFont="1">
      <alignment horizontal="center" vertical="center"/>
    </xf>
    <xf borderId="7" fillId="0" fontId="31" numFmtId="2" xfId="0" applyAlignment="1" applyBorder="1" applyFont="1" applyNumberFormat="1">
      <alignment horizontal="center" shrinkToFit="0" vertical="center" wrapText="1"/>
    </xf>
    <xf borderId="6" fillId="2" fontId="15" numFmtId="0" xfId="0" applyAlignment="1" applyBorder="1" applyFont="1">
      <alignment horizontal="right"/>
    </xf>
    <xf borderId="28" fillId="2" fontId="16" numFmtId="0" xfId="0" applyBorder="1" applyFont="1"/>
    <xf borderId="48" fillId="0" fontId="34" numFmtId="1" xfId="0" applyAlignment="1" applyBorder="1" applyFont="1" applyNumberFormat="1">
      <alignment horizontal="center" vertical="center"/>
    </xf>
    <xf borderId="0" fillId="0" fontId="36" numFmtId="1" xfId="0" applyAlignment="1" applyFont="1" applyNumberFormat="1">
      <alignment horizontal="center" vertical="center"/>
    </xf>
    <xf borderId="28" fillId="2" fontId="16" numFmtId="2" xfId="0" applyBorder="1" applyFont="1" applyNumberFormat="1"/>
    <xf borderId="48" fillId="0" fontId="15" numFmtId="0" xfId="0" applyAlignment="1" applyBorder="1" applyFont="1">
      <alignment horizontal="center" vertical="center"/>
    </xf>
    <xf borderId="10" fillId="0" fontId="1" numFmtId="0" xfId="0" applyAlignment="1" applyBorder="1" applyFont="1">
      <alignment horizontal="center" shrinkToFit="0" vertical="center" wrapText="1"/>
    </xf>
    <xf borderId="38" fillId="0" fontId="1" numFmtId="2" xfId="0" applyAlignment="1" applyBorder="1" applyFont="1" applyNumberFormat="1">
      <alignment horizontal="center" shrinkToFit="0" vertical="center" wrapText="1"/>
    </xf>
    <xf borderId="51" fillId="0" fontId="1" numFmtId="0" xfId="0" applyAlignment="1" applyBorder="1" applyFont="1">
      <alignment horizontal="center" shrinkToFit="0" vertical="center" wrapText="1"/>
    </xf>
    <xf borderId="52" fillId="31" fontId="15" numFmtId="0" xfId="0" applyAlignment="1" applyBorder="1" applyFill="1" applyFont="1">
      <alignment horizontal="center" vertical="center"/>
    </xf>
    <xf borderId="53" fillId="0" fontId="1" numFmtId="0" xfId="0" applyAlignment="1" applyBorder="1" applyFont="1">
      <alignment horizontal="center" shrinkToFit="0" vertical="center" wrapText="1"/>
    </xf>
    <xf borderId="52" fillId="0" fontId="15" numFmtId="164" xfId="0" applyAlignment="1" applyBorder="1" applyFont="1" applyNumberFormat="1">
      <alignment horizontal="center" vertical="center"/>
    </xf>
    <xf borderId="28" fillId="0" fontId="1" numFmtId="1" xfId="0" applyAlignment="1" applyBorder="1" applyFont="1" applyNumberFormat="1">
      <alignment horizontal="center" shrinkToFit="0" vertical="center" wrapText="1"/>
    </xf>
    <xf borderId="38" fillId="0" fontId="1" numFmtId="1" xfId="0" applyAlignment="1" applyBorder="1" applyFont="1" applyNumberFormat="1">
      <alignment horizontal="center" shrinkToFit="0" vertical="center" wrapText="1"/>
    </xf>
    <xf borderId="52" fillId="32" fontId="15" numFmtId="0" xfId="0" applyAlignment="1" applyBorder="1" applyFill="1" applyFont="1">
      <alignment horizontal="center" vertical="center"/>
    </xf>
    <xf borderId="52" fillId="0" fontId="15" numFmtId="0" xfId="0" applyAlignment="1" applyBorder="1" applyFont="1">
      <alignment horizontal="center" vertical="center"/>
    </xf>
    <xf borderId="0" fillId="3" fontId="37" numFmtId="0" xfId="0" applyAlignment="1" applyFont="1">
      <alignment horizontal="center" readingOrder="0" shrinkToFit="0" vertical="center" wrapText="1"/>
    </xf>
    <xf borderId="54" fillId="0" fontId="23" numFmtId="2" xfId="0" applyAlignment="1" applyBorder="1" applyFont="1" applyNumberFormat="1">
      <alignment vertical="center"/>
    </xf>
    <xf borderId="0" fillId="3" fontId="37" numFmtId="0" xfId="0" applyAlignment="1" applyFont="1">
      <alignment horizontal="center" shrinkToFit="0" vertical="center" wrapText="1"/>
    </xf>
    <xf borderId="0" fillId="0" fontId="23" numFmtId="0" xfId="0" applyAlignment="1" applyFont="1">
      <alignment horizontal="center" vertical="center"/>
    </xf>
    <xf borderId="55" fillId="2" fontId="20"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37" fillId="0" fontId="1" numFmtId="2" xfId="0" applyAlignment="1" applyBorder="1" applyFont="1" applyNumberFormat="1">
      <alignment horizontal="center" shrinkToFit="0" vertical="center" wrapText="1"/>
    </xf>
    <xf borderId="55" fillId="18" fontId="21" numFmtId="0" xfId="0" applyAlignment="1" applyBorder="1" applyFont="1">
      <alignment horizontal="center" vertical="center"/>
    </xf>
    <xf borderId="1" fillId="20" fontId="23" numFmtId="0" xfId="0" applyAlignment="1" applyBorder="1" applyFont="1">
      <alignment horizontal="center" vertical="center"/>
    </xf>
    <xf borderId="28" fillId="33" fontId="28" numFmtId="0" xfId="0" applyAlignment="1" applyBorder="1" applyFill="1" applyFont="1">
      <alignment horizontal="center" shrinkToFit="0" vertical="center" wrapText="1"/>
    </xf>
    <xf borderId="1" fillId="21" fontId="24" numFmtId="0" xfId="0" applyAlignment="1" applyBorder="1" applyFont="1">
      <alignment horizontal="center" vertical="center"/>
    </xf>
    <xf borderId="56" fillId="2" fontId="15" numFmtId="0" xfId="0" applyBorder="1" applyFont="1"/>
    <xf borderId="28" fillId="34" fontId="16" numFmtId="0" xfId="0" applyBorder="1" applyFill="1" applyFont="1"/>
    <xf borderId="1" fillId="21" fontId="26" numFmtId="0" xfId="0" applyAlignment="1" applyBorder="1" applyFont="1">
      <alignment horizontal="center" vertical="center"/>
    </xf>
    <xf borderId="28" fillId="34" fontId="16" numFmtId="2" xfId="0" applyBorder="1" applyFont="1" applyNumberFormat="1"/>
    <xf borderId="1" fillId="21" fontId="23" numFmtId="2" xfId="0" applyAlignment="1" applyBorder="1" applyFont="1" applyNumberFormat="1">
      <alignment vertical="center"/>
    </xf>
    <xf borderId="1" fillId="22" fontId="23" numFmtId="2" xfId="0" applyAlignment="1" applyBorder="1" applyFont="1" applyNumberFormat="1">
      <alignment horizontal="left" vertical="center"/>
    </xf>
    <xf borderId="1" fillId="22" fontId="26" numFmtId="0" xfId="0" applyAlignment="1" applyBorder="1" applyFont="1">
      <alignment horizontal="center" vertical="center"/>
    </xf>
    <xf borderId="57" fillId="0" fontId="30" numFmtId="1" xfId="0" applyAlignment="1" applyBorder="1" applyFont="1" applyNumberFormat="1">
      <alignment horizontal="center" vertical="center"/>
    </xf>
    <xf borderId="1" fillId="15" fontId="24" numFmtId="0" xfId="0" applyAlignment="1" applyBorder="1" applyFont="1">
      <alignment horizontal="center" vertical="center"/>
    </xf>
    <xf borderId="1" fillId="9" fontId="24" numFmtId="0" xfId="0" applyAlignment="1" applyBorder="1" applyFont="1">
      <alignment horizontal="center" vertical="center"/>
    </xf>
    <xf borderId="1" fillId="25" fontId="30" numFmtId="0" xfId="0" applyAlignment="1" applyBorder="1" applyFont="1">
      <alignment horizontal="center" vertical="center"/>
    </xf>
    <xf borderId="1" fillId="25" fontId="29" numFmtId="2" xfId="0" applyAlignment="1" applyBorder="1" applyFont="1" applyNumberFormat="1">
      <alignment horizontal="right" vertical="center"/>
    </xf>
    <xf borderId="1" fillId="25" fontId="32" numFmtId="0" xfId="0" applyAlignment="1" applyBorder="1" applyFont="1">
      <alignment horizontal="center" vertical="center"/>
    </xf>
    <xf borderId="58" fillId="16" fontId="24" numFmtId="0" xfId="0" applyAlignment="1" applyBorder="1" applyFont="1">
      <alignment horizontal="center" vertical="center"/>
    </xf>
    <xf borderId="40" fillId="35" fontId="33" numFmtId="0" xfId="0" applyAlignment="1" applyBorder="1" applyFill="1" applyFont="1">
      <alignment horizontal="center" shrinkToFit="0" vertical="center" wrapText="1"/>
    </xf>
    <xf borderId="28" fillId="36" fontId="15" numFmtId="0" xfId="0" applyAlignment="1" applyBorder="1" applyFill="1" applyFont="1">
      <alignment horizontal="center" vertical="center"/>
    </xf>
    <xf borderId="1" fillId="2" fontId="15" numFmtId="0" xfId="0" applyBorder="1" applyFont="1"/>
    <xf borderId="28" fillId="9" fontId="16" numFmtId="0" xfId="0" applyBorder="1" applyFont="1"/>
    <xf borderId="28" fillId="0" fontId="15" numFmtId="2" xfId="0" applyAlignment="1" applyBorder="1" applyFont="1" applyNumberFormat="1">
      <alignment horizontal="center" vertical="center"/>
    </xf>
    <xf borderId="28" fillId="9" fontId="16" numFmtId="2" xfId="0" applyBorder="1" applyFont="1" applyNumberFormat="1"/>
    <xf borderId="28" fillId="15" fontId="15" numFmtId="0" xfId="0" applyAlignment="1" applyBorder="1" applyFont="1">
      <alignment horizontal="center" vertical="center"/>
    </xf>
    <xf borderId="28" fillId="14" fontId="28" numFmtId="0" xfId="0" applyAlignment="1" applyBorder="1" applyFont="1">
      <alignment horizontal="center" shrinkToFit="0" vertical="center" wrapText="1"/>
    </xf>
    <xf borderId="28" fillId="0" fontId="38" numFmtId="2" xfId="0" applyAlignment="1" applyBorder="1" applyFont="1" applyNumberFormat="1">
      <alignment horizontal="center" vertical="center"/>
    </xf>
    <xf borderId="15" fillId="0" fontId="15" numFmtId="0" xfId="0" applyAlignment="1" applyBorder="1" applyFont="1">
      <alignment horizontal="center" vertical="center"/>
    </xf>
    <xf borderId="28" fillId="0" fontId="34" numFmtId="0" xfId="0" applyAlignment="1" applyBorder="1" applyFont="1">
      <alignment horizontal="center" vertical="center"/>
    </xf>
    <xf borderId="28" fillId="26" fontId="34" numFmtId="0" xfId="0" applyAlignment="1" applyBorder="1" applyFont="1">
      <alignment horizontal="center" vertical="center"/>
    </xf>
    <xf borderId="28" fillId="0" fontId="15" numFmtId="164" xfId="0" applyAlignment="1" applyBorder="1" applyFont="1" applyNumberFormat="1">
      <alignment horizontal="center" vertical="center"/>
    </xf>
    <xf borderId="28" fillId="29" fontId="34" numFmtId="0" xfId="0" applyAlignment="1" applyBorder="1" applyFont="1">
      <alignment horizontal="center" vertical="center"/>
    </xf>
    <xf borderId="28" fillId="0" fontId="34" numFmtId="164" xfId="0" applyAlignment="1" applyBorder="1" applyFont="1" applyNumberFormat="1">
      <alignment horizontal="center" vertical="center"/>
    </xf>
    <xf borderId="28" fillId="30" fontId="15" numFmtId="0" xfId="0" applyAlignment="1" applyBorder="1" applyFont="1">
      <alignment horizontal="center" vertical="center"/>
    </xf>
    <xf borderId="28" fillId="0" fontId="34" numFmtId="1" xfId="0" applyAlignment="1" applyBorder="1" applyFont="1" applyNumberFormat="1">
      <alignment horizontal="center" vertical="center"/>
    </xf>
    <xf borderId="8" fillId="27" fontId="12" numFmtId="0" xfId="0" applyAlignment="1" applyBorder="1" applyFont="1">
      <alignment horizontal="left"/>
    </xf>
    <xf borderId="28" fillId="0" fontId="15" numFmtId="0" xfId="0" applyAlignment="1" applyBorder="1" applyFont="1">
      <alignment horizontal="center" vertical="center"/>
    </xf>
    <xf borderId="6" fillId="0" fontId="15" numFmtId="0" xfId="0" applyAlignment="1" applyBorder="1" applyFont="1">
      <alignment horizontal="center" vertical="center"/>
    </xf>
    <xf borderId="30" fillId="0" fontId="23" numFmtId="2" xfId="0" applyAlignment="1" applyBorder="1" applyFont="1" applyNumberFormat="1">
      <alignment vertical="center"/>
    </xf>
    <xf borderId="28" fillId="37" fontId="28" numFmtId="0" xfId="0" applyAlignment="1" applyBorder="1" applyFill="1" applyFont="1">
      <alignment horizontal="center" shrinkToFit="0" vertical="center" wrapText="1"/>
    </xf>
    <xf borderId="1" fillId="38" fontId="15" numFmtId="0" xfId="0" applyBorder="1" applyFill="1" applyFont="1"/>
    <xf borderId="28" fillId="39" fontId="28" numFmtId="0" xfId="0" applyAlignment="1" applyBorder="1" applyFill="1" applyFont="1">
      <alignment horizontal="center" shrinkToFit="0" vertical="center" wrapText="1"/>
    </xf>
    <xf borderId="37" fillId="40" fontId="35" numFmtId="0" xfId="0" applyAlignment="1" applyBorder="1" applyFill="1" applyFont="1">
      <alignment horizontal="center" shrinkToFit="0" vertical="center" wrapText="1"/>
    </xf>
    <xf borderId="0" fillId="0" fontId="15" numFmtId="2" xfId="0" applyFont="1" applyNumberFormat="1"/>
    <xf borderId="59" fillId="15" fontId="15" numFmtId="0" xfId="0" applyBorder="1" applyFont="1"/>
    <xf borderId="60" fillId="0" fontId="15" numFmtId="0" xfId="0" applyAlignment="1" applyBorder="1" applyFont="1">
      <alignment readingOrder="0"/>
    </xf>
    <xf borderId="60" fillId="16" fontId="15" numFmtId="0" xfId="0" applyAlignment="1" applyBorder="1" applyFont="1">
      <alignment readingOrder="0"/>
    </xf>
    <xf borderId="60" fillId="2" fontId="15" numFmtId="0" xfId="0" applyBorder="1" applyFont="1"/>
    <xf borderId="61" fillId="2" fontId="15" numFmtId="0" xfId="0" applyBorder="1" applyFont="1"/>
    <xf borderId="0" fillId="0" fontId="1" numFmtId="2" xfId="0" applyFont="1" applyNumberFormat="1"/>
    <xf borderId="28" fillId="41" fontId="28" numFmtId="0" xfId="0" applyAlignment="1" applyBorder="1" applyFill="1" applyFont="1">
      <alignment horizontal="center" shrinkToFit="0" vertical="center" wrapText="1"/>
    </xf>
    <xf borderId="15" fillId="0" fontId="33" numFmtId="0" xfId="0" applyAlignment="1" applyBorder="1" applyFont="1">
      <alignment horizontal="center" shrinkToFit="0" vertical="center" wrapText="1"/>
    </xf>
    <xf borderId="28" fillId="0" fontId="33" numFmtId="0" xfId="0" applyAlignment="1" applyBorder="1" applyFont="1">
      <alignment horizontal="center" shrinkToFit="0" vertical="center" wrapText="1"/>
    </xf>
    <xf borderId="28" fillId="42" fontId="28" numFmtId="0" xfId="0" applyAlignment="1" applyBorder="1" applyFill="1" applyFont="1">
      <alignment horizontal="center" shrinkToFit="0" vertical="center" wrapText="1"/>
    </xf>
    <xf borderId="62" fillId="18" fontId="21" numFmtId="0" xfId="0" applyAlignment="1" applyBorder="1" applyFont="1">
      <alignment horizontal="center" vertical="center"/>
    </xf>
    <xf borderId="63" fillId="20" fontId="23" numFmtId="0" xfId="0" applyAlignment="1" applyBorder="1" applyFont="1">
      <alignment horizontal="center" vertical="center"/>
    </xf>
    <xf borderId="63" fillId="21" fontId="24" numFmtId="0" xfId="0" applyAlignment="1" applyBorder="1" applyFont="1">
      <alignment horizontal="center" vertical="center"/>
    </xf>
    <xf borderId="63" fillId="21" fontId="26" numFmtId="0" xfId="0" applyAlignment="1" applyBorder="1" applyFont="1">
      <alignment horizontal="center" vertical="center"/>
    </xf>
    <xf borderId="63" fillId="21" fontId="23" numFmtId="2" xfId="0" applyAlignment="1" applyBorder="1" applyFont="1" applyNumberFormat="1">
      <alignment vertical="center"/>
    </xf>
    <xf borderId="63" fillId="22" fontId="23" numFmtId="2" xfId="0" applyAlignment="1" applyBorder="1" applyFont="1" applyNumberFormat="1">
      <alignment horizontal="left" vertical="center"/>
    </xf>
    <xf borderId="63" fillId="22" fontId="26" numFmtId="0" xfId="0" applyAlignment="1" applyBorder="1" applyFont="1">
      <alignment horizontal="center" vertical="center"/>
    </xf>
    <xf borderId="64" fillId="0" fontId="30" numFmtId="1" xfId="0" applyAlignment="1" applyBorder="1" applyFont="1" applyNumberFormat="1">
      <alignment horizontal="center" vertical="center"/>
    </xf>
    <xf borderId="63" fillId="15" fontId="24" numFmtId="0" xfId="0" applyAlignment="1" applyBorder="1" applyFont="1">
      <alignment horizontal="center" vertical="center"/>
    </xf>
    <xf borderId="63" fillId="9" fontId="24" numFmtId="0" xfId="0" applyAlignment="1" applyBorder="1" applyFont="1">
      <alignment horizontal="center" vertical="center"/>
    </xf>
    <xf borderId="63" fillId="25" fontId="30" numFmtId="0" xfId="0" applyAlignment="1" applyBorder="1" applyFont="1">
      <alignment horizontal="center" vertical="center"/>
    </xf>
    <xf borderId="63" fillId="25" fontId="29" numFmtId="2" xfId="0" applyAlignment="1" applyBorder="1" applyFont="1" applyNumberFormat="1">
      <alignment horizontal="right" vertical="center"/>
    </xf>
    <xf borderId="63" fillId="25" fontId="32" numFmtId="0" xfId="0" applyAlignment="1" applyBorder="1" applyFont="1">
      <alignment horizontal="center" vertical="center"/>
    </xf>
    <xf borderId="63" fillId="16" fontId="24" numFmtId="0" xfId="0" applyAlignment="1" applyBorder="1" applyFont="1">
      <alignment horizontal="center" vertical="center"/>
    </xf>
    <xf borderId="65" fillId="16" fontId="24" numFmtId="0" xfId="0" applyAlignment="1" applyBorder="1" applyFont="1">
      <alignment horizontal="center" vertical="center"/>
    </xf>
    <xf borderId="28" fillId="43" fontId="28" numFmtId="0" xfId="0" applyAlignment="1" applyBorder="1" applyFill="1" applyFont="1">
      <alignment horizontal="center" shrinkToFit="0" vertical="center" wrapText="1"/>
    </xf>
    <xf borderId="59" fillId="0" fontId="15" numFmtId="0" xfId="0" applyAlignment="1" applyBorder="1" applyFont="1">
      <alignment horizontal="center" vertical="center"/>
    </xf>
    <xf borderId="60" fillId="0" fontId="34" numFmtId="0" xfId="0" applyAlignment="1" applyBorder="1" applyFont="1">
      <alignment horizontal="center" vertical="center"/>
    </xf>
    <xf borderId="8" fillId="33" fontId="12" numFmtId="0" xfId="0" applyAlignment="1" applyBorder="1" applyFont="1">
      <alignment horizontal="left"/>
    </xf>
    <xf borderId="60" fillId="26" fontId="34" numFmtId="0" xfId="0" applyAlignment="1" applyBorder="1" applyFont="1">
      <alignment horizontal="center" vertical="center"/>
    </xf>
    <xf borderId="60" fillId="0" fontId="15" numFmtId="164" xfId="0" applyAlignment="1" applyBorder="1" applyFont="1" applyNumberFormat="1">
      <alignment horizontal="center" vertical="center"/>
    </xf>
    <xf borderId="60" fillId="29" fontId="34" numFmtId="0" xfId="0" applyAlignment="1" applyBorder="1" applyFont="1">
      <alignment horizontal="center" vertical="center"/>
    </xf>
    <xf borderId="60" fillId="0" fontId="34" numFmtId="164" xfId="0" applyAlignment="1" applyBorder="1" applyFont="1" applyNumberFormat="1">
      <alignment horizontal="center" vertical="center"/>
    </xf>
    <xf borderId="60" fillId="30" fontId="15" numFmtId="0" xfId="0" applyAlignment="1" applyBorder="1" applyFont="1">
      <alignment horizontal="center" vertical="center"/>
    </xf>
    <xf borderId="60" fillId="0" fontId="34" numFmtId="1" xfId="0" applyAlignment="1" applyBorder="1" applyFont="1" applyNumberFormat="1">
      <alignment horizontal="center" vertical="center"/>
    </xf>
    <xf borderId="60" fillId="0" fontId="15" numFmtId="0" xfId="0" applyAlignment="1" applyBorder="1" applyFont="1">
      <alignment horizontal="center" vertical="center"/>
    </xf>
    <xf borderId="66" fillId="44" fontId="39" numFmtId="0" xfId="0" applyAlignment="1" applyBorder="1" applyFill="1" applyFont="1">
      <alignment horizontal="center" shrinkToFit="0" vertical="center" wrapText="1"/>
    </xf>
    <xf borderId="66" fillId="0" fontId="1" numFmtId="0" xfId="0" applyAlignment="1" applyBorder="1" applyFont="1">
      <alignment horizontal="center" shrinkToFit="0" vertical="center" wrapText="1"/>
    </xf>
    <xf borderId="67" fillId="0" fontId="15" numFmtId="0" xfId="0" applyAlignment="1" applyBorder="1" applyFont="1">
      <alignment horizontal="center" vertical="center"/>
    </xf>
    <xf borderId="68" fillId="0" fontId="1" numFmtId="164" xfId="0" applyAlignment="1" applyBorder="1" applyFont="1" applyNumberFormat="1">
      <alignment horizontal="center" shrinkToFit="0" vertical="center" wrapText="1"/>
    </xf>
    <xf borderId="61" fillId="0" fontId="23" numFmtId="2" xfId="0" applyAlignment="1" applyBorder="1" applyFont="1" applyNumberFormat="1">
      <alignment vertical="center"/>
    </xf>
    <xf borderId="69" fillId="0" fontId="1" numFmtId="0" xfId="0" applyAlignment="1" applyBorder="1" applyFont="1">
      <alignment horizontal="center" shrinkToFit="0" vertical="center" wrapText="1"/>
    </xf>
    <xf borderId="70" fillId="40" fontId="35" numFmtId="0" xfId="0" applyAlignment="1" applyBorder="1" applyFont="1">
      <alignment horizontal="center" shrinkToFit="0" vertical="center" wrapText="1"/>
    </xf>
    <xf borderId="2" fillId="45" fontId="21" numFmtId="0" xfId="0" applyAlignment="1" applyBorder="1" applyFill="1" applyFont="1">
      <alignment horizontal="center" vertical="center"/>
    </xf>
    <xf borderId="66" fillId="0" fontId="1" numFmtId="164" xfId="0" applyAlignment="1" applyBorder="1" applyFont="1" applyNumberFormat="1">
      <alignment horizontal="center" shrinkToFit="0" vertical="center" wrapText="1"/>
    </xf>
    <xf borderId="3" fillId="46" fontId="23" numFmtId="0" xfId="0" applyAlignment="1" applyBorder="1" applyFill="1" applyFont="1">
      <alignment horizontal="center" vertical="center"/>
    </xf>
    <xf borderId="71" fillId="0" fontId="31" numFmtId="2" xfId="0" applyAlignment="1" applyBorder="1" applyFont="1" applyNumberFormat="1">
      <alignment horizontal="center" shrinkToFit="0" vertical="center" wrapText="1"/>
    </xf>
    <xf borderId="70" fillId="0" fontId="1" numFmtId="0" xfId="0" applyAlignment="1" applyBorder="1" applyFont="1">
      <alignment horizontal="center" shrinkToFit="0" vertical="center" wrapText="1"/>
    </xf>
    <xf borderId="3" fillId="47" fontId="24" numFmtId="0" xfId="0" applyAlignment="1" applyBorder="1" applyFill="1" applyFont="1">
      <alignment horizontal="center" vertical="center"/>
    </xf>
    <xf borderId="72" fillId="0" fontId="1" numFmtId="0" xfId="0" applyAlignment="1" applyBorder="1" applyFont="1">
      <alignment horizontal="center" shrinkToFit="0" vertical="center" wrapText="1"/>
    </xf>
    <xf borderId="3" fillId="47" fontId="26" numFmtId="0" xfId="0" applyAlignment="1" applyBorder="1" applyFont="1">
      <alignment horizontal="center" vertical="center"/>
    </xf>
    <xf borderId="68" fillId="0" fontId="1" numFmtId="2" xfId="0" applyAlignment="1" applyBorder="1" applyFont="1" applyNumberFormat="1">
      <alignment horizontal="center" shrinkToFit="0" vertical="center" wrapText="1"/>
    </xf>
    <xf borderId="3" fillId="47" fontId="23" numFmtId="2" xfId="0" applyAlignment="1" applyBorder="1" applyFont="1" applyNumberFormat="1">
      <alignment vertical="center"/>
    </xf>
    <xf borderId="73" fillId="0" fontId="1" numFmtId="0" xfId="0" applyAlignment="1" applyBorder="1" applyFont="1">
      <alignment horizontal="center" shrinkToFit="0" vertical="center" wrapText="1"/>
    </xf>
    <xf borderId="74" fillId="0" fontId="1" numFmtId="0" xfId="0" applyAlignment="1" applyBorder="1" applyFont="1">
      <alignment horizontal="center" shrinkToFit="0" vertical="center" wrapText="1"/>
    </xf>
    <xf borderId="3" fillId="48" fontId="23" numFmtId="2" xfId="0" applyAlignment="1" applyBorder="1" applyFill="1" applyFont="1" applyNumberFormat="1">
      <alignment horizontal="left" vertical="center"/>
    </xf>
    <xf borderId="3" fillId="48" fontId="26" numFmtId="0" xfId="0" applyAlignment="1" applyBorder="1" applyFont="1">
      <alignment horizontal="center" vertical="center"/>
    </xf>
    <xf borderId="66" fillId="0" fontId="1" numFmtId="1" xfId="0" applyAlignment="1" applyBorder="1" applyFont="1" applyNumberFormat="1">
      <alignment horizontal="center" shrinkToFit="0" vertical="center" wrapText="1"/>
    </xf>
    <xf borderId="68" fillId="0" fontId="1" numFmtId="1" xfId="0" applyAlignment="1" applyBorder="1" applyFont="1" applyNumberFormat="1">
      <alignment horizontal="center" shrinkToFit="0" vertical="center" wrapText="1"/>
    </xf>
    <xf borderId="75" fillId="0" fontId="1" numFmtId="0" xfId="0" applyAlignment="1" applyBorder="1" applyFont="1">
      <alignment horizontal="center" shrinkToFit="0" vertical="center" wrapText="1"/>
    </xf>
    <xf borderId="70" fillId="0" fontId="1" numFmtId="2" xfId="0" applyAlignment="1" applyBorder="1" applyFont="1" applyNumberFormat="1">
      <alignment horizontal="center" shrinkToFit="0" vertical="center" wrapText="1"/>
    </xf>
    <xf borderId="68" fillId="0" fontId="1" numFmtId="0" xfId="0" applyAlignment="1" applyBorder="1" applyFont="1">
      <alignment horizontal="center" shrinkToFit="0" vertical="center" wrapText="1"/>
    </xf>
    <xf borderId="0" fillId="0" fontId="25" numFmtId="0" xfId="0" applyAlignment="1" applyFont="1">
      <alignment horizontal="center" readingOrder="0" shrinkToFit="0" vertical="center" wrapText="1"/>
    </xf>
    <xf borderId="1" fillId="49" fontId="15" numFmtId="0" xfId="0" applyBorder="1" applyFill="1" applyFont="1"/>
    <xf borderId="0" fillId="0" fontId="25" numFmtId="0" xfId="0" applyAlignment="1" applyFont="1">
      <alignment horizontal="center" readingOrder="0" shrinkToFit="0" vertical="center" wrapText="1"/>
    </xf>
    <xf borderId="0" fillId="3" fontId="9" numFmtId="0" xfId="0" applyAlignment="1" applyFont="1">
      <alignment horizontal="center" shrinkToFit="0" vertical="center" wrapText="1"/>
    </xf>
    <xf borderId="0" fillId="0" fontId="25"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1" numFmtId="0" xfId="0" applyAlignment="1" applyFont="1">
      <alignment shrinkToFit="0" wrapText="1"/>
    </xf>
    <xf borderId="0" fillId="50" fontId="31" numFmtId="0" xfId="0" applyAlignment="1" applyFill="1" applyFont="1">
      <alignment horizontal="center" readingOrder="0" shrinkToFit="0" vertical="center" wrapText="0"/>
    </xf>
    <xf borderId="0" fillId="0" fontId="40" numFmtId="0" xfId="0" applyAlignment="1" applyFont="1">
      <alignment horizontal="center" shrinkToFit="0" vertical="center" wrapText="0"/>
    </xf>
    <xf borderId="0" fillId="51" fontId="1" numFmtId="0" xfId="0" applyAlignment="1" applyFill="1" applyFont="1">
      <alignment horizontal="center" shrinkToFit="0" vertical="center" wrapText="0"/>
    </xf>
    <xf borderId="0" fillId="52" fontId="1" numFmtId="0" xfId="0" applyAlignment="1" applyFill="1" applyFont="1">
      <alignment horizontal="center" shrinkToFit="0" vertical="center" wrapText="0"/>
    </xf>
    <xf borderId="0" fillId="29" fontId="1" numFmtId="2" xfId="0" applyAlignment="1" applyFont="1" applyNumberFormat="1">
      <alignment shrinkToFit="0" vertical="center" wrapText="0"/>
    </xf>
    <xf borderId="0" fillId="53" fontId="1" numFmtId="2" xfId="0" applyAlignment="1" applyFill="1" applyFont="1" applyNumberFormat="1">
      <alignment shrinkToFit="0" vertical="center" wrapText="0"/>
    </xf>
    <xf borderId="55" fillId="45" fontId="21" numFmtId="0" xfId="0" applyAlignment="1" applyBorder="1" applyFont="1">
      <alignment horizontal="center" vertical="center"/>
    </xf>
    <xf borderId="0" fillId="53" fontId="1" numFmtId="0" xfId="0" applyAlignment="1" applyFont="1">
      <alignment horizontal="center" shrinkToFit="0" vertical="center" wrapText="0"/>
    </xf>
    <xf borderId="1" fillId="46" fontId="23" numFmtId="0" xfId="0" applyAlignment="1" applyBorder="1" applyFont="1">
      <alignment horizontal="center" vertical="center"/>
    </xf>
    <xf borderId="0" fillId="26" fontId="1" numFmtId="0" xfId="0" applyAlignment="1" applyFont="1">
      <alignment horizontal="center" shrinkToFit="0" vertical="center" wrapText="0"/>
    </xf>
    <xf borderId="1" fillId="47" fontId="24" numFmtId="0" xfId="0" applyAlignment="1" applyBorder="1" applyFont="1">
      <alignment horizontal="center" vertical="center"/>
    </xf>
    <xf borderId="0" fillId="30" fontId="1" numFmtId="0" xfId="0" applyAlignment="1" applyFont="1">
      <alignment horizontal="center" shrinkToFit="0" vertical="center" wrapText="0"/>
    </xf>
    <xf borderId="1" fillId="47" fontId="26" numFmtId="0" xfId="0" applyAlignment="1" applyBorder="1" applyFont="1">
      <alignment horizontal="center" vertical="center"/>
    </xf>
    <xf borderId="0" fillId="54" fontId="31" numFmtId="0" xfId="0" applyAlignment="1" applyFill="1" applyFont="1">
      <alignment horizontal="center" readingOrder="0" shrinkToFit="0" vertical="center" wrapText="0"/>
    </xf>
    <xf borderId="1" fillId="47" fontId="23" numFmtId="2" xfId="0" applyAlignment="1" applyBorder="1" applyFont="1" applyNumberFormat="1">
      <alignment vertical="center"/>
    </xf>
    <xf borderId="1" fillId="48" fontId="23" numFmtId="2" xfId="0" applyAlignment="1" applyBorder="1" applyFont="1" applyNumberFormat="1">
      <alignment horizontal="left" vertical="center"/>
    </xf>
    <xf borderId="1" fillId="48" fontId="26" numFmtId="0" xfId="0" applyAlignment="1" applyBorder="1" applyFont="1">
      <alignment horizontal="center" vertical="center"/>
    </xf>
    <xf borderId="0" fillId="55" fontId="31" numFmtId="0" xfId="0" applyAlignment="1" applyFill="1" applyFont="1">
      <alignment horizontal="center" readingOrder="0" shrinkToFit="0" vertical="center" wrapText="0"/>
    </xf>
    <xf borderId="0" fillId="56" fontId="31" numFmtId="0" xfId="0" applyAlignment="1" applyFill="1" applyFont="1">
      <alignment horizontal="center" readingOrder="0" shrinkToFit="0" vertical="center" wrapText="0"/>
    </xf>
    <xf borderId="0" fillId="0" fontId="15" numFmtId="0" xfId="0" applyAlignment="1" applyFont="1">
      <alignment horizontal="center" vertical="center"/>
    </xf>
    <xf borderId="0" fillId="0" fontId="15" numFmtId="0" xfId="0" applyAlignment="1" applyFont="1">
      <alignment horizontal="center"/>
    </xf>
    <xf borderId="76" fillId="56" fontId="31" numFmtId="0" xfId="0" applyAlignment="1" applyBorder="1" applyFont="1">
      <alignment horizontal="center" readingOrder="0" shrinkToFit="0" vertical="center" wrapText="0"/>
    </xf>
    <xf borderId="76" fillId="0" fontId="40" numFmtId="0" xfId="0" applyAlignment="1" applyBorder="1" applyFont="1">
      <alignment horizontal="center" shrinkToFit="0" vertical="center" wrapText="0"/>
    </xf>
    <xf borderId="76" fillId="51" fontId="1" numFmtId="0" xfId="0" applyAlignment="1" applyBorder="1" applyFont="1">
      <alignment horizontal="center" shrinkToFit="0" vertical="center" wrapText="0"/>
    </xf>
    <xf borderId="76" fillId="0" fontId="1" numFmtId="0" xfId="0" applyAlignment="1" applyBorder="1" applyFont="1">
      <alignment shrinkToFit="0" vertical="center" wrapText="0"/>
    </xf>
    <xf borderId="76" fillId="52" fontId="1" numFmtId="0" xfId="0" applyAlignment="1" applyBorder="1" applyFont="1">
      <alignment horizontal="center" shrinkToFit="0" vertical="center" wrapText="0"/>
    </xf>
    <xf borderId="76" fillId="29" fontId="1" numFmtId="2" xfId="0" applyAlignment="1" applyBorder="1" applyFont="1" applyNumberFormat="1">
      <alignment shrinkToFit="0" vertical="center" wrapText="0"/>
    </xf>
    <xf borderId="76" fillId="53" fontId="1" numFmtId="2" xfId="0" applyAlignment="1" applyBorder="1" applyFont="1" applyNumberFormat="1">
      <alignment shrinkToFit="0" vertical="center" wrapText="0"/>
    </xf>
    <xf borderId="76" fillId="53" fontId="1" numFmtId="0" xfId="0" applyAlignment="1" applyBorder="1" applyFont="1">
      <alignment horizontal="center" shrinkToFit="0" vertical="center" wrapText="0"/>
    </xf>
    <xf borderId="76" fillId="26" fontId="1" numFmtId="0" xfId="0" applyAlignment="1" applyBorder="1" applyFont="1">
      <alignment horizontal="center" shrinkToFit="0" vertical="center" wrapText="0"/>
    </xf>
    <xf borderId="76" fillId="30" fontId="1" numFmtId="0" xfId="0" applyAlignment="1" applyBorder="1" applyFont="1">
      <alignment horizontal="center" shrinkToFit="0" vertical="center" wrapText="0"/>
    </xf>
    <xf borderId="0" fillId="52" fontId="31" numFmtId="0" xfId="0" applyAlignment="1" applyFont="1">
      <alignment horizontal="center" readingOrder="0" shrinkToFit="0" vertical="center" wrapText="0"/>
    </xf>
    <xf borderId="0" fillId="57" fontId="31" numFmtId="0" xfId="0" applyAlignment="1" applyFill="1" applyFont="1">
      <alignment horizontal="center" readingOrder="0" shrinkToFit="0" vertical="center" wrapText="0"/>
    </xf>
    <xf borderId="8" fillId="11" fontId="12" numFmtId="0" xfId="0" applyAlignment="1" applyBorder="1" applyFont="1">
      <alignment horizontal="left"/>
    </xf>
    <xf borderId="0" fillId="58" fontId="31" numFmtId="0" xfId="0" applyAlignment="1" applyFill="1" applyFont="1">
      <alignment horizontal="center" readingOrder="0" shrinkToFit="0" vertical="center" wrapText="0"/>
    </xf>
    <xf borderId="0" fillId="11" fontId="31" numFmtId="0" xfId="0" applyAlignment="1" applyFont="1">
      <alignment horizontal="center" readingOrder="0" shrinkToFit="0" vertical="center" wrapText="0"/>
    </xf>
    <xf borderId="0" fillId="0" fontId="31" numFmtId="0" xfId="0" applyAlignment="1" applyFont="1">
      <alignment horizontal="center" readingOrder="0"/>
    </xf>
    <xf borderId="28" fillId="0" fontId="15" numFmtId="0" xfId="0" applyBorder="1" applyFont="1"/>
    <xf borderId="28" fillId="0" fontId="41" numFmtId="0" xfId="0" applyBorder="1" applyFont="1"/>
    <xf borderId="6" fillId="14" fontId="10" numFmtId="0" xfId="0" applyAlignment="1" applyBorder="1" applyFont="1">
      <alignment horizontal="center" vertical="center"/>
    </xf>
    <xf borderId="28" fillId="0" fontId="15" numFmtId="164" xfId="0" applyBorder="1" applyFont="1" applyNumberFormat="1"/>
    <xf borderId="1" fillId="35" fontId="33" numFmtId="0" xfId="0" applyAlignment="1" applyBorder="1" applyFont="1">
      <alignment horizontal="center" shrinkToFit="0" vertical="center" wrapText="1"/>
    </xf>
    <xf borderId="0" fillId="0" fontId="41" numFmtId="0" xfId="0" applyFont="1"/>
    <xf borderId="0" fillId="0" fontId="15" numFmtId="164" xfId="0" applyFont="1" applyNumberFormat="1"/>
    <xf borderId="77" fillId="18" fontId="42" numFmtId="0" xfId="0" applyAlignment="1" applyBorder="1" applyFont="1">
      <alignment horizontal="center"/>
    </xf>
    <xf borderId="78" fillId="0" fontId="11" numFmtId="0" xfId="0" applyBorder="1" applyFont="1"/>
    <xf borderId="62" fillId="45" fontId="21" numFmtId="0" xfId="0" applyAlignment="1" applyBorder="1" applyFont="1">
      <alignment horizontal="center" vertical="center"/>
    </xf>
    <xf borderId="79" fillId="0" fontId="11" numFmtId="0" xfId="0" applyBorder="1" applyFont="1"/>
    <xf borderId="45" fillId="2" fontId="42" numFmtId="0" xfId="0" applyBorder="1" applyFont="1"/>
    <xf borderId="63" fillId="46" fontId="23" numFmtId="0" xfId="0" applyAlignment="1" applyBorder="1" applyFont="1">
      <alignment horizontal="center" vertical="center"/>
    </xf>
    <xf borderId="48" fillId="2" fontId="42" numFmtId="0" xfId="0" applyBorder="1" applyFont="1"/>
    <xf borderId="54" fillId="2" fontId="42" numFmtId="0" xfId="0" applyBorder="1" applyFont="1"/>
    <xf borderId="1" fillId="2" fontId="43" numFmtId="0" xfId="0" applyAlignment="1" applyBorder="1" applyFont="1">
      <alignment horizontal="center"/>
    </xf>
    <xf borderId="63" fillId="47" fontId="24" numFmtId="0" xfId="0" applyAlignment="1" applyBorder="1" applyFont="1">
      <alignment horizontal="center" vertical="center"/>
    </xf>
    <xf borderId="77" fillId="49" fontId="21" numFmtId="0" xfId="0" applyAlignment="1" applyBorder="1" applyFont="1">
      <alignment horizontal="center"/>
    </xf>
    <xf borderId="80" fillId="0" fontId="11" numFmtId="0" xfId="0" applyBorder="1" applyFont="1"/>
    <xf borderId="23" fillId="59" fontId="21" numFmtId="0" xfId="0" applyAlignment="1" applyBorder="1" applyFill="1" applyFont="1">
      <alignment horizontal="center"/>
    </xf>
    <xf borderId="23" fillId="27" fontId="21" numFmtId="0" xfId="0" applyAlignment="1" applyBorder="1" applyFont="1">
      <alignment horizontal="center"/>
    </xf>
    <xf borderId="23" fillId="33" fontId="21" numFmtId="0" xfId="0" applyAlignment="1" applyBorder="1" applyFont="1">
      <alignment horizontal="center"/>
    </xf>
    <xf borderId="63" fillId="47" fontId="26" numFmtId="0" xfId="0" applyAlignment="1" applyBorder="1" applyFont="1">
      <alignment horizontal="center" vertical="center"/>
    </xf>
    <xf borderId="23" fillId="11" fontId="21" numFmtId="0" xfId="0" applyAlignment="1" applyBorder="1" applyFont="1">
      <alignment horizontal="center"/>
    </xf>
    <xf borderId="23" fillId="60" fontId="21" numFmtId="0" xfId="0" applyAlignment="1" applyBorder="1" applyFill="1" applyFont="1">
      <alignment horizontal="center"/>
    </xf>
    <xf borderId="63" fillId="47" fontId="23" numFmtId="2" xfId="0" applyAlignment="1" applyBorder="1" applyFont="1" applyNumberFormat="1">
      <alignment vertical="center"/>
    </xf>
    <xf borderId="23" fillId="39" fontId="21" numFmtId="0" xfId="0" applyAlignment="1" applyBorder="1" applyFont="1">
      <alignment horizontal="center"/>
    </xf>
    <xf borderId="23" fillId="41" fontId="3" numFmtId="0" xfId="0" applyAlignment="1" applyBorder="1" applyFont="1">
      <alignment horizontal="center"/>
    </xf>
    <xf borderId="63" fillId="48" fontId="23" numFmtId="2" xfId="0" applyAlignment="1" applyBorder="1" applyFont="1" applyNumberFormat="1">
      <alignment horizontal="left" vertical="center"/>
    </xf>
    <xf borderId="23" fillId="42" fontId="21" numFmtId="0" xfId="0" applyAlignment="1" applyBorder="1" applyFont="1">
      <alignment horizontal="center"/>
    </xf>
    <xf borderId="23" fillId="43" fontId="21" numFmtId="0" xfId="0" applyAlignment="1" applyBorder="1" applyFont="1">
      <alignment horizontal="center"/>
    </xf>
    <xf borderId="23" fillId="44" fontId="23" numFmtId="0" xfId="0" applyAlignment="1" applyBorder="1" applyFont="1">
      <alignment horizontal="center"/>
    </xf>
    <xf borderId="63" fillId="48" fontId="26" numFmtId="0" xfId="0" applyAlignment="1" applyBorder="1" applyFont="1">
      <alignment horizontal="center" vertical="center"/>
    </xf>
    <xf borderId="28" fillId="49" fontId="6" numFmtId="0" xfId="0" applyAlignment="1" applyBorder="1" applyFont="1">
      <alignment horizontal="center"/>
    </xf>
    <xf borderId="1" fillId="47" fontId="15" numFmtId="0" xfId="0" applyBorder="1" applyFont="1"/>
    <xf borderId="15" fillId="61" fontId="30" numFmtId="0" xfId="0" applyAlignment="1" applyBorder="1" applyFill="1" applyFont="1">
      <alignment horizontal="center"/>
    </xf>
    <xf borderId="28" fillId="59" fontId="44" numFmtId="0" xfId="0" applyBorder="1" applyFont="1"/>
    <xf borderId="30" fillId="59" fontId="10" numFmtId="2" xfId="0" applyBorder="1" applyFont="1" applyNumberFormat="1"/>
    <xf borderId="30" fillId="35" fontId="30" numFmtId="2" xfId="0" applyAlignment="1" applyBorder="1" applyFont="1" applyNumberFormat="1">
      <alignment readingOrder="0"/>
    </xf>
    <xf borderId="8" fillId="39" fontId="12" numFmtId="0" xfId="0" applyAlignment="1" applyBorder="1" applyFont="1">
      <alignment horizontal="left"/>
    </xf>
    <xf borderId="30" fillId="35" fontId="30" numFmtId="2" xfId="0" applyBorder="1" applyFont="1" applyNumberFormat="1"/>
    <xf borderId="45" fillId="2" fontId="6" numFmtId="0" xfId="0" applyAlignment="1" applyBorder="1" applyFont="1">
      <alignment horizontal="left" vertical="center"/>
    </xf>
    <xf borderId="81" fillId="21" fontId="23" numFmtId="0" xfId="0" applyBorder="1" applyFont="1"/>
    <xf borderId="82" fillId="0" fontId="33" numFmtId="2" xfId="0" applyAlignment="1" applyBorder="1" applyFont="1" applyNumberFormat="1">
      <alignment horizontal="center"/>
    </xf>
    <xf borderId="28" fillId="0" fontId="38" numFmtId="0" xfId="0" applyAlignment="1" applyBorder="1" applyFont="1">
      <alignment horizontal="center" vertical="center"/>
    </xf>
    <xf borderId="28" fillId="2" fontId="6" numFmtId="0" xfId="0" applyBorder="1" applyFont="1"/>
    <xf borderId="28" fillId="12" fontId="15" numFmtId="0" xfId="0" applyAlignment="1" applyBorder="1" applyFont="1">
      <alignment horizontal="right" readingOrder="0"/>
    </xf>
    <xf borderId="28" fillId="27" fontId="44" numFmtId="0" xfId="0" applyBorder="1" applyFont="1"/>
    <xf borderId="30" fillId="27" fontId="10" numFmtId="2" xfId="0" applyBorder="1" applyFont="1" applyNumberFormat="1"/>
    <xf borderId="59" fillId="2" fontId="6" numFmtId="0" xfId="0" applyAlignment="1" applyBorder="1" applyFont="1">
      <alignment horizontal="left" vertical="center"/>
    </xf>
    <xf borderId="83" fillId="62" fontId="3" numFmtId="0" xfId="0" applyBorder="1" applyFill="1" applyFont="1"/>
    <xf borderId="84" fillId="9" fontId="17" numFmtId="2" xfId="0" applyAlignment="1" applyBorder="1" applyFont="1" applyNumberFormat="1">
      <alignment horizontal="center"/>
    </xf>
    <xf borderId="2" fillId="63" fontId="21" numFmtId="0" xfId="0" applyAlignment="1" applyBorder="1" applyFill="1" applyFont="1">
      <alignment horizontal="center" vertical="center"/>
    </xf>
    <xf borderId="3" fillId="64" fontId="23" numFmtId="0" xfId="0" applyAlignment="1" applyBorder="1" applyFill="1" applyFont="1">
      <alignment horizontal="center" vertical="center"/>
    </xf>
    <xf borderId="28" fillId="12" fontId="15" numFmtId="0" xfId="0" applyAlignment="1" applyBorder="1" applyFont="1">
      <alignment readingOrder="0"/>
    </xf>
    <xf borderId="3" fillId="15" fontId="26" numFmtId="0" xfId="0" applyAlignment="1" applyBorder="1" applyFont="1">
      <alignment horizontal="center" vertical="center"/>
    </xf>
    <xf borderId="3" fillId="15" fontId="23" numFmtId="2" xfId="0" applyAlignment="1" applyBorder="1" applyFont="1" applyNumberFormat="1">
      <alignment vertical="center"/>
    </xf>
    <xf borderId="3" fillId="28" fontId="23" numFmtId="2" xfId="0" applyAlignment="1" applyBorder="1" applyFont="1" applyNumberFormat="1">
      <alignment horizontal="left" vertical="center"/>
    </xf>
    <xf borderId="28" fillId="33" fontId="44" numFmtId="0" xfId="0" applyBorder="1" applyFont="1"/>
    <xf borderId="3" fillId="28" fontId="26" numFmtId="0" xfId="0" applyAlignment="1" applyBorder="1" applyFont="1">
      <alignment horizontal="center" vertical="center"/>
    </xf>
    <xf borderId="30" fillId="33" fontId="10" numFmtId="2" xfId="0" applyBorder="1" applyFont="1" applyNumberFormat="1"/>
    <xf borderId="28" fillId="11" fontId="44" numFmtId="0" xfId="0" applyBorder="1" applyFont="1"/>
    <xf borderId="30" fillId="11" fontId="10" numFmtId="2" xfId="0" applyBorder="1" applyFont="1" applyNumberFormat="1"/>
    <xf borderId="55" fillId="63" fontId="21" numFmtId="0" xfId="0" applyAlignment="1" applyBorder="1" applyFont="1">
      <alignment horizontal="center" vertical="center"/>
    </xf>
    <xf borderId="1" fillId="64" fontId="23" numFmtId="0" xfId="0" applyAlignment="1" applyBorder="1" applyFont="1">
      <alignment horizontal="center" vertical="center"/>
    </xf>
    <xf borderId="1" fillId="15" fontId="26" numFmtId="0" xfId="0" applyAlignment="1" applyBorder="1" applyFont="1">
      <alignment horizontal="center" vertical="center"/>
    </xf>
    <xf borderId="1" fillId="15" fontId="23" numFmtId="2" xfId="0" applyAlignment="1" applyBorder="1" applyFont="1" applyNumberFormat="1">
      <alignment vertical="center"/>
    </xf>
    <xf borderId="1" fillId="28" fontId="23" numFmtId="2" xfId="0" applyAlignment="1" applyBorder="1" applyFont="1" applyNumberFormat="1">
      <alignment horizontal="left" vertical="center"/>
    </xf>
    <xf borderId="1" fillId="28" fontId="26" numFmtId="0" xfId="0" applyAlignment="1" applyBorder="1" applyFont="1">
      <alignment horizontal="center" vertical="center"/>
    </xf>
    <xf borderId="1" fillId="65" fontId="15" numFmtId="0" xfId="0" applyBorder="1" applyFill="1" applyFont="1"/>
    <xf borderId="28" fillId="63" fontId="45" numFmtId="0" xfId="0" applyAlignment="1" applyBorder="1" applyFont="1">
      <alignment readingOrder="0"/>
    </xf>
    <xf borderId="28" fillId="60" fontId="44" numFmtId="0" xfId="0" applyBorder="1" applyFont="1"/>
    <xf borderId="30" fillId="60" fontId="10" numFmtId="2" xfId="0" applyBorder="1" applyFont="1" applyNumberFormat="1"/>
    <xf borderId="28" fillId="39" fontId="44" numFmtId="0" xfId="0" applyBorder="1" applyFont="1"/>
    <xf borderId="30" fillId="39" fontId="10" numFmtId="2" xfId="0" applyBorder="1" applyFont="1" applyNumberFormat="1"/>
    <xf borderId="1" fillId="2" fontId="6" numFmtId="0" xfId="0" applyBorder="1" applyFont="1"/>
    <xf borderId="28" fillId="41" fontId="44" numFmtId="0" xfId="0" applyBorder="1" applyFont="1"/>
    <xf borderId="30" fillId="41" fontId="10" numFmtId="2" xfId="0" applyBorder="1" applyFont="1" applyNumberFormat="1"/>
    <xf borderId="28" fillId="0" fontId="15" numFmtId="1" xfId="0" applyBorder="1" applyFont="1" applyNumberFormat="1"/>
    <xf borderId="8" fillId="41" fontId="21" numFmtId="0" xfId="0" applyAlignment="1" applyBorder="1" applyFont="1">
      <alignment horizontal="left" vertical="center"/>
    </xf>
    <xf borderId="28" fillId="42" fontId="44" numFmtId="0" xfId="0" applyBorder="1" applyFont="1"/>
    <xf borderId="30" fillId="42" fontId="10" numFmtId="2" xfId="0" applyBorder="1" applyFont="1" applyNumberFormat="1"/>
    <xf borderId="62" fillId="63" fontId="21" numFmtId="0" xfId="0" applyAlignment="1" applyBorder="1" applyFont="1">
      <alignment horizontal="center" vertical="center"/>
    </xf>
    <xf borderId="63" fillId="64" fontId="23" numFmtId="0" xfId="0" applyAlignment="1" applyBorder="1" applyFont="1">
      <alignment horizontal="center" vertical="center"/>
    </xf>
    <xf borderId="63" fillId="15" fontId="26" numFmtId="0" xfId="0" applyAlignment="1" applyBorder="1" applyFont="1">
      <alignment horizontal="center" vertical="center"/>
    </xf>
    <xf borderId="63" fillId="15" fontId="23" numFmtId="2" xfId="0" applyAlignment="1" applyBorder="1" applyFont="1" applyNumberFormat="1">
      <alignment vertical="center"/>
    </xf>
    <xf borderId="63" fillId="28" fontId="23" numFmtId="2" xfId="0" applyAlignment="1" applyBorder="1" applyFont="1" applyNumberFormat="1">
      <alignment horizontal="left" vertical="center"/>
    </xf>
    <xf borderId="63" fillId="28" fontId="26" numFmtId="0" xfId="0" applyAlignment="1" applyBorder="1" applyFont="1">
      <alignment horizontal="center" vertical="center"/>
    </xf>
    <xf borderId="28" fillId="43" fontId="44" numFmtId="0" xfId="0" applyBorder="1" applyFont="1"/>
    <xf borderId="30" fillId="43" fontId="10" numFmtId="2" xfId="0" applyBorder="1" applyFont="1" applyNumberFormat="1"/>
    <xf borderId="2" fillId="66" fontId="21" numFmtId="0" xfId="0" applyAlignment="1" applyBorder="1" applyFill="1" applyFont="1">
      <alignment horizontal="center" vertical="center"/>
    </xf>
    <xf borderId="3" fillId="67" fontId="23" numFmtId="0" xfId="0" applyAlignment="1" applyBorder="1" applyFill="1" applyFont="1">
      <alignment horizontal="center" vertical="center"/>
    </xf>
    <xf borderId="3" fillId="35" fontId="24" numFmtId="0" xfId="0" applyAlignment="1" applyBorder="1" applyFont="1">
      <alignment horizontal="center" vertical="center"/>
    </xf>
    <xf borderId="3" fillId="35" fontId="26" numFmtId="0" xfId="0" applyAlignment="1" applyBorder="1" applyFont="1">
      <alignment horizontal="center" vertical="center"/>
    </xf>
    <xf borderId="3" fillId="35" fontId="23" numFmtId="2" xfId="0" applyAlignment="1" applyBorder="1" applyFont="1" applyNumberFormat="1">
      <alignment vertical="center"/>
    </xf>
    <xf borderId="3" fillId="68" fontId="23" numFmtId="2" xfId="0" applyAlignment="1" applyBorder="1" applyFill="1" applyFont="1" applyNumberFormat="1">
      <alignment horizontal="left" vertical="center"/>
    </xf>
    <xf borderId="3" fillId="68" fontId="26" numFmtId="0" xfId="0" applyAlignment="1" applyBorder="1" applyFont="1">
      <alignment horizontal="center" vertical="center"/>
    </xf>
    <xf borderId="1" fillId="46" fontId="15" numFmtId="0" xfId="0" applyBorder="1" applyFont="1"/>
    <xf borderId="85" fillId="16" fontId="15" numFmtId="0" xfId="0" applyAlignment="1" applyBorder="1" applyFont="1">
      <alignment readingOrder="0"/>
    </xf>
    <xf borderId="59" fillId="61" fontId="30" numFmtId="0" xfId="0" applyAlignment="1" applyBorder="1" applyFont="1">
      <alignment horizontal="center"/>
    </xf>
    <xf borderId="60" fillId="44" fontId="46" numFmtId="0" xfId="0" applyBorder="1" applyFont="1"/>
    <xf borderId="61" fillId="44" fontId="30" numFmtId="2" xfId="0" applyBorder="1" applyFont="1" applyNumberFormat="1"/>
    <xf borderId="55" fillId="66" fontId="21" numFmtId="0" xfId="0" applyAlignment="1" applyBorder="1" applyFont="1">
      <alignment horizontal="center" vertical="center"/>
    </xf>
    <xf borderId="1" fillId="67" fontId="23" numFmtId="0" xfId="0" applyAlignment="1" applyBorder="1" applyFont="1">
      <alignment horizontal="center" vertical="center"/>
    </xf>
    <xf borderId="1" fillId="35" fontId="24" numFmtId="0" xfId="0" applyAlignment="1" applyBorder="1" applyFont="1">
      <alignment horizontal="center" vertical="center"/>
    </xf>
    <xf borderId="1" fillId="35" fontId="26" numFmtId="0" xfId="0" applyAlignment="1" applyBorder="1" applyFont="1">
      <alignment horizontal="center" vertical="center"/>
    </xf>
    <xf borderId="1" fillId="35" fontId="23" numFmtId="2" xfId="0" applyAlignment="1" applyBorder="1" applyFont="1" applyNumberFormat="1">
      <alignment vertical="center"/>
    </xf>
    <xf borderId="1" fillId="68" fontId="23" numFmtId="2" xfId="0" applyAlignment="1" applyBorder="1" applyFont="1" applyNumberFormat="1">
      <alignment horizontal="left" vertical="center"/>
    </xf>
    <xf borderId="1" fillId="68" fontId="26" numFmtId="0" xfId="0" applyAlignment="1" applyBorder="1" applyFont="1">
      <alignment horizontal="center" vertical="center"/>
    </xf>
    <xf borderId="47" fillId="0" fontId="15" numFmtId="164" xfId="0" applyBorder="1" applyFont="1" applyNumberFormat="1"/>
    <xf borderId="0" fillId="3" fontId="47" numFmtId="0" xfId="0" applyAlignment="1" applyFont="1">
      <alignment readingOrder="0"/>
    </xf>
    <xf borderId="0" fillId="3" fontId="47" numFmtId="0" xfId="0" applyFont="1"/>
    <xf borderId="0" fillId="3" fontId="28" numFmtId="0" xfId="0" applyAlignment="1" applyFont="1">
      <alignment readingOrder="0"/>
    </xf>
    <xf borderId="28" fillId="0" fontId="1" numFmtId="0" xfId="0" applyBorder="1" applyFont="1"/>
    <xf borderId="8" fillId="42" fontId="12" numFmtId="0" xfId="0" applyAlignment="1" applyBorder="1" applyFont="1">
      <alignment horizontal="left"/>
    </xf>
    <xf borderId="0" fillId="50" fontId="48" numFmtId="0" xfId="0" applyAlignment="1" applyFont="1">
      <alignment readingOrder="0" vertical="center"/>
    </xf>
    <xf borderId="0" fillId="50" fontId="48" numFmtId="0" xfId="0" applyAlignment="1" applyFont="1">
      <alignment vertical="center"/>
    </xf>
    <xf borderId="0" fillId="50" fontId="48" numFmtId="2" xfId="0" applyAlignment="1" applyFont="1" applyNumberFormat="1">
      <alignment vertical="center"/>
    </xf>
    <xf borderId="62" fillId="66" fontId="21" numFmtId="0" xfId="0" applyAlignment="1" applyBorder="1" applyFont="1">
      <alignment horizontal="center" vertical="center"/>
    </xf>
    <xf borderId="63" fillId="67" fontId="23" numFmtId="0" xfId="0" applyAlignment="1" applyBorder="1" applyFont="1">
      <alignment horizontal="center" vertical="center"/>
    </xf>
    <xf borderId="63" fillId="35" fontId="24" numFmtId="0" xfId="0" applyAlignment="1" applyBorder="1" applyFont="1">
      <alignment horizontal="center" vertical="center"/>
    </xf>
    <xf borderId="0" fillId="54" fontId="48" numFmtId="0" xfId="0" applyAlignment="1" applyFont="1">
      <alignment readingOrder="0" vertical="center"/>
    </xf>
    <xf borderId="0" fillId="54" fontId="48" numFmtId="0" xfId="0" applyAlignment="1" applyFont="1">
      <alignment vertical="center"/>
    </xf>
    <xf borderId="0" fillId="54" fontId="48" numFmtId="2" xfId="0" applyAlignment="1" applyFont="1" applyNumberFormat="1">
      <alignment vertical="center"/>
    </xf>
    <xf borderId="63" fillId="35" fontId="26" numFmtId="0" xfId="0" applyAlignment="1" applyBorder="1" applyFont="1">
      <alignment horizontal="center" vertical="center"/>
    </xf>
    <xf borderId="63" fillId="35" fontId="23" numFmtId="2" xfId="0" applyAlignment="1" applyBorder="1" applyFont="1" applyNumberFormat="1">
      <alignment vertical="center"/>
    </xf>
    <xf borderId="63" fillId="68" fontId="23" numFmtId="2" xfId="0" applyAlignment="1" applyBorder="1" applyFont="1" applyNumberFormat="1">
      <alignment horizontal="left" vertical="center"/>
    </xf>
    <xf borderId="63" fillId="68" fontId="26" numFmtId="0" xfId="0" applyAlignment="1" applyBorder="1" applyFont="1">
      <alignment horizontal="center" vertical="center"/>
    </xf>
    <xf borderId="0" fillId="55" fontId="48" numFmtId="0" xfId="0" applyAlignment="1" applyFont="1">
      <alignment readingOrder="0" vertical="center"/>
    </xf>
    <xf borderId="0" fillId="55" fontId="48" numFmtId="0" xfId="0" applyAlignment="1" applyFont="1">
      <alignment vertical="center"/>
    </xf>
    <xf borderId="0" fillId="55" fontId="48" numFmtId="2" xfId="0" applyAlignment="1" applyFont="1" applyNumberFormat="1">
      <alignment vertical="center"/>
    </xf>
    <xf borderId="86" fillId="2" fontId="6" numFmtId="0" xfId="0" applyAlignment="1" applyBorder="1" applyFont="1">
      <alignment horizontal="left" vertical="center"/>
    </xf>
    <xf borderId="87" fillId="62" fontId="3" numFmtId="0" xfId="0" applyBorder="1" applyFont="1"/>
    <xf borderId="88" fillId="9" fontId="17" numFmtId="2" xfId="0" applyAlignment="1" applyBorder="1" applyFont="1" applyNumberFormat="1">
      <alignment horizontal="center"/>
    </xf>
    <xf borderId="0" fillId="3" fontId="47" numFmtId="0" xfId="0" applyAlignment="1" applyFont="1">
      <alignment readingOrder="0" vertical="center"/>
    </xf>
    <xf borderId="0" fillId="0" fontId="48" numFmtId="0" xfId="0" applyAlignment="1" applyFont="1">
      <alignment vertical="center"/>
    </xf>
    <xf borderId="0" fillId="0" fontId="48" numFmtId="2" xfId="0" applyAlignment="1" applyFont="1" applyNumberFormat="1">
      <alignment vertical="center"/>
    </xf>
    <xf borderId="2" fillId="69" fontId="21" numFmtId="0" xfId="0" applyAlignment="1" applyBorder="1" applyFill="1" applyFont="1">
      <alignment horizontal="center" vertical="center"/>
    </xf>
    <xf borderId="3" fillId="70" fontId="23" numFmtId="0" xfId="0" applyAlignment="1" applyBorder="1" applyFill="1" applyFont="1">
      <alignment horizontal="center" vertical="center"/>
    </xf>
    <xf borderId="3" fillId="36" fontId="24" numFmtId="0" xfId="0" applyAlignment="1" applyBorder="1" applyFont="1">
      <alignment horizontal="center" vertical="center"/>
    </xf>
    <xf borderId="1" fillId="21" fontId="15" numFmtId="0" xfId="0" applyBorder="1" applyFont="1"/>
    <xf borderId="3" fillId="36" fontId="26" numFmtId="0" xfId="0" applyAlignment="1" applyBorder="1" applyFont="1">
      <alignment horizontal="center" vertical="center"/>
    </xf>
    <xf borderId="3" fillId="36" fontId="23" numFmtId="2" xfId="0" applyAlignment="1" applyBorder="1" applyFont="1" applyNumberFormat="1">
      <alignment vertical="center"/>
    </xf>
    <xf borderId="3" fillId="71" fontId="23" numFmtId="2" xfId="0" applyAlignment="1" applyBorder="1" applyFill="1" applyFont="1" applyNumberFormat="1">
      <alignment horizontal="left" vertical="center"/>
    </xf>
    <xf borderId="15" fillId="2" fontId="6" numFmtId="0" xfId="0" applyAlignment="1" applyBorder="1" applyFont="1">
      <alignment horizontal="left" vertical="center"/>
    </xf>
    <xf borderId="3" fillId="71" fontId="26" numFmtId="0" xfId="0" applyAlignment="1" applyBorder="1" applyFont="1">
      <alignment horizontal="center" vertical="center"/>
    </xf>
    <xf borderId="89" fillId="62" fontId="3" numFmtId="0" xfId="0" applyBorder="1" applyFont="1"/>
    <xf borderId="90" fillId="9" fontId="17" numFmtId="2" xfId="0" applyAlignment="1" applyBorder="1" applyFont="1" applyNumberFormat="1">
      <alignment horizontal="center"/>
    </xf>
    <xf borderId="60" fillId="0" fontId="15" numFmtId="2" xfId="0" applyAlignment="1" applyBorder="1" applyFont="1" applyNumberFormat="1">
      <alignment readingOrder="0"/>
    </xf>
    <xf borderId="83" fillId="18" fontId="21" numFmtId="0" xfId="0" applyBorder="1" applyFont="1"/>
    <xf borderId="84" fillId="0" fontId="33" numFmtId="2" xfId="0" applyAlignment="1" applyBorder="1" applyFont="1" applyNumberFormat="1">
      <alignment horizontal="center"/>
    </xf>
    <xf borderId="55" fillId="69" fontId="21" numFmtId="0" xfId="0" applyAlignment="1" applyBorder="1" applyFont="1">
      <alignment horizontal="center" vertical="center"/>
    </xf>
    <xf borderId="1" fillId="70" fontId="23" numFmtId="0" xfId="0" applyAlignment="1" applyBorder="1" applyFont="1">
      <alignment horizontal="center" vertical="center"/>
    </xf>
    <xf borderId="1" fillId="36" fontId="24" numFmtId="0" xfId="0" applyAlignment="1" applyBorder="1" applyFont="1">
      <alignment horizontal="center" vertical="center"/>
    </xf>
    <xf borderId="87" fillId="21" fontId="23" numFmtId="0" xfId="0" applyBorder="1" applyFont="1"/>
    <xf borderId="88" fillId="0" fontId="33" numFmtId="2" xfId="0" applyAlignment="1" applyBorder="1" applyFont="1" applyNumberFormat="1">
      <alignment horizontal="center"/>
    </xf>
    <xf borderId="1" fillId="36" fontId="26" numFmtId="0" xfId="0" applyAlignment="1" applyBorder="1" applyFont="1">
      <alignment horizontal="center" vertical="center"/>
    </xf>
    <xf borderId="1" fillId="36" fontId="23" numFmtId="2" xfId="0" applyAlignment="1" applyBorder="1" applyFont="1" applyNumberFormat="1">
      <alignment vertical="center"/>
    </xf>
    <xf borderId="1" fillId="71" fontId="23" numFmtId="2" xfId="0" applyAlignment="1" applyBorder="1" applyFont="1" applyNumberFormat="1">
      <alignment horizontal="left" vertical="center"/>
    </xf>
    <xf borderId="1" fillId="71" fontId="26" numFmtId="0" xfId="0" applyAlignment="1" applyBorder="1" applyFont="1">
      <alignment horizontal="center" vertical="center"/>
    </xf>
    <xf borderId="0" fillId="0" fontId="15" numFmtId="0" xfId="0" applyAlignment="1" applyFont="1">
      <alignment horizontal="left"/>
    </xf>
    <xf borderId="67" fillId="49" fontId="21" numFmtId="0" xfId="0" applyAlignment="1" applyBorder="1" applyFont="1">
      <alignment horizontal="center"/>
    </xf>
    <xf borderId="91" fillId="0" fontId="11" numFmtId="0" xfId="0" applyBorder="1" applyFont="1"/>
    <xf borderId="23" fillId="49" fontId="21" numFmtId="0" xfId="0" applyAlignment="1" applyBorder="1" applyFont="1">
      <alignment horizontal="center"/>
    </xf>
    <xf borderId="23" fillId="49" fontId="3" numFmtId="0" xfId="0" applyAlignment="1" applyBorder="1" applyFont="1">
      <alignment horizontal="center"/>
    </xf>
    <xf borderId="11" fillId="2" fontId="6" numFmtId="0" xfId="0" applyAlignment="1" applyBorder="1" applyFont="1">
      <alignment horizontal="left" vertical="center"/>
    </xf>
    <xf borderId="82" fillId="0" fontId="33" numFmtId="1" xfId="0" applyAlignment="1" applyBorder="1" applyFont="1" applyNumberFormat="1">
      <alignment horizontal="center"/>
    </xf>
    <xf borderId="1" fillId="20" fontId="15" numFmtId="0" xfId="0" applyBorder="1" applyFont="1"/>
    <xf borderId="8" fillId="43" fontId="12" numFmtId="0" xfId="0" applyAlignment="1" applyBorder="1" applyFont="1">
      <alignment horizontal="left"/>
    </xf>
    <xf borderId="62" fillId="69" fontId="21" numFmtId="0" xfId="0" applyAlignment="1" applyBorder="1" applyFont="1">
      <alignment horizontal="center" vertical="center"/>
    </xf>
    <xf borderId="63" fillId="70" fontId="23" numFmtId="0" xfId="0" applyAlignment="1" applyBorder="1" applyFont="1">
      <alignment horizontal="center" vertical="center"/>
    </xf>
    <xf borderId="63" fillId="36" fontId="24" numFmtId="0" xfId="0" applyAlignment="1" applyBorder="1" applyFont="1">
      <alignment horizontal="center" vertical="center"/>
    </xf>
    <xf borderId="63" fillId="36" fontId="26" numFmtId="0" xfId="0" applyAlignment="1" applyBorder="1" applyFont="1">
      <alignment horizontal="center" vertical="center"/>
    </xf>
    <xf borderId="63" fillId="36" fontId="23" numFmtId="2" xfId="0" applyAlignment="1" applyBorder="1" applyFont="1" applyNumberFormat="1">
      <alignment vertical="center"/>
    </xf>
    <xf borderId="63" fillId="71" fontId="23" numFmtId="2" xfId="0" applyAlignment="1" applyBorder="1" applyFont="1" applyNumberFormat="1">
      <alignment horizontal="left" vertical="center"/>
    </xf>
    <xf borderId="63" fillId="71" fontId="26" numFmtId="0" xfId="0" applyAlignment="1" applyBorder="1" applyFont="1">
      <alignment horizontal="center" vertical="center"/>
    </xf>
    <xf borderId="87" fillId="47" fontId="23" numFmtId="0" xfId="0" applyBorder="1" applyFont="1"/>
    <xf borderId="82" fillId="2" fontId="33" numFmtId="1" xfId="0" applyAlignment="1" applyBorder="1" applyFont="1" applyNumberFormat="1">
      <alignment horizontal="center"/>
    </xf>
    <xf borderId="8" fillId="44" fontId="49" numFmtId="0" xfId="0" applyAlignment="1" applyBorder="1" applyFont="1">
      <alignment horizontal="left"/>
    </xf>
    <xf borderId="92" fillId="47" fontId="23" numFmtId="0" xfId="0" applyBorder="1" applyFont="1"/>
    <xf borderId="34" fillId="0" fontId="33" numFmtId="1" xfId="0" applyAlignment="1" applyBorder="1" applyFont="1" applyNumberFormat="1">
      <alignment horizontal="center"/>
    </xf>
    <xf borderId="88" fillId="0" fontId="33" numFmtId="1" xfId="0" applyAlignment="1" applyBorder="1" applyFont="1" applyNumberFormat="1">
      <alignment horizontal="center"/>
    </xf>
    <xf borderId="93" fillId="14" fontId="10" numFmtId="0" xfId="0" applyAlignment="1" applyBorder="1" applyFont="1">
      <alignment horizontal="center" vertical="center"/>
    </xf>
    <xf borderId="94" fillId="0" fontId="11" numFmtId="0" xfId="0" applyBorder="1" applyFont="1"/>
    <xf borderId="95" fillId="0" fontId="11" numFmtId="0" xfId="0" applyBorder="1" applyFont="1"/>
    <xf borderId="15" fillId="2" fontId="6" numFmtId="0" xfId="0" applyAlignment="1" applyBorder="1" applyFont="1">
      <alignment horizontal="center" shrinkToFit="0" vertical="center" wrapText="1"/>
    </xf>
    <xf borderId="30" fillId="2" fontId="6" numFmtId="0" xfId="0" applyAlignment="1" applyBorder="1" applyFont="1">
      <alignment horizontal="center" shrinkToFit="0" vertical="center" wrapText="1"/>
    </xf>
    <xf borderId="96" fillId="2" fontId="6" numFmtId="0" xfId="0" applyAlignment="1" applyBorder="1" applyFont="1">
      <alignment horizontal="center" shrinkToFit="0" vertical="center" wrapText="1"/>
    </xf>
    <xf borderId="88" fillId="0" fontId="33" numFmtId="1" xfId="0" applyAlignment="1" applyBorder="1" applyFont="1" applyNumberFormat="1">
      <alignment horizontal="center" readingOrder="0"/>
    </xf>
    <xf borderId="8" fillId="60" fontId="12" numFmtId="0" xfId="0" applyAlignment="1" applyBorder="1" applyFont="1">
      <alignment horizontal="left"/>
    </xf>
    <xf borderId="86" fillId="2" fontId="50" numFmtId="0" xfId="0" applyAlignment="1" applyBorder="1" applyFont="1">
      <alignment horizontal="left" readingOrder="0" vertical="center"/>
    </xf>
    <xf borderId="88" fillId="0" fontId="33" numFmtId="1" xfId="0" applyAlignment="1" applyBorder="1" applyFont="1" applyNumberFormat="1">
      <alignment horizontal="center" vertical="bottom"/>
    </xf>
    <xf borderId="93" fillId="72" fontId="51" numFmtId="0" xfId="0" applyAlignment="1" applyBorder="1" applyFill="1" applyFont="1">
      <alignment horizontal="center" vertical="center"/>
    </xf>
    <xf borderId="97" fillId="24" fontId="32" numFmtId="0" xfId="0" applyAlignment="1" applyBorder="1" applyFont="1">
      <alignment horizontal="center" vertical="center"/>
    </xf>
    <xf borderId="98" fillId="0" fontId="11" numFmtId="0" xfId="0" applyBorder="1" applyFont="1"/>
    <xf borderId="99" fillId="0" fontId="11" numFmtId="0" xfId="0" applyBorder="1" applyFont="1"/>
    <xf borderId="46" fillId="2" fontId="15" numFmtId="0" xfId="0" applyAlignment="1" applyBorder="1" applyFont="1">
      <alignment horizontal="center" vertical="center"/>
    </xf>
    <xf borderId="100" fillId="2" fontId="15" numFmtId="0" xfId="0" applyAlignment="1" applyBorder="1" applyFont="1">
      <alignment horizontal="center" vertical="center"/>
    </xf>
    <xf borderId="23" fillId="5" fontId="12" numFmtId="0" xfId="0" applyAlignment="1" applyBorder="1" applyFont="1">
      <alignment horizontal="center" vertical="center"/>
    </xf>
    <xf borderId="23" fillId="27" fontId="12" numFmtId="0" xfId="0" applyAlignment="1" applyBorder="1" applyFont="1">
      <alignment horizontal="center" vertical="center"/>
    </xf>
    <xf borderId="23" fillId="33" fontId="12" numFmtId="0" xfId="0" applyAlignment="1" applyBorder="1" applyFont="1">
      <alignment horizontal="center" vertical="center"/>
    </xf>
    <xf borderId="23" fillId="11" fontId="12" numFmtId="0" xfId="0" applyAlignment="1" applyBorder="1" applyFont="1">
      <alignment horizontal="center" vertical="center"/>
    </xf>
    <xf borderId="23" fillId="60" fontId="12" numFmtId="0" xfId="0" applyAlignment="1" applyBorder="1" applyFont="1">
      <alignment horizontal="center" vertical="center"/>
    </xf>
    <xf borderId="88" fillId="73" fontId="33" numFmtId="1" xfId="0" applyAlignment="1" applyBorder="1" applyFill="1" applyFont="1" applyNumberFormat="1">
      <alignment horizontal="center" vertical="bottom"/>
    </xf>
    <xf borderId="23" fillId="39" fontId="12" numFmtId="0" xfId="0" applyAlignment="1" applyBorder="1" applyFont="1">
      <alignment horizontal="center" vertical="center"/>
    </xf>
    <xf borderId="23" fillId="41" fontId="3" numFmtId="0" xfId="0" applyAlignment="1" applyBorder="1" applyFont="1">
      <alignment horizontal="center" vertical="center"/>
    </xf>
    <xf borderId="23" fillId="42" fontId="12" numFmtId="0" xfId="0" applyAlignment="1" applyBorder="1" applyFont="1">
      <alignment horizontal="center" vertical="center"/>
    </xf>
    <xf borderId="23" fillId="43" fontId="12" numFmtId="0" xfId="0" applyAlignment="1" applyBorder="1" applyFont="1">
      <alignment horizontal="center" vertical="center"/>
    </xf>
    <xf borderId="23" fillId="44" fontId="49" numFmtId="0" xfId="0" applyAlignment="1" applyBorder="1" applyFont="1">
      <alignment horizontal="center" vertical="center"/>
    </xf>
    <xf borderId="0" fillId="0" fontId="15" numFmtId="0" xfId="0" applyAlignment="1" applyFont="1">
      <alignment vertical="bottom"/>
    </xf>
    <xf borderId="1" fillId="2" fontId="15" numFmtId="0" xfId="0" applyAlignment="1" applyBorder="1" applyFont="1">
      <alignment horizontal="center" vertical="center"/>
    </xf>
    <xf borderId="2" fillId="9" fontId="52" numFmtId="0" xfId="0" applyAlignment="1" applyBorder="1" applyFont="1">
      <alignment horizontal="center" vertical="center"/>
    </xf>
    <xf borderId="11" fillId="2" fontId="53" numFmtId="0" xfId="0" applyAlignment="1" applyBorder="1" applyFont="1">
      <alignment horizontal="center" vertical="center"/>
    </xf>
    <xf borderId="101" fillId="0" fontId="54" numFmtId="2" xfId="0" applyAlignment="1" applyBorder="1" applyFont="1" applyNumberFormat="1">
      <alignment vertical="center"/>
    </xf>
    <xf borderId="102" fillId="74" fontId="33" numFmtId="0" xfId="0" applyAlignment="1" applyBorder="1" applyFill="1" applyFont="1">
      <alignment horizontal="center" vertical="center"/>
    </xf>
    <xf borderId="81" fillId="75" fontId="15" numFmtId="0" xfId="0" applyAlignment="1" applyBorder="1" applyFill="1" applyFont="1">
      <alignment vertical="center"/>
    </xf>
    <xf borderId="82" fillId="16" fontId="33" numFmtId="2" xfId="0" applyAlignment="1" applyBorder="1" applyFont="1" applyNumberFormat="1">
      <alignment horizontal="center" vertical="center"/>
    </xf>
    <xf borderId="103" fillId="74" fontId="33" numFmtId="0" xfId="0" applyAlignment="1" applyBorder="1" applyFont="1">
      <alignment horizontal="center" vertical="center"/>
    </xf>
    <xf borderId="0" fillId="0" fontId="33" numFmtId="0" xfId="0" applyFont="1"/>
    <xf borderId="0" fillId="0" fontId="33" numFmtId="2" xfId="0" applyFont="1" applyNumberFormat="1"/>
    <xf borderId="1" fillId="2" fontId="33" numFmtId="0" xfId="0" applyBorder="1" applyFont="1"/>
    <xf borderId="104" fillId="9" fontId="52" numFmtId="0" xfId="0" applyAlignment="1" applyBorder="1" applyFont="1">
      <alignment horizontal="center" vertical="center"/>
    </xf>
    <xf borderId="105" fillId="5" fontId="55" numFmtId="0" xfId="0" applyAlignment="1" applyBorder="1" applyFont="1">
      <alignment horizontal="center" vertical="center"/>
    </xf>
    <xf borderId="106" fillId="0" fontId="11" numFmtId="0" xfId="0" applyBorder="1" applyFont="1"/>
    <xf borderId="105" fillId="27" fontId="56" numFmtId="0" xfId="0" applyAlignment="1" applyBorder="1" applyFont="1">
      <alignment horizontal="center" vertical="center"/>
    </xf>
    <xf borderId="105" fillId="33" fontId="57" numFmtId="0" xfId="0" applyAlignment="1" applyBorder="1" applyFont="1">
      <alignment horizontal="center" vertical="center"/>
    </xf>
    <xf borderId="105" fillId="11" fontId="58" numFmtId="0" xfId="0" applyAlignment="1" applyBorder="1" applyFont="1">
      <alignment horizontal="center" vertical="center"/>
    </xf>
    <xf borderId="105" fillId="37" fontId="59" numFmtId="0" xfId="0" applyAlignment="1" applyBorder="1" applyFont="1">
      <alignment horizontal="center" vertical="center"/>
    </xf>
    <xf borderId="107" fillId="74" fontId="60" numFmtId="0" xfId="0" applyAlignment="1" applyBorder="1" applyFont="1">
      <alignment horizontal="center" vertical="center"/>
    </xf>
    <xf borderId="0" fillId="0" fontId="33" numFmtId="1" xfId="0" applyFont="1" applyNumberFormat="1"/>
    <xf borderId="108" fillId="0" fontId="11" numFmtId="0" xfId="0" applyBorder="1" applyFont="1"/>
    <xf borderId="83" fillId="2" fontId="16" numFmtId="0" xfId="0" applyAlignment="1" applyBorder="1" applyFont="1">
      <alignment vertical="center"/>
    </xf>
    <xf borderId="84" fillId="75" fontId="33" numFmtId="2" xfId="0" applyAlignment="1" applyBorder="1" applyFont="1" applyNumberFormat="1">
      <alignment horizontal="center" vertical="center"/>
    </xf>
    <xf borderId="109" fillId="0" fontId="11" numFmtId="0" xfId="0" applyBorder="1" applyFont="1"/>
    <xf borderId="110" fillId="5" fontId="52" numFmtId="0" xfId="0" applyAlignment="1" applyBorder="1" applyFont="1">
      <alignment horizontal="center" vertical="center"/>
    </xf>
    <xf borderId="111" fillId="0" fontId="60" numFmtId="2" xfId="0" applyAlignment="1" applyBorder="1" applyFont="1" applyNumberFormat="1">
      <alignment vertical="center"/>
    </xf>
    <xf borderId="110" fillId="27" fontId="52" numFmtId="0" xfId="0" applyAlignment="1" applyBorder="1" applyFont="1">
      <alignment horizontal="center" vertical="center"/>
    </xf>
    <xf borderId="110" fillId="33" fontId="52" numFmtId="0" xfId="0" applyAlignment="1" applyBorder="1" applyFont="1">
      <alignment horizontal="center" vertical="center"/>
    </xf>
    <xf borderId="110" fillId="11" fontId="52" numFmtId="0" xfId="0" applyAlignment="1" applyBorder="1" applyFont="1">
      <alignment horizontal="center" vertical="center"/>
    </xf>
    <xf borderId="110" fillId="37" fontId="52" numFmtId="0" xfId="0" applyAlignment="1" applyBorder="1" applyFont="1">
      <alignment horizontal="center" vertical="center"/>
    </xf>
    <xf borderId="112" fillId="76" fontId="60" numFmtId="0" xfId="0" applyAlignment="1" applyBorder="1" applyFill="1" applyFont="1">
      <alignment horizontal="center" vertical="center"/>
    </xf>
    <xf borderId="0" fillId="0" fontId="1" numFmtId="1" xfId="0" applyFont="1" applyNumberFormat="1"/>
    <xf borderId="102" fillId="76" fontId="33" numFmtId="0" xfId="0" applyAlignment="1" applyBorder="1" applyFont="1">
      <alignment horizontal="center" vertical="center"/>
    </xf>
    <xf borderId="103" fillId="76" fontId="33" numFmtId="0" xfId="0" applyAlignment="1" applyBorder="1" applyFont="1">
      <alignment horizontal="center" vertical="center"/>
    </xf>
    <xf borderId="30" fillId="0" fontId="60" numFmtId="2" xfId="0" applyAlignment="1" applyBorder="1" applyFont="1" applyNumberFormat="1">
      <alignment vertical="center"/>
    </xf>
    <xf borderId="112" fillId="77" fontId="60" numFmtId="0" xfId="0" applyAlignment="1" applyBorder="1" applyFill="1" applyFont="1">
      <alignment horizontal="center" vertical="center"/>
    </xf>
    <xf borderId="112" fillId="78" fontId="60" numFmtId="0" xfId="0" applyAlignment="1" applyBorder="1" applyFill="1" applyFont="1">
      <alignment horizontal="center" vertical="center"/>
    </xf>
    <xf borderId="102" fillId="77" fontId="33" numFmtId="0" xfId="0" applyAlignment="1" applyBorder="1" applyFont="1">
      <alignment horizontal="center" vertical="center"/>
    </xf>
    <xf borderId="103" fillId="77" fontId="33" numFmtId="0" xfId="0" applyAlignment="1" applyBorder="1" applyFont="1">
      <alignment horizontal="center" vertical="center"/>
    </xf>
    <xf borderId="112" fillId="79" fontId="60" numFmtId="0" xfId="0" applyAlignment="1" applyBorder="1" applyFill="1" applyFont="1">
      <alignment horizontal="center" vertical="center"/>
    </xf>
    <xf borderId="112" fillId="80" fontId="60" numFmtId="0" xfId="0" applyAlignment="1" applyBorder="1" applyFill="1" applyFont="1">
      <alignment horizontal="center" vertical="center"/>
    </xf>
    <xf borderId="102" fillId="78" fontId="33" numFmtId="0" xfId="0" applyAlignment="1" applyBorder="1" applyFont="1">
      <alignment horizontal="center" vertical="center"/>
    </xf>
    <xf borderId="103" fillId="78" fontId="33" numFmtId="0" xfId="0" applyAlignment="1" applyBorder="1" applyFont="1">
      <alignment horizontal="center" vertical="center"/>
    </xf>
    <xf borderId="112" fillId="81" fontId="60" numFmtId="0" xfId="0" applyAlignment="1" applyBorder="1" applyFill="1" applyFont="1">
      <alignment horizontal="center" vertical="center"/>
    </xf>
    <xf borderId="1" fillId="2" fontId="16" numFmtId="0" xfId="0" applyBorder="1" applyFont="1"/>
    <xf borderId="55" fillId="5" fontId="61" numFmtId="0" xfId="0" applyAlignment="1" applyBorder="1" applyFont="1">
      <alignment vertical="center"/>
    </xf>
    <xf borderId="1" fillId="74" fontId="15" numFmtId="0" xfId="0" applyBorder="1" applyFont="1"/>
    <xf borderId="2" fillId="82" fontId="21" numFmtId="0" xfId="0" applyAlignment="1" applyBorder="1" applyFill="1" applyFont="1">
      <alignment horizontal="center" vertical="center"/>
    </xf>
    <xf borderId="1" fillId="75" fontId="15" numFmtId="0" xfId="0" applyBorder="1" applyFont="1"/>
    <xf borderId="104" fillId="25" fontId="15" numFmtId="0" xfId="0" applyBorder="1" applyFont="1"/>
    <xf borderId="113" fillId="25" fontId="15" numFmtId="0" xfId="0" applyBorder="1" applyFont="1"/>
    <xf borderId="114" fillId="25" fontId="15" numFmtId="0" xfId="0" applyBorder="1" applyFont="1"/>
    <xf borderId="45" fillId="2" fontId="16" numFmtId="0" xfId="0" applyAlignment="1" applyBorder="1" applyFont="1">
      <alignment horizontal="center"/>
    </xf>
    <xf borderId="48" fillId="2" fontId="16" numFmtId="0" xfId="0" applyBorder="1" applyFont="1"/>
    <xf borderId="54" fillId="2" fontId="16" numFmtId="0" xfId="0" applyBorder="1" applyFont="1"/>
    <xf borderId="1" fillId="83" fontId="15" numFmtId="0" xfId="0" applyBorder="1" applyFill="1" applyFont="1"/>
    <xf borderId="28" fillId="43" fontId="46" numFmtId="0" xfId="0" applyBorder="1" applyFont="1"/>
    <xf borderId="30" fillId="43" fontId="30" numFmtId="2" xfId="0" applyBorder="1" applyFont="1" applyNumberFormat="1"/>
    <xf borderId="2" fillId="84" fontId="60" numFmtId="0" xfId="0" applyAlignment="1" applyBorder="1" applyFill="1" applyFont="1">
      <alignment horizontal="center" vertical="center"/>
    </xf>
    <xf borderId="45" fillId="85" fontId="15" numFmtId="0" xfId="0" applyBorder="1" applyFill="1" applyFont="1"/>
    <xf borderId="48" fillId="25" fontId="15" numFmtId="2" xfId="0" applyBorder="1" applyFont="1" applyNumberFormat="1"/>
    <xf borderId="102" fillId="79" fontId="33" numFmtId="0" xfId="0" applyAlignment="1" applyBorder="1" applyFont="1">
      <alignment horizontal="center" vertical="center"/>
    </xf>
    <xf borderId="54" fillId="35" fontId="15" numFmtId="0" xfId="0" applyBorder="1" applyFont="1"/>
    <xf borderId="55" fillId="82" fontId="21" numFmtId="0" xfId="0" applyAlignment="1" applyBorder="1" applyFont="1">
      <alignment horizontal="center" vertical="center"/>
    </xf>
    <xf borderId="103" fillId="79" fontId="33" numFmtId="0" xfId="0" applyAlignment="1" applyBorder="1" applyFont="1">
      <alignment horizontal="center" vertical="center"/>
    </xf>
    <xf borderId="61" fillId="35" fontId="30" numFmtId="2" xfId="0" applyBorder="1" applyFont="1" applyNumberFormat="1"/>
    <xf borderId="2" fillId="25" fontId="60" numFmtId="0" xfId="0" applyAlignment="1" applyBorder="1" applyFont="1">
      <alignment horizontal="center" vertical="center"/>
    </xf>
    <xf borderId="15" fillId="36" fontId="15" numFmtId="0" xfId="0" applyAlignment="1" applyBorder="1" applyFont="1">
      <alignment horizontal="center" vertical="center"/>
    </xf>
    <xf borderId="115" fillId="5" fontId="52" numFmtId="0" xfId="0" applyAlignment="1" applyBorder="1" applyFont="1">
      <alignment horizontal="center" vertical="center"/>
    </xf>
    <xf borderId="115" fillId="27" fontId="52" numFmtId="0" xfId="0" applyAlignment="1" applyBorder="1" applyFont="1">
      <alignment horizontal="center" vertical="center"/>
    </xf>
    <xf borderId="115" fillId="33" fontId="52" numFmtId="0" xfId="0" applyAlignment="1" applyBorder="1" applyFont="1">
      <alignment horizontal="center" vertical="center"/>
    </xf>
    <xf borderId="115" fillId="11" fontId="52" numFmtId="0" xfId="0" applyAlignment="1" applyBorder="1" applyFont="1">
      <alignment horizontal="center" vertical="center"/>
    </xf>
    <xf borderId="115" fillId="37" fontId="52" numFmtId="0" xfId="0" applyAlignment="1" applyBorder="1" applyFont="1">
      <alignment horizontal="center" vertical="center"/>
    </xf>
    <xf borderId="62" fillId="25" fontId="60" numFmtId="0" xfId="0" applyAlignment="1" applyBorder="1" applyFont="1">
      <alignment horizontal="center" vertical="center"/>
    </xf>
    <xf borderId="102" fillId="80" fontId="33" numFmtId="0" xfId="0" applyAlignment="1" applyBorder="1" applyFont="1">
      <alignment horizontal="center" vertical="center"/>
    </xf>
    <xf borderId="103" fillId="80" fontId="33" numFmtId="0" xfId="0" applyAlignment="1" applyBorder="1" applyFont="1">
      <alignment horizontal="center" vertical="center"/>
    </xf>
    <xf borderId="61" fillId="0" fontId="60" numFmtId="2" xfId="0" applyAlignment="1" applyBorder="1" applyFont="1" applyNumberFormat="1">
      <alignment vertical="center"/>
    </xf>
    <xf borderId="1" fillId="2" fontId="33" numFmtId="0" xfId="0" applyAlignment="1" applyBorder="1" applyFont="1">
      <alignment vertical="center"/>
    </xf>
    <xf borderId="102" fillId="81" fontId="33" numFmtId="0" xfId="0" applyAlignment="1" applyBorder="1" applyFont="1">
      <alignment horizontal="center" vertical="center"/>
    </xf>
    <xf borderId="103" fillId="81" fontId="33" numFmtId="0" xfId="0" applyAlignment="1" applyBorder="1" applyFont="1">
      <alignment horizontal="center" vertical="center"/>
    </xf>
    <xf borderId="97" fillId="40" fontId="32" numFmtId="0" xfId="0" applyAlignment="1" applyBorder="1" applyFont="1">
      <alignment horizontal="center" vertical="center"/>
    </xf>
    <xf borderId="102" fillId="84" fontId="33" numFmtId="0" xfId="0" applyAlignment="1" applyBorder="1" applyFont="1">
      <alignment horizontal="center" vertical="center"/>
    </xf>
    <xf borderId="103" fillId="84" fontId="33" numFmtId="0" xfId="0" applyAlignment="1" applyBorder="1" applyFont="1">
      <alignment horizontal="center" vertical="center"/>
    </xf>
    <xf borderId="105" fillId="39" fontId="62" numFmtId="0" xfId="0" applyAlignment="1" applyBorder="1" applyFont="1">
      <alignment horizontal="center" vertical="center"/>
    </xf>
    <xf borderId="105" fillId="41" fontId="63" numFmtId="0" xfId="0" applyAlignment="1" applyBorder="1" applyFont="1">
      <alignment horizontal="center" vertical="center"/>
    </xf>
    <xf borderId="105" fillId="42" fontId="64" numFmtId="0" xfId="0" applyAlignment="1" applyBorder="1" applyFont="1">
      <alignment horizontal="center" vertical="center"/>
    </xf>
    <xf borderId="105" fillId="43" fontId="65" numFmtId="0" xfId="0" applyAlignment="1" applyBorder="1" applyFont="1">
      <alignment horizontal="center" vertical="center"/>
    </xf>
    <xf borderId="105" fillId="44" fontId="66" numFmtId="0" xfId="0" applyAlignment="1" applyBorder="1" applyFont="1">
      <alignment horizontal="center" vertical="center"/>
    </xf>
    <xf borderId="1" fillId="16" fontId="67" numFmtId="0" xfId="0" applyAlignment="1" applyBorder="1" applyFont="1">
      <alignment horizontal="center" readingOrder="0" vertical="center"/>
    </xf>
    <xf borderId="110" fillId="39" fontId="52" numFmtId="0" xfId="0" applyAlignment="1" applyBorder="1" applyFont="1">
      <alignment horizontal="center" vertical="center"/>
    </xf>
    <xf borderId="110" fillId="41" fontId="60" numFmtId="0" xfId="0" applyAlignment="1" applyBorder="1" applyFont="1">
      <alignment horizontal="center" vertical="center"/>
    </xf>
    <xf borderId="110" fillId="42" fontId="52" numFmtId="0" xfId="0" applyAlignment="1" applyBorder="1" applyFont="1">
      <alignment horizontal="center" vertical="center"/>
    </xf>
    <xf borderId="62" fillId="82" fontId="21" numFmtId="0" xfId="0" applyAlignment="1" applyBorder="1" applyFont="1">
      <alignment horizontal="center" vertical="center"/>
    </xf>
    <xf borderId="110" fillId="43" fontId="60" numFmtId="0" xfId="0" applyAlignment="1" applyBorder="1" applyFont="1">
      <alignment horizontal="center" vertical="center"/>
    </xf>
    <xf borderId="110" fillId="44" fontId="60" numFmtId="0" xfId="0" applyAlignment="1" applyBorder="1" applyFont="1">
      <alignment horizontal="center" vertical="center"/>
    </xf>
    <xf borderId="86" fillId="25" fontId="33" numFmtId="0" xfId="0" applyAlignment="1" applyBorder="1" applyFont="1">
      <alignment horizontal="center" vertical="center"/>
    </xf>
    <xf borderId="87" fillId="2" fontId="16" numFmtId="0" xfId="0" applyAlignment="1" applyBorder="1" applyFont="1">
      <alignment vertical="center"/>
    </xf>
    <xf borderId="88" fillId="0" fontId="33" numFmtId="2" xfId="0" applyAlignment="1" applyBorder="1" applyFont="1" applyNumberFormat="1">
      <alignment horizontal="center" vertical="center"/>
    </xf>
    <xf borderId="114" fillId="25" fontId="33" numFmtId="0" xfId="0" applyAlignment="1" applyBorder="1" applyFont="1">
      <alignment horizontal="center" vertical="center"/>
    </xf>
    <xf borderId="15" fillId="0" fontId="41" numFmtId="0" xfId="0" applyAlignment="1" applyBorder="1" applyFont="1">
      <alignment horizontal="center"/>
    </xf>
    <xf borderId="28" fillId="5" fontId="16" numFmtId="0" xfId="0" applyBorder="1" applyFont="1"/>
    <xf borderId="102" fillId="25" fontId="33" numFmtId="0" xfId="0" applyAlignment="1" applyBorder="1" applyFont="1">
      <alignment horizontal="center" vertical="center"/>
    </xf>
    <xf borderId="30" fillId="5" fontId="16" numFmtId="0" xfId="0" applyBorder="1" applyFont="1"/>
    <xf borderId="2" fillId="21" fontId="15" numFmtId="0" xfId="0" applyBorder="1" applyFont="1"/>
    <xf borderId="3" fillId="21" fontId="15" numFmtId="0" xfId="0" applyBorder="1" applyFont="1"/>
    <xf borderId="103" fillId="25" fontId="33" numFmtId="0" xfId="0" applyAlignment="1" applyBorder="1" applyFont="1">
      <alignment horizontal="center" vertical="center"/>
    </xf>
    <xf borderId="3" fillId="21" fontId="15" numFmtId="2" xfId="0" applyBorder="1" applyFont="1" applyNumberFormat="1"/>
    <xf borderId="4" fillId="21" fontId="15" numFmtId="0" xfId="0" applyBorder="1" applyFont="1"/>
    <xf borderId="116" fillId="0" fontId="11" numFmtId="0" xfId="0" applyBorder="1" applyFont="1"/>
    <xf borderId="89" fillId="2" fontId="16" numFmtId="0" xfId="0" applyAlignment="1" applyBorder="1" applyFont="1">
      <alignment vertical="center"/>
    </xf>
    <xf borderId="90" fillId="75" fontId="33" numFmtId="2" xfId="0" applyAlignment="1" applyBorder="1" applyFont="1" applyNumberFormat="1">
      <alignment horizontal="center" vertical="center"/>
    </xf>
    <xf borderId="117" fillId="0" fontId="11" numFmtId="0" xfId="0" applyBorder="1" applyFont="1"/>
    <xf borderId="15" fillId="47" fontId="15" numFmtId="0" xfId="0" applyBorder="1" applyFont="1"/>
    <xf borderId="1" fillId="36" fontId="24" numFmtId="1" xfId="0" applyAlignment="1" applyBorder="1" applyFont="1" applyNumberFormat="1">
      <alignment horizontal="center" vertical="center"/>
    </xf>
    <xf borderId="118" fillId="25" fontId="15" numFmtId="2" xfId="0" applyBorder="1" applyFont="1" applyNumberFormat="1"/>
    <xf borderId="83" fillId="25" fontId="15" numFmtId="0" xfId="0" applyAlignment="1" applyBorder="1" applyFont="1">
      <alignment vertical="center"/>
    </xf>
    <xf borderId="84" fillId="0" fontId="33" numFmtId="2" xfId="0" applyAlignment="1" applyBorder="1" applyFont="1" applyNumberFormat="1">
      <alignment horizontal="center" vertical="center"/>
    </xf>
    <xf borderId="30" fillId="35" fontId="15" numFmtId="0" xfId="0" applyBorder="1" applyFont="1"/>
    <xf borderId="102" fillId="0" fontId="33" numFmtId="0" xfId="0" applyAlignment="1" applyBorder="1" applyFont="1">
      <alignment horizontal="center" vertical="center"/>
    </xf>
    <xf borderId="82" fillId="16" fontId="33" numFmtId="2" xfId="0" applyAlignment="1" applyBorder="1" applyFont="1" applyNumberFormat="1">
      <alignment horizontal="center"/>
    </xf>
    <xf borderId="119" fillId="0" fontId="33" numFmtId="0" xfId="0" applyAlignment="1" applyBorder="1" applyFont="1">
      <alignment horizontal="center" vertical="center"/>
    </xf>
    <xf borderId="90" fillId="75" fontId="33" numFmtId="2" xfId="0" applyAlignment="1" applyBorder="1" applyFont="1" applyNumberFormat="1">
      <alignment horizontal="center"/>
    </xf>
    <xf borderId="120" fillId="0" fontId="11" numFmtId="0" xfId="0" applyBorder="1" applyFont="1"/>
    <xf borderId="67" fillId="0" fontId="15" numFmtId="0" xfId="0" applyBorder="1" applyFont="1"/>
    <xf borderId="88" fillId="16" fontId="33" numFmtId="2" xfId="0" applyAlignment="1" applyBorder="1" applyFont="1" applyNumberFormat="1">
      <alignment horizontal="center" vertical="center"/>
    </xf>
    <xf borderId="121" fillId="0" fontId="11" numFmtId="0" xfId="0" applyBorder="1" applyFont="1"/>
    <xf borderId="115" fillId="39" fontId="52" numFmtId="0" xfId="0" applyAlignment="1" applyBorder="1" applyFont="1">
      <alignment horizontal="center" vertical="center"/>
    </xf>
    <xf borderId="115" fillId="41" fontId="60" numFmtId="0" xfId="0" applyAlignment="1" applyBorder="1" applyFont="1">
      <alignment horizontal="center" vertical="center"/>
    </xf>
    <xf borderId="115" fillId="42" fontId="52" numFmtId="0" xfId="0" applyAlignment="1" applyBorder="1" applyFont="1">
      <alignment horizontal="center" vertical="center"/>
    </xf>
    <xf borderId="115" fillId="43" fontId="60" numFmtId="0" xfId="0" applyAlignment="1" applyBorder="1" applyFont="1">
      <alignment horizontal="center" vertical="center"/>
    </xf>
    <xf borderId="115" fillId="44" fontId="60" numFmtId="0" xfId="0" applyAlignment="1" applyBorder="1" applyFont="1">
      <alignment horizontal="center" vertical="center"/>
    </xf>
    <xf borderId="23" fillId="74" fontId="68" numFmtId="0" xfId="0" applyAlignment="1" applyBorder="1" applyFont="1">
      <alignment horizontal="center" vertical="center"/>
    </xf>
    <xf borderId="45" fillId="86" fontId="41" numFmtId="0" xfId="0" applyAlignment="1" applyBorder="1" applyFill="1" applyFont="1">
      <alignment horizontal="center" vertical="center"/>
    </xf>
    <xf borderId="48" fillId="86" fontId="41" numFmtId="0" xfId="0" applyAlignment="1" applyBorder="1" applyFont="1">
      <alignment horizontal="center" vertical="center"/>
    </xf>
    <xf borderId="81" fillId="86" fontId="41" numFmtId="0" xfId="0" applyAlignment="1" applyBorder="1" applyFont="1">
      <alignment horizontal="center" vertical="center"/>
    </xf>
    <xf borderId="89" fillId="86" fontId="41" numFmtId="0" xfId="0" applyAlignment="1" applyBorder="1" applyFont="1">
      <alignment vertical="center"/>
    </xf>
    <xf borderId="122" fillId="86" fontId="41" numFmtId="0" xfId="0" applyAlignment="1" applyBorder="1" applyFont="1">
      <alignment vertical="center"/>
    </xf>
    <xf borderId="56" fillId="86" fontId="41" numFmtId="0" xfId="0" applyAlignment="1" applyBorder="1" applyFont="1">
      <alignment vertical="center"/>
    </xf>
    <xf borderId="1" fillId="2" fontId="69" numFmtId="0" xfId="0" applyBorder="1" applyFont="1"/>
    <xf borderId="0" fillId="0" fontId="68" numFmtId="0" xfId="0" applyFont="1"/>
    <xf borderId="123" fillId="74" fontId="68" numFmtId="0" xfId="0" applyAlignment="1" applyBorder="1" applyFont="1">
      <alignment vertical="center"/>
    </xf>
    <xf borderId="15" fillId="15" fontId="33" numFmtId="0" xfId="0" applyAlignment="1" applyBorder="1" applyFont="1">
      <alignment horizontal="center" vertical="center"/>
    </xf>
    <xf borderId="28" fillId="0" fontId="23" numFmtId="0" xfId="0" applyBorder="1" applyFont="1"/>
    <xf borderId="6" fillId="0" fontId="30" numFmtId="2" xfId="0" applyAlignment="1" applyBorder="1" applyFont="1" applyNumberFormat="1">
      <alignment horizontal="center"/>
    </xf>
    <xf borderId="96" fillId="25" fontId="29" numFmtId="0" xfId="0" applyAlignment="1" applyBorder="1" applyFont="1">
      <alignment vertical="center"/>
    </xf>
    <xf borderId="124" fillId="25" fontId="29" numFmtId="0" xfId="0" applyAlignment="1" applyBorder="1" applyFont="1">
      <alignment vertical="center"/>
    </xf>
    <xf borderId="125" fillId="25" fontId="29" numFmtId="0" xfId="0" applyAlignment="1" applyBorder="1" applyFont="1">
      <alignment vertical="center"/>
    </xf>
    <xf borderId="126" fillId="0" fontId="15" numFmtId="0" xfId="0" applyBorder="1" applyFont="1"/>
    <xf borderId="119" fillId="0" fontId="15" numFmtId="2" xfId="0" applyBorder="1" applyFont="1" applyNumberFormat="1"/>
    <xf borderId="127" fillId="0" fontId="15" numFmtId="2" xfId="0" applyBorder="1" applyFont="1" applyNumberFormat="1"/>
    <xf borderId="127" fillId="0" fontId="15" numFmtId="0" xfId="0" applyBorder="1" applyFont="1"/>
    <xf borderId="28" fillId="0" fontId="30" numFmtId="2" xfId="0" applyAlignment="1" applyBorder="1" applyFont="1" applyNumberFormat="1">
      <alignment horizontal="center"/>
    </xf>
    <xf borderId="89" fillId="25" fontId="29" numFmtId="0" xfId="0" applyAlignment="1" applyBorder="1" applyFont="1">
      <alignment vertical="center"/>
    </xf>
    <xf borderId="122" fillId="25" fontId="29" numFmtId="0" xfId="0" applyAlignment="1" applyBorder="1" applyFont="1">
      <alignment vertical="center"/>
    </xf>
    <xf borderId="128" fillId="25" fontId="29" numFmtId="0" xfId="0" applyAlignment="1" applyBorder="1" applyFont="1">
      <alignment vertical="center"/>
    </xf>
    <xf borderId="129" fillId="0" fontId="15" numFmtId="0" xfId="0" applyBorder="1" applyFont="1"/>
    <xf borderId="120" fillId="0" fontId="15" numFmtId="2" xfId="0" applyBorder="1" applyFont="1" applyNumberFormat="1"/>
    <xf borderId="1" fillId="15" fontId="15" numFmtId="0" xfId="0" applyBorder="1" applyFont="1"/>
    <xf borderId="120" fillId="0" fontId="15" numFmtId="0" xfId="0" applyBorder="1" applyFont="1"/>
    <xf borderId="0" fillId="0" fontId="70" numFmtId="0" xfId="0" applyFont="1"/>
    <xf borderId="28" fillId="27" fontId="16" numFmtId="0" xfId="0" applyBorder="1" applyFont="1"/>
    <xf borderId="30" fillId="27" fontId="16" numFmtId="0" xfId="0" applyBorder="1" applyFont="1"/>
    <xf borderId="55" fillId="21" fontId="15" numFmtId="0" xfId="0" applyBorder="1" applyFont="1"/>
    <xf borderId="1" fillId="21" fontId="15" numFmtId="2" xfId="0" applyBorder="1" applyFont="1" applyNumberFormat="1"/>
    <xf borderId="58" fillId="21" fontId="15" numFmtId="0" xfId="0" applyBorder="1" applyFont="1"/>
    <xf borderId="28" fillId="33" fontId="16" numFmtId="0" xfId="0" applyBorder="1" applyFont="1"/>
    <xf borderId="30" fillId="33" fontId="16" numFmtId="0" xfId="0" applyBorder="1" applyFont="1"/>
    <xf borderId="62" fillId="21" fontId="15" numFmtId="0" xfId="0" applyBorder="1" applyFont="1"/>
    <xf borderId="63" fillId="21" fontId="15" numFmtId="0" xfId="0" applyBorder="1" applyFont="1"/>
    <xf borderId="63" fillId="21" fontId="15" numFmtId="2" xfId="0" applyBorder="1" applyFont="1" applyNumberFormat="1"/>
    <xf borderId="65" fillId="21" fontId="15" numFmtId="0" xfId="0" applyBorder="1" applyFont="1"/>
    <xf borderId="1" fillId="77" fontId="15" numFmtId="0" xfId="0" applyBorder="1" applyFont="1"/>
    <xf borderId="15" fillId="21" fontId="15" numFmtId="0" xfId="0" applyBorder="1" applyFont="1"/>
    <xf borderId="59" fillId="15" fontId="33" numFmtId="0" xfId="0" applyAlignment="1" applyBorder="1" applyFont="1">
      <alignment horizontal="center" vertical="center"/>
    </xf>
    <xf borderId="60" fillId="0" fontId="23" numFmtId="0" xfId="0" applyBorder="1" applyFont="1"/>
    <xf borderId="60" fillId="0" fontId="30" numFmtId="2" xfId="0" applyAlignment="1" applyBorder="1" applyFont="1" applyNumberFormat="1">
      <alignment horizontal="center"/>
    </xf>
    <xf borderId="83" fillId="25" fontId="29" numFmtId="0" xfId="0" applyAlignment="1" applyBorder="1" applyFont="1">
      <alignment vertical="center"/>
    </xf>
    <xf borderId="130" fillId="25" fontId="29" numFmtId="0" xfId="0" applyAlignment="1" applyBorder="1" applyFont="1">
      <alignment vertical="center"/>
    </xf>
    <xf borderId="131" fillId="25" fontId="29" numFmtId="0" xfId="0" applyAlignment="1" applyBorder="1" applyFont="1">
      <alignment vertical="center"/>
    </xf>
    <xf borderId="132" fillId="0" fontId="15" numFmtId="0" xfId="0" applyBorder="1" applyFont="1"/>
    <xf borderId="121" fillId="0" fontId="15" numFmtId="2" xfId="0" applyBorder="1" applyFont="1" applyNumberFormat="1"/>
    <xf borderId="133" fillId="0" fontId="15" numFmtId="0" xfId="0" applyBorder="1" applyFont="1"/>
    <xf borderId="1" fillId="12" fontId="32" numFmtId="0" xfId="0" applyAlignment="1" applyBorder="1" applyFont="1">
      <alignment horizontal="center" vertical="center"/>
    </xf>
    <xf borderId="121" fillId="0" fontId="15" numFmtId="0" xfId="0" applyBorder="1" applyFont="1"/>
    <xf borderId="11" fillId="2" fontId="6" numFmtId="0" xfId="0" applyAlignment="1" applyBorder="1" applyFont="1">
      <alignment horizontal="center" vertical="center"/>
    </xf>
    <xf borderId="13" fillId="2" fontId="6" numFmtId="0" xfId="0" applyAlignment="1" applyBorder="1" applyFont="1">
      <alignment horizontal="center" vertical="center"/>
    </xf>
    <xf borderId="19" fillId="2" fontId="6" numFmtId="0" xfId="0" applyAlignment="1" applyBorder="1" applyFont="1">
      <alignment horizontal="center" vertical="center"/>
    </xf>
    <xf borderId="1" fillId="2" fontId="71" numFmtId="0" xfId="0" applyBorder="1" applyFont="1"/>
    <xf borderId="28" fillId="0" fontId="30" numFmtId="0" xfId="0" applyAlignment="1" applyBorder="1" applyFont="1">
      <alignment horizontal="center"/>
    </xf>
    <xf borderId="30" fillId="0" fontId="30" numFmtId="0" xfId="0" applyAlignment="1" applyBorder="1" applyFont="1">
      <alignment horizontal="center"/>
    </xf>
    <xf borderId="1" fillId="22" fontId="15" numFmtId="0" xfId="0" applyBorder="1" applyFont="1"/>
    <xf borderId="0" fillId="0" fontId="8" numFmtId="0" xfId="0" applyAlignment="1" applyFont="1">
      <alignment shrinkToFit="0" wrapText="1"/>
    </xf>
    <xf borderId="28" fillId="11" fontId="16" numFmtId="0" xfId="0" applyBorder="1" applyFont="1"/>
    <xf borderId="30" fillId="11" fontId="16" numFmtId="0" xfId="0" applyBorder="1" applyFont="1"/>
    <xf borderId="2" fillId="47" fontId="15" numFmtId="0" xfId="0" applyBorder="1" applyFont="1"/>
    <xf borderId="3" fillId="47" fontId="15" numFmtId="0" xfId="0" applyBorder="1" applyFont="1"/>
    <xf borderId="3" fillId="47" fontId="15" numFmtId="2" xfId="0" applyBorder="1" applyFont="1" applyNumberFormat="1"/>
    <xf borderId="4" fillId="47" fontId="15" numFmtId="0" xfId="0" applyBorder="1" applyFont="1"/>
    <xf borderId="28" fillId="0" fontId="38" numFmtId="165" xfId="0" applyAlignment="1" applyBorder="1" applyFont="1" applyNumberFormat="1">
      <alignment horizontal="center" vertical="center"/>
    </xf>
    <xf borderId="1" fillId="48" fontId="15" numFmtId="0" xfId="0" applyBorder="1" applyFont="1"/>
    <xf borderId="1" fillId="12" fontId="72" numFmtId="0" xfId="0" applyAlignment="1" applyBorder="1" applyFont="1">
      <alignment horizontal="center" readingOrder="0" vertical="center"/>
    </xf>
    <xf borderId="28" fillId="39" fontId="16" numFmtId="0" xfId="0" applyBorder="1" applyFont="1"/>
    <xf borderId="30" fillId="39" fontId="16" numFmtId="0" xfId="0" applyBorder="1" applyFont="1"/>
    <xf borderId="55" fillId="47" fontId="15" numFmtId="0" xfId="0" applyBorder="1" applyFont="1"/>
    <xf borderId="1" fillId="47" fontId="15" numFmtId="2" xfId="0" applyBorder="1" applyFont="1" applyNumberFormat="1"/>
    <xf borderId="58" fillId="47" fontId="15" numFmtId="0" xfId="0" applyBorder="1" applyFont="1"/>
    <xf borderId="0" fillId="0" fontId="43" numFmtId="0" xfId="0" applyAlignment="1" applyFont="1">
      <alignment horizontal="center"/>
    </xf>
    <xf borderId="1" fillId="47" fontId="15" numFmtId="0" xfId="0" applyAlignment="1" applyBorder="1" applyFont="1">
      <alignment readingOrder="0"/>
    </xf>
    <xf borderId="134" fillId="74" fontId="68" numFmtId="0" xfId="0" applyAlignment="1" applyBorder="1" applyFont="1">
      <alignment vertical="center"/>
    </xf>
    <xf borderId="60" fillId="0" fontId="30" numFmtId="0" xfId="0" applyAlignment="1" applyBorder="1" applyFont="1">
      <alignment horizontal="center"/>
    </xf>
    <xf borderId="61" fillId="0" fontId="30" numFmtId="0" xfId="0" applyAlignment="1" applyBorder="1" applyFont="1">
      <alignment horizontal="center"/>
    </xf>
    <xf borderId="28" fillId="41" fontId="16" numFmtId="0" xfId="0" applyBorder="1" applyFont="1"/>
    <xf borderId="30" fillId="41" fontId="16" numFmtId="0" xfId="0" applyBorder="1" applyFont="1"/>
    <xf borderId="62" fillId="47" fontId="15" numFmtId="0" xfId="0" applyBorder="1" applyFont="1"/>
    <xf borderId="63" fillId="47" fontId="15" numFmtId="0" xfId="0" applyBorder="1" applyFont="1"/>
    <xf borderId="63" fillId="47" fontId="15" numFmtId="2" xfId="0" applyBorder="1" applyFont="1" applyNumberFormat="1"/>
    <xf borderId="65" fillId="47" fontId="15" numFmtId="0" xfId="0" applyBorder="1" applyFont="1"/>
    <xf borderId="1" fillId="87" fontId="15" numFmtId="0" xfId="0" applyAlignment="1" applyBorder="1" applyFill="1" applyFont="1">
      <alignment readingOrder="0"/>
    </xf>
    <xf borderId="15" fillId="88" fontId="15" numFmtId="0" xfId="0" applyBorder="1" applyFill="1" applyFont="1"/>
    <xf borderId="119" fillId="0" fontId="15" numFmtId="0" xfId="0" applyBorder="1" applyFont="1"/>
    <xf borderId="1" fillId="0" fontId="43" numFmtId="0" xfId="0" applyAlignment="1" applyBorder="1" applyFont="1">
      <alignment horizontal="center"/>
    </xf>
    <xf borderId="28" fillId="42" fontId="16" numFmtId="0" xfId="0" applyBorder="1" applyFont="1"/>
    <xf borderId="30" fillId="42" fontId="16" numFmtId="0" xfId="0" applyBorder="1" applyFont="1"/>
    <xf borderId="1" fillId="78" fontId="15" numFmtId="0" xfId="0" applyBorder="1" applyFont="1"/>
    <xf borderId="15" fillId="89" fontId="15" numFmtId="0" xfId="0" applyBorder="1" applyFill="1" applyFont="1"/>
    <xf borderId="63" fillId="12" fontId="32" numFmtId="0" xfId="0" applyAlignment="1" applyBorder="1" applyFont="1">
      <alignment horizontal="center" vertical="center"/>
    </xf>
    <xf borderId="1" fillId="2" fontId="20" numFmtId="0" xfId="0" applyAlignment="1" applyBorder="1" applyFont="1">
      <alignment horizontal="center" shrinkToFit="0" wrapText="1"/>
    </xf>
    <xf borderId="0" fillId="0" fontId="41" numFmtId="0" xfId="0" applyAlignment="1" applyFont="1">
      <alignment horizontal="center"/>
    </xf>
    <xf borderId="0" fillId="0" fontId="38" numFmtId="0" xfId="0" applyAlignment="1" applyFont="1">
      <alignment horizontal="center"/>
    </xf>
    <xf borderId="0" fillId="0" fontId="73" numFmtId="0" xfId="0" applyAlignment="1" applyFont="1">
      <alignment horizontal="center"/>
    </xf>
    <xf borderId="0" fillId="0" fontId="41" numFmtId="0" xfId="0" applyAlignment="1" applyFont="1">
      <alignment horizontal="left"/>
    </xf>
    <xf borderId="0" fillId="0" fontId="74" numFmtId="0" xfId="0" applyAlignment="1" applyFont="1">
      <alignment horizontal="center"/>
    </xf>
    <xf borderId="0" fillId="0" fontId="30" numFmtId="0" xfId="0" applyAlignment="1" applyFont="1">
      <alignment horizontal="center"/>
    </xf>
    <xf borderId="0" fillId="0" fontId="15" numFmtId="0" xfId="0" applyAlignment="1" applyFont="1">
      <alignment horizontal="right"/>
    </xf>
    <xf borderId="0" fillId="0" fontId="32" numFmtId="0" xfId="0" applyAlignment="1" applyFont="1">
      <alignment horizontal="center"/>
    </xf>
    <xf borderId="0" fillId="0" fontId="8" numFmtId="0" xfId="0" applyAlignment="1" applyFont="1">
      <alignment horizontal="center" shrinkToFit="0" wrapText="1"/>
    </xf>
    <xf borderId="82" fillId="36" fontId="41" numFmtId="0" xfId="0" applyAlignment="1" applyBorder="1" applyFont="1">
      <alignment horizontal="center" shrinkToFit="0" vertical="center" wrapText="1"/>
    </xf>
    <xf borderId="28" fillId="2" fontId="75" numFmtId="0" xfId="0" applyAlignment="1" applyBorder="1" applyFont="1">
      <alignment horizontal="center" shrinkToFit="0" vertical="center" wrapText="1"/>
    </xf>
    <xf borderId="89" fillId="2" fontId="75" numFmtId="0" xfId="0" applyAlignment="1" applyBorder="1" applyFont="1">
      <alignment horizontal="center" shrinkToFit="0" vertical="center" wrapText="1"/>
    </xf>
    <xf borderId="1" fillId="2" fontId="20" numFmtId="0" xfId="0" applyAlignment="1" applyBorder="1" applyFont="1">
      <alignment shrinkToFit="0" vertical="center" wrapText="1"/>
    </xf>
    <xf borderId="1" fillId="2" fontId="75" numFmtId="0" xfId="0" applyAlignment="1" applyBorder="1" applyFont="1">
      <alignment horizontal="center" shrinkToFit="0" vertical="center" wrapText="1"/>
    </xf>
    <xf borderId="2" fillId="2" fontId="76" numFmtId="0" xfId="0" applyAlignment="1" applyBorder="1" applyFont="1">
      <alignment horizontal="center" shrinkToFit="0" vertical="center" wrapText="1"/>
    </xf>
    <xf borderId="3" fillId="2" fontId="77" numFmtId="0" xfId="0" applyAlignment="1" applyBorder="1" applyFont="1">
      <alignment horizontal="center" shrinkToFit="0" vertical="center" wrapText="1"/>
    </xf>
    <xf borderId="4" fillId="2" fontId="20" numFmtId="0" xfId="0" applyAlignment="1" applyBorder="1" applyFont="1">
      <alignment shrinkToFit="0" vertical="center" wrapText="1"/>
    </xf>
    <xf borderId="1" fillId="15" fontId="15" numFmtId="0" xfId="0" applyAlignment="1" applyBorder="1" applyFont="1">
      <alignment shrinkToFit="0" vertical="center" wrapText="1"/>
    </xf>
    <xf borderId="28" fillId="43" fontId="16" numFmtId="0" xfId="0" applyBorder="1" applyFont="1"/>
    <xf borderId="30" fillId="43" fontId="16" numFmtId="0" xfId="0" applyBorder="1" applyFont="1"/>
    <xf borderId="90" fillId="36" fontId="15" numFmtId="0" xfId="0" applyAlignment="1" applyBorder="1" applyFont="1">
      <alignment horizontal="center"/>
    </xf>
    <xf borderId="28" fillId="21" fontId="15" numFmtId="0" xfId="0" applyBorder="1" applyFont="1"/>
    <xf borderId="28" fillId="47" fontId="15" numFmtId="0" xfId="0" applyBorder="1" applyFont="1"/>
    <xf borderId="28" fillId="64" fontId="15" numFmtId="0" xfId="0" applyBorder="1" applyFont="1"/>
    <xf borderId="6" fillId="0" fontId="15" numFmtId="0" xfId="0" applyBorder="1" applyFont="1"/>
    <xf borderId="45" fillId="61" fontId="41" numFmtId="1" xfId="0" applyAlignment="1" applyBorder="1" applyFont="1" applyNumberFormat="1">
      <alignment horizontal="center"/>
    </xf>
    <xf borderId="81" fillId="5" fontId="16" numFmtId="0" xfId="0" applyAlignment="1" applyBorder="1" applyFont="1">
      <alignment horizontal="center"/>
    </xf>
    <xf borderId="1" fillId="79" fontId="15" numFmtId="0" xfId="0" applyBorder="1" applyFont="1"/>
    <xf borderId="45" fillId="47" fontId="41" numFmtId="0" xfId="0" applyAlignment="1" applyBorder="1" applyFont="1">
      <alignment horizontal="center"/>
    </xf>
    <xf borderId="54" fillId="90" fontId="41" numFmtId="0" xfId="0" applyAlignment="1" applyBorder="1" applyFill="1" applyFont="1">
      <alignment horizontal="center"/>
    </xf>
    <xf borderId="9" fillId="0" fontId="15" numFmtId="0" xfId="0" applyAlignment="1" applyBorder="1" applyFont="1">
      <alignment horizontal="center"/>
    </xf>
    <xf borderId="15" fillId="35" fontId="15" numFmtId="0" xfId="0" applyBorder="1" applyFont="1"/>
    <xf borderId="82" fillId="0" fontId="15" numFmtId="0" xfId="0" applyAlignment="1" applyBorder="1" applyFont="1">
      <alignment horizontal="center"/>
    </xf>
    <xf borderId="14" fillId="0" fontId="15" numFmtId="164" xfId="0" applyBorder="1" applyFont="1" applyNumberFormat="1"/>
    <xf borderId="89" fillId="33" fontId="16" numFmtId="0" xfId="0" applyAlignment="1" applyBorder="1" applyFont="1">
      <alignment horizontal="center"/>
    </xf>
    <xf borderId="15" fillId="47" fontId="41" numFmtId="0" xfId="0" applyAlignment="1" applyBorder="1" applyFont="1">
      <alignment horizontal="center"/>
    </xf>
    <xf borderId="30" fillId="90" fontId="41" numFmtId="0" xfId="0" applyAlignment="1" applyBorder="1" applyFont="1">
      <alignment horizontal="center"/>
    </xf>
    <xf borderId="7" fillId="0" fontId="15" numFmtId="0" xfId="0" applyAlignment="1" applyBorder="1" applyFont="1">
      <alignment horizontal="center"/>
    </xf>
    <xf borderId="90" fillId="0" fontId="15" numFmtId="0" xfId="0" applyAlignment="1" applyBorder="1" applyFont="1">
      <alignment horizontal="center"/>
    </xf>
    <xf borderId="89" fillId="60" fontId="16" numFmtId="0" xfId="0" applyAlignment="1" applyBorder="1" applyFont="1">
      <alignment horizontal="center"/>
    </xf>
    <xf borderId="89" fillId="27" fontId="16" numFmtId="0" xfId="0" applyAlignment="1" applyBorder="1" applyFont="1">
      <alignment horizontal="center"/>
    </xf>
    <xf borderId="89" fillId="11" fontId="16" numFmtId="0" xfId="0" applyAlignment="1" applyBorder="1" applyFont="1">
      <alignment horizontal="center"/>
    </xf>
    <xf borderId="89" fillId="44" fontId="15" numFmtId="0" xfId="0" applyAlignment="1" applyBorder="1" applyFont="1">
      <alignment horizontal="center"/>
    </xf>
    <xf borderId="89" fillId="41" fontId="16" numFmtId="0" xfId="0" applyAlignment="1" applyBorder="1" applyFont="1">
      <alignment horizontal="center"/>
    </xf>
    <xf borderId="89" fillId="43" fontId="16" numFmtId="0" xfId="0" applyAlignment="1" applyBorder="1" applyFont="1">
      <alignment horizontal="center"/>
    </xf>
    <xf borderId="89" fillId="42" fontId="16" numFmtId="0" xfId="0" applyAlignment="1" applyBorder="1" applyFont="1">
      <alignment horizontal="center"/>
    </xf>
    <xf borderId="28" fillId="44" fontId="15" numFmtId="0" xfId="0" applyBorder="1" applyFont="1"/>
    <xf borderId="30" fillId="44" fontId="15" numFmtId="0" xfId="0" applyBorder="1" applyFont="1"/>
    <xf borderId="59" fillId="2" fontId="15" numFmtId="0" xfId="0" applyAlignment="1" applyBorder="1" applyFont="1">
      <alignment horizontal="center"/>
    </xf>
    <xf borderId="83" fillId="2" fontId="20" numFmtId="0" xfId="0" applyAlignment="1" applyBorder="1" applyFont="1">
      <alignment horizontal="center"/>
    </xf>
    <xf borderId="1" fillId="80" fontId="15" numFmtId="0" xfId="0" applyBorder="1" applyFont="1"/>
    <xf borderId="59" fillId="2" fontId="77" numFmtId="0" xfId="0" applyAlignment="1" applyBorder="1" applyFont="1">
      <alignment horizontal="center"/>
    </xf>
    <xf borderId="61" fillId="2" fontId="77" numFmtId="0" xfId="0" applyAlignment="1" applyBorder="1" applyFont="1">
      <alignment horizontal="center"/>
    </xf>
    <xf borderId="130" fillId="2" fontId="20" numFmtId="0" xfId="0" applyAlignment="1" applyBorder="1" applyFont="1">
      <alignment horizontal="center"/>
    </xf>
    <xf borderId="84" fillId="2" fontId="15" numFmtId="0" xfId="0" applyAlignment="1" applyBorder="1" applyFont="1">
      <alignment horizontal="center"/>
    </xf>
    <xf borderId="15" fillId="36" fontId="15" numFmtId="0" xfId="0" applyBorder="1" applyFont="1"/>
    <xf borderId="131" fillId="2" fontId="20" numFmtId="164" xfId="0" applyBorder="1" applyFont="1" applyNumberFormat="1"/>
    <xf borderId="126" fillId="12" fontId="30" numFmtId="0" xfId="0" applyAlignment="1" applyBorder="1" applyFont="1">
      <alignment horizontal="center" vertical="center"/>
    </xf>
    <xf borderId="127" fillId="0" fontId="11" numFmtId="0" xfId="0" applyBorder="1" applyFont="1"/>
    <xf borderId="119" fillId="0" fontId="11" numFmtId="0" xfId="0" applyBorder="1" applyFont="1"/>
    <xf borderId="132" fillId="0" fontId="11" numFmtId="0" xfId="0" applyBorder="1" applyFont="1"/>
    <xf borderId="133" fillId="0" fontId="11" numFmtId="0" xfId="0" applyBorder="1" applyFont="1"/>
    <xf borderId="28" fillId="20" fontId="15" numFmtId="0" xfId="0" applyBorder="1" applyFont="1"/>
    <xf borderId="60" fillId="60" fontId="16" numFmtId="0" xfId="0" applyBorder="1" applyFont="1"/>
    <xf borderId="61" fillId="60" fontId="16" numFmtId="0" xfId="0" applyBorder="1" applyFont="1"/>
    <xf borderId="1" fillId="81" fontId="15" numFmtId="0" xfId="0" applyBorder="1" applyFont="1"/>
    <xf borderId="59" fillId="91" fontId="15" numFmtId="0" xfId="0" applyBorder="1" applyFill="1" applyFont="1"/>
    <xf borderId="135" fillId="25" fontId="15" numFmtId="2" xfId="0" applyBorder="1" applyFont="1" applyNumberFormat="1"/>
    <xf borderId="61" fillId="35" fontId="15" numFmtId="0" xfId="0" applyBorder="1" applyFont="1"/>
    <xf borderId="47" fillId="25" fontId="68" numFmtId="0" xfId="0" applyAlignment="1" applyBorder="1" applyFont="1">
      <alignment horizontal="center" vertical="center"/>
    </xf>
    <xf borderId="49" fillId="2" fontId="6" numFmtId="0" xfId="0" applyAlignment="1" applyBorder="1" applyFont="1">
      <alignment horizontal="center" vertical="center"/>
    </xf>
    <xf borderId="85" fillId="2" fontId="6" numFmtId="0" xfId="0" applyAlignment="1" applyBorder="1" applyFont="1">
      <alignment horizontal="center" vertical="center"/>
    </xf>
    <xf borderId="136" fillId="0" fontId="11" numFmtId="0" xfId="0" applyBorder="1" applyFont="1"/>
    <xf borderId="28" fillId="15" fontId="33" numFmtId="0" xfId="0" applyAlignment="1" applyBorder="1" applyFont="1">
      <alignment horizontal="center" vertical="center"/>
    </xf>
    <xf borderId="1" fillId="84" fontId="15" numFmtId="0" xfId="0" applyBorder="1" applyFont="1"/>
    <xf borderId="113" fillId="25" fontId="15" numFmtId="2" xfId="0" applyBorder="1" applyFont="1" applyNumberFormat="1"/>
    <xf borderId="0" fillId="31" fontId="15" numFmtId="0" xfId="0" applyAlignment="1" applyFont="1">
      <alignment horizontal="center"/>
    </xf>
    <xf borderId="0" fillId="31" fontId="1" numFmtId="0" xfId="0" applyFont="1"/>
    <xf borderId="1" fillId="92" fontId="15" numFmtId="0" xfId="0" applyBorder="1" applyFill="1" applyFont="1"/>
    <xf borderId="0" fillId="54" fontId="15" numFmtId="0" xfId="0" applyAlignment="1" applyFont="1">
      <alignment horizontal="center"/>
    </xf>
    <xf borderId="0" fillId="54" fontId="1" numFmtId="0" xfId="0" applyFont="1"/>
    <xf borderId="0" fillId="32" fontId="15" numFmtId="0" xfId="0" applyAlignment="1" applyFont="1">
      <alignment horizontal="center"/>
    </xf>
    <xf borderId="0" fillId="32" fontId="1" numFmtId="0" xfId="0" applyFont="1"/>
    <xf borderId="0" fillId="93" fontId="45" numFmtId="0" xfId="0" applyAlignment="1" applyFill="1" applyFont="1">
      <alignment horizontal="center"/>
    </xf>
    <xf borderId="33" fillId="0" fontId="11" numFmtId="0" xfId="0" applyBorder="1" applyFont="1"/>
    <xf borderId="0" fillId="0" fontId="68" numFmtId="0" xfId="0" applyAlignment="1" applyFont="1">
      <alignment vertical="center"/>
    </xf>
    <xf borderId="56" fillId="86" fontId="41" numFmtId="0" xfId="0" applyAlignment="1" applyBorder="1" applyFont="1">
      <alignment horizontal="center" vertical="center"/>
    </xf>
    <xf borderId="28" fillId="86" fontId="41" numFmtId="0" xfId="0" applyAlignment="1" applyBorder="1" applyFont="1">
      <alignment horizontal="center" vertical="center"/>
    </xf>
    <xf borderId="137" fillId="2" fontId="6" numFmtId="0" xfId="0" applyAlignment="1" applyBorder="1" applyFont="1">
      <alignment horizontal="center" vertical="center"/>
    </xf>
    <xf borderId="55" fillId="27" fontId="61" numFmtId="0" xfId="0" applyAlignment="1" applyBorder="1" applyFont="1">
      <alignment vertical="center"/>
    </xf>
    <xf borderId="28" fillId="0" fontId="33" numFmtId="0" xfId="0" applyAlignment="1" applyBorder="1" applyFont="1">
      <alignment horizontal="center" vertical="center"/>
    </xf>
    <xf borderId="55" fillId="33" fontId="61" numFmtId="0" xfId="0" applyAlignment="1" applyBorder="1" applyFont="1">
      <alignment vertical="center"/>
    </xf>
    <xf borderId="6" fillId="2" fontId="42" numFmtId="0" xfId="0" applyAlignment="1" applyBorder="1" applyFont="1">
      <alignment horizontal="center"/>
    </xf>
    <xf borderId="28" fillId="49" fontId="41" numFmtId="0" xfId="0" applyBorder="1" applyFont="1"/>
    <xf borderId="6" fillId="49" fontId="41" numFmtId="0" xfId="0" applyAlignment="1" applyBorder="1" applyFont="1">
      <alignment horizontal="center"/>
    </xf>
    <xf borderId="138" fillId="0" fontId="11" numFmtId="0" xfId="0" applyBorder="1" applyFont="1"/>
    <xf borderId="139" fillId="2" fontId="16" numFmtId="0" xfId="0" applyAlignment="1" applyBorder="1" applyFont="1">
      <alignment horizontal="center"/>
    </xf>
    <xf borderId="28" fillId="49" fontId="15" numFmtId="0" xfId="0" applyAlignment="1" applyBorder="1" applyFont="1">
      <alignment horizontal="center"/>
    </xf>
    <xf borderId="28" fillId="12" fontId="78" numFmtId="0" xfId="0" applyBorder="1" applyFont="1"/>
    <xf borderId="28" fillId="94" fontId="15" numFmtId="164" xfId="0" applyAlignment="1" applyBorder="1" applyFill="1" applyFont="1" applyNumberFormat="1">
      <alignment horizontal="right"/>
    </xf>
    <xf borderId="89" fillId="2" fontId="15" numFmtId="0" xfId="0" applyBorder="1" applyFont="1"/>
    <xf borderId="28" fillId="2" fontId="15" numFmtId="0" xfId="0" applyAlignment="1" applyBorder="1" applyFont="1">
      <alignment horizontal="center"/>
    </xf>
    <xf borderId="28" fillId="2" fontId="15" numFmtId="164" xfId="0" applyBorder="1" applyFont="1" applyNumberFormat="1"/>
    <xf borderId="28" fillId="12" fontId="15" numFmtId="0" xfId="0" applyBorder="1" applyFont="1"/>
    <xf borderId="28" fillId="95" fontId="79" numFmtId="164" xfId="0" applyBorder="1" applyFill="1" applyFont="1" applyNumberFormat="1"/>
    <xf borderId="28" fillId="96" fontId="80" numFmtId="164" xfId="0" applyBorder="1" applyFill="1" applyFont="1" applyNumberFormat="1"/>
    <xf borderId="1" fillId="18" fontId="16" numFmtId="0" xfId="0" applyAlignment="1" applyBorder="1" applyFont="1">
      <alignment horizontal="center"/>
    </xf>
    <xf borderId="28" fillId="2" fontId="16" numFmtId="0" xfId="0" applyAlignment="1" applyBorder="1" applyFont="1">
      <alignment horizontal="center"/>
    </xf>
    <xf borderId="28" fillId="2" fontId="16" numFmtId="164" xfId="0" applyBorder="1" applyFont="1" applyNumberFormat="1"/>
    <xf borderId="28" fillId="2" fontId="81" numFmtId="0" xfId="0" applyBorder="1" applyFont="1"/>
    <xf borderId="28" fillId="97" fontId="16" numFmtId="0" xfId="0" applyBorder="1" applyFill="1" applyFont="1"/>
    <xf borderId="28" fillId="97" fontId="16" numFmtId="164" xfId="0" applyBorder="1" applyFont="1" applyNumberFormat="1"/>
    <xf borderId="6" fillId="49" fontId="15" numFmtId="0" xfId="0" applyAlignment="1" applyBorder="1" applyFont="1">
      <alignment horizontal="center"/>
    </xf>
    <xf borderId="28" fillId="96" fontId="80" numFmtId="0" xfId="0" applyBorder="1" applyFont="1"/>
    <xf borderId="1" fillId="2" fontId="16" numFmtId="0" xfId="0" applyAlignment="1" applyBorder="1" applyFont="1">
      <alignment horizontal="center"/>
    </xf>
    <xf borderId="89" fillId="2" fontId="15" numFmtId="0" xfId="0" applyAlignment="1" applyBorder="1" applyFont="1">
      <alignment horizontal="center"/>
    </xf>
    <xf borderId="89" fillId="49" fontId="15" numFmtId="0" xfId="0" applyAlignment="1" applyBorder="1" applyFont="1">
      <alignment horizontal="center"/>
    </xf>
    <xf borderId="55" fillId="11" fontId="61" numFmtId="0" xfId="0" applyAlignment="1" applyBorder="1" applyFont="1">
      <alignment vertical="center"/>
    </xf>
    <xf borderId="28" fillId="2" fontId="77" numFmtId="0" xfId="0" applyAlignment="1" applyBorder="1" applyFont="1">
      <alignment horizontal="center" shrinkToFit="0" vertical="center" wrapText="1"/>
    </xf>
    <xf borderId="89" fillId="2" fontId="77" numFmtId="0" xfId="0" applyAlignment="1" applyBorder="1" applyFont="1">
      <alignment horizontal="center" shrinkToFit="0" vertical="center" wrapText="1"/>
    </xf>
    <xf borderId="1" fillId="2" fontId="77" numFmtId="0" xfId="0" applyAlignment="1" applyBorder="1" applyFont="1">
      <alignment horizontal="center" shrinkToFit="0" vertical="center" wrapText="1"/>
    </xf>
    <xf borderId="28" fillId="2" fontId="77" numFmtId="164" xfId="0" applyAlignment="1" applyBorder="1" applyFont="1" applyNumberFormat="1">
      <alignment horizontal="center" shrinkToFit="0" vertical="center" wrapText="1"/>
    </xf>
    <xf borderId="1" fillId="2" fontId="77" numFmtId="164" xfId="0" applyAlignment="1" applyBorder="1" applyFont="1" applyNumberFormat="1">
      <alignment horizontal="center" shrinkToFit="0" vertical="center" wrapText="1"/>
    </xf>
    <xf borderId="0" fillId="0" fontId="77" numFmtId="0" xfId="0" applyAlignment="1" applyFont="1">
      <alignment horizontal="center" shrinkToFit="0" vertical="center" wrapText="1"/>
    </xf>
    <xf borderId="0" fillId="0" fontId="15" numFmtId="164" xfId="0" applyAlignment="1" applyFont="1" applyNumberFormat="1">
      <alignment horizontal="center"/>
    </xf>
    <xf borderId="11" fillId="18" fontId="16" numFmtId="0" xfId="0" applyBorder="1" applyFont="1"/>
    <xf borderId="19" fillId="18" fontId="16" numFmtId="0" xfId="0" applyBorder="1" applyFont="1"/>
    <xf borderId="45" fillId="0" fontId="23" numFmtId="0" xfId="0" applyBorder="1" applyFont="1"/>
    <xf borderId="54" fillId="61" fontId="23" numFmtId="0" xfId="0" applyBorder="1" applyFont="1"/>
    <xf borderId="15" fillId="0" fontId="23" numFmtId="0" xfId="0" applyBorder="1" applyFont="1"/>
    <xf borderId="30" fillId="61" fontId="23" numFmtId="0" xfId="0" applyBorder="1" applyFont="1"/>
    <xf borderId="30" fillId="15" fontId="23" numFmtId="0" xfId="0" applyBorder="1" applyFont="1"/>
    <xf borderId="30" fillId="0" fontId="23" numFmtId="0" xfId="0" applyBorder="1" applyFont="1"/>
    <xf borderId="59" fillId="0" fontId="23" numFmtId="0" xfId="0" applyBorder="1" applyFont="1"/>
    <xf borderId="61" fillId="0" fontId="23" numFmtId="0" xfId="0" applyBorder="1" applyFont="1"/>
    <xf borderId="55" fillId="39" fontId="61" numFmtId="0" xfId="0" applyAlignment="1" applyBorder="1" applyFont="1">
      <alignment vertical="center"/>
    </xf>
    <xf borderId="105" fillId="97" fontId="16" numFmtId="0" xfId="0" applyAlignment="1" applyBorder="1" applyFont="1">
      <alignment horizontal="center"/>
    </xf>
    <xf borderId="140" fillId="0" fontId="11" numFmtId="0" xfId="0" applyBorder="1" applyFont="1"/>
    <xf borderId="141" fillId="0" fontId="11" numFmtId="0" xfId="0" applyBorder="1" applyFont="1"/>
    <xf borderId="4" fillId="97" fontId="16" numFmtId="0" xfId="0" applyAlignment="1" applyBorder="1" applyFont="1">
      <alignment horizontal="center"/>
    </xf>
    <xf borderId="15" fillId="75" fontId="15" numFmtId="0" xfId="0" applyBorder="1" applyFont="1"/>
    <xf borderId="15" fillId="25" fontId="15" numFmtId="0" xfId="0" applyBorder="1" applyFont="1"/>
    <xf borderId="59" fillId="25" fontId="15" numFmtId="0" xfId="0" applyBorder="1" applyFont="1"/>
    <xf borderId="45" fillId="98" fontId="16" numFmtId="0" xfId="0" applyBorder="1" applyFill="1" applyFont="1"/>
    <xf borderId="48" fillId="98" fontId="16" numFmtId="0" xfId="0" applyBorder="1" applyFont="1"/>
    <xf borderId="54" fillId="98" fontId="16" numFmtId="0" xfId="0" applyBorder="1" applyFont="1"/>
    <xf borderId="23" fillId="98" fontId="16" numFmtId="0" xfId="0" applyBorder="1" applyFont="1"/>
    <xf borderId="1" fillId="98" fontId="16" numFmtId="0" xfId="0" applyBorder="1" applyFont="1"/>
    <xf borderId="28" fillId="99" fontId="15" numFmtId="0" xfId="0" applyBorder="1" applyFill="1" applyFont="1"/>
    <xf borderId="28" fillId="75" fontId="15" numFmtId="0" xfId="0" applyBorder="1" applyFont="1"/>
    <xf borderId="30" fillId="75" fontId="15" numFmtId="164" xfId="0" applyBorder="1" applyFont="1" applyNumberFormat="1"/>
    <xf borderId="123" fillId="75" fontId="15" numFmtId="2" xfId="0" applyBorder="1" applyFont="1" applyNumberFormat="1"/>
    <xf borderId="30" fillId="25" fontId="15" numFmtId="164" xfId="0" applyBorder="1" applyFont="1" applyNumberFormat="1"/>
    <xf borderId="123" fillId="25" fontId="15" numFmtId="2" xfId="0" applyBorder="1" applyFont="1" applyNumberFormat="1"/>
    <xf borderId="1" fillId="100" fontId="16" numFmtId="0" xfId="0" applyBorder="1" applyFill="1" applyFont="1"/>
    <xf borderId="1" fillId="100" fontId="45" numFmtId="0" xfId="0" applyAlignment="1" applyBorder="1" applyFont="1">
      <alignment readingOrder="0"/>
    </xf>
    <xf borderId="61" fillId="25" fontId="15" numFmtId="164" xfId="0" applyBorder="1" applyFont="1" applyNumberFormat="1"/>
    <xf borderId="134" fillId="25" fontId="15" numFmtId="2" xfId="0" applyBorder="1" applyFont="1" applyNumberFormat="1"/>
    <xf borderId="1" fillId="69" fontId="16" numFmtId="0" xfId="0" applyBorder="1" applyFont="1"/>
    <xf borderId="1" fillId="69" fontId="45" numFmtId="0" xfId="0" applyAlignment="1" applyBorder="1" applyFont="1">
      <alignment readingOrder="0"/>
    </xf>
    <xf borderId="142" fillId="101" fontId="15" numFmtId="0" xfId="0" applyAlignment="1" applyBorder="1" applyFill="1" applyFont="1">
      <alignment horizontal="center"/>
    </xf>
    <xf borderId="105" fillId="61" fontId="15" numFmtId="0" xfId="0" applyAlignment="1" applyBorder="1" applyFont="1">
      <alignment horizontal="center"/>
    </xf>
    <xf borderId="55" fillId="63" fontId="16" numFmtId="0" xfId="0" applyBorder="1" applyFont="1"/>
    <xf borderId="143" fillId="63" fontId="16" numFmtId="0" xfId="0" applyAlignment="1" applyBorder="1" applyFont="1">
      <alignment horizontal="center"/>
    </xf>
    <xf borderId="144" fillId="0" fontId="11" numFmtId="0" xfId="0" applyBorder="1" applyFont="1"/>
    <xf borderId="0" fillId="0" fontId="16" numFmtId="0" xfId="0" applyFont="1"/>
    <xf borderId="55" fillId="63" fontId="16" numFmtId="0" xfId="0" applyAlignment="1" applyBorder="1" applyFont="1">
      <alignment horizontal="center"/>
    </xf>
    <xf borderId="58" fillId="63" fontId="16" numFmtId="0" xfId="0" applyAlignment="1" applyBorder="1" applyFont="1">
      <alignment horizontal="center"/>
    </xf>
    <xf borderId="129" fillId="0" fontId="15" numFmtId="2" xfId="0" applyBorder="1" applyFont="1" applyNumberFormat="1"/>
    <xf borderId="55" fillId="41" fontId="61" numFmtId="0" xfId="0" applyAlignment="1" applyBorder="1" applyFont="1">
      <alignment vertical="center"/>
    </xf>
    <xf borderId="132" fillId="0" fontId="15" numFmtId="2" xfId="0" applyBorder="1" applyFont="1" applyNumberFormat="1"/>
    <xf borderId="28" fillId="0" fontId="23" numFmtId="0" xfId="0" applyAlignment="1" applyBorder="1" applyFont="1">
      <alignment horizontal="center" shrinkToFit="0" vertical="center" wrapText="1"/>
    </xf>
    <xf borderId="28" fillId="102" fontId="23" numFmtId="0" xfId="0" applyAlignment="1" applyBorder="1" applyFill="1" applyFont="1">
      <alignment horizontal="center" shrinkToFit="0" vertical="center" wrapText="1"/>
    </xf>
    <xf borderId="28" fillId="86" fontId="23" numFmtId="2" xfId="0" applyAlignment="1" applyBorder="1" applyFont="1" applyNumberFormat="1">
      <alignment horizontal="left" shrinkToFit="0" vertical="center" wrapText="1"/>
    </xf>
    <xf borderId="28" fillId="86" fontId="23" numFmtId="0" xfId="0" applyAlignment="1" applyBorder="1" applyFont="1">
      <alignment shrinkToFit="0" vertical="center" wrapText="1"/>
    </xf>
    <xf borderId="28" fillId="48" fontId="23" numFmtId="0" xfId="0" applyAlignment="1" applyBorder="1" applyFont="1">
      <alignment horizontal="center" shrinkToFit="0" vertical="center" wrapText="1"/>
    </xf>
    <xf borderId="28" fillId="15" fontId="23" numFmtId="0" xfId="0" applyAlignment="1" applyBorder="1" applyFont="1">
      <alignment horizontal="center" shrinkToFit="0" vertical="center" wrapText="1"/>
    </xf>
    <xf borderId="28" fillId="64" fontId="23" numFmtId="0" xfId="0" applyAlignment="1" applyBorder="1" applyFont="1">
      <alignment horizontal="center" shrinkToFit="0" vertical="center" wrapText="1"/>
    </xf>
    <xf borderId="6" fillId="0" fontId="23" numFmtId="0" xfId="0" applyAlignment="1" applyBorder="1" applyFont="1">
      <alignment horizontal="center" shrinkToFit="0" vertical="center" wrapText="1"/>
    </xf>
    <xf borderId="10" fillId="0" fontId="82" numFmtId="0" xfId="0" applyAlignment="1" applyBorder="1" applyFont="1">
      <alignment horizontal="center" shrinkToFit="0" vertical="center" wrapText="1"/>
    </xf>
    <xf borderId="145" fillId="0" fontId="83" numFmtId="2" xfId="0" applyAlignment="1" applyBorder="1" applyFont="1" applyNumberFormat="1">
      <alignment horizontal="center" shrinkToFit="0" vertical="center" wrapText="1"/>
    </xf>
    <xf borderId="0" fillId="0" fontId="83" numFmtId="2" xfId="0" applyAlignment="1" applyFont="1" applyNumberFormat="1">
      <alignment horizontal="center" shrinkToFit="0" vertical="center" wrapText="1"/>
    </xf>
    <xf borderId="0" fillId="0" fontId="15" numFmtId="0" xfId="0" applyAlignment="1" applyFont="1">
      <alignment horizontal="center" readingOrder="0" vertical="center"/>
    </xf>
    <xf borderId="0" fillId="0" fontId="6" numFmtId="0" xfId="0" applyAlignment="1" applyFont="1">
      <alignment horizontal="center"/>
    </xf>
    <xf borderId="112" fillId="2" fontId="15" numFmtId="0" xfId="0" applyAlignment="1" applyBorder="1" applyFont="1">
      <alignment horizontal="center" vertical="center"/>
    </xf>
    <xf borderId="143" fillId="9" fontId="16" numFmtId="0" xfId="0" applyAlignment="1" applyBorder="1" applyFont="1">
      <alignment horizontal="center" vertical="center"/>
    </xf>
    <xf borderId="146" fillId="0" fontId="11" numFmtId="0" xfId="0" applyBorder="1" applyFont="1"/>
    <xf borderId="143" fillId="62" fontId="16" numFmtId="0" xfId="0" applyAlignment="1" applyBorder="1" applyFont="1">
      <alignment horizontal="center" vertical="center"/>
    </xf>
    <xf borderId="143" fillId="9" fontId="45" numFmtId="0" xfId="0" applyAlignment="1" applyBorder="1" applyFont="1">
      <alignment horizontal="center" readingOrder="0" vertical="center"/>
    </xf>
    <xf borderId="147" fillId="9" fontId="16" numFmtId="0" xfId="0" applyAlignment="1" applyBorder="1" applyFont="1">
      <alignment horizontal="center" vertical="center"/>
    </xf>
    <xf borderId="0" fillId="9" fontId="45" numFmtId="0" xfId="0" applyAlignment="1" applyFont="1">
      <alignment horizontal="center" readingOrder="0" vertical="center"/>
    </xf>
    <xf borderId="28" fillId="51" fontId="41" numFmtId="0" xfId="0" applyAlignment="1" applyBorder="1" applyFont="1">
      <alignment horizontal="center"/>
    </xf>
    <xf borderId="28" fillId="0" fontId="15" numFmtId="0" xfId="0" applyAlignment="1" applyBorder="1" applyFont="1">
      <alignment horizontal="center"/>
    </xf>
    <xf borderId="28" fillId="102" fontId="15" numFmtId="0" xfId="0" applyAlignment="1" applyBorder="1" applyFont="1">
      <alignment horizontal="center"/>
    </xf>
    <xf borderId="28" fillId="86" fontId="84" numFmtId="2" xfId="0" applyAlignment="1" applyBorder="1" applyFont="1" applyNumberFormat="1">
      <alignment horizontal="left"/>
    </xf>
    <xf borderId="28" fillId="86" fontId="85" numFmtId="2" xfId="0" applyBorder="1" applyFont="1" applyNumberFormat="1"/>
    <xf borderId="28" fillId="48" fontId="15" numFmtId="0" xfId="0" applyAlignment="1" applyBorder="1" applyFont="1">
      <alignment horizontal="center"/>
    </xf>
    <xf borderId="28" fillId="15" fontId="15" numFmtId="0" xfId="0" applyAlignment="1" applyBorder="1" applyFont="1">
      <alignment horizontal="center"/>
    </xf>
    <xf borderId="28" fillId="64" fontId="15" numFmtId="0" xfId="0" applyAlignment="1" applyBorder="1" applyFont="1">
      <alignment horizontal="center"/>
    </xf>
    <xf borderId="28" fillId="0" fontId="15" numFmtId="2" xfId="0" applyBorder="1" applyFont="1" applyNumberFormat="1"/>
    <xf borderId="28" fillId="2" fontId="16" numFmtId="1" xfId="0" applyBorder="1" applyFont="1" applyNumberFormat="1"/>
    <xf borderId="28" fillId="2" fontId="86" numFmtId="1" xfId="0" applyBorder="1" applyFont="1" applyNumberFormat="1"/>
    <xf borderId="1" fillId="2" fontId="16" numFmtId="1" xfId="0" applyBorder="1" applyFont="1" applyNumberFormat="1"/>
    <xf borderId="8" fillId="14" fontId="6" numFmtId="0" xfId="0" applyAlignment="1" applyBorder="1" applyFont="1">
      <alignment horizontal="center"/>
    </xf>
    <xf borderId="0" fillId="0" fontId="6" numFmtId="0" xfId="0" applyAlignment="1" applyFont="1">
      <alignment horizontal="center" vertical="center"/>
    </xf>
    <xf borderId="148" fillId="2" fontId="15" numFmtId="0" xfId="0" applyBorder="1" applyFont="1"/>
    <xf borderId="126" fillId="97" fontId="6" numFmtId="0" xfId="0" applyAlignment="1" applyBorder="1" applyFont="1">
      <alignment horizontal="center"/>
    </xf>
    <xf borderId="127" fillId="97" fontId="6" numFmtId="0" xfId="0" applyAlignment="1" applyBorder="1" applyFont="1">
      <alignment horizontal="center"/>
    </xf>
    <xf borderId="119" fillId="97" fontId="6" numFmtId="0" xfId="0" applyBorder="1" applyFont="1"/>
    <xf borderId="149" fillId="97" fontId="6" numFmtId="0" xfId="0" applyAlignment="1" applyBorder="1" applyFont="1">
      <alignment horizontal="center"/>
    </xf>
    <xf borderId="0" fillId="97" fontId="6" numFmtId="0" xfId="0" applyAlignment="1" applyFont="1">
      <alignment horizontal="center"/>
    </xf>
    <xf borderId="0" fillId="97" fontId="6" numFmtId="0" xfId="0" applyFont="1"/>
    <xf borderId="15" fillId="2" fontId="6" numFmtId="0" xfId="0" applyAlignment="1" applyBorder="1" applyFont="1">
      <alignment horizontal="center" vertical="center"/>
    </xf>
    <xf borderId="28" fillId="2" fontId="6" numFmtId="0" xfId="0" applyAlignment="1" applyBorder="1" applyFont="1">
      <alignment horizontal="center" vertical="center"/>
    </xf>
    <xf borderId="30" fillId="2" fontId="6" numFmtId="0" xfId="0" applyAlignment="1" applyBorder="1" applyFont="1">
      <alignment horizontal="center" vertical="center"/>
    </xf>
    <xf borderId="150" fillId="2" fontId="15" numFmtId="0" xfId="0" applyBorder="1" applyFont="1"/>
    <xf borderId="86" fillId="97" fontId="6" numFmtId="0" xfId="0" applyAlignment="1" applyBorder="1" applyFont="1">
      <alignment horizontal="center"/>
    </xf>
    <xf borderId="151" fillId="97" fontId="6" numFmtId="0" xfId="0" applyAlignment="1" applyBorder="1" applyFont="1">
      <alignment horizontal="center"/>
    </xf>
    <xf borderId="152" fillId="97" fontId="6" numFmtId="0" xfId="0" applyBorder="1" applyFont="1"/>
    <xf borderId="153" fillId="97" fontId="6" numFmtId="0" xfId="0" applyAlignment="1" applyBorder="1" applyFont="1">
      <alignment horizontal="center"/>
    </xf>
    <xf borderId="15" fillId="0" fontId="15" numFmtId="0" xfId="0" applyBorder="1" applyFont="1"/>
    <xf borderId="28" fillId="0" fontId="15" numFmtId="2" xfId="0" applyBorder="1" applyFont="1" applyNumberFormat="1"/>
    <xf borderId="28" fillId="0" fontId="15" numFmtId="0" xfId="0" applyBorder="1" applyFont="1"/>
    <xf borderId="28" fillId="15" fontId="15" numFmtId="0" xfId="0" applyBorder="1" applyFont="1"/>
    <xf borderId="30" fillId="0" fontId="15" numFmtId="0" xfId="0" applyBorder="1" applyFont="1"/>
    <xf borderId="40" fillId="0" fontId="15" numFmtId="0" xfId="0" applyBorder="1" applyFont="1"/>
    <xf borderId="110" fillId="2" fontId="15" numFmtId="0" xfId="0" applyAlignment="1" applyBorder="1" applyFont="1">
      <alignment horizontal="center"/>
    </xf>
    <xf borderId="118" fillId="2" fontId="15" numFmtId="0" xfId="0" applyAlignment="1" applyBorder="1" applyFont="1">
      <alignment horizontal="center"/>
    </xf>
    <xf borderId="118" fillId="2" fontId="15" numFmtId="164" xfId="0" applyAlignment="1" applyBorder="1" applyFont="1" applyNumberFormat="1">
      <alignment horizontal="center"/>
    </xf>
    <xf borderId="154" fillId="2" fontId="15" numFmtId="0" xfId="0" applyAlignment="1" applyBorder="1" applyFont="1">
      <alignment horizontal="center"/>
    </xf>
    <xf borderId="155" fillId="2" fontId="15" numFmtId="0" xfId="0" applyAlignment="1" applyBorder="1" applyFont="1">
      <alignment horizontal="center"/>
    </xf>
    <xf borderId="0" fillId="2" fontId="15" numFmtId="0" xfId="0" applyAlignment="1" applyFont="1">
      <alignment horizontal="center"/>
    </xf>
    <xf borderId="0" fillId="2" fontId="15" numFmtId="164" xfId="0" applyAlignment="1" applyFont="1" applyNumberFormat="1">
      <alignment horizontal="center"/>
    </xf>
    <xf borderId="15" fillId="2" fontId="15" numFmtId="0" xfId="0" applyAlignment="1" applyBorder="1" applyFont="1">
      <alignment horizontal="center"/>
    </xf>
    <xf borderId="28" fillId="2" fontId="15" numFmtId="164" xfId="0" applyAlignment="1" applyBorder="1" applyFont="1" applyNumberFormat="1">
      <alignment horizontal="center"/>
    </xf>
    <xf borderId="30" fillId="2" fontId="15" numFmtId="0" xfId="0" applyAlignment="1" applyBorder="1" applyFont="1">
      <alignment horizontal="center"/>
    </xf>
    <xf borderId="55" fillId="42" fontId="61" numFmtId="0" xfId="0" applyAlignment="1" applyBorder="1" applyFont="1">
      <alignment vertical="center"/>
    </xf>
    <xf borderId="47" fillId="0" fontId="15" numFmtId="0" xfId="0" applyAlignment="1" applyBorder="1" applyFont="1">
      <alignment horizontal="center" vertical="center"/>
    </xf>
    <xf borderId="156" fillId="0" fontId="15" numFmtId="0" xfId="0" applyBorder="1" applyFont="1"/>
    <xf borderId="60" fillId="2" fontId="15" numFmtId="0" xfId="0" applyAlignment="1" applyBorder="1" applyFont="1">
      <alignment horizontal="center"/>
    </xf>
    <xf borderId="60" fillId="2" fontId="15" numFmtId="164" xfId="0" applyAlignment="1" applyBorder="1" applyFont="1" applyNumberFormat="1">
      <alignment horizontal="center"/>
    </xf>
    <xf borderId="61" fillId="2" fontId="15" numFmtId="0" xfId="0" applyAlignment="1" applyBorder="1" applyFont="1">
      <alignment horizontal="center"/>
    </xf>
    <xf borderId="50" fillId="2" fontId="15" numFmtId="0" xfId="0" applyAlignment="1" applyBorder="1" applyFont="1">
      <alignment horizontal="center"/>
    </xf>
    <xf borderId="157" fillId="2" fontId="15" numFmtId="0" xfId="0" applyAlignment="1" applyBorder="1" applyFont="1">
      <alignment horizontal="center"/>
    </xf>
    <xf borderId="85" fillId="2" fontId="15" numFmtId="0" xfId="0" applyAlignment="1" applyBorder="1" applyFont="1">
      <alignment horizontal="center"/>
    </xf>
    <xf borderId="28" fillId="86" fontId="87" numFmtId="2" xfId="0" applyAlignment="1" applyBorder="1" applyFont="1" applyNumberFormat="1">
      <alignment readingOrder="0"/>
    </xf>
    <xf borderId="85" fillId="2" fontId="15" numFmtId="164" xfId="0" applyAlignment="1" applyBorder="1" applyFont="1" applyNumberFormat="1">
      <alignment horizontal="center"/>
    </xf>
    <xf borderId="92" fillId="2" fontId="15" numFmtId="164" xfId="0" applyAlignment="1" applyBorder="1" applyFont="1" applyNumberFormat="1">
      <alignment horizontal="center"/>
    </xf>
    <xf borderId="157" fillId="2" fontId="15" numFmtId="164" xfId="0" applyAlignment="1" applyBorder="1" applyFont="1" applyNumberFormat="1">
      <alignment horizontal="center"/>
    </xf>
    <xf borderId="55" fillId="43" fontId="61" numFmtId="0" xfId="0" applyAlignment="1" applyBorder="1" applyFont="1">
      <alignment vertical="center"/>
    </xf>
    <xf borderId="59" fillId="0" fontId="15" numFmtId="0" xfId="0" applyBorder="1" applyFont="1"/>
    <xf borderId="60" fillId="0" fontId="15" numFmtId="2" xfId="0" applyBorder="1" applyFont="1" applyNumberFormat="1"/>
    <xf borderId="60" fillId="0" fontId="15" numFmtId="0" xfId="0" applyBorder="1" applyFont="1"/>
    <xf borderId="60" fillId="15" fontId="15" numFmtId="0" xfId="0" applyBorder="1" applyFont="1"/>
    <xf borderId="61" fillId="0" fontId="15" numFmtId="0" xfId="0" applyBorder="1" applyFont="1"/>
    <xf borderId="143" fillId="2" fontId="16" numFmtId="0" xfId="0" applyAlignment="1" applyBorder="1" applyFont="1">
      <alignment horizontal="center" vertical="center"/>
    </xf>
    <xf borderId="158" fillId="97" fontId="15" numFmtId="0" xfId="0" applyAlignment="1" applyBorder="1" applyFont="1">
      <alignment horizontal="center"/>
    </xf>
    <xf borderId="33" fillId="97" fontId="15" numFmtId="0" xfId="0" applyAlignment="1" applyBorder="1" applyFont="1">
      <alignment horizontal="center"/>
    </xf>
    <xf borderId="33" fillId="103" fontId="15" numFmtId="0" xfId="0" applyAlignment="1" applyBorder="1" applyFill="1" applyFont="1">
      <alignment horizontal="center"/>
    </xf>
    <xf borderId="111" fillId="103" fontId="15" numFmtId="0" xfId="0" applyAlignment="1" applyBorder="1" applyFont="1">
      <alignment horizontal="center" readingOrder="0"/>
    </xf>
    <xf borderId="0" fillId="13" fontId="1" numFmtId="0" xfId="0" applyAlignment="1" applyFont="1">
      <alignment horizontal="center" readingOrder="0"/>
    </xf>
    <xf borderId="82" fillId="0" fontId="15" numFmtId="0" xfId="0" applyBorder="1" applyFont="1"/>
    <xf borderId="56" fillId="47" fontId="15" numFmtId="0" xfId="0" applyAlignment="1" applyBorder="1" applyFont="1">
      <alignment horizontal="center"/>
    </xf>
    <xf borderId="28" fillId="47" fontId="15" numFmtId="0" xfId="0" applyAlignment="1" applyBorder="1" applyFont="1">
      <alignment horizontal="center"/>
    </xf>
    <xf borderId="28" fillId="0" fontId="15" numFmtId="164" xfId="0" applyAlignment="1" applyBorder="1" applyFont="1" applyNumberFormat="1">
      <alignment horizontal="center"/>
    </xf>
    <xf borderId="6" fillId="47" fontId="15" numFmtId="0" xfId="0" applyAlignment="1" applyBorder="1" applyFont="1">
      <alignment horizontal="center"/>
    </xf>
    <xf borderId="28" fillId="0" fontId="1" numFmtId="0" xfId="0" applyAlignment="1" applyBorder="1" applyFont="1">
      <alignment horizontal="center"/>
    </xf>
    <xf borderId="15" fillId="0" fontId="6" numFmtId="0" xfId="0" applyAlignment="1" applyBorder="1" applyFont="1">
      <alignment horizontal="center" vertical="center"/>
    </xf>
    <xf borderId="28" fillId="0" fontId="6" numFmtId="0" xfId="0" applyAlignment="1" applyBorder="1" applyFont="1">
      <alignment horizontal="center" vertical="center"/>
    </xf>
    <xf borderId="30" fillId="0" fontId="6" numFmtId="0" xfId="0" applyAlignment="1" applyBorder="1" applyFont="1">
      <alignment horizontal="center" vertical="center"/>
    </xf>
    <xf borderId="90" fillId="0" fontId="15" numFmtId="0" xfId="0" applyBorder="1" applyFont="1"/>
    <xf borderId="0" fillId="0" fontId="3" numFmtId="0" xfId="0" applyFont="1"/>
    <xf borderId="6" fillId="2" fontId="15" numFmtId="0" xfId="0" applyAlignment="1" applyBorder="1" applyFont="1">
      <alignment horizontal="center"/>
    </xf>
    <xf borderId="28" fillId="3" fontId="1" numFmtId="0" xfId="0" applyAlignment="1" applyBorder="1" applyFont="1">
      <alignment horizontal="center"/>
    </xf>
    <xf borderId="60" fillId="0" fontId="15" numFmtId="164" xfId="0" applyAlignment="1" applyBorder="1" applyFont="1" applyNumberFormat="1">
      <alignment horizontal="center"/>
    </xf>
    <xf borderId="67" fillId="2" fontId="15" numFmtId="0" xfId="0" applyAlignment="1" applyBorder="1" applyFont="1">
      <alignment horizontal="center"/>
    </xf>
    <xf borderId="55" fillId="44" fontId="82" numFmtId="0" xfId="0" applyAlignment="1" applyBorder="1" applyFont="1">
      <alignment vertical="center"/>
    </xf>
    <xf borderId="102" fillId="2" fontId="5" numFmtId="0" xfId="0" applyAlignment="1" applyBorder="1" applyFont="1">
      <alignment readingOrder="0"/>
    </xf>
    <xf borderId="159" fillId="94" fontId="3" numFmtId="0" xfId="0" applyBorder="1" applyFont="1"/>
    <xf borderId="13" fillId="94" fontId="3" numFmtId="0" xfId="0" applyBorder="1" applyFont="1"/>
    <xf borderId="52" fillId="94" fontId="3" numFmtId="0" xfId="0" applyBorder="1" applyFont="1"/>
    <xf borderId="160" fillId="94" fontId="3" numFmtId="0" xfId="0" applyBorder="1" applyFont="1"/>
    <xf borderId="161" fillId="94" fontId="3" numFmtId="0" xfId="0" applyBorder="1" applyFont="1"/>
    <xf borderId="24" fillId="94" fontId="3" numFmtId="0" xfId="0" applyBorder="1" applyFont="1"/>
    <xf borderId="162" fillId="9" fontId="6" numFmtId="0" xfId="0" applyBorder="1" applyFont="1"/>
    <xf borderId="20" fillId="97" fontId="6" numFmtId="0" xfId="0" applyAlignment="1" applyBorder="1" applyFont="1">
      <alignment horizontal="center"/>
    </xf>
    <xf borderId="22" fillId="97" fontId="6" numFmtId="0" xfId="0" applyAlignment="1" applyBorder="1" applyFont="1">
      <alignment horizontal="center"/>
    </xf>
    <xf borderId="163" fillId="97" fontId="50" numFmtId="0" xfId="0" applyAlignment="1" applyBorder="1" applyFont="1">
      <alignment horizontal="center" readingOrder="0"/>
    </xf>
    <xf borderId="164" fillId="97" fontId="6" numFmtId="0" xfId="0" applyAlignment="1" applyBorder="1" applyFont="1">
      <alignment horizontal="center"/>
    </xf>
    <xf borderId="20" fillId="10" fontId="50" numFmtId="0" xfId="0" applyAlignment="1" applyBorder="1" applyFont="1">
      <alignment horizontal="center" readingOrder="0"/>
    </xf>
    <xf borderId="22" fillId="10" fontId="50" numFmtId="0" xfId="0" applyAlignment="1" applyBorder="1" applyFont="1">
      <alignment horizontal="center" readingOrder="0"/>
    </xf>
    <xf borderId="24" fillId="10" fontId="50" numFmtId="0" xfId="0" applyAlignment="1" applyBorder="1" applyFont="1">
      <alignment horizontal="center" readingOrder="0"/>
    </xf>
    <xf borderId="24" fillId="97" fontId="6" numFmtId="0" xfId="0" applyAlignment="1" applyBorder="1" applyFont="1">
      <alignment horizontal="center"/>
    </xf>
    <xf borderId="165" fillId="101" fontId="6" numFmtId="0" xfId="0" applyAlignment="1" applyBorder="1" applyFont="1">
      <alignment horizontal="center"/>
    </xf>
    <xf borderId="48" fillId="101" fontId="6" numFmtId="0" xfId="0" applyAlignment="1" applyBorder="1" applyFont="1">
      <alignment horizontal="center"/>
    </xf>
    <xf borderId="54" fillId="101" fontId="6" numFmtId="0" xfId="0" applyAlignment="1" applyBorder="1" applyFont="1">
      <alignment horizontal="center"/>
    </xf>
    <xf borderId="166" fillId="101" fontId="6" numFmtId="0" xfId="0" applyAlignment="1" applyBorder="1" applyFont="1">
      <alignment horizontal="center"/>
    </xf>
    <xf borderId="167" fillId="49" fontId="6" numFmtId="0" xfId="0" applyAlignment="1" applyBorder="1" applyFont="1">
      <alignment horizontal="center"/>
    </xf>
    <xf borderId="48" fillId="49" fontId="6" numFmtId="0" xfId="0" applyAlignment="1" applyBorder="1" applyFont="1">
      <alignment horizontal="center"/>
    </xf>
    <xf borderId="54" fillId="49" fontId="6" numFmtId="0" xfId="0" applyAlignment="1" applyBorder="1" applyFont="1">
      <alignment horizontal="center"/>
    </xf>
    <xf borderId="168" fillId="49" fontId="6" numFmtId="0" xfId="0" applyAlignment="1" applyBorder="1" applyFont="1">
      <alignment horizontal="center"/>
    </xf>
    <xf borderId="169" fillId="16" fontId="41" numFmtId="0" xfId="0" applyBorder="1" applyFont="1"/>
    <xf borderId="37" fillId="2" fontId="15" numFmtId="1" xfId="0" applyAlignment="1" applyBorder="1" applyFont="1" applyNumberFormat="1">
      <alignment horizontal="center" vertical="center"/>
    </xf>
    <xf borderId="28" fillId="2" fontId="15" numFmtId="1" xfId="0" applyAlignment="1" applyBorder="1" applyFont="1" applyNumberFormat="1">
      <alignment horizontal="center" vertical="center"/>
    </xf>
    <xf borderId="30" fillId="2" fontId="15" numFmtId="164" xfId="0" applyAlignment="1" applyBorder="1" applyFont="1" applyNumberFormat="1">
      <alignment horizontal="center"/>
    </xf>
    <xf borderId="168" fillId="2" fontId="15" numFmtId="1" xfId="0" applyAlignment="1" applyBorder="1" applyFont="1" applyNumberFormat="1">
      <alignment horizontal="center"/>
    </xf>
    <xf borderId="37" fillId="3" fontId="15" numFmtId="1" xfId="0" applyAlignment="1" applyBorder="1" applyFont="1" applyNumberFormat="1">
      <alignment horizontal="center"/>
    </xf>
    <xf borderId="28" fillId="3" fontId="15" numFmtId="1" xfId="0" applyAlignment="1" applyBorder="1" applyFont="1" applyNumberFormat="1">
      <alignment horizontal="center"/>
    </xf>
    <xf borderId="28" fillId="3" fontId="15" numFmtId="164" xfId="0" applyAlignment="1" applyBorder="1" applyFont="1" applyNumberFormat="1">
      <alignment horizontal="center"/>
    </xf>
    <xf borderId="38" fillId="3" fontId="15" numFmtId="1" xfId="0" applyAlignment="1" applyBorder="1" applyFont="1" applyNumberFormat="1">
      <alignment horizontal="center"/>
    </xf>
    <xf borderId="37" fillId="3" fontId="15" numFmtId="2" xfId="0" applyAlignment="1" applyBorder="1" applyFont="1" applyNumberFormat="1">
      <alignment horizontal="center"/>
    </xf>
    <xf borderId="28" fillId="2" fontId="15" numFmtId="2" xfId="0" applyAlignment="1" applyBorder="1" applyFont="1" applyNumberFormat="1">
      <alignment horizontal="center"/>
    </xf>
    <xf borderId="38" fillId="2" fontId="15" numFmtId="2" xfId="0" applyAlignment="1" applyBorder="1" applyFont="1" applyNumberFormat="1">
      <alignment horizontal="center"/>
    </xf>
    <xf borderId="10" fillId="2" fontId="15" numFmtId="0" xfId="0" applyAlignment="1" applyBorder="1" applyFont="1">
      <alignment horizontal="center"/>
    </xf>
    <xf borderId="166" fillId="2" fontId="15" numFmtId="0" xfId="0" applyAlignment="1" applyBorder="1" applyFont="1">
      <alignment horizontal="center"/>
    </xf>
    <xf borderId="37" fillId="2" fontId="15" numFmtId="1" xfId="0" applyAlignment="1" applyBorder="1" applyFont="1" applyNumberFormat="1">
      <alignment horizontal="center"/>
    </xf>
    <xf borderId="15" fillId="101" fontId="6" numFmtId="0" xfId="0" applyAlignment="1" applyBorder="1" applyFont="1">
      <alignment horizontal="center" vertical="center"/>
    </xf>
    <xf borderId="28" fillId="101" fontId="6" numFmtId="0" xfId="0" applyAlignment="1" applyBorder="1" applyFont="1">
      <alignment horizontal="center" vertical="center"/>
    </xf>
    <xf borderId="30" fillId="101" fontId="6" numFmtId="0" xfId="0" applyAlignment="1" applyBorder="1" applyFont="1">
      <alignment horizontal="center" vertical="center"/>
    </xf>
    <xf borderId="0" fillId="0" fontId="20" numFmtId="0" xfId="0" applyFont="1"/>
    <xf borderId="28" fillId="64" fontId="15" numFmtId="0" xfId="0" applyBorder="1" applyFont="1"/>
    <xf borderId="55" fillId="104" fontId="61" numFmtId="0" xfId="0" applyAlignment="1" applyBorder="1" applyFill="1" applyFont="1">
      <alignment vertical="center"/>
    </xf>
    <xf borderId="28" fillId="52" fontId="41" numFmtId="0" xfId="0" applyAlignment="1" applyBorder="1" applyFont="1">
      <alignment horizontal="center"/>
    </xf>
    <xf borderId="169" fillId="104" fontId="6" numFmtId="0" xfId="0" applyBorder="1" applyFont="1"/>
    <xf borderId="28" fillId="3" fontId="15" numFmtId="2" xfId="0" applyAlignment="1" applyBorder="1" applyFont="1" applyNumberFormat="1">
      <alignment horizontal="center"/>
    </xf>
    <xf borderId="38" fillId="3" fontId="15" numFmtId="2" xfId="0" applyAlignment="1" applyBorder="1" applyFont="1" applyNumberFormat="1">
      <alignment horizontal="center"/>
    </xf>
    <xf borderId="170" fillId="104" fontId="6" numFmtId="0" xfId="0" applyBorder="1" applyFont="1"/>
    <xf borderId="171" fillId="2" fontId="15" numFmtId="0" xfId="0" applyAlignment="1" applyBorder="1" applyFont="1">
      <alignment horizontal="center"/>
    </xf>
    <xf borderId="47" fillId="2" fontId="15" numFmtId="0" xfId="0" applyAlignment="1" applyBorder="1" applyFont="1">
      <alignment horizontal="center"/>
    </xf>
    <xf borderId="1" fillId="97" fontId="6" numFmtId="0" xfId="0" applyBorder="1" applyFont="1"/>
    <xf borderId="172" fillId="2" fontId="15" numFmtId="164" xfId="0" applyAlignment="1" applyBorder="1" applyFont="1" applyNumberFormat="1">
      <alignment horizontal="center"/>
    </xf>
    <xf borderId="173" fillId="2" fontId="15" numFmtId="0" xfId="0" applyAlignment="1" applyBorder="1" applyFont="1">
      <alignment horizontal="center"/>
    </xf>
    <xf borderId="15" fillId="0" fontId="15" numFmtId="0" xfId="0" applyAlignment="1" applyBorder="1" applyFont="1">
      <alignment horizontal="center"/>
    </xf>
    <xf borderId="47" fillId="0" fontId="33" numFmtId="0" xfId="0" applyAlignment="1" applyBorder="1" applyFont="1">
      <alignment horizontal="center" shrinkToFit="0" vertical="center" wrapText="1"/>
    </xf>
    <xf borderId="47" fillId="0" fontId="23" numFmtId="0" xfId="0" applyAlignment="1" applyBorder="1" applyFont="1">
      <alignment horizontal="center" shrinkToFit="0" vertical="center" wrapText="1"/>
    </xf>
    <xf borderId="49" fillId="105" fontId="23" numFmtId="0" xfId="0" applyAlignment="1" applyBorder="1" applyFill="1" applyFont="1">
      <alignment horizontal="center" shrinkToFit="0" vertical="center" wrapText="1"/>
    </xf>
    <xf borderId="49" fillId="90" fontId="23" numFmtId="0" xfId="0" applyAlignment="1" applyBorder="1" applyFont="1">
      <alignment horizontal="center" shrinkToFit="0" vertical="center" wrapText="1"/>
    </xf>
    <xf borderId="49" fillId="47" fontId="23" numFmtId="0" xfId="0" applyAlignment="1" applyBorder="1" applyFont="1">
      <alignment horizontal="center" shrinkToFit="0" vertical="center" wrapText="1"/>
    </xf>
    <xf borderId="49" fillId="46" fontId="23" numFmtId="0" xfId="0" applyAlignment="1" applyBorder="1" applyFont="1">
      <alignment horizontal="center" shrinkToFit="0" vertical="center" wrapText="1"/>
    </xf>
    <xf borderId="49" fillId="15" fontId="23" numFmtId="0" xfId="0" applyAlignment="1" applyBorder="1" applyFont="1">
      <alignment horizontal="center" shrinkToFit="0" vertical="center" wrapText="1"/>
    </xf>
    <xf borderId="49" fillId="64" fontId="23" numFmtId="0" xfId="0" applyAlignment="1" applyBorder="1" applyFont="1">
      <alignment horizontal="center" shrinkToFit="0" vertical="center" wrapText="1"/>
    </xf>
    <xf borderId="174" fillId="0" fontId="82" numFmtId="0" xfId="0" applyAlignment="1" applyBorder="1" applyFont="1">
      <alignment shrinkToFit="0" vertical="center" wrapText="1"/>
    </xf>
    <xf borderId="171" fillId="0" fontId="82" numFmtId="0" xfId="0" applyAlignment="1" applyBorder="1" applyFont="1">
      <alignment shrinkToFit="0" vertical="center" wrapText="1"/>
    </xf>
    <xf borderId="47" fillId="0" fontId="82" numFmtId="0" xfId="0" applyAlignment="1" applyBorder="1" applyFont="1">
      <alignment shrinkToFit="0" vertical="center" wrapText="1"/>
    </xf>
    <xf borderId="145" fillId="0" fontId="82" numFmtId="2" xfId="0" applyAlignment="1" applyBorder="1" applyFont="1" applyNumberFormat="1">
      <alignment shrinkToFit="0" vertical="center" wrapText="1"/>
    </xf>
    <xf borderId="0" fillId="0" fontId="82" numFmtId="2" xfId="0" applyAlignment="1" applyFont="1" applyNumberFormat="1">
      <alignment shrinkToFit="0" vertical="center" wrapText="1"/>
    </xf>
    <xf borderId="89" fillId="2" fontId="15" numFmtId="0" xfId="0" applyAlignment="1" applyBorder="1" applyFont="1">
      <alignment horizontal="center" vertical="center"/>
    </xf>
    <xf borderId="175" fillId="106" fontId="27" numFmtId="0" xfId="0" applyAlignment="1" applyBorder="1" applyFill="1" applyFont="1">
      <alignment horizontal="center" readingOrder="0"/>
    </xf>
    <xf borderId="45" fillId="36" fontId="41" numFmtId="0" xfId="0" applyAlignment="1" applyBorder="1" applyFont="1">
      <alignment horizontal="center"/>
    </xf>
    <xf borderId="69" fillId="106" fontId="88" numFmtId="1" xfId="0" applyAlignment="1" applyBorder="1" applyFont="1" applyNumberFormat="1">
      <alignment horizontal="center"/>
    </xf>
    <xf borderId="176" fillId="106" fontId="88" numFmtId="1" xfId="0" applyAlignment="1" applyBorder="1" applyFont="1" applyNumberFormat="1">
      <alignment horizontal="center"/>
    </xf>
    <xf borderId="127" fillId="0" fontId="15" numFmtId="0" xfId="0" applyAlignment="1" applyBorder="1" applyFont="1">
      <alignment horizontal="center"/>
    </xf>
    <xf borderId="3" fillId="47" fontId="15" numFmtId="0" xfId="0" applyAlignment="1" applyBorder="1" applyFont="1">
      <alignment horizontal="center"/>
    </xf>
    <xf borderId="176" fillId="106" fontId="88" numFmtId="164" xfId="0" applyAlignment="1" applyBorder="1" applyFont="1" applyNumberFormat="1">
      <alignment horizontal="center"/>
    </xf>
    <xf borderId="48" fillId="0" fontId="15" numFmtId="0" xfId="0" applyAlignment="1" applyBorder="1" applyFont="1">
      <alignment horizontal="center"/>
    </xf>
    <xf borderId="3" fillId="105" fontId="15" numFmtId="0" xfId="0" applyBorder="1" applyFont="1"/>
    <xf borderId="177" fillId="106" fontId="88" numFmtId="1" xfId="0" applyAlignment="1" applyBorder="1" applyFont="1" applyNumberFormat="1">
      <alignment horizontal="center"/>
    </xf>
    <xf borderId="3" fillId="90" fontId="89" numFmtId="2" xfId="0" applyBorder="1" applyFont="1" applyNumberFormat="1"/>
    <xf borderId="69" fillId="106" fontId="88" numFmtId="2" xfId="0" applyAlignment="1" applyBorder="1" applyFont="1" applyNumberFormat="1">
      <alignment horizontal="center"/>
    </xf>
    <xf borderId="3" fillId="47" fontId="90" numFmtId="2" xfId="0" applyBorder="1" applyFont="1" applyNumberFormat="1"/>
    <xf borderId="176" fillId="106" fontId="88" numFmtId="2" xfId="0" applyAlignment="1" applyBorder="1" applyFont="1" applyNumberFormat="1">
      <alignment horizontal="center"/>
    </xf>
    <xf borderId="3" fillId="46" fontId="15" numFmtId="0" xfId="0" applyBorder="1" applyFont="1"/>
    <xf borderId="177" fillId="106" fontId="88" numFmtId="2" xfId="0" applyAlignment="1" applyBorder="1" applyFont="1" applyNumberFormat="1">
      <alignment horizontal="center"/>
    </xf>
    <xf borderId="27" fillId="106" fontId="88" numFmtId="0" xfId="0" applyAlignment="1" applyBorder="1" applyFont="1">
      <alignment horizontal="center"/>
    </xf>
    <xf borderId="48" fillId="15" fontId="15" numFmtId="0" xfId="0" applyAlignment="1" applyBorder="1" applyFont="1">
      <alignment horizontal="center"/>
    </xf>
    <xf borderId="17" fillId="106" fontId="88" numFmtId="0" xfId="0" applyAlignment="1" applyBorder="1" applyFont="1">
      <alignment horizontal="center"/>
    </xf>
    <xf borderId="17" fillId="106" fontId="88" numFmtId="164" xfId="0" applyAlignment="1" applyBorder="1" applyFont="1" applyNumberFormat="1">
      <alignment horizontal="center"/>
    </xf>
    <xf borderId="48" fillId="64" fontId="15" numFmtId="0" xfId="0" applyAlignment="1" applyBorder="1" applyFont="1">
      <alignment horizontal="center"/>
    </xf>
    <xf borderId="26" fillId="106" fontId="88" numFmtId="0" xfId="0" applyAlignment="1" applyBorder="1" applyFont="1">
      <alignment horizontal="center"/>
    </xf>
    <xf borderId="176" fillId="106" fontId="88" numFmtId="0" xfId="0" applyAlignment="1" applyBorder="1" applyFont="1">
      <alignment horizontal="center"/>
    </xf>
    <xf borderId="48" fillId="0" fontId="15" numFmtId="2" xfId="0" applyBorder="1" applyFont="1" applyNumberFormat="1"/>
    <xf borderId="48" fillId="2" fontId="16" numFmtId="1" xfId="0" applyAlignment="1" applyBorder="1" applyFont="1" applyNumberFormat="1">
      <alignment horizontal="center"/>
    </xf>
    <xf borderId="48" fillId="2" fontId="15" numFmtId="2" xfId="0" applyBorder="1" applyFont="1" applyNumberFormat="1"/>
    <xf borderId="4" fillId="2" fontId="16" numFmtId="1" xfId="0" applyAlignment="1" applyBorder="1" applyFont="1" applyNumberFormat="1">
      <alignment horizontal="center"/>
    </xf>
    <xf borderId="100" fillId="2" fontId="15" numFmtId="0" xfId="0" applyBorder="1" applyFont="1"/>
    <xf borderId="86" fillId="49" fontId="15" numFmtId="0" xfId="0" applyAlignment="1" applyBorder="1" applyFont="1">
      <alignment horizontal="center" shrinkToFit="0" vertical="center" wrapText="1"/>
    </xf>
    <xf borderId="151" fillId="101" fontId="15" numFmtId="0" xfId="0" applyAlignment="1" applyBorder="1" applyFont="1">
      <alignment horizontal="center" shrinkToFit="0" vertical="center" wrapText="1"/>
    </xf>
    <xf borderId="152" fillId="61" fontId="15" numFmtId="0" xfId="0" applyAlignment="1" applyBorder="1" applyFont="1">
      <alignment horizontal="center" shrinkToFit="0" vertical="center" wrapText="1"/>
    </xf>
    <xf borderId="0" fillId="61" fontId="15" numFmtId="0" xfId="0" applyAlignment="1" applyFont="1">
      <alignment horizontal="center" readingOrder="0" shrinkToFit="0" vertical="center" wrapText="1"/>
    </xf>
    <xf borderId="15" fillId="36" fontId="41" numFmtId="0" xfId="0" applyAlignment="1" applyBorder="1" applyFont="1">
      <alignment horizontal="center"/>
    </xf>
    <xf borderId="1" fillId="47" fontId="15" numFmtId="0" xfId="0" applyAlignment="1" applyBorder="1" applyFont="1">
      <alignment horizontal="center"/>
    </xf>
    <xf borderId="1" fillId="105" fontId="15" numFmtId="0" xfId="0" applyBorder="1" applyFont="1"/>
    <xf borderId="1" fillId="90" fontId="91" numFmtId="2" xfId="0" applyBorder="1" applyFont="1" applyNumberFormat="1"/>
    <xf borderId="1" fillId="47" fontId="92" numFmtId="2" xfId="0" applyBorder="1" applyFont="1" applyNumberFormat="1"/>
    <xf borderId="82" fillId="107" fontId="15" numFmtId="0" xfId="0" applyBorder="1" applyFill="1" applyFont="1"/>
    <xf borderId="165" fillId="0" fontId="15" numFmtId="1" xfId="0" applyAlignment="1" applyBorder="1" applyFont="1" applyNumberFormat="1">
      <alignment horizontal="center"/>
    </xf>
    <xf borderId="48" fillId="0" fontId="15" numFmtId="1" xfId="0" applyAlignment="1" applyBorder="1" applyFont="1" applyNumberFormat="1">
      <alignment horizontal="center"/>
    </xf>
    <xf borderId="48" fillId="2" fontId="15" numFmtId="164" xfId="0" applyAlignment="1" applyBorder="1" applyFont="1" applyNumberFormat="1">
      <alignment horizontal="center"/>
    </xf>
    <xf borderId="28" fillId="2" fontId="16" numFmtId="1" xfId="0" applyAlignment="1" applyBorder="1" applyFont="1" applyNumberFormat="1">
      <alignment horizontal="center"/>
    </xf>
    <xf borderId="54" fillId="0" fontId="15" numFmtId="1" xfId="0" applyAlignment="1" applyBorder="1" applyFont="1" applyNumberFormat="1">
      <alignment horizontal="center"/>
    </xf>
    <xf borderId="58" fillId="2" fontId="16" numFmtId="1" xfId="0" applyAlignment="1" applyBorder="1" applyFont="1" applyNumberFormat="1">
      <alignment horizontal="center"/>
    </xf>
    <xf borderId="84" fillId="61" fontId="15" numFmtId="0" xfId="0" applyBorder="1" applyFont="1"/>
    <xf borderId="178" fillId="0" fontId="15" numFmtId="1" xfId="0" applyAlignment="1" applyBorder="1" applyFont="1" applyNumberFormat="1">
      <alignment horizontal="center"/>
    </xf>
    <xf borderId="60" fillId="0" fontId="15" numFmtId="1" xfId="0" applyAlignment="1" applyBorder="1" applyFont="1" applyNumberFormat="1">
      <alignment horizontal="center"/>
    </xf>
    <xf borderId="61" fillId="0" fontId="15" numFmtId="1" xfId="0" applyAlignment="1" applyBorder="1" applyFont="1" applyNumberFormat="1">
      <alignment horizontal="center"/>
    </xf>
    <xf borderId="179" fillId="0" fontId="15" numFmtId="0" xfId="0" applyAlignment="1" applyBorder="1" applyFont="1">
      <alignment horizontal="center"/>
    </xf>
    <xf borderId="33" fillId="0" fontId="15" numFmtId="0" xfId="0" applyAlignment="1" applyBorder="1" applyFont="1">
      <alignment horizontal="center"/>
    </xf>
    <xf borderId="111" fillId="0" fontId="15" numFmtId="0" xfId="0" applyAlignment="1" applyBorder="1" applyFont="1">
      <alignment horizontal="center"/>
    </xf>
    <xf borderId="158" fillId="0" fontId="15" numFmtId="0" xfId="0" applyAlignment="1" applyBorder="1" applyFont="1">
      <alignment horizontal="center"/>
    </xf>
    <xf borderId="1" fillId="36" fontId="15" numFmtId="0" xfId="0" applyBorder="1" applyFont="1"/>
    <xf borderId="1" fillId="48" fontId="15" numFmtId="0" xfId="0" applyAlignment="1" applyBorder="1" applyFont="1">
      <alignment horizontal="center"/>
    </xf>
    <xf borderId="113" fillId="97" fontId="6" numFmtId="0" xfId="0" applyBorder="1" applyFont="1"/>
    <xf borderId="114" fillId="97" fontId="6" numFmtId="0" xfId="0" applyBorder="1" applyFont="1"/>
    <xf borderId="60" fillId="64" fontId="15" numFmtId="0" xfId="0" applyBorder="1" applyFont="1"/>
    <xf borderId="1" fillId="71" fontId="15" numFmtId="0" xfId="0" applyBorder="1" applyFont="1"/>
    <xf borderId="15" fillId="101" fontId="6" numFmtId="0" xfId="0" applyAlignment="1" applyBorder="1" applyFont="1">
      <alignment horizontal="center" vertical="center"/>
    </xf>
    <xf borderId="28" fillId="101" fontId="6" numFmtId="0" xfId="0" applyAlignment="1" applyBorder="1" applyFont="1">
      <alignment horizontal="center" vertical="center"/>
    </xf>
    <xf borderId="30" fillId="101" fontId="6" numFmtId="0" xfId="0" applyAlignment="1" applyBorder="1" applyFont="1">
      <alignment horizontal="center" vertical="center"/>
    </xf>
    <xf borderId="28" fillId="36" fontId="15" numFmtId="0" xfId="0" applyBorder="1" applyFont="1"/>
    <xf borderId="28" fillId="15" fontId="15" numFmtId="0" xfId="0" applyBorder="1" applyFont="1"/>
    <xf borderId="30" fillId="36" fontId="15" numFmtId="0" xfId="0" applyBorder="1" applyFont="1"/>
    <xf borderId="0" fillId="0" fontId="93" numFmtId="0" xfId="0" applyFont="1"/>
    <xf borderId="0" fillId="0" fontId="94" numFmtId="0" xfId="0" applyFont="1"/>
    <xf borderId="0" fillId="0" fontId="95" numFmtId="0" xfId="0" applyFont="1"/>
    <xf borderId="0" fillId="0" fontId="96" numFmtId="0" xfId="0" applyFont="1"/>
    <xf borderId="0" fillId="0" fontId="97" numFmtId="0" xfId="0" applyFont="1"/>
    <xf borderId="15" fillId="0" fontId="15" numFmtId="0" xfId="0" applyBorder="1" applyFont="1"/>
    <xf borderId="0" fillId="0" fontId="98" numFmtId="0" xfId="0" applyFont="1"/>
    <xf borderId="0" fillId="0" fontId="99" numFmtId="0" xfId="0" applyFont="1"/>
    <xf borderId="0" fillId="0" fontId="100" numFmtId="2" xfId="0" applyFont="1" applyNumberFormat="1"/>
    <xf borderId="0" fillId="0" fontId="101" numFmtId="0" xfId="0" applyFont="1"/>
    <xf borderId="0" fillId="0" fontId="102" numFmtId="0" xfId="0" applyFont="1"/>
    <xf borderId="1" fillId="46" fontId="15" numFmtId="0" xfId="0" applyAlignment="1" applyBorder="1" applyFont="1">
      <alignment horizontal="center"/>
    </xf>
    <xf borderId="1" fillId="70" fontId="15" numFmtId="0" xfId="0" applyBorder="1" applyFont="1"/>
    <xf borderId="59" fillId="36" fontId="41" numFmtId="0" xfId="0" applyAlignment="1" applyBorder="1" applyFont="1">
      <alignment horizontal="center"/>
    </xf>
    <xf borderId="63" fillId="36" fontId="15" numFmtId="0" xfId="0" applyBorder="1" applyFont="1"/>
    <xf borderId="133" fillId="0" fontId="15" numFmtId="0" xfId="0" applyAlignment="1" applyBorder="1" applyFont="1">
      <alignment horizontal="center"/>
    </xf>
    <xf borderId="63" fillId="46" fontId="15" numFmtId="0" xfId="0" applyAlignment="1" applyBorder="1" applyFont="1">
      <alignment horizontal="center"/>
    </xf>
    <xf borderId="60" fillId="0" fontId="15" numFmtId="0" xfId="0" applyAlignment="1" applyBorder="1" applyFont="1">
      <alignment horizontal="center"/>
    </xf>
    <xf borderId="63" fillId="105" fontId="15" numFmtId="0" xfId="0" applyBorder="1" applyFont="1"/>
    <xf borderId="63" fillId="90" fontId="103" numFmtId="2" xfId="0" applyBorder="1" applyFont="1" applyNumberFormat="1"/>
    <xf borderId="63" fillId="47" fontId="104" numFmtId="2" xfId="0" applyBorder="1" applyFont="1" applyNumberFormat="1"/>
    <xf borderId="63" fillId="46" fontId="15" numFmtId="0" xfId="0" applyBorder="1" applyFont="1"/>
    <xf borderId="60" fillId="15" fontId="15" numFmtId="0" xfId="0" applyAlignment="1" applyBorder="1" applyFont="1">
      <alignment horizontal="center"/>
    </xf>
    <xf borderId="60" fillId="64" fontId="15" numFmtId="0" xfId="0" applyAlignment="1" applyBorder="1" applyFont="1">
      <alignment horizontal="center"/>
    </xf>
    <xf borderId="60" fillId="0" fontId="15" numFmtId="2" xfId="0" applyBorder="1" applyFont="1" applyNumberFormat="1"/>
    <xf borderId="60" fillId="2" fontId="16" numFmtId="1" xfId="0" applyAlignment="1" applyBorder="1" applyFont="1" applyNumberFormat="1">
      <alignment horizontal="center"/>
    </xf>
    <xf borderId="60" fillId="2" fontId="15" numFmtId="2" xfId="0" applyBorder="1" applyFont="1" applyNumberFormat="1"/>
    <xf borderId="65" fillId="2" fontId="16" numFmtId="1" xfId="0" applyAlignment="1" applyBorder="1" applyFont="1" applyNumberFormat="1">
      <alignment horizontal="center"/>
    </xf>
    <xf borderId="45" fillId="70" fontId="41" numFmtId="0" xfId="0" applyAlignment="1" applyBorder="1" applyFont="1">
      <alignment horizontal="center"/>
    </xf>
    <xf borderId="0" fillId="0" fontId="105" numFmtId="0" xfId="0" applyFont="1"/>
    <xf borderId="0" fillId="0" fontId="106" numFmtId="0" xfId="0" applyFont="1"/>
    <xf borderId="15" fillId="70" fontId="41" numFmtId="0" xfId="0" applyAlignment="1" applyBorder="1" applyFont="1">
      <alignment horizontal="center"/>
    </xf>
    <xf borderId="59" fillId="0" fontId="15" numFmtId="0" xfId="0" applyBorder="1" applyFont="1"/>
    <xf borderId="60" fillId="36" fontId="15" numFmtId="0" xfId="0" applyBorder="1" applyFont="1"/>
    <xf borderId="60" fillId="15" fontId="15" numFmtId="0" xfId="0" applyBorder="1" applyFont="1"/>
    <xf borderId="61" fillId="36" fontId="15" numFmtId="0" xfId="0" applyBorder="1" applyFont="1"/>
    <xf borderId="30" fillId="0" fontId="15" numFmtId="2" xfId="0" applyBorder="1" applyFont="1" applyNumberFormat="1"/>
    <xf borderId="1" fillId="49" fontId="98" numFmtId="0" xfId="0" applyBorder="1" applyFont="1"/>
    <xf borderId="1" fillId="49" fontId="93" numFmtId="0" xfId="0" applyBorder="1" applyFont="1"/>
    <xf borderId="1" fillId="49" fontId="107" numFmtId="0" xfId="0" applyBorder="1" applyFont="1"/>
    <xf borderId="1" fillId="49" fontId="108" numFmtId="2" xfId="0" applyBorder="1" applyFont="1" applyNumberFormat="1"/>
    <xf borderId="1" fillId="49" fontId="109" numFmtId="0" xfId="0" applyBorder="1" applyFont="1"/>
    <xf borderId="1" fillId="2" fontId="98" numFmtId="0" xfId="0" applyBorder="1" applyFont="1"/>
    <xf borderId="1" fillId="2" fontId="93" numFmtId="0" xfId="0" applyBorder="1" applyFont="1"/>
    <xf borderId="1" fillId="2" fontId="110" numFmtId="0" xfId="0" applyBorder="1" applyFont="1"/>
    <xf borderId="93" fillId="2" fontId="16" numFmtId="0" xfId="0" applyAlignment="1" applyBorder="1" applyFont="1">
      <alignment horizontal="center" vertical="center"/>
    </xf>
    <xf borderId="1" fillId="2" fontId="15" numFmtId="0" xfId="0" applyAlignment="1" applyBorder="1" applyFont="1">
      <alignment horizontal="center"/>
    </xf>
    <xf borderId="86" fillId="97" fontId="41" numFmtId="0" xfId="0" applyAlignment="1" applyBorder="1" applyFont="1">
      <alignment horizontal="center" shrinkToFit="0" vertical="center" wrapText="1"/>
    </xf>
    <xf borderId="152" fillId="97" fontId="41" numFmtId="0" xfId="0" applyAlignment="1" applyBorder="1" applyFont="1">
      <alignment horizontal="center" shrinkToFit="0" vertical="center" wrapText="1"/>
    </xf>
    <xf borderId="86" fillId="49" fontId="41" numFmtId="0" xfId="0" applyAlignment="1" applyBorder="1" applyFont="1">
      <alignment horizontal="center" shrinkToFit="0" vertical="center" wrapText="1"/>
    </xf>
    <xf borderId="152" fillId="49" fontId="41" numFmtId="0" xfId="0" applyAlignment="1" applyBorder="1" applyFont="1">
      <alignment horizontal="center" shrinkToFit="0" vertical="center" wrapText="1"/>
    </xf>
    <xf borderId="86" fillId="61" fontId="41" numFmtId="0" xfId="0" applyAlignment="1" applyBorder="1" applyFont="1">
      <alignment horizontal="center" shrinkToFit="0" vertical="center" wrapText="1"/>
    </xf>
    <xf borderId="152" fillId="61" fontId="41" numFmtId="0" xfId="0" applyAlignment="1" applyBorder="1" applyFont="1">
      <alignment horizontal="center" shrinkToFit="0" vertical="center" wrapText="1"/>
    </xf>
    <xf borderId="104" fillId="101" fontId="41" numFmtId="0" xfId="0" applyAlignment="1" applyBorder="1" applyFont="1">
      <alignment horizontal="center" shrinkToFit="0" vertical="center" wrapText="1"/>
    </xf>
    <xf borderId="86" fillId="14" fontId="41" numFmtId="0" xfId="0" applyAlignment="1" applyBorder="1" applyFont="1">
      <alignment horizontal="center" shrinkToFit="0" wrapText="1"/>
    </xf>
    <xf borderId="151" fillId="14" fontId="41" numFmtId="0" xfId="0" applyAlignment="1" applyBorder="1" applyFont="1">
      <alignment horizontal="center" shrinkToFit="0" wrapText="1"/>
    </xf>
    <xf borderId="87" fillId="14" fontId="41" numFmtId="0" xfId="0" applyAlignment="1" applyBorder="1" applyFont="1">
      <alignment horizontal="center" shrinkToFit="0" wrapText="1"/>
    </xf>
    <xf borderId="2" fillId="2" fontId="50" numFmtId="0" xfId="0" applyAlignment="1" applyBorder="1" applyFont="1">
      <alignment horizontal="center" readingOrder="0" shrinkToFit="0" vertical="center" wrapText="1"/>
    </xf>
    <xf borderId="4" fillId="2" fontId="50" numFmtId="0" xfId="0" applyAlignment="1" applyBorder="1" applyFont="1">
      <alignment horizontal="center" readingOrder="0" shrinkToFit="0" vertical="center" wrapText="1"/>
    </xf>
    <xf borderId="28" fillId="32" fontId="41" numFmtId="0" xfId="0" applyAlignment="1" applyBorder="1" applyFont="1">
      <alignment horizontal="center"/>
    </xf>
    <xf borderId="8" fillId="0" fontId="15" numFmtId="0" xfId="0" applyBorder="1" applyFont="1"/>
    <xf borderId="110" fillId="47" fontId="15" numFmtId="0" xfId="0" applyAlignment="1" applyBorder="1" applyFont="1">
      <alignment horizontal="center"/>
    </xf>
    <xf borderId="154" fillId="47" fontId="15" numFmtId="0" xfId="0" applyAlignment="1" applyBorder="1" applyFont="1">
      <alignment horizontal="center"/>
    </xf>
    <xf borderId="158" fillId="0" fontId="15" numFmtId="164" xfId="0" applyAlignment="1" applyBorder="1" applyFont="1" applyNumberFormat="1">
      <alignment horizontal="center"/>
    </xf>
    <xf borderId="154" fillId="21" fontId="15" numFmtId="0" xfId="0" applyAlignment="1" applyBorder="1" applyFont="1">
      <alignment horizontal="center"/>
    </xf>
    <xf borderId="110" fillId="15" fontId="15" numFmtId="0" xfId="0" applyAlignment="1" applyBorder="1" applyFont="1">
      <alignment horizontal="center"/>
    </xf>
    <xf borderId="154" fillId="15" fontId="15" numFmtId="0" xfId="0" applyAlignment="1" applyBorder="1" applyFont="1">
      <alignment horizontal="center"/>
    </xf>
    <xf borderId="96" fillId="36" fontId="15" numFmtId="0" xfId="0" applyAlignment="1" applyBorder="1" applyFont="1">
      <alignment horizontal="center"/>
    </xf>
    <xf borderId="110" fillId="78" fontId="15" numFmtId="0" xfId="0" applyAlignment="1" applyBorder="1" applyFont="1">
      <alignment horizontal="center"/>
    </xf>
    <xf borderId="118" fillId="108" fontId="15" numFmtId="0" xfId="0" applyAlignment="1" applyBorder="1" applyFill="1" applyFont="1">
      <alignment horizontal="center"/>
    </xf>
    <xf borderId="96" fillId="109" fontId="15" numFmtId="0" xfId="0" applyAlignment="1" applyBorder="1" applyFill="1" applyFont="1">
      <alignment horizontal="center"/>
    </xf>
    <xf borderId="89" fillId="94" fontId="16" numFmtId="0" xfId="0" applyAlignment="1" applyBorder="1" applyFont="1">
      <alignment horizontal="center" vertical="center"/>
    </xf>
    <xf borderId="28" fillId="65" fontId="15" numFmtId="0" xfId="0" applyAlignment="1" applyBorder="1" applyFont="1">
      <alignment horizontal="center"/>
    </xf>
    <xf borderId="1" fillId="4" fontId="15" numFmtId="0" xfId="0" applyBorder="1" applyFont="1"/>
    <xf borderId="105" fillId="14" fontId="111" numFmtId="0" xfId="0" applyAlignment="1" applyBorder="1" applyFont="1">
      <alignment horizontal="center" vertical="center"/>
    </xf>
    <xf borderId="1" fillId="4" fontId="15" numFmtId="0" xfId="0" applyAlignment="1" applyBorder="1" applyFont="1">
      <alignment vertical="center"/>
    </xf>
    <xf borderId="143" fillId="14" fontId="111" numFmtId="0" xfId="0" applyAlignment="1" applyBorder="1" applyFont="1">
      <alignment horizontal="center" vertical="center"/>
    </xf>
    <xf borderId="180" fillId="14" fontId="111" numFmtId="0" xfId="0" applyAlignment="1" applyBorder="1" applyFont="1">
      <alignment horizontal="center" vertical="center"/>
    </xf>
    <xf borderId="181" fillId="0" fontId="11" numFmtId="0" xfId="0" applyBorder="1" applyFont="1"/>
    <xf borderId="126" fillId="93" fontId="15" numFmtId="0" xfId="0" applyAlignment="1" applyBorder="1" applyFont="1">
      <alignment horizontal="center"/>
    </xf>
    <xf borderId="182" fillId="0" fontId="11" numFmtId="0" xfId="0" applyBorder="1" applyFont="1"/>
    <xf borderId="143" fillId="4" fontId="42" numFmtId="0" xfId="0" applyAlignment="1" applyBorder="1" applyFont="1">
      <alignment horizontal="center" vertical="center"/>
    </xf>
    <xf borderId="155" fillId="93" fontId="21" numFmtId="0" xfId="0" applyAlignment="1" applyBorder="1" applyFont="1">
      <alignment horizontal="center" vertical="center"/>
    </xf>
    <xf borderId="118" fillId="93" fontId="21" numFmtId="0" xfId="0" applyAlignment="1" applyBorder="1" applyFont="1">
      <alignment horizontal="center" vertical="center"/>
    </xf>
    <xf borderId="96" fillId="93" fontId="21" numFmtId="0" xfId="0" applyAlignment="1" applyBorder="1" applyFont="1">
      <alignment horizontal="center" vertical="center"/>
    </xf>
    <xf borderId="104" fillId="93" fontId="16" numFmtId="0" xfId="0" applyAlignment="1" applyBorder="1" applyFont="1">
      <alignment horizontal="center" shrinkToFit="0" vertical="center" wrapText="1"/>
    </xf>
    <xf borderId="88" fillId="93" fontId="16" numFmtId="0" xfId="0" applyAlignment="1" applyBorder="1" applyFont="1">
      <alignment horizontal="center" shrinkToFit="0" vertical="center" wrapText="1"/>
    </xf>
    <xf borderId="113" fillId="93" fontId="16" numFmtId="0" xfId="0" applyAlignment="1" applyBorder="1" applyFont="1">
      <alignment horizontal="center" shrinkToFit="0" vertical="center" wrapText="1"/>
    </xf>
    <xf borderId="46" fillId="70" fontId="41" numFmtId="0" xfId="0" applyAlignment="1" applyBorder="1" applyFont="1">
      <alignment horizontal="center"/>
    </xf>
    <xf borderId="114" fillId="93" fontId="16" numFmtId="0" xfId="0" applyAlignment="1" applyBorder="1" applyFont="1">
      <alignment horizontal="center" shrinkToFit="0" vertical="center" wrapText="1"/>
    </xf>
    <xf borderId="47" fillId="0" fontId="15" numFmtId="0" xfId="0" applyAlignment="1" applyBorder="1" applyFont="1">
      <alignment horizontal="center"/>
    </xf>
    <xf borderId="104" fillId="93" fontId="112" numFmtId="0" xfId="0" applyAlignment="1" applyBorder="1" applyFont="1">
      <alignment horizontal="center" shrinkToFit="0" vertical="center" wrapText="1"/>
    </xf>
    <xf borderId="113" fillId="93" fontId="112" numFmtId="0" xfId="0" applyAlignment="1" applyBorder="1" applyFont="1">
      <alignment horizontal="center" shrinkToFit="0" vertical="center" wrapText="1"/>
    </xf>
    <xf borderId="114" fillId="93" fontId="112" numFmtId="0" xfId="0" applyAlignment="1" applyBorder="1" applyFont="1">
      <alignment horizontal="center" shrinkToFit="0" vertical="center" wrapText="1"/>
    </xf>
    <xf borderId="114" fillId="93" fontId="113" numFmtId="0" xfId="0" applyAlignment="1" applyBorder="1" applyFont="1">
      <alignment horizontal="center" shrinkToFit="0" vertical="center" wrapText="1"/>
    </xf>
    <xf borderId="86" fillId="93" fontId="112" numFmtId="0" xfId="0" applyAlignment="1" applyBorder="1" applyFont="1">
      <alignment horizontal="center" shrinkToFit="0" vertical="center" wrapText="1"/>
    </xf>
    <xf borderId="151" fillId="93" fontId="112" numFmtId="0" xfId="0" applyAlignment="1" applyBorder="1" applyFont="1">
      <alignment horizontal="center" shrinkToFit="0" vertical="center" wrapText="1"/>
    </xf>
    <xf borderId="152" fillId="93" fontId="113" numFmtId="0" xfId="0" applyAlignment="1" applyBorder="1" applyFont="1">
      <alignment horizontal="center" shrinkToFit="0" vertical="center" wrapText="1"/>
    </xf>
    <xf borderId="88" fillId="93" fontId="113" numFmtId="0" xfId="0" applyAlignment="1" applyBorder="1" applyFont="1">
      <alignment horizontal="center" shrinkToFit="0" vertical="center" wrapText="1"/>
    </xf>
    <xf borderId="49" fillId="15" fontId="15" numFmtId="0" xfId="0" applyAlignment="1" applyBorder="1" applyFont="1">
      <alignment horizontal="center"/>
    </xf>
    <xf borderId="113" fillId="93" fontId="113" numFmtId="0" xfId="0" applyAlignment="1" applyBorder="1" applyFont="1">
      <alignment horizontal="center" shrinkToFit="0" vertical="center" wrapText="1"/>
    </xf>
    <xf borderId="49" fillId="64" fontId="15" numFmtId="0" xfId="0" applyAlignment="1" applyBorder="1" applyFont="1">
      <alignment horizontal="center"/>
    </xf>
    <xf borderId="114" fillId="93" fontId="114" numFmtId="0" xfId="0" applyAlignment="1" applyBorder="1" applyFont="1">
      <alignment horizontal="center" shrinkToFit="0" vertical="center" wrapText="1"/>
    </xf>
    <xf borderId="88" fillId="93" fontId="112" numFmtId="0" xfId="0" applyAlignment="1" applyBorder="1" applyFont="1">
      <alignment horizontal="center" shrinkToFit="0" vertical="center" wrapText="1"/>
    </xf>
    <xf borderId="47" fillId="0" fontId="15" numFmtId="2" xfId="0" applyBorder="1" applyFont="1" applyNumberFormat="1"/>
    <xf borderId="49" fillId="2" fontId="16" numFmtId="1" xfId="0" applyAlignment="1" applyBorder="1" applyFont="1" applyNumberFormat="1">
      <alignment horizontal="center"/>
    </xf>
    <xf borderId="49" fillId="2" fontId="15" numFmtId="2" xfId="0" applyBorder="1" applyFont="1" applyNumberFormat="1"/>
    <xf borderId="165" fillId="0" fontId="15" numFmtId="0" xfId="0" applyAlignment="1" applyBorder="1" applyFont="1">
      <alignment horizontal="center"/>
    </xf>
    <xf borderId="10" fillId="0" fontId="15" numFmtId="0" xfId="0" applyAlignment="1" applyBorder="1" applyFont="1">
      <alignment horizontal="center"/>
    </xf>
    <xf borderId="183" fillId="0" fontId="11" numFmtId="0" xfId="0" applyBorder="1" applyFont="1"/>
    <xf borderId="184" fillId="0" fontId="11" numFmtId="0" xfId="0" applyBorder="1" applyFont="1"/>
    <xf borderId="28" fillId="28" fontId="15" numFmtId="0" xfId="0" applyAlignment="1" applyBorder="1" applyFont="1">
      <alignment horizontal="center"/>
    </xf>
    <xf borderId="55" fillId="93" fontId="16" numFmtId="0" xfId="0" applyAlignment="1" applyBorder="1" applyFont="1">
      <alignment horizontal="center" vertical="center"/>
    </xf>
    <xf borderId="1" fillId="93" fontId="16" numFmtId="0" xfId="0" applyAlignment="1" applyBorder="1" applyFont="1">
      <alignment horizontal="center" vertical="center"/>
    </xf>
    <xf borderId="58" fillId="93" fontId="16" numFmtId="0" xfId="0" applyAlignment="1" applyBorder="1" applyFont="1">
      <alignment horizontal="center" vertical="center"/>
    </xf>
    <xf borderId="1" fillId="4" fontId="115" numFmtId="0" xfId="0" applyBorder="1" applyFont="1"/>
    <xf borderId="56" fillId="61" fontId="23" numFmtId="0" xfId="0" applyAlignment="1" applyBorder="1" applyFont="1">
      <alignment horizontal="center" vertical="center"/>
    </xf>
    <xf borderId="28" fillId="15" fontId="23" numFmtId="0" xfId="0" applyAlignment="1" applyBorder="1" applyFont="1">
      <alignment horizontal="center" vertical="center"/>
    </xf>
    <xf borderId="89" fillId="15" fontId="23" numFmtId="2" xfId="0" applyAlignment="1" applyBorder="1" applyFont="1" applyNumberFormat="1">
      <alignment horizontal="center" vertical="center"/>
    </xf>
    <xf borderId="82" fillId="25" fontId="23" numFmtId="1" xfId="0" applyAlignment="1" applyBorder="1" applyFont="1" applyNumberFormat="1">
      <alignment horizontal="center" vertical="center"/>
    </xf>
    <xf borderId="185" fillId="25" fontId="23" numFmtId="0" xfId="0" applyAlignment="1" applyBorder="1" applyFont="1">
      <alignment horizontal="center" vertical="center"/>
    </xf>
    <xf borderId="155" fillId="110" fontId="23" numFmtId="0" xfId="0" applyAlignment="1" applyBorder="1" applyFill="1" applyFont="1">
      <alignment horizontal="center" vertical="center"/>
    </xf>
    <xf borderId="118" fillId="110" fontId="23" numFmtId="0" xfId="0" applyAlignment="1" applyBorder="1" applyFont="1">
      <alignment horizontal="center" vertical="center"/>
    </xf>
    <xf borderId="118" fillId="25" fontId="23" numFmtId="164" xfId="0" applyAlignment="1" applyBorder="1" applyFont="1" applyNumberFormat="1">
      <alignment horizontal="center" vertical="center"/>
    </xf>
    <xf borderId="154" fillId="107" fontId="23" numFmtId="0" xfId="0" applyAlignment="1" applyBorder="1" applyFont="1">
      <alignment horizontal="center" vertical="center"/>
    </xf>
    <xf borderId="110" fillId="111" fontId="23" numFmtId="0" xfId="0" applyAlignment="1" applyBorder="1" applyFill="1" applyFont="1">
      <alignment horizontal="center" vertical="center"/>
    </xf>
    <xf borderId="118" fillId="111" fontId="23" numFmtId="0" xfId="0" applyAlignment="1" applyBorder="1" applyFont="1">
      <alignment horizontal="center" vertical="center"/>
    </xf>
    <xf borderId="154" fillId="25" fontId="23" numFmtId="164" xfId="0" applyAlignment="1" applyBorder="1" applyFont="1" applyNumberFormat="1">
      <alignment horizontal="center" vertical="center"/>
    </xf>
    <xf borderId="107" fillId="90" fontId="23" numFmtId="1" xfId="0" applyAlignment="1" applyBorder="1" applyFont="1" applyNumberFormat="1">
      <alignment horizontal="center" vertical="center"/>
    </xf>
    <xf borderId="154" fillId="90" fontId="23" numFmtId="1" xfId="0" applyAlignment="1" applyBorder="1" applyFont="1" applyNumberFormat="1">
      <alignment horizontal="center" vertical="center"/>
    </xf>
    <xf borderId="111" fillId="0" fontId="23" numFmtId="164" xfId="0" applyAlignment="1" applyBorder="1" applyFont="1" applyNumberFormat="1">
      <alignment horizontal="center" vertical="center"/>
    </xf>
    <xf borderId="186" fillId="0" fontId="23" numFmtId="2" xfId="0" applyAlignment="1" applyBorder="1" applyFont="1" applyNumberFormat="1">
      <alignment horizontal="center" vertical="center"/>
    </xf>
    <xf borderId="125" fillId="25" fontId="23" numFmtId="1" xfId="0" applyAlignment="1" applyBorder="1" applyFont="1" applyNumberFormat="1">
      <alignment horizontal="center" vertical="center"/>
    </xf>
    <xf borderId="185" fillId="12" fontId="23" numFmtId="0" xfId="0" applyAlignment="1" applyBorder="1" applyFont="1">
      <alignment horizontal="center" vertical="center"/>
    </xf>
    <xf borderId="186" fillId="0" fontId="23" numFmtId="0" xfId="0" applyAlignment="1" applyBorder="1" applyFont="1">
      <alignment horizontal="center" vertical="center"/>
    </xf>
    <xf borderId="185" fillId="25" fontId="23" numFmtId="1" xfId="0" applyAlignment="1" applyBorder="1" applyFont="1" applyNumberFormat="1">
      <alignment horizontal="center" vertical="center"/>
    </xf>
    <xf borderId="1" fillId="12" fontId="15" numFmtId="1" xfId="0" applyBorder="1" applyFont="1" applyNumberFormat="1"/>
    <xf borderId="1" fillId="15" fontId="98" numFmtId="0" xfId="0" applyBorder="1" applyFont="1"/>
    <xf borderId="1" fillId="15" fontId="93" numFmtId="0" xfId="0" applyBorder="1" applyFont="1"/>
    <xf borderId="126" fillId="0" fontId="33" numFmtId="0" xfId="0" applyAlignment="1" applyBorder="1" applyFont="1">
      <alignment horizontal="center" shrinkToFit="0" vertical="center" wrapText="1"/>
    </xf>
    <xf borderId="1" fillId="15" fontId="116" numFmtId="0" xfId="0" applyBorder="1" applyFont="1"/>
    <xf borderId="1" fillId="15" fontId="102" numFmtId="0" xfId="0" applyBorder="1" applyFont="1"/>
    <xf borderId="1" fillId="15" fontId="117" numFmtId="2" xfId="0" applyBorder="1" applyFont="1" applyNumberFormat="1"/>
    <xf borderId="1" fillId="15" fontId="118" numFmtId="0" xfId="0" applyBorder="1" applyFont="1"/>
    <xf borderId="2" fillId="21" fontId="23" numFmtId="0" xfId="0" applyAlignment="1" applyBorder="1" applyFont="1">
      <alignment horizontal="center" vertical="center"/>
    </xf>
    <xf borderId="3" fillId="21" fontId="23" numFmtId="164" xfId="0" applyAlignment="1" applyBorder="1" applyFont="1" applyNumberFormat="1">
      <alignment horizontal="center" vertical="center"/>
    </xf>
    <xf borderId="4" fillId="49" fontId="23" numFmtId="0" xfId="0" applyAlignment="1" applyBorder="1" applyFont="1">
      <alignment horizontal="center" vertical="center"/>
    </xf>
    <xf borderId="1" fillId="22" fontId="83" numFmtId="0" xfId="0" applyAlignment="1" applyBorder="1" applyFont="1">
      <alignment horizontal="center" vertical="center"/>
    </xf>
    <xf borderId="30" fillId="94" fontId="16" numFmtId="0" xfId="0" applyAlignment="1" applyBorder="1" applyFont="1">
      <alignment horizontal="center" vertical="center"/>
    </xf>
    <xf borderId="1" fillId="22" fontId="83" numFmtId="164" xfId="0" applyAlignment="1" applyBorder="1" applyFont="1" applyNumberFormat="1">
      <alignment horizontal="center" vertical="center"/>
    </xf>
    <xf borderId="3" fillId="49" fontId="23" numFmtId="0" xfId="0" applyAlignment="1" applyBorder="1" applyFont="1">
      <alignment horizontal="center" vertical="center"/>
    </xf>
    <xf borderId="56" fillId="107" fontId="23" numFmtId="0" xfId="0" applyAlignment="1" applyBorder="1" applyFont="1">
      <alignment horizontal="center" vertical="center"/>
    </xf>
    <xf borderId="28" fillId="35" fontId="23" numFmtId="0" xfId="0" applyAlignment="1" applyBorder="1" applyFont="1">
      <alignment horizontal="center" vertical="center"/>
    </xf>
    <xf borderId="89" fillId="35" fontId="23" numFmtId="2" xfId="0" applyAlignment="1" applyBorder="1" applyFont="1" applyNumberFormat="1">
      <alignment horizontal="center" vertical="center"/>
    </xf>
    <xf borderId="90" fillId="25" fontId="23" numFmtId="0" xfId="0" applyAlignment="1" applyBorder="1" applyFont="1">
      <alignment horizontal="center" vertical="center"/>
    </xf>
    <xf borderId="1" fillId="14" fontId="3" numFmtId="0" xfId="0" applyAlignment="1" applyBorder="1" applyFont="1">
      <alignment vertical="center"/>
    </xf>
    <xf borderId="23" fillId="14" fontId="3" numFmtId="0" xfId="0" applyAlignment="1" applyBorder="1" applyFont="1">
      <alignment vertical="center"/>
    </xf>
    <xf borderId="143" fillId="14" fontId="3" numFmtId="0" xfId="0" applyAlignment="1" applyBorder="1" applyFont="1">
      <alignment horizontal="center" vertical="center"/>
    </xf>
    <xf borderId="187" fillId="0" fontId="11" numFmtId="0" xfId="0" applyBorder="1" applyFont="1"/>
    <xf borderId="1" fillId="86" fontId="15" numFmtId="0" xfId="0" applyBorder="1" applyFont="1"/>
    <xf borderId="1" fillId="61" fontId="15" numFmtId="0" xfId="0" applyBorder="1" applyFont="1"/>
    <xf borderId="61" fillId="94" fontId="16" numFmtId="0" xfId="0" applyAlignment="1" applyBorder="1" applyFont="1">
      <alignment horizontal="center" vertical="center"/>
    </xf>
    <xf borderId="1" fillId="56" fontId="15" numFmtId="49" xfId="0" applyAlignment="1" applyBorder="1" applyFont="1" applyNumberFormat="1">
      <alignment vertical="center"/>
    </xf>
    <xf borderId="57" fillId="0" fontId="15" numFmtId="0" xfId="0" applyAlignment="1" applyBorder="1" applyFont="1">
      <alignment vertical="center"/>
    </xf>
    <xf borderId="2" fillId="112" fontId="15" numFmtId="0" xfId="0" applyBorder="1" applyFill="1" applyFont="1"/>
    <xf borderId="45" fillId="21" fontId="15" numFmtId="0" xfId="0" applyBorder="1" applyFont="1"/>
    <xf borderId="54" fillId="21" fontId="15" numFmtId="0" xfId="0" applyBorder="1" applyFont="1"/>
    <xf borderId="188" fillId="21" fontId="15" numFmtId="0" xfId="0" applyAlignment="1" applyBorder="1" applyFont="1">
      <alignment horizontal="center" vertical="center"/>
    </xf>
    <xf borderId="189" fillId="0" fontId="11" numFmtId="0" xfId="0" applyBorder="1" applyFont="1"/>
    <xf borderId="64" fillId="0" fontId="15" numFmtId="0" xfId="0" applyAlignment="1" applyBorder="1" applyFont="1">
      <alignment vertical="center"/>
    </xf>
    <xf borderId="64" fillId="0" fontId="15" numFmtId="0" xfId="0" applyAlignment="1" applyBorder="1" applyFont="1">
      <alignment readingOrder="0" vertical="center"/>
    </xf>
    <xf borderId="2" fillId="2" fontId="16" numFmtId="0" xfId="0" applyBorder="1" applyFont="1"/>
    <xf borderId="3" fillId="2" fontId="16" numFmtId="0" xfId="0" applyBorder="1" applyFont="1"/>
    <xf borderId="4" fillId="2" fontId="16" numFmtId="0" xfId="0" applyBorder="1" applyFont="1"/>
    <xf borderId="0" fillId="0" fontId="15" numFmtId="49" xfId="0" applyAlignment="1" applyFont="1" applyNumberFormat="1">
      <alignment vertical="center"/>
    </xf>
    <xf borderId="55" fillId="112" fontId="15" numFmtId="0" xfId="0" applyBorder="1" applyFont="1"/>
    <xf borderId="15" fillId="47" fontId="15" numFmtId="0" xfId="0" applyBorder="1" applyFont="1"/>
    <xf borderId="30" fillId="47" fontId="15" numFmtId="0" xfId="0" applyBorder="1" applyFont="1"/>
    <xf borderId="190" fillId="0" fontId="11" numFmtId="0" xfId="0" applyBorder="1" applyFont="1"/>
    <xf borderId="191" fillId="0" fontId="11" numFmtId="0" xfId="0" applyBorder="1" applyFont="1"/>
    <xf borderId="105" fillId="103" fontId="15" numFmtId="0" xfId="0" applyAlignment="1" applyBorder="1" applyFont="1">
      <alignment horizontal="center" vertical="center"/>
    </xf>
    <xf borderId="15" fillId="15" fontId="15" numFmtId="0" xfId="0" applyBorder="1" applyFont="1"/>
    <xf borderId="30" fillId="15" fontId="15" numFmtId="0" xfId="0" applyBorder="1" applyFont="1"/>
    <xf borderId="55" fillId="36" fontId="15" numFmtId="0" xfId="0" applyBorder="1" applyFont="1"/>
    <xf borderId="83" fillId="2" fontId="15" numFmtId="0" xfId="0" applyAlignment="1" applyBorder="1" applyFont="1">
      <alignment horizontal="center"/>
    </xf>
    <xf borderId="61" fillId="2" fontId="15" numFmtId="0" xfId="0" applyAlignment="1" applyBorder="1" applyFont="1">
      <alignment horizontal="center" vertical="center"/>
    </xf>
    <xf borderId="46" fillId="15" fontId="15" numFmtId="0" xfId="0" applyBorder="1" applyFont="1"/>
    <xf borderId="0" fillId="0" fontId="15" numFmtId="0" xfId="0" applyAlignment="1" applyFont="1">
      <alignment vertical="center"/>
    </xf>
    <xf borderId="132" fillId="113" fontId="15" numFmtId="0" xfId="0" applyAlignment="1" applyBorder="1" applyFill="1" applyFont="1">
      <alignment readingOrder="0"/>
    </xf>
    <xf borderId="121" fillId="113" fontId="15" numFmtId="0" xfId="0" applyAlignment="1" applyBorder="1" applyFont="1">
      <alignment readingOrder="0"/>
    </xf>
    <xf borderId="132" fillId="58" fontId="15" numFmtId="0" xfId="0" applyAlignment="1" applyBorder="1" applyFont="1">
      <alignment readingOrder="0"/>
    </xf>
    <xf borderId="121" fillId="58" fontId="15" numFmtId="0" xfId="0" applyAlignment="1" applyBorder="1" applyFont="1">
      <alignment readingOrder="0"/>
    </xf>
    <xf borderId="129" fillId="0" fontId="11" numFmtId="0" xfId="0" applyBorder="1" applyFont="1"/>
    <xf borderId="55" fillId="21" fontId="23" numFmtId="0" xfId="0" applyAlignment="1" applyBorder="1" applyFont="1">
      <alignment horizontal="center" vertical="center"/>
    </xf>
    <xf borderId="62" fillId="112" fontId="15" numFmtId="0" xfId="0" applyBorder="1" applyFont="1"/>
    <xf borderId="59" fillId="36" fontId="15" numFmtId="0" xfId="0" applyBorder="1" applyFont="1"/>
    <xf borderId="61" fillId="36" fontId="15" numFmtId="0" xfId="0" applyBorder="1" applyFont="1"/>
    <xf borderId="192" fillId="0" fontId="11" numFmtId="0" xfId="0" applyBorder="1" applyFont="1"/>
    <xf borderId="1" fillId="21" fontId="23" numFmtId="164" xfId="0" applyAlignment="1" applyBorder="1" applyFont="1" applyNumberFormat="1">
      <alignment horizontal="center" vertical="center"/>
    </xf>
    <xf borderId="58" fillId="21" fontId="23" numFmtId="0" xfId="0" applyAlignment="1" applyBorder="1" applyFont="1">
      <alignment horizontal="center" vertical="center"/>
    </xf>
    <xf borderId="2" fillId="92" fontId="15" numFmtId="0" xfId="0" applyBorder="1" applyFont="1"/>
    <xf borderId="1" fillId="22" fontId="23" numFmtId="0" xfId="0" applyAlignment="1" applyBorder="1" applyFont="1">
      <alignment horizontal="center" vertical="center"/>
    </xf>
    <xf borderId="0" fillId="30" fontId="15" numFmtId="0" xfId="0" applyAlignment="1" applyFont="1">
      <alignment horizontal="center" vertical="center"/>
    </xf>
    <xf borderId="0" fillId="30" fontId="1" numFmtId="0" xfId="0" applyFont="1"/>
    <xf borderId="55" fillId="92" fontId="15" numFmtId="0" xfId="0" applyBorder="1" applyFont="1"/>
    <xf borderId="56" fillId="101" fontId="23" numFmtId="0" xfId="0" applyAlignment="1" applyBorder="1" applyFont="1">
      <alignment horizontal="center" vertical="center"/>
    </xf>
    <xf borderId="28" fillId="36" fontId="23" numFmtId="0" xfId="0" applyAlignment="1" applyBorder="1" applyFont="1">
      <alignment horizontal="center" vertical="center"/>
    </xf>
    <xf borderId="89" fillId="36" fontId="23" numFmtId="2" xfId="0" applyAlignment="1" applyBorder="1" applyFont="1" applyNumberFormat="1">
      <alignment horizontal="center" vertical="center"/>
    </xf>
    <xf borderId="62" fillId="92" fontId="15" numFmtId="0" xfId="0" applyBorder="1" applyFont="1"/>
    <xf borderId="132" fillId="0" fontId="15" numFmtId="0" xfId="0" applyAlignment="1" applyBorder="1" applyFont="1">
      <alignment readingOrder="0"/>
    </xf>
    <xf borderId="121" fillId="0" fontId="15" numFmtId="0" xfId="0" applyAlignment="1" applyBorder="1" applyFont="1">
      <alignment readingOrder="0"/>
    </xf>
    <xf borderId="0" fillId="114" fontId="15" numFmtId="0" xfId="0" applyAlignment="1" applyFill="1" applyFont="1">
      <alignment horizontal="center" vertical="center"/>
    </xf>
    <xf borderId="0" fillId="114" fontId="1" numFmtId="0" xfId="0" applyFont="1"/>
    <xf borderId="61" fillId="0" fontId="15" numFmtId="2" xfId="0" applyBorder="1" applyFont="1" applyNumberFormat="1"/>
    <xf borderId="56" fillId="25" fontId="23" numFmtId="0" xfId="0" applyAlignment="1" applyBorder="1" applyFont="1">
      <alignment horizontal="center" vertical="center"/>
    </xf>
    <xf borderId="28" fillId="25" fontId="23" numFmtId="0" xfId="0" applyAlignment="1" applyBorder="1" applyFont="1">
      <alignment horizontal="center" vertical="center"/>
    </xf>
    <xf borderId="89" fillId="25" fontId="23" numFmtId="2" xfId="0" applyAlignment="1" applyBorder="1" applyFont="1" applyNumberFormat="1">
      <alignment horizontal="center" vertical="center"/>
    </xf>
    <xf borderId="132" fillId="49" fontId="15" numFmtId="0" xfId="0" applyAlignment="1" applyBorder="1" applyFont="1">
      <alignment readingOrder="0"/>
    </xf>
    <xf borderId="121" fillId="49" fontId="15" numFmtId="0" xfId="0" applyAlignment="1" applyBorder="1" applyFont="1">
      <alignment readingOrder="0"/>
    </xf>
    <xf borderId="62" fillId="113" fontId="15" numFmtId="0" xfId="0" applyAlignment="1" applyBorder="1" applyFont="1">
      <alignment readingOrder="0"/>
    </xf>
    <xf borderId="65" fillId="113" fontId="15" numFmtId="0" xfId="0" applyAlignment="1" applyBorder="1" applyFont="1">
      <alignment readingOrder="0"/>
    </xf>
    <xf borderId="2" fillId="75" fontId="15" numFmtId="0" xfId="0" applyBorder="1" applyFont="1"/>
    <xf borderId="142" fillId="2" fontId="16" numFmtId="0" xfId="0" applyAlignment="1" applyBorder="1" applyFont="1">
      <alignment horizontal="center"/>
    </xf>
    <xf borderId="55" fillId="75" fontId="15" numFmtId="0" xfId="0" applyBorder="1" applyFont="1"/>
    <xf borderId="8" fillId="10" fontId="50" numFmtId="0" xfId="0" applyAlignment="1" applyBorder="1" applyFont="1">
      <alignment horizontal="center" readingOrder="0"/>
    </xf>
    <xf borderId="62" fillId="115" fontId="15" numFmtId="0" xfId="0" applyAlignment="1" applyBorder="1" applyFill="1" applyFont="1">
      <alignment readingOrder="0"/>
    </xf>
    <xf borderId="65" fillId="115" fontId="15" numFmtId="0" xfId="0" applyAlignment="1" applyBorder="1" applyFont="1">
      <alignment readingOrder="0"/>
    </xf>
    <xf borderId="15" fillId="4" fontId="6" numFmtId="0" xfId="0" applyAlignment="1" applyBorder="1" applyFont="1">
      <alignment horizontal="center" vertical="center"/>
    </xf>
    <xf borderId="28" fillId="4" fontId="6" numFmtId="0" xfId="0" applyAlignment="1" applyBorder="1" applyFont="1">
      <alignment horizontal="center" vertical="center"/>
    </xf>
    <xf borderId="62" fillId="75" fontId="15" numFmtId="0" xfId="0" applyBorder="1" applyFont="1"/>
    <xf borderId="30" fillId="4" fontId="6" numFmtId="0" xfId="0" applyAlignment="1" applyBorder="1" applyFont="1">
      <alignment horizontal="center" vertical="center"/>
    </xf>
    <xf borderId="62" fillId="2" fontId="5" numFmtId="0" xfId="0" applyAlignment="1" applyBorder="1" applyFont="1">
      <alignment readingOrder="0"/>
    </xf>
    <xf borderId="1" fillId="94" fontId="3" numFmtId="0" xfId="0" applyBorder="1" applyFont="1"/>
    <xf borderId="28" fillId="87" fontId="1" numFmtId="0" xfId="0" applyBorder="1" applyFont="1"/>
    <xf borderId="28" fillId="31" fontId="1" numFmtId="2" xfId="0" applyBorder="1" applyFont="1" applyNumberFormat="1"/>
    <xf borderId="62" fillId="61" fontId="15" numFmtId="0" xfId="0" applyBorder="1" applyFont="1"/>
    <xf borderId="28" fillId="50" fontId="1" numFmtId="0" xfId="0" applyBorder="1" applyFont="1"/>
    <xf borderId="65" fillId="61" fontId="15" numFmtId="0" xfId="0" applyBorder="1" applyFont="1"/>
    <xf borderId="28" fillId="99" fontId="1" numFmtId="0" xfId="0" applyBorder="1" applyFont="1"/>
    <xf borderId="28" fillId="116" fontId="1" numFmtId="0" xfId="0" applyBorder="1" applyFill="1" applyFont="1"/>
    <xf borderId="62" fillId="117" fontId="15" numFmtId="0" xfId="0" applyAlignment="1" applyBorder="1" applyFill="1" applyFont="1">
      <alignment readingOrder="0"/>
    </xf>
    <xf borderId="65" fillId="117" fontId="15" numFmtId="0" xfId="0" applyAlignment="1" applyBorder="1" applyFont="1">
      <alignment readingOrder="0"/>
    </xf>
    <xf borderId="28" fillId="52" fontId="1" numFmtId="0" xfId="0" applyBorder="1" applyFont="1"/>
    <xf borderId="28" fillId="0" fontId="1" numFmtId="2" xfId="0" applyBorder="1" applyFont="1" applyNumberFormat="1"/>
    <xf borderId="62" fillId="21" fontId="23" numFmtId="0" xfId="0" applyAlignment="1" applyBorder="1" applyFont="1">
      <alignment horizontal="center" vertical="center"/>
    </xf>
    <xf borderId="63" fillId="21" fontId="23" numFmtId="164" xfId="0" applyAlignment="1" applyBorder="1" applyFont="1" applyNumberFormat="1">
      <alignment horizontal="center" vertical="center"/>
    </xf>
    <xf borderId="65" fillId="21" fontId="23" numFmtId="0" xfId="0" applyAlignment="1" applyBorder="1" applyFont="1">
      <alignment horizontal="center" vertical="center"/>
    </xf>
    <xf borderId="132" fillId="117" fontId="15" numFmtId="0" xfId="0" applyAlignment="1" applyBorder="1" applyFont="1">
      <alignment readingOrder="0"/>
    </xf>
    <xf borderId="104" fillId="9" fontId="6" numFmtId="0" xfId="0" applyBorder="1" applyFont="1"/>
    <xf borderId="121" fillId="117" fontId="15" numFmtId="0" xfId="0" applyAlignment="1" applyBorder="1" applyFont="1">
      <alignment readingOrder="0"/>
    </xf>
    <xf borderId="45" fillId="97" fontId="6" numFmtId="0" xfId="0" applyBorder="1" applyFont="1"/>
    <xf borderId="48" fillId="97" fontId="6" numFmtId="0" xfId="0" applyBorder="1" applyFont="1"/>
    <xf borderId="54" fillId="97" fontId="6" numFmtId="0" xfId="0" applyAlignment="1" applyBorder="1" applyFont="1">
      <alignment horizontal="center"/>
    </xf>
    <xf borderId="82" fillId="97" fontId="6" numFmtId="0" xfId="0" applyAlignment="1" applyBorder="1" applyFont="1">
      <alignment horizontal="center"/>
    </xf>
    <xf borderId="63" fillId="22" fontId="23" numFmtId="0" xfId="0" applyAlignment="1" applyBorder="1" applyFont="1">
      <alignment horizontal="center" vertical="center"/>
    </xf>
    <xf borderId="178" fillId="0" fontId="15" numFmtId="0" xfId="0" applyAlignment="1" applyBorder="1" applyFont="1">
      <alignment horizontal="center"/>
    </xf>
    <xf borderId="132" fillId="58" fontId="15" numFmtId="0" xfId="0" applyBorder="1" applyFont="1"/>
    <xf borderId="121" fillId="58" fontId="15" numFmtId="0" xfId="0" applyBorder="1" applyFont="1"/>
    <xf borderId="107" fillId="16" fontId="41" numFmtId="0" xfId="0" applyBorder="1" applyFont="1"/>
    <xf borderId="15" fillId="47" fontId="15" numFmtId="1" xfId="0" applyAlignment="1" applyBorder="1" applyFont="1" applyNumberFormat="1">
      <alignment horizontal="center" vertical="center"/>
    </xf>
    <xf borderId="28" fillId="47" fontId="15" numFmtId="1" xfId="0" applyAlignment="1" applyBorder="1" applyFont="1" applyNumberFormat="1">
      <alignment horizontal="center" vertical="center"/>
    </xf>
    <xf borderId="55" fillId="2" fontId="23" numFmtId="0" xfId="0" applyAlignment="1" applyBorder="1" applyFont="1">
      <alignment horizontal="center" vertical="center"/>
    </xf>
    <xf borderId="1" fillId="2" fontId="23" numFmtId="164" xfId="0" applyAlignment="1" applyBorder="1" applyFont="1" applyNumberFormat="1">
      <alignment horizontal="center" vertical="center"/>
    </xf>
    <xf borderId="58" fillId="2" fontId="23" numFmtId="0" xfId="0" applyAlignment="1" applyBorder="1" applyFont="1">
      <alignment horizontal="center" vertical="center"/>
    </xf>
    <xf borderId="30" fillId="0" fontId="15" numFmtId="164" xfId="0" applyAlignment="1" applyBorder="1" applyFont="1" applyNumberFormat="1">
      <alignment horizontal="center"/>
    </xf>
    <xf borderId="1" fillId="2" fontId="23" numFmtId="0" xfId="0" applyAlignment="1" applyBorder="1" applyFont="1">
      <alignment horizontal="center" vertical="center"/>
    </xf>
    <xf borderId="90" fillId="0" fontId="15" numFmtId="1" xfId="0" applyAlignment="1" applyBorder="1" applyFont="1" applyNumberFormat="1">
      <alignment horizontal="center"/>
    </xf>
    <xf borderId="3" fillId="90" fontId="119" numFmtId="0" xfId="0" applyBorder="1" applyFont="1"/>
    <xf borderId="3" fillId="47" fontId="120" numFmtId="0" xfId="0" applyBorder="1" applyFont="1"/>
    <xf borderId="132" fillId="115" fontId="15" numFmtId="0" xfId="0" applyAlignment="1" applyBorder="1" applyFont="1">
      <alignment readingOrder="0"/>
    </xf>
    <xf borderId="121" fillId="115" fontId="15" numFmtId="0" xfId="0" applyAlignment="1" applyBorder="1" applyFont="1">
      <alignment readingOrder="0"/>
    </xf>
    <xf borderId="154" fillId="118" fontId="23" numFmtId="0" xfId="0" applyAlignment="1" applyBorder="1" applyFill="1" applyFont="1">
      <alignment horizontal="center" vertical="center"/>
    </xf>
    <xf borderId="132" fillId="117" fontId="15" numFmtId="0" xfId="0" applyBorder="1" applyFont="1"/>
    <xf borderId="121" fillId="117" fontId="15" numFmtId="0" xfId="0" applyBorder="1" applyFont="1"/>
    <xf borderId="1" fillId="4" fontId="15" numFmtId="1" xfId="0" applyBorder="1" applyFont="1" applyNumberFormat="1"/>
    <xf borderId="1" fillId="90" fontId="121" numFmtId="0" xfId="0" applyBorder="1" applyFont="1"/>
    <xf borderId="1" fillId="47" fontId="122" numFmtId="0" xfId="0" applyBorder="1" applyFont="1"/>
    <xf borderId="134" fillId="25" fontId="23" numFmtId="1" xfId="0" applyAlignment="1" applyBorder="1" applyFont="1" applyNumberFormat="1">
      <alignment horizontal="center" vertical="center"/>
    </xf>
    <xf borderId="84" fillId="25" fontId="23" numFmtId="0" xfId="0" applyAlignment="1" applyBorder="1" applyFont="1">
      <alignment horizontal="center" vertical="center"/>
    </xf>
    <xf borderId="126" fillId="35" fontId="33" numFmtId="0" xfId="0" applyAlignment="1" applyBorder="1" applyFont="1">
      <alignment horizontal="center" shrinkToFit="0" vertical="center" wrapText="1"/>
    </xf>
    <xf borderId="59" fillId="70" fontId="41" numFmtId="0" xfId="0" applyAlignment="1" applyBorder="1" applyFont="1">
      <alignment horizontal="center"/>
    </xf>
    <xf borderId="2" fillId="22" fontId="23" numFmtId="0" xfId="0" applyAlignment="1" applyBorder="1" applyFont="1">
      <alignment horizontal="center" vertical="center"/>
    </xf>
    <xf borderId="63" fillId="90" fontId="123" numFmtId="0" xfId="0" applyBorder="1" applyFont="1"/>
    <xf borderId="63" fillId="47" fontId="124" numFmtId="0" xfId="0" applyBorder="1" applyFont="1"/>
    <xf borderId="3" fillId="22" fontId="23" numFmtId="164" xfId="0" applyAlignment="1" applyBorder="1" applyFont="1" applyNumberFormat="1">
      <alignment horizontal="center" vertical="center"/>
    </xf>
    <xf borderId="28" fillId="31" fontId="41" numFmtId="0" xfId="0" applyAlignment="1" applyBorder="1" applyFont="1">
      <alignment horizontal="center"/>
    </xf>
    <xf borderId="127" fillId="0" fontId="125" numFmtId="0" xfId="0" applyBorder="1" applyFont="1"/>
    <xf borderId="55" fillId="22" fontId="23" numFmtId="0" xfId="0" applyAlignment="1" applyBorder="1" applyFont="1">
      <alignment horizontal="center" vertical="center"/>
    </xf>
    <xf borderId="1" fillId="22" fontId="23" numFmtId="164" xfId="0" applyAlignment="1" applyBorder="1" applyFont="1" applyNumberFormat="1">
      <alignment horizontal="center" vertical="center"/>
    </xf>
    <xf borderId="104" fillId="2" fontId="77" numFmtId="0" xfId="0" applyAlignment="1" applyBorder="1" applyFont="1">
      <alignment horizontal="center" vertical="center"/>
    </xf>
    <xf borderId="114" fillId="2" fontId="77" numFmtId="0" xfId="0" applyAlignment="1" applyBorder="1" applyFont="1">
      <alignment horizontal="center" vertical="center"/>
    </xf>
    <xf borderId="28" fillId="21" fontId="15" numFmtId="0" xfId="0" applyAlignment="1" applyBorder="1" applyFont="1">
      <alignment horizontal="center" vertical="center"/>
    </xf>
    <xf borderId="30" fillId="0" fontId="15" numFmtId="2" xfId="0" applyAlignment="1" applyBorder="1" applyFont="1" applyNumberFormat="1">
      <alignment horizontal="center" vertical="center"/>
    </xf>
    <xf borderId="82" fillId="107" fontId="23" numFmtId="0" xfId="0" applyAlignment="1" applyBorder="1" applyFont="1">
      <alignment horizontal="center" vertical="center"/>
    </xf>
    <xf borderId="193" fillId="16" fontId="83" numFmtId="0" xfId="0" applyAlignment="1" applyBorder="1" applyFont="1">
      <alignment horizontal="center" vertical="center"/>
    </xf>
    <xf borderId="81" fillId="16" fontId="83" numFmtId="0" xfId="0" applyAlignment="1" applyBorder="1" applyFont="1">
      <alignment horizontal="center" vertical="center"/>
    </xf>
    <xf borderId="84" fillId="0" fontId="83" numFmtId="164" xfId="0" applyAlignment="1" applyBorder="1" applyFont="1" applyNumberFormat="1">
      <alignment horizontal="center" vertical="center"/>
    </xf>
    <xf borderId="62" fillId="22" fontId="23" numFmtId="0" xfId="0" applyAlignment="1" applyBorder="1" applyFont="1">
      <alignment horizontal="center" vertical="center"/>
    </xf>
    <xf borderId="63" fillId="22" fontId="23" numFmtId="164" xfId="0" applyAlignment="1" applyBorder="1" applyFont="1" applyNumberFormat="1">
      <alignment horizontal="center" vertical="center"/>
    </xf>
    <xf borderId="0" fillId="26" fontId="1" numFmtId="0" xfId="0" applyFont="1"/>
    <xf borderId="0" fillId="52" fontId="1" numFmtId="0" xfId="0" applyFont="1"/>
    <xf borderId="84" fillId="61" fontId="23" numFmtId="0" xfId="0" applyAlignment="1" applyBorder="1" applyFont="1">
      <alignment horizontal="center" vertical="center"/>
    </xf>
    <xf borderId="194" fillId="15" fontId="83" numFmtId="0" xfId="0" applyAlignment="1" applyBorder="1" applyFont="1">
      <alignment horizontal="center" vertical="center"/>
    </xf>
    <xf borderId="83" fillId="15" fontId="83" numFmtId="0" xfId="0" applyAlignment="1" applyBorder="1" applyFont="1">
      <alignment horizontal="center" vertical="center"/>
    </xf>
    <xf borderId="46" fillId="36" fontId="41" numFmtId="0" xfId="0" applyAlignment="1" applyBorder="1" applyFont="1">
      <alignment horizontal="center"/>
    </xf>
    <xf borderId="45" fillId="0" fontId="126" numFmtId="0" xfId="0" applyAlignment="1" applyBorder="1" applyFont="1">
      <alignment horizontal="center" vertical="center"/>
    </xf>
    <xf borderId="48" fillId="0" fontId="126" numFmtId="0" xfId="0" applyAlignment="1" applyBorder="1" applyFont="1">
      <alignment horizontal="center" vertical="center"/>
    </xf>
    <xf borderId="48" fillId="0" fontId="127" numFmtId="0" xfId="0" applyAlignment="1" applyBorder="1" applyFont="1">
      <alignment horizontal="center" vertical="center"/>
    </xf>
    <xf borderId="54" fillId="0" fontId="126" numFmtId="0" xfId="0" applyAlignment="1" applyBorder="1" applyFont="1">
      <alignment horizontal="center" vertical="center"/>
    </xf>
    <xf borderId="0" fillId="52" fontId="15" numFmtId="0" xfId="0" applyAlignment="1" applyFont="1">
      <alignment horizontal="center" vertical="center"/>
    </xf>
    <xf borderId="127" fillId="0" fontId="128" numFmtId="0" xfId="0" applyAlignment="1" applyBorder="1" applyFont="1">
      <alignment readingOrder="0"/>
    </xf>
    <xf borderId="0" fillId="0" fontId="128" numFmtId="0" xfId="0" applyAlignment="1" applyFont="1">
      <alignment readingOrder="0"/>
    </xf>
    <xf borderId="62" fillId="115" fontId="15" numFmtId="0" xfId="0" applyBorder="1" applyFont="1"/>
    <xf borderId="65" fillId="115" fontId="15" numFmtId="0" xfId="0" applyBorder="1" applyFont="1"/>
    <xf borderId="195" fillId="4" fontId="15" numFmtId="0" xfId="0" applyBorder="1" applyFont="1"/>
    <xf borderId="150" fillId="2" fontId="6" numFmtId="0" xfId="0" applyAlignment="1" applyBorder="1" applyFont="1">
      <alignment horizontal="center"/>
    </xf>
    <xf borderId="1" fillId="90" fontId="15" numFmtId="0" xfId="0" applyAlignment="1" applyBorder="1" applyFont="1">
      <alignment readingOrder="0"/>
    </xf>
    <xf borderId="132" fillId="115" fontId="15" numFmtId="0" xfId="0" applyBorder="1" applyFont="1"/>
    <xf borderId="121" fillId="115" fontId="15" numFmtId="0" xfId="0" applyBorder="1" applyFont="1"/>
    <xf borderId="1" fillId="105" fontId="15" numFmtId="0" xfId="0" applyAlignment="1" applyBorder="1" applyFont="1">
      <alignment readingOrder="0"/>
    </xf>
    <xf borderId="196" fillId="0" fontId="11" numFmtId="0" xfId="0" applyBorder="1" applyFont="1"/>
    <xf borderId="0" fillId="57" fontId="15" numFmtId="0" xfId="0" applyAlignment="1" applyFont="1">
      <alignment horizontal="center" vertical="center"/>
    </xf>
    <xf borderId="0" fillId="57" fontId="1" numFmtId="0" xfId="0" applyFont="1"/>
    <xf borderId="1" fillId="46" fontId="15" numFmtId="0" xfId="0" applyAlignment="1" applyBorder="1" applyFont="1">
      <alignment readingOrder="0"/>
    </xf>
    <xf borderId="58" fillId="49" fontId="23" numFmtId="0" xfId="0" applyAlignment="1" applyBorder="1" applyFont="1">
      <alignment horizontal="center" vertical="center"/>
    </xf>
    <xf borderId="0" fillId="51" fontId="15" numFmtId="0" xfId="0" applyAlignment="1" applyFont="1">
      <alignment horizontal="center" vertical="center"/>
    </xf>
    <xf borderId="0" fillId="51" fontId="1" numFmtId="0" xfId="0" applyFont="1"/>
    <xf borderId="63" fillId="105" fontId="15" numFmtId="0" xfId="0" applyAlignment="1" applyBorder="1" applyFont="1">
      <alignment readingOrder="0"/>
    </xf>
    <xf borderId="63" fillId="90" fontId="15" numFmtId="0" xfId="0" applyAlignment="1" applyBorder="1" applyFont="1">
      <alignment readingOrder="0"/>
    </xf>
    <xf borderId="63" fillId="47" fontId="15" numFmtId="0" xfId="0" applyAlignment="1" applyBorder="1" applyFont="1">
      <alignment readingOrder="0"/>
    </xf>
    <xf borderId="63" fillId="46" fontId="15" numFmtId="0" xfId="0" applyAlignment="1" applyBorder="1" applyFont="1">
      <alignment readingOrder="0"/>
    </xf>
    <xf borderId="155" fillId="101" fontId="6" numFmtId="0" xfId="0" applyAlignment="1" applyBorder="1" applyFont="1">
      <alignment horizontal="center" vertical="center"/>
    </xf>
    <xf borderId="118" fillId="101" fontId="6" numFmtId="0" xfId="0" applyAlignment="1" applyBorder="1" applyFont="1">
      <alignment horizontal="center" vertical="center"/>
    </xf>
    <xf borderId="96" fillId="101" fontId="6" numFmtId="0" xfId="0" applyAlignment="1" applyBorder="1" applyFont="1">
      <alignment horizontal="center" vertical="center"/>
    </xf>
    <xf borderId="45" fillId="32" fontId="41" numFmtId="0" xfId="0" applyAlignment="1" applyBorder="1" applyFont="1">
      <alignment horizontal="center" readingOrder="0"/>
    </xf>
    <xf borderId="3" fillId="105" fontId="15" numFmtId="0" xfId="0" applyAlignment="1" applyBorder="1" applyFont="1">
      <alignment readingOrder="0"/>
    </xf>
    <xf borderId="3" fillId="46" fontId="15" numFmtId="0" xfId="0" applyAlignment="1" applyBorder="1" applyFont="1">
      <alignment readingOrder="0"/>
    </xf>
    <xf borderId="49" fillId="31" fontId="41" numFmtId="0" xfId="0" applyAlignment="1" applyBorder="1" applyFont="1">
      <alignment horizontal="center"/>
    </xf>
    <xf borderId="49" fillId="102" fontId="15" numFmtId="0" xfId="0" applyAlignment="1" applyBorder="1" applyFont="1">
      <alignment horizontal="center"/>
    </xf>
    <xf borderId="56" fillId="36" fontId="15" numFmtId="0" xfId="0" applyBorder="1" applyFont="1"/>
    <xf borderId="49" fillId="86" fontId="129" numFmtId="2" xfId="0" applyAlignment="1" applyBorder="1" applyFont="1" applyNumberFormat="1">
      <alignment horizontal="left"/>
    </xf>
    <xf borderId="49" fillId="86" fontId="130" numFmtId="2" xfId="0" applyBorder="1" applyFont="1" applyNumberFormat="1"/>
    <xf borderId="49" fillId="48" fontId="15" numFmtId="0" xfId="0" applyAlignment="1" applyBorder="1" applyFont="1">
      <alignment horizontal="center"/>
    </xf>
    <xf borderId="49" fillId="2" fontId="16" numFmtId="1" xfId="0" applyBorder="1" applyFont="1" applyNumberFormat="1"/>
    <xf borderId="49" fillId="2" fontId="86" numFmtId="1" xfId="0" applyBorder="1" applyFont="1" applyNumberFormat="1"/>
    <xf borderId="28" fillId="36" fontId="15" numFmtId="0" xfId="0" applyBorder="1" applyFont="1"/>
    <xf borderId="28" fillId="87" fontId="41" numFmtId="0" xfId="0" applyAlignment="1" applyBorder="1" applyFont="1">
      <alignment horizontal="center"/>
    </xf>
    <xf borderId="89" fillId="36" fontId="15" numFmtId="0" xfId="0" applyBorder="1" applyFont="1"/>
    <xf borderId="10" fillId="0" fontId="15" numFmtId="0" xfId="0" applyBorder="1" applyFont="1"/>
    <xf borderId="28" fillId="86" fontId="131" numFmtId="2" xfId="0" applyAlignment="1" applyBorder="1" applyFont="1" applyNumberFormat="1">
      <alignment horizontal="left" vertical="center"/>
    </xf>
    <xf borderId="28" fillId="86" fontId="132" numFmtId="2" xfId="0" applyAlignment="1" applyBorder="1" applyFont="1" applyNumberFormat="1">
      <alignment vertical="center"/>
    </xf>
    <xf borderId="58" fillId="22" fontId="23" numFmtId="0" xfId="0" applyAlignment="1" applyBorder="1" applyFont="1">
      <alignment horizontal="center" vertical="center"/>
    </xf>
    <xf borderId="60" fillId="21" fontId="15" numFmtId="0" xfId="0" applyAlignment="1" applyBorder="1" applyFont="1">
      <alignment horizontal="center" vertical="center"/>
    </xf>
    <xf borderId="65" fillId="22" fontId="23" numFmtId="0" xfId="0" applyAlignment="1" applyBorder="1" applyFont="1">
      <alignment horizontal="center" vertical="center"/>
    </xf>
    <xf borderId="3" fillId="21" fontId="23" numFmtId="0" xfId="0" applyAlignment="1" applyBorder="1" applyFont="1">
      <alignment horizontal="center" vertical="center"/>
    </xf>
    <xf borderId="0" fillId="0" fontId="133" numFmtId="0" xfId="0" applyFont="1"/>
    <xf borderId="0" fillId="0" fontId="134" numFmtId="0" xfId="0" applyFont="1"/>
    <xf borderId="3" fillId="22" fontId="23" numFmtId="0" xfId="0" applyAlignment="1" applyBorder="1" applyFont="1">
      <alignment horizontal="center" vertical="center"/>
    </xf>
    <xf borderId="0" fillId="0" fontId="135" numFmtId="0" xfId="0" applyFont="1"/>
    <xf borderId="1" fillId="90" fontId="15" numFmtId="0" xfId="0" applyBorder="1" applyFont="1"/>
    <xf borderId="1" fillId="4" fontId="15" numFmtId="0" xfId="0" applyAlignment="1" applyBorder="1" applyFont="1">
      <alignment horizontal="center"/>
    </xf>
    <xf borderId="1" fillId="21" fontId="23" numFmtId="0" xfId="0" applyAlignment="1" applyBorder="1" applyFont="1">
      <alignment horizontal="center" vertical="center"/>
    </xf>
    <xf borderId="197" fillId="2" fontId="6" numFmtId="0" xfId="0" applyAlignment="1" applyBorder="1" applyFont="1">
      <alignment horizontal="center"/>
    </xf>
    <xf borderId="63" fillId="21" fontId="23" numFmtId="0" xfId="0" applyAlignment="1" applyBorder="1" applyFont="1">
      <alignment horizontal="center" vertical="center"/>
    </xf>
    <xf borderId="178" fillId="0" fontId="15" numFmtId="0" xfId="0" applyBorder="1" applyFont="1"/>
    <xf borderId="198" fillId="0" fontId="11" numFmtId="0" xfId="0" applyBorder="1" applyFont="1"/>
    <xf borderId="60" fillId="36" fontId="15" numFmtId="0" xfId="0" applyBorder="1" applyFont="1"/>
    <xf borderId="6" fillId="0" fontId="15" numFmtId="2" xfId="0" applyBorder="1" applyFont="1" applyNumberFormat="1"/>
    <xf borderId="6" fillId="2" fontId="21" numFmtId="0" xfId="0" applyAlignment="1" applyBorder="1" applyFont="1">
      <alignment horizontal="center"/>
    </xf>
    <xf borderId="0" fillId="0" fontId="23" numFmtId="0" xfId="0" applyFont="1"/>
    <xf borderId="142" fillId="2" fontId="21" numFmtId="0" xfId="0" applyAlignment="1" applyBorder="1" applyFont="1">
      <alignment horizontal="center"/>
    </xf>
    <xf borderId="28" fillId="90" fontId="41" numFmtId="0" xfId="0" applyBorder="1" applyFont="1"/>
    <xf borderId="28" fillId="102" fontId="41" numFmtId="0" xfId="0" applyBorder="1" applyFont="1"/>
    <xf borderId="28" fillId="105" fontId="41" numFmtId="0" xfId="0" applyBorder="1" applyFont="1"/>
    <xf borderId="28" fillId="21" fontId="41" numFmtId="0" xfId="0" applyBorder="1" applyFont="1"/>
    <xf borderId="28" fillId="22" fontId="41" numFmtId="0" xfId="0" applyBorder="1" applyFont="1"/>
    <xf borderId="28" fillId="20" fontId="41" numFmtId="0" xfId="0" applyBorder="1" applyFont="1"/>
    <xf borderId="0" fillId="0" fontId="15" numFmtId="166" xfId="0" applyFont="1" applyNumberFormat="1"/>
    <xf borderId="28" fillId="90" fontId="15" numFmtId="0" xfId="0" applyBorder="1" applyFont="1"/>
    <xf borderId="28" fillId="102" fontId="15" numFmtId="0" xfId="0" applyBorder="1" applyFont="1"/>
    <xf borderId="28" fillId="90" fontId="15" numFmtId="166" xfId="0" applyBorder="1" applyFont="1" applyNumberFormat="1"/>
    <xf borderId="28" fillId="105" fontId="15" numFmtId="166" xfId="0" applyBorder="1" applyFont="1" applyNumberFormat="1"/>
    <xf borderId="28" fillId="22" fontId="15" numFmtId="166" xfId="0" applyBorder="1" applyFont="1" applyNumberFormat="1"/>
    <xf borderId="28" fillId="20" fontId="15" numFmtId="166" xfId="0" applyBorder="1" applyFont="1" applyNumberFormat="1"/>
    <xf borderId="0" fillId="0" fontId="15" numFmtId="2" xfId="0" applyAlignment="1" applyFont="1" applyNumberFormat="1">
      <alignment horizontal="center"/>
    </xf>
    <xf borderId="104" fillId="61" fontId="41" numFmtId="0" xfId="0" applyBorder="1" applyFont="1"/>
    <xf borderId="114" fillId="61" fontId="41" numFmtId="166" xfId="0" applyBorder="1" applyFont="1" applyNumberFormat="1"/>
    <xf borderId="1" fillId="102" fontId="15" numFmtId="0" xfId="0" applyBorder="1" applyFont="1"/>
    <xf borderId="28" fillId="26" fontId="41" numFmtId="0" xfId="0" applyAlignment="1" applyBorder="1" applyFont="1">
      <alignment horizontal="center"/>
    </xf>
    <xf borderId="28" fillId="86" fontId="15" numFmtId="2" xfId="0" applyAlignment="1" applyBorder="1" applyFont="1" applyNumberFormat="1">
      <alignment horizontal="left"/>
    </xf>
    <xf borderId="28" fillId="86" fontId="15" numFmtId="2" xfId="0" applyBorder="1" applyFont="1" applyNumberFormat="1"/>
    <xf borderId="199" fillId="0" fontId="11" numFmtId="0" xfId="0" applyBorder="1" applyFont="1"/>
    <xf borderId="171" fillId="0" fontId="15" numFmtId="0" xfId="0" applyBorder="1" applyFont="1"/>
    <xf borderId="49" fillId="36" fontId="15" numFmtId="0" xfId="0" applyBorder="1" applyFont="1"/>
    <xf borderId="49" fillId="15" fontId="15" numFmtId="0" xfId="0" applyBorder="1" applyFont="1"/>
    <xf borderId="55" fillId="35" fontId="33" numFmtId="0" xfId="0" applyAlignment="1" applyBorder="1" applyFont="1">
      <alignment horizontal="center" shrinkToFit="0" vertical="center" wrapText="1"/>
    </xf>
    <xf borderId="58" fillId="35" fontId="33" numFmtId="0" xfId="0" applyAlignment="1" applyBorder="1" applyFont="1">
      <alignment horizontal="center" shrinkToFit="0" vertical="center" wrapText="1"/>
    </xf>
    <xf borderId="47" fillId="0" fontId="15" numFmtId="2" xfId="0" applyBorder="1" applyFont="1" applyNumberFormat="1"/>
    <xf borderId="174" fillId="0" fontId="15" numFmtId="2" xfId="0" applyBorder="1" applyFont="1" applyNumberFormat="1"/>
    <xf borderId="62" fillId="35" fontId="33" numFmtId="0" xfId="0" applyAlignment="1" applyBorder="1" applyFont="1">
      <alignment horizontal="center" shrinkToFit="0" vertical="center" wrapText="1"/>
    </xf>
    <xf borderId="65" fillId="35" fontId="33" numFmtId="0" xfId="0" applyAlignment="1" applyBorder="1" applyFont="1">
      <alignment horizontal="center" shrinkToFit="0" vertical="center" wrapText="1"/>
    </xf>
    <xf borderId="200" fillId="93" fontId="15" numFmtId="0" xfId="0" applyAlignment="1" applyBorder="1" applyFont="1">
      <alignment horizontal="center"/>
    </xf>
    <xf borderId="143" fillId="61" fontId="42" numFmtId="0" xfId="0" applyAlignment="1" applyBorder="1" applyFont="1">
      <alignment horizontal="center" vertical="center"/>
    </xf>
    <xf borderId="143" fillId="107" fontId="42" numFmtId="0" xfId="0" applyAlignment="1" applyBorder="1" applyFont="1">
      <alignment horizontal="center" vertical="center"/>
    </xf>
    <xf borderId="147" fillId="101" fontId="42" numFmtId="0" xfId="0" applyAlignment="1" applyBorder="1" applyFont="1">
      <alignment horizontal="center" vertical="center"/>
    </xf>
    <xf borderId="201" fillId="74" fontId="33" numFmtId="0" xfId="0" applyAlignment="1" applyBorder="1" applyFont="1">
      <alignment horizontal="center" vertical="center"/>
    </xf>
    <xf borderId="3" fillId="16" fontId="15" numFmtId="0" xfId="0" applyAlignment="1" applyBorder="1" applyFont="1">
      <alignment vertical="top"/>
    </xf>
    <xf borderId="3" fillId="15" fontId="23" numFmtId="0" xfId="0" applyAlignment="1" applyBorder="1" applyFont="1">
      <alignment horizontal="center" vertical="center"/>
    </xf>
    <xf borderId="3" fillId="15" fontId="23" numFmtId="2" xfId="0" applyAlignment="1" applyBorder="1" applyFont="1" applyNumberFormat="1">
      <alignment horizontal="center" vertical="center"/>
    </xf>
    <xf borderId="3" fillId="2" fontId="21" numFmtId="0" xfId="0" applyAlignment="1" applyBorder="1" applyFont="1">
      <alignment horizontal="center" vertical="center"/>
    </xf>
    <xf borderId="3" fillId="35" fontId="23" numFmtId="0" xfId="0" applyAlignment="1" applyBorder="1" applyFont="1">
      <alignment horizontal="center" vertical="center"/>
    </xf>
    <xf borderId="3" fillId="35" fontId="23" numFmtId="2" xfId="0" applyAlignment="1" applyBorder="1" applyFont="1" applyNumberFormat="1">
      <alignment horizontal="center" vertical="center"/>
    </xf>
    <xf borderId="3" fillId="36" fontId="23" numFmtId="0" xfId="0" applyAlignment="1" applyBorder="1" applyFont="1">
      <alignment horizontal="center" vertical="center"/>
    </xf>
    <xf borderId="3" fillId="36" fontId="23" numFmtId="2" xfId="0" applyAlignment="1" applyBorder="1" applyFont="1" applyNumberFormat="1">
      <alignment horizontal="center" vertical="center"/>
    </xf>
    <xf borderId="4" fillId="2" fontId="21" numFmtId="0" xfId="0" applyAlignment="1" applyBorder="1" applyFont="1">
      <alignment horizontal="center" vertical="center"/>
    </xf>
    <xf borderId="202" fillId="0" fontId="11" numFmtId="0" xfId="0" applyBorder="1" applyFont="1"/>
    <xf borderId="1" fillId="16" fontId="15" numFmtId="0" xfId="0" applyAlignment="1" applyBorder="1" applyFont="1">
      <alignment vertical="top"/>
    </xf>
    <xf borderId="1" fillId="15" fontId="23" numFmtId="0" xfId="0" applyAlignment="1" applyBorder="1" applyFont="1">
      <alignment horizontal="center" vertical="center"/>
    </xf>
    <xf borderId="1" fillId="15" fontId="23" numFmtId="2" xfId="0" applyAlignment="1" applyBorder="1" applyFont="1" applyNumberFormat="1">
      <alignment horizontal="center" vertical="center"/>
    </xf>
    <xf borderId="1" fillId="9" fontId="21" numFmtId="0" xfId="0" applyAlignment="1" applyBorder="1" applyFont="1">
      <alignment horizontal="center" vertical="center"/>
    </xf>
    <xf borderId="1" fillId="35" fontId="23" numFmtId="0" xfId="0" applyAlignment="1" applyBorder="1" applyFont="1">
      <alignment horizontal="center" vertical="center"/>
    </xf>
    <xf borderId="1" fillId="35" fontId="23" numFmtId="2" xfId="0" applyAlignment="1" applyBorder="1" applyFont="1" applyNumberFormat="1">
      <alignment horizontal="center" vertical="center"/>
    </xf>
    <xf borderId="1" fillId="36" fontId="23" numFmtId="0" xfId="0" applyAlignment="1" applyBorder="1" applyFont="1">
      <alignment horizontal="center" vertical="center"/>
    </xf>
    <xf borderId="1" fillId="36" fontId="23" numFmtId="2" xfId="0" applyAlignment="1" applyBorder="1" applyFont="1" applyNumberFormat="1">
      <alignment horizontal="center" vertical="center"/>
    </xf>
    <xf borderId="58" fillId="9" fontId="21" numFmtId="0" xfId="0" applyAlignment="1" applyBorder="1" applyFont="1">
      <alignment horizontal="center" vertical="center"/>
    </xf>
    <xf borderId="1" fillId="2" fontId="16" numFmtId="0" xfId="0" applyAlignment="1" applyBorder="1" applyFont="1">
      <alignment vertical="top"/>
    </xf>
    <xf borderId="1" fillId="28" fontId="23" numFmtId="0" xfId="0" applyAlignment="1" applyBorder="1" applyFont="1">
      <alignment horizontal="center" vertical="center"/>
    </xf>
    <xf borderId="1" fillId="28" fontId="23" numFmtId="2" xfId="0" applyAlignment="1" applyBorder="1" applyFont="1" applyNumberFormat="1">
      <alignment horizontal="center" vertical="center"/>
    </xf>
    <xf borderId="1" fillId="2" fontId="21" numFmtId="0" xfId="0" applyAlignment="1" applyBorder="1" applyFont="1">
      <alignment horizontal="center" vertical="center"/>
    </xf>
    <xf borderId="1" fillId="68" fontId="23" numFmtId="0" xfId="0" applyAlignment="1" applyBorder="1" applyFont="1">
      <alignment horizontal="center" vertical="center"/>
    </xf>
    <xf borderId="1" fillId="68" fontId="23" numFmtId="2" xfId="0" applyAlignment="1" applyBorder="1" applyFont="1" applyNumberFormat="1">
      <alignment horizontal="center" vertical="center"/>
    </xf>
    <xf borderId="1" fillId="71" fontId="23" numFmtId="0" xfId="0" applyAlignment="1" applyBorder="1" applyFont="1">
      <alignment horizontal="center" vertical="center"/>
    </xf>
    <xf borderId="1" fillId="71" fontId="23" numFmtId="2" xfId="0" applyAlignment="1" applyBorder="1" applyFont="1" applyNumberFormat="1">
      <alignment horizontal="center" vertical="center"/>
    </xf>
    <xf borderId="58" fillId="2" fontId="21" numFmtId="0" xfId="0" applyAlignment="1" applyBorder="1" applyFont="1">
      <alignment horizontal="center" vertical="center"/>
    </xf>
    <xf borderId="203" fillId="0" fontId="11" numFmtId="0" xfId="0" applyBorder="1" applyFont="1"/>
    <xf borderId="63" fillId="2" fontId="16" numFmtId="0" xfId="0" applyAlignment="1" applyBorder="1" applyFont="1">
      <alignment vertical="top"/>
    </xf>
    <xf borderId="63" fillId="28" fontId="23" numFmtId="0" xfId="0" applyAlignment="1" applyBorder="1" applyFont="1">
      <alignment horizontal="center" vertical="center"/>
    </xf>
    <xf borderId="63" fillId="28" fontId="23" numFmtId="2" xfId="0" applyAlignment="1" applyBorder="1" applyFont="1" applyNumberFormat="1">
      <alignment horizontal="center" vertical="center"/>
    </xf>
    <xf borderId="63" fillId="9" fontId="21" numFmtId="0" xfId="0" applyAlignment="1" applyBorder="1" applyFont="1">
      <alignment horizontal="center" vertical="center"/>
    </xf>
    <xf borderId="63" fillId="68" fontId="23" numFmtId="0" xfId="0" applyAlignment="1" applyBorder="1" applyFont="1">
      <alignment horizontal="center" vertical="center"/>
    </xf>
    <xf borderId="63" fillId="68" fontId="23" numFmtId="2" xfId="0" applyAlignment="1" applyBorder="1" applyFont="1" applyNumberFormat="1">
      <alignment horizontal="center" vertical="center"/>
    </xf>
    <xf borderId="63" fillId="71" fontId="23" numFmtId="0" xfId="0" applyAlignment="1" applyBorder="1" applyFont="1">
      <alignment horizontal="center" vertical="center"/>
    </xf>
    <xf borderId="63" fillId="71" fontId="23" numFmtId="2" xfId="0" applyAlignment="1" applyBorder="1" applyFont="1" applyNumberFormat="1">
      <alignment horizontal="center" vertical="center"/>
    </xf>
    <xf borderId="65" fillId="9" fontId="21" numFmtId="0" xfId="0" applyAlignment="1" applyBorder="1" applyFont="1">
      <alignment horizontal="center" vertical="center"/>
    </xf>
    <xf borderId="201" fillId="76" fontId="33" numFmtId="0" xfId="0" applyAlignment="1" applyBorder="1" applyFont="1">
      <alignment horizontal="center" vertical="center"/>
    </xf>
    <xf borderId="3" fillId="16" fontId="15" numFmtId="0" xfId="0" applyAlignment="1" applyBorder="1" applyFont="1">
      <alignment vertical="center"/>
    </xf>
    <xf borderId="1" fillId="16" fontId="15" numFmtId="0" xfId="0" applyAlignment="1" applyBorder="1" applyFont="1">
      <alignment vertical="center"/>
    </xf>
    <xf borderId="1" fillId="2" fontId="16" numFmtId="0" xfId="0" applyAlignment="1" applyBorder="1" applyFont="1">
      <alignment vertical="center"/>
    </xf>
    <xf borderId="63" fillId="2" fontId="16" numFmtId="0" xfId="0" applyAlignment="1" applyBorder="1" applyFont="1">
      <alignment vertical="center"/>
    </xf>
    <xf borderId="201" fillId="77" fontId="33" numFmtId="0" xfId="0" applyAlignment="1" applyBorder="1" applyFont="1">
      <alignment horizontal="center" vertical="center"/>
    </xf>
    <xf borderId="28" fillId="114" fontId="41" numFmtId="0" xfId="0" applyAlignment="1" applyBorder="1" applyFont="1">
      <alignment horizontal="center" readingOrder="0"/>
    </xf>
    <xf borderId="201" fillId="78" fontId="33" numFmtId="0" xfId="0" applyAlignment="1" applyBorder="1" applyFont="1">
      <alignment horizontal="center" vertical="center"/>
    </xf>
    <xf borderId="201" fillId="79" fontId="33" numFmtId="0" xfId="0" applyAlignment="1" applyBorder="1" applyFont="1">
      <alignment horizontal="center" vertical="center"/>
    </xf>
    <xf borderId="201" fillId="80" fontId="33" numFmtId="0" xfId="0" applyAlignment="1" applyBorder="1" applyFont="1">
      <alignment horizontal="center" vertical="center"/>
    </xf>
    <xf borderId="1" fillId="102" fontId="15" numFmtId="0" xfId="0" applyAlignment="1" applyBorder="1" applyFont="1">
      <alignment horizontal="center"/>
    </xf>
    <xf borderId="1" fillId="86" fontId="15" numFmtId="2" xfId="0" applyAlignment="1" applyBorder="1" applyFont="1" applyNumberFormat="1">
      <alignment horizontal="left"/>
    </xf>
    <xf borderId="1" fillId="15" fontId="15" numFmtId="0" xfId="0" applyAlignment="1" applyBorder="1" applyFont="1">
      <alignment horizontal="center"/>
    </xf>
    <xf borderId="1" fillId="64" fontId="15" numFmtId="0" xfId="0" applyAlignment="1" applyBorder="1" applyFont="1">
      <alignment horizontal="center"/>
    </xf>
    <xf borderId="1" fillId="2" fontId="86" numFmtId="0" xfId="0" applyBorder="1" applyFont="1"/>
    <xf borderId="201" fillId="81" fontId="33" numFmtId="0" xfId="0" applyAlignment="1" applyBorder="1" applyFont="1">
      <alignment horizontal="center" vertical="center"/>
    </xf>
    <xf borderId="201" fillId="84" fontId="33" numFmtId="0" xfId="0" applyAlignment="1" applyBorder="1" applyFont="1">
      <alignment horizontal="center" vertical="center"/>
    </xf>
    <xf borderId="0" fillId="0" fontId="93" numFmtId="0" xfId="0" applyAlignment="1" applyFont="1">
      <alignment vertical="center"/>
    </xf>
    <xf borderId="0" fillId="0" fontId="136" numFmtId="0" xfId="0" applyAlignment="1" applyFont="1">
      <alignment vertical="center"/>
    </xf>
    <xf borderId="0" fillId="0" fontId="94" numFmtId="0" xfId="0" applyAlignment="1" applyFont="1">
      <alignment vertical="center"/>
    </xf>
    <xf borderId="0" fillId="0" fontId="137" numFmtId="0" xfId="0" applyAlignment="1" applyFont="1">
      <alignment vertical="center"/>
    </xf>
    <xf borderId="1" fillId="94" fontId="98" numFmtId="0" xfId="0" applyBorder="1" applyFont="1"/>
    <xf borderId="1" fillId="94" fontId="93" numFmtId="0" xfId="0" applyBorder="1" applyFont="1"/>
    <xf borderId="1" fillId="94" fontId="138" numFmtId="0" xfId="0" applyBorder="1" applyFont="1"/>
    <xf borderId="1" fillId="94" fontId="15" numFmtId="0" xfId="0" applyBorder="1" applyFont="1"/>
    <xf borderId="1" fillId="94" fontId="15" numFmtId="2" xfId="0" applyBorder="1" applyFont="1" applyNumberFormat="1"/>
    <xf borderId="1" fillId="71" fontId="98" numFmtId="0" xfId="0" applyBorder="1" applyFont="1"/>
    <xf borderId="1" fillId="71" fontId="93" numFmtId="0" xfId="0" applyBorder="1" applyFont="1"/>
    <xf borderId="1" fillId="71" fontId="139" numFmtId="0" xfId="0" applyBorder="1" applyFont="1"/>
    <xf borderId="1" fillId="71" fontId="140" numFmtId="2" xfId="0" applyBorder="1" applyFont="1" applyNumberFormat="1"/>
    <xf borderId="1" fillId="71" fontId="141" numFmtId="0" xfId="0" applyBorder="1" applyFont="1"/>
    <xf borderId="1" fillId="71" fontId="15" numFmtId="2" xfId="0" applyBorder="1" applyFont="1" applyNumberFormat="1"/>
    <xf borderId="201" fillId="25" fontId="33" numFmtId="0" xfId="0" applyAlignment="1" applyBorder="1" applyFont="1">
      <alignment horizontal="center" vertical="center"/>
    </xf>
    <xf borderId="3" fillId="2" fontId="16" numFmtId="0" xfId="0" applyAlignment="1" applyBorder="1" applyFont="1">
      <alignment vertical="center"/>
    </xf>
    <xf borderId="63" fillId="15" fontId="23" numFmtId="0" xfId="0" applyAlignment="1" applyBorder="1" applyFont="1">
      <alignment horizontal="center" vertical="center"/>
    </xf>
    <xf borderId="63" fillId="15" fontId="23" numFmtId="2" xfId="0" applyAlignment="1" applyBorder="1" applyFont="1" applyNumberFormat="1">
      <alignment horizontal="center" vertical="center"/>
    </xf>
    <xf borderId="63" fillId="35" fontId="23" numFmtId="0" xfId="0" applyAlignment="1" applyBorder="1" applyFont="1">
      <alignment horizontal="center" vertical="center"/>
    </xf>
    <xf borderId="63" fillId="35" fontId="23" numFmtId="2" xfId="0" applyAlignment="1" applyBorder="1" applyFont="1" applyNumberFormat="1">
      <alignment horizontal="center" vertical="center"/>
    </xf>
    <xf borderId="63" fillId="36" fontId="23" numFmtId="0" xfId="0" applyAlignment="1" applyBorder="1" applyFont="1">
      <alignment horizontal="center" vertical="center"/>
    </xf>
    <xf borderId="63" fillId="36" fontId="23" numFmtId="2" xfId="0" applyAlignment="1" applyBorder="1" applyFont="1" applyNumberFormat="1">
      <alignment horizontal="center" vertical="center"/>
    </xf>
    <xf borderId="143" fillId="101" fontId="42" numFmtId="0" xfId="0" applyAlignment="1" applyBorder="1" applyFont="1">
      <alignment horizontal="center" vertical="center"/>
    </xf>
    <xf borderId="1" fillId="49" fontId="93" numFmtId="0" xfId="0" applyAlignment="1" applyBorder="1" applyFont="1">
      <alignment vertical="center"/>
    </xf>
    <xf borderId="200" fillId="35" fontId="33" numFmtId="0" xfId="0" applyAlignment="1" applyBorder="1" applyFont="1">
      <alignment horizontal="center" shrinkToFit="0" vertical="center" wrapText="1"/>
    </xf>
    <xf borderId="2" fillId="15" fontId="23" numFmtId="0" xfId="0" applyAlignment="1" applyBorder="1" applyFont="1">
      <alignment horizontal="center" vertical="center"/>
    </xf>
    <xf borderId="3" fillId="15" fontId="23" numFmtId="1" xfId="0" applyAlignment="1" applyBorder="1" applyFont="1" applyNumberFormat="1">
      <alignment horizontal="center" vertical="center"/>
    </xf>
    <xf borderId="2" fillId="35" fontId="23" numFmtId="0" xfId="0" applyAlignment="1" applyBorder="1" applyFont="1">
      <alignment horizontal="center" vertical="center"/>
    </xf>
    <xf borderId="3" fillId="35" fontId="23" numFmtId="1" xfId="0" applyAlignment="1" applyBorder="1" applyFont="1" applyNumberFormat="1">
      <alignment horizontal="center" vertical="center"/>
    </xf>
    <xf borderId="3" fillId="36" fontId="23" numFmtId="164" xfId="0" applyAlignment="1" applyBorder="1" applyFont="1" applyNumberFormat="1">
      <alignment horizontal="center" vertical="center"/>
    </xf>
    <xf borderId="55" fillId="15" fontId="23" numFmtId="0" xfId="0" applyAlignment="1" applyBorder="1" applyFont="1">
      <alignment horizontal="center" vertical="center"/>
    </xf>
    <xf borderId="1" fillId="15" fontId="23" numFmtId="164" xfId="0" applyAlignment="1" applyBorder="1" applyFont="1" applyNumberFormat="1">
      <alignment horizontal="center" vertical="center"/>
    </xf>
    <xf borderId="55" fillId="35" fontId="23" numFmtId="0" xfId="0" applyAlignment="1" applyBorder="1" applyFont="1">
      <alignment horizontal="center" vertical="center"/>
    </xf>
    <xf borderId="1" fillId="35" fontId="23" numFmtId="1" xfId="0" applyAlignment="1" applyBorder="1" applyFont="1" applyNumberFormat="1">
      <alignment horizontal="center" vertical="center"/>
    </xf>
    <xf borderId="1" fillId="36" fontId="23" numFmtId="164" xfId="0" applyAlignment="1" applyBorder="1" applyFont="1" applyNumberFormat="1">
      <alignment horizontal="center" vertical="center"/>
    </xf>
    <xf borderId="0" fillId="0" fontId="137" numFmtId="0" xfId="0" applyFont="1"/>
    <xf borderId="1" fillId="35" fontId="23" numFmtId="164" xfId="0" applyAlignment="1" applyBorder="1" applyFont="1" applyNumberFormat="1">
      <alignment horizontal="center" vertical="center"/>
    </xf>
    <xf borderId="0" fillId="0" fontId="142" numFmtId="0" xfId="0" applyFont="1"/>
    <xf borderId="204" fillId="0" fontId="11" numFmtId="0" xfId="0" applyBorder="1" applyFont="1"/>
    <xf borderId="62" fillId="15" fontId="23" numFmtId="0" xfId="0" applyAlignment="1" applyBorder="1" applyFont="1">
      <alignment horizontal="center" vertical="center"/>
    </xf>
    <xf borderId="63" fillId="15" fontId="23" numFmtId="164" xfId="0" applyAlignment="1" applyBorder="1" applyFont="1" applyNumberFormat="1">
      <alignment horizontal="center" vertical="center"/>
    </xf>
    <xf borderId="62" fillId="35" fontId="23" numFmtId="0" xfId="0" applyAlignment="1" applyBorder="1" applyFont="1">
      <alignment horizontal="center" vertical="center"/>
    </xf>
    <xf borderId="63" fillId="35" fontId="23" numFmtId="164" xfId="0" applyAlignment="1" applyBorder="1" applyFont="1" applyNumberFormat="1">
      <alignment horizontal="center" vertical="center"/>
    </xf>
    <xf borderId="205" fillId="0" fontId="11" numFmtId="0" xfId="0" applyBorder="1" applyFont="1"/>
    <xf borderId="55" fillId="36" fontId="23" numFmtId="0" xfId="0" applyAlignment="1" applyBorder="1" applyFont="1">
      <alignment horizontal="center" vertical="center"/>
    </xf>
    <xf borderId="62" fillId="36" fontId="23" numFmtId="0" xfId="0" applyAlignment="1" applyBorder="1" applyFont="1">
      <alignment horizontal="center" vertical="center"/>
    </xf>
    <xf borderId="55" fillId="21" fontId="23" numFmtId="0" xfId="0" applyBorder="1" applyFont="1"/>
    <xf borderId="2" fillId="93" fontId="16" numFmtId="0" xfId="0" applyAlignment="1" applyBorder="1" applyFont="1">
      <alignment horizontal="center" vertical="center"/>
    </xf>
    <xf borderId="3" fillId="93" fontId="16" numFmtId="0" xfId="0" applyAlignment="1" applyBorder="1" applyFont="1">
      <alignment horizontal="center" vertical="center"/>
    </xf>
    <xf borderId="206" fillId="93" fontId="16" numFmtId="0" xfId="0" applyAlignment="1" applyBorder="1" applyFont="1">
      <alignment horizontal="center" vertical="center"/>
    </xf>
    <xf borderId="127" fillId="0" fontId="23" numFmtId="0" xfId="0" applyAlignment="1" applyBorder="1" applyFont="1">
      <alignment horizontal="center" vertical="center"/>
    </xf>
    <xf borderId="127" fillId="0" fontId="23" numFmtId="2" xfId="0" applyAlignment="1" applyBorder="1" applyFont="1" applyNumberFormat="1">
      <alignment horizontal="center" vertical="center"/>
    </xf>
    <xf borderId="4" fillId="67" fontId="23" numFmtId="0" xfId="0" applyAlignment="1" applyBorder="1" applyFont="1">
      <alignment horizontal="center" vertical="center"/>
    </xf>
    <xf borderId="180" fillId="35" fontId="33" numFmtId="0" xfId="0" applyAlignment="1" applyBorder="1" applyFont="1">
      <alignment horizontal="center" shrinkToFit="0" vertical="center" wrapText="1"/>
    </xf>
    <xf borderId="97" fillId="35" fontId="23" numFmtId="0" xfId="0" applyAlignment="1" applyBorder="1" applyFont="1">
      <alignment horizontal="center" vertical="center"/>
    </xf>
    <xf borderId="65" fillId="67" fontId="23" numFmtId="0" xfId="0" applyAlignment="1" applyBorder="1" applyFont="1">
      <alignment horizontal="center" vertical="center"/>
    </xf>
    <xf borderId="1" fillId="22" fontId="70" numFmtId="0" xfId="0" applyBorder="1" applyFont="1"/>
    <xf borderId="143" fillId="4" fontId="143" numFmtId="0" xfId="0" applyAlignment="1" applyBorder="1" applyFont="1">
      <alignment horizontal="center" shrinkToFit="0" vertical="center" wrapText="1"/>
    </xf>
    <xf borderId="180" fillId="4" fontId="143" numFmtId="0" xfId="0" applyAlignment="1" applyBorder="1" applyFont="1">
      <alignment horizontal="center" shrinkToFit="0" vertical="center" wrapText="1"/>
    </xf>
    <xf borderId="143" fillId="14" fontId="143" numFmtId="0" xfId="0" applyAlignment="1" applyBorder="1" applyFont="1">
      <alignment horizontal="center" shrinkToFit="0" vertical="center" wrapText="1"/>
    </xf>
    <xf borderId="180" fillId="14" fontId="143" numFmtId="0" xfId="0" applyAlignment="1" applyBorder="1" applyFont="1">
      <alignment horizontal="center" shrinkToFit="0" vertical="center" wrapText="1"/>
    </xf>
    <xf borderId="143" fillId="35" fontId="33" numFmtId="0" xfId="0" applyAlignment="1" applyBorder="1" applyFont="1">
      <alignment horizontal="center" shrinkToFit="0" vertical="center" wrapText="1"/>
    </xf>
    <xf borderId="147" fillId="49" fontId="23" numFmtId="0" xfId="0" applyAlignment="1" applyBorder="1" applyFont="1">
      <alignment horizontal="center" vertical="center"/>
    </xf>
    <xf borderId="207" fillId="0" fontId="11" numFmtId="0" xfId="0" applyBorder="1" applyFont="1"/>
    <xf borderId="142" fillId="21" fontId="23" numFmtId="0" xfId="0" applyAlignment="1" applyBorder="1" applyFont="1">
      <alignment horizontal="center" vertical="center"/>
    </xf>
    <xf borderId="21" fillId="0" fontId="11" numFmtId="0" xfId="0" applyBorder="1" applyFont="1"/>
    <xf borderId="147" fillId="21" fontId="23" numFmtId="0" xfId="0" applyAlignment="1" applyBorder="1" applyFont="1">
      <alignment horizontal="center" vertical="center"/>
    </xf>
    <xf borderId="3" fillId="21" fontId="23" numFmtId="0" xfId="0" applyAlignment="1" applyBorder="1" applyFont="1">
      <alignment vertical="center"/>
    </xf>
    <xf borderId="1" fillId="21" fontId="23" numFmtId="0" xfId="0" applyAlignment="1" applyBorder="1" applyFont="1">
      <alignment vertical="center"/>
    </xf>
    <xf borderId="97" fillId="21" fontId="23" numFmtId="0" xfId="0" applyAlignment="1" applyBorder="1" applyFont="1">
      <alignment horizontal="center" vertical="center"/>
    </xf>
    <xf borderId="63" fillId="21" fontId="23" numFmtId="0" xfId="0" applyAlignment="1" applyBorder="1" applyFont="1">
      <alignment vertical="center"/>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
      <font/>
      <fill>
        <patternFill patternType="solid">
          <fgColor theme="5"/>
          <bgColor theme="5"/>
        </patternFill>
      </fill>
      <border/>
    </dxf>
    <dxf>
      <font/>
      <fill>
        <patternFill patternType="solid">
          <fgColor rgb="FFFBE4D5"/>
          <bgColor rgb="FFFBE4D5"/>
        </patternFill>
      </fill>
      <border/>
    </dxf>
    <dxf>
      <font/>
      <fill>
        <patternFill patternType="solid">
          <fgColor theme="7"/>
          <bgColor theme="7"/>
        </patternFill>
      </fill>
      <border/>
    </dxf>
    <dxf>
      <font/>
      <fill>
        <patternFill patternType="solid">
          <fgColor rgb="FFFEF2CB"/>
          <bgColor rgb="FFFEF2CB"/>
        </patternFill>
      </fill>
      <border/>
    </dxf>
    <dxf>
      <font/>
      <fill>
        <patternFill patternType="solid">
          <fgColor rgb="FF000000"/>
          <bgColor rgb="FF000000"/>
        </patternFill>
      </fill>
      <border/>
    </dxf>
  </dxfs>
  <tableStyles count="11">
    <tableStyle count="4" pivot="0" name="League Standings-style">
      <tableStyleElement dxfId="1" type="headerRow"/>
      <tableStyleElement dxfId="2" type="firstRowStripe"/>
      <tableStyleElement dxfId="3" type="secondRowStripe"/>
      <tableStyleElement dxfId="4" size="0" type="wholeTable"/>
    </tableStyle>
    <tableStyle count="3" pivot="0" name="League History-style">
      <tableStyleElement dxfId="5" type="headerRow"/>
      <tableStyleElement dxfId="6" type="firstRowStripe"/>
      <tableStyleElement dxfId="7" type="secondRowStripe"/>
    </tableStyle>
    <tableStyle count="3" pivot="0" name="League History-style 2">
      <tableStyleElement dxfId="8" type="headerRow"/>
      <tableStyleElement dxfId="9" type="firstRowStripe"/>
      <tableStyleElement dxfId="7" type="secondRowStripe"/>
    </tableStyle>
    <tableStyle count="3" pivot="0" name="League History-style 3">
      <tableStyleElement dxfId="10" type="headerRow"/>
      <tableStyleElement dxfId="11" type="firstRowStripe"/>
      <tableStyleElement dxfId="7" type="secondRowStripe"/>
    </tableStyle>
    <tableStyle count="3" pivot="0" name="Playoff History-style">
      <tableStyleElement dxfId="5" type="headerRow"/>
      <tableStyleElement dxfId="6" type="firstRowStripe"/>
      <tableStyleElement dxfId="7" type="secondRowStripe"/>
    </tableStyle>
    <tableStyle count="3" pivot="0" name="Playoff History-style 2">
      <tableStyleElement dxfId="8" type="headerRow"/>
      <tableStyleElement dxfId="9" type="firstRowStripe"/>
      <tableStyleElement dxfId="7" type="secondRowStripe"/>
    </tableStyle>
    <tableStyle count="3" pivot="0" name="Playoff History-style 3">
      <tableStyleElement dxfId="10" type="headerRow"/>
      <tableStyleElement dxfId="11" type="firstRowStripe"/>
      <tableStyleElement dxfId="7" type="secondRowStripe"/>
    </tableStyle>
    <tableStyle count="3" pivot="0" name="Playoff History-style 4">
      <tableStyleElement dxfId="5" type="headerRow"/>
      <tableStyleElement dxfId="6" type="firstRowStripe"/>
      <tableStyleElement dxfId="7" type="secondRowStripe"/>
    </tableStyle>
    <tableStyle count="3" pivot="0" name="Playoff History-style 5">
      <tableStyleElement dxfId="5" type="headerRow"/>
      <tableStyleElement dxfId="6" type="firstRowStripe"/>
      <tableStyleElement dxfId="7" type="secondRowStripe"/>
    </tableStyle>
    <tableStyle count="3" pivot="0" name="Playoff History-style 6">
      <tableStyleElement dxfId="5" type="headerRow"/>
      <tableStyleElement dxfId="6" type="firstRowStripe"/>
      <tableStyleElement dxfId="7" type="secondRowStripe"/>
    </tableStyle>
    <tableStyle count="3" pivot="0" name="MVT SCORING-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145</xdr:row>
      <xdr:rowOff>0</xdr:rowOff>
    </xdr:from>
    <xdr:ext cx="304800" cy="1104900"/>
    <xdr:sp>
      <xdr:nvSpPr>
        <xdr:cNvPr id="6" name="Shape 6"/>
        <xdr:cNvSpPr/>
      </xdr:nvSpPr>
      <xdr:spPr>
        <a:xfrm>
          <a:off x="5193600" y="3232313"/>
          <a:ext cx="304800" cy="1095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145</xdr:row>
      <xdr:rowOff>0</xdr:rowOff>
    </xdr:from>
    <xdr:ext cx="304800" cy="1104900"/>
    <xdr:sp>
      <xdr:nvSpPr>
        <xdr:cNvPr id="6" name="Shape 6"/>
        <xdr:cNvSpPr/>
      </xdr:nvSpPr>
      <xdr:spPr>
        <a:xfrm>
          <a:off x="5193600" y="3232313"/>
          <a:ext cx="304800" cy="1095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154</xdr:row>
      <xdr:rowOff>0</xdr:rowOff>
    </xdr:from>
    <xdr:ext cx="304800" cy="1905000"/>
    <xdr:sp>
      <xdr:nvSpPr>
        <xdr:cNvPr id="7" name="Shape 7"/>
        <xdr:cNvSpPr/>
      </xdr:nvSpPr>
      <xdr:spPr>
        <a:xfrm>
          <a:off x="5193600" y="2832263"/>
          <a:ext cx="304800" cy="1895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154</xdr:row>
      <xdr:rowOff>0</xdr:rowOff>
    </xdr:from>
    <xdr:ext cx="304800" cy="1905000"/>
    <xdr:sp>
      <xdr:nvSpPr>
        <xdr:cNvPr id="7" name="Shape 7"/>
        <xdr:cNvSpPr/>
      </xdr:nvSpPr>
      <xdr:spPr>
        <a:xfrm>
          <a:off x="5193600" y="2832263"/>
          <a:ext cx="304800" cy="1895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157</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159</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169</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169</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179</xdr:row>
      <xdr:rowOff>0</xdr:rowOff>
    </xdr:from>
    <xdr:ext cx="304800" cy="3705225"/>
    <xdr:sp>
      <xdr:nvSpPr>
        <xdr:cNvPr id="10" name="Shape 10"/>
        <xdr:cNvSpPr/>
      </xdr:nvSpPr>
      <xdr:spPr>
        <a:xfrm>
          <a:off x="5193600" y="1932150"/>
          <a:ext cx="304800" cy="3695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179</xdr:row>
      <xdr:rowOff>0</xdr:rowOff>
    </xdr:from>
    <xdr:ext cx="304800" cy="3705225"/>
    <xdr:sp>
      <xdr:nvSpPr>
        <xdr:cNvPr id="10" name="Shape 10"/>
        <xdr:cNvSpPr/>
      </xdr:nvSpPr>
      <xdr:spPr>
        <a:xfrm>
          <a:off x="5193600" y="1932150"/>
          <a:ext cx="304800" cy="3695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xdr:row>
      <xdr:rowOff>104775</xdr:rowOff>
    </xdr:from>
    <xdr:ext cx="304800" cy="514350"/>
    <xdr:sp>
      <xdr:nvSpPr>
        <xdr:cNvPr id="11" name="Shape 11"/>
        <xdr:cNvSpPr/>
      </xdr:nvSpPr>
      <xdr:spPr>
        <a:xfrm>
          <a:off x="5193600" y="3527588"/>
          <a:ext cx="304800" cy="504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27</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50</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50</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62</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62</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72</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75</xdr:row>
      <xdr:rowOff>0</xdr:rowOff>
    </xdr:from>
    <xdr:ext cx="304800" cy="1504950"/>
    <xdr:sp>
      <xdr:nvSpPr>
        <xdr:cNvPr id="12" name="Shape 12"/>
        <xdr:cNvSpPr/>
      </xdr:nvSpPr>
      <xdr:spPr>
        <a:xfrm>
          <a:off x="5193600" y="3032288"/>
          <a:ext cx="304800" cy="1495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88</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90</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100</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100</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104</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114</xdr:row>
      <xdr:rowOff>0</xdr:rowOff>
    </xdr:from>
    <xdr:ext cx="304800" cy="1905000"/>
    <xdr:sp>
      <xdr:nvSpPr>
        <xdr:cNvPr id="7" name="Shape 7"/>
        <xdr:cNvSpPr/>
      </xdr:nvSpPr>
      <xdr:spPr>
        <a:xfrm>
          <a:off x="5193600" y="2832263"/>
          <a:ext cx="304800" cy="1895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117</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119</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129</xdr:row>
      <xdr:rowOff>0</xdr:rowOff>
    </xdr:from>
    <xdr:ext cx="304800" cy="1905000"/>
    <xdr:sp>
      <xdr:nvSpPr>
        <xdr:cNvPr id="7" name="Shape 7"/>
        <xdr:cNvSpPr/>
      </xdr:nvSpPr>
      <xdr:spPr>
        <a:xfrm>
          <a:off x="5193600" y="2832263"/>
          <a:ext cx="304800" cy="1895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132</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134</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146</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158</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158</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170</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180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182</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186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188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194</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194</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200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202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204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209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220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222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224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226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38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45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55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71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85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111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126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137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155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167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181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189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205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216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227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35</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35</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55</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55</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150</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150</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152</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152</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154</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154</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180975</xdr:rowOff>
    </xdr:from>
    <xdr:ext cx="304800"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2</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xdr:row>
      <xdr:rowOff>180975</xdr:rowOff>
    </xdr:from>
    <xdr:ext cx="304800"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5</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6</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0</xdr:colOff>
      <xdr:row>19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29</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49</xdr:row>
      <xdr:rowOff>0</xdr:rowOff>
    </xdr:from>
    <xdr:ext cx="304800" cy="1152525"/>
    <xdr:sp>
      <xdr:nvSpPr>
        <xdr:cNvPr id="18" name="Shape 18"/>
        <xdr:cNvSpPr/>
      </xdr:nvSpPr>
      <xdr:spPr>
        <a:xfrm>
          <a:off x="5193600" y="3208500"/>
          <a:ext cx="304800" cy="114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56</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63</xdr:row>
      <xdr:rowOff>0</xdr:rowOff>
    </xdr:from>
    <xdr:ext cx="304800" cy="704850"/>
    <xdr:sp>
      <xdr:nvSpPr>
        <xdr:cNvPr id="19" name="Shape 19"/>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72</xdr:row>
      <xdr:rowOff>0</xdr:rowOff>
    </xdr:from>
    <xdr:ext cx="304800" cy="752475"/>
    <xdr:sp>
      <xdr:nvSpPr>
        <xdr:cNvPr id="20" name="Shape 20"/>
        <xdr:cNvSpPr/>
      </xdr:nvSpPr>
      <xdr:spPr>
        <a:xfrm>
          <a:off x="5193600" y="3408525"/>
          <a:ext cx="3048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77</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83</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91</xdr:row>
      <xdr:rowOff>0</xdr:rowOff>
    </xdr:from>
    <xdr:ext cx="304800" cy="1152525"/>
    <xdr:sp>
      <xdr:nvSpPr>
        <xdr:cNvPr id="18" name="Shape 18"/>
        <xdr:cNvSpPr/>
      </xdr:nvSpPr>
      <xdr:spPr>
        <a:xfrm>
          <a:off x="5193600" y="3208500"/>
          <a:ext cx="304800" cy="114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98</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105</xdr:row>
      <xdr:rowOff>0</xdr:rowOff>
    </xdr:from>
    <xdr:ext cx="304800" cy="1352550"/>
    <xdr:sp>
      <xdr:nvSpPr>
        <xdr:cNvPr id="21" name="Shape 21"/>
        <xdr:cNvSpPr/>
      </xdr:nvSpPr>
      <xdr:spPr>
        <a:xfrm>
          <a:off x="5193600" y="3108488"/>
          <a:ext cx="304800" cy="1343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111</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122</xdr:row>
      <xdr:rowOff>0</xdr:rowOff>
    </xdr:from>
    <xdr:ext cx="304800" cy="952500"/>
    <xdr:sp>
      <xdr:nvSpPr>
        <xdr:cNvPr id="22" name="Shape 22"/>
        <xdr:cNvSpPr/>
      </xdr:nvSpPr>
      <xdr:spPr>
        <a:xfrm>
          <a:off x="5193600" y="3308513"/>
          <a:ext cx="304800" cy="94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44</xdr:row>
      <xdr:rowOff>0</xdr:rowOff>
    </xdr:from>
    <xdr:ext cx="304800" cy="952500"/>
    <xdr:sp>
      <xdr:nvSpPr>
        <xdr:cNvPr id="22" name="Shape 22"/>
        <xdr:cNvSpPr/>
      </xdr:nvSpPr>
      <xdr:spPr>
        <a:xfrm>
          <a:off x="5193600" y="3308513"/>
          <a:ext cx="304800" cy="94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51</xdr:row>
      <xdr:rowOff>0</xdr:rowOff>
    </xdr:from>
    <xdr:ext cx="304800" cy="752475"/>
    <xdr:sp>
      <xdr:nvSpPr>
        <xdr:cNvPr id="20" name="Shape 20"/>
        <xdr:cNvSpPr/>
      </xdr:nvSpPr>
      <xdr:spPr>
        <a:xfrm>
          <a:off x="5193600" y="3408525"/>
          <a:ext cx="3048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66</xdr:row>
      <xdr:rowOff>0</xdr:rowOff>
    </xdr:from>
    <xdr:ext cx="304800" cy="552450"/>
    <xdr:sp>
      <xdr:nvSpPr>
        <xdr:cNvPr id="23" name="Shape 23"/>
        <xdr:cNvSpPr/>
      </xdr:nvSpPr>
      <xdr:spPr>
        <a:xfrm>
          <a:off x="5193600" y="3508538"/>
          <a:ext cx="304800" cy="542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80</xdr:row>
      <xdr:rowOff>0</xdr:rowOff>
    </xdr:from>
    <xdr:ext cx="304800" cy="952500"/>
    <xdr:sp>
      <xdr:nvSpPr>
        <xdr:cNvPr id="22" name="Shape 22"/>
        <xdr:cNvSpPr/>
      </xdr:nvSpPr>
      <xdr:spPr>
        <a:xfrm>
          <a:off x="5193600" y="3308513"/>
          <a:ext cx="304800" cy="94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87</xdr:row>
      <xdr:rowOff>0</xdr:rowOff>
    </xdr:from>
    <xdr:ext cx="304800" cy="752475"/>
    <xdr:sp>
      <xdr:nvSpPr>
        <xdr:cNvPr id="20" name="Shape 20"/>
        <xdr:cNvSpPr/>
      </xdr:nvSpPr>
      <xdr:spPr>
        <a:xfrm>
          <a:off x="5193600" y="3408525"/>
          <a:ext cx="3048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108</xdr:row>
      <xdr:rowOff>0</xdr:rowOff>
    </xdr:from>
    <xdr:ext cx="304800" cy="752475"/>
    <xdr:sp>
      <xdr:nvSpPr>
        <xdr:cNvPr id="20" name="Shape 20"/>
        <xdr:cNvSpPr/>
      </xdr:nvSpPr>
      <xdr:spPr>
        <a:xfrm>
          <a:off x="5193600" y="3408525"/>
          <a:ext cx="3048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158</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457200</xdr:colOff>
      <xdr:row>194</xdr:row>
      <xdr:rowOff>66675</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182</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0</xdr:colOff>
      <xdr:row>19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41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53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65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89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101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113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134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148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160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22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139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185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199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210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32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39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56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60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80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114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143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163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175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35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36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53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54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62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63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77</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78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89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115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116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138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139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145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146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160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161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172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173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184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198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199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209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210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31</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41</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47</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67</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74</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83</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103</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136</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150</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174</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127</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115</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193</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39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111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135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167</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203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194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163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151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104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92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78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68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56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44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122</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237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180975</xdr:rowOff>
    </xdr:from>
    <xdr:ext cx="304800"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2</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xdr:row>
      <xdr:rowOff>180975</xdr:rowOff>
    </xdr:from>
    <xdr:ext cx="304800"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5</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6</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0</xdr:colOff>
      <xdr:row>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78</xdr:row>
      <xdr:rowOff>0</xdr:rowOff>
    </xdr:from>
    <xdr:ext cx="304800" cy="952500"/>
    <xdr:sp>
      <xdr:nvSpPr>
        <xdr:cNvPr id="22" name="Shape 22"/>
        <xdr:cNvSpPr/>
      </xdr:nvSpPr>
      <xdr:spPr>
        <a:xfrm>
          <a:off x="5193600" y="3308513"/>
          <a:ext cx="304800" cy="94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5:T25" displayName="Table1" name="Table1" id="1">
  <autoFilter ref="$A$15:$T$25"/>
  <tableColumns count="20">
    <tableColumn name="Seed" id="1"/>
    <tableColumn name="Team" id="2"/>
    <tableColumn name="Overall Wins" id="3"/>
    <tableColumn name="Overall Losses" id="4"/>
    <tableColumn name="STK" id="5"/>
    <tableColumn name="Div" id="6"/>
    <tableColumn name="Div Wins" id="7"/>
    <tableColumn name="Div Losses" id="8"/>
    <tableColumn name="Total Score" id="9"/>
    <tableColumn name="MVTS Score" id="10"/>
    <tableColumn name="MVTS Rank" id="11"/>
    <tableColumn name="Column 1" id="12"/>
    <tableColumn name="Column 2" id="13"/>
    <tableColumn name="Column 3" id="14"/>
    <tableColumn name="Column 4" id="15"/>
    <tableColumn name="Column 5" id="16"/>
    <tableColumn name="Column 6" id="17"/>
    <tableColumn name="All Stars" id="18"/>
    <tableColumn name="MOTW Wins" id="19"/>
    <tableColumn name="MOTW Losses" id="20"/>
  </tableColumns>
  <tableStyleInfo name="League Standings-style" showColumnStripes="0" showFirstColumn="1" showLastColumn="1" showRowStripes="1"/>
</table>
</file>

<file path=xl/tables/table2.xml><?xml version="1.0" encoding="utf-8"?>
<table xmlns="http://schemas.openxmlformats.org/spreadsheetml/2006/main" ref="X3:AD23" displayName="Table_1" name="Table_1" id="2">
  <tableColumns count="7">
    <tableColumn name="Top 20 " id="1"/>
    <tableColumn name="Score Gap" id="2"/>
    <tableColumn name="Year" id="3"/>
    <tableColumn name="Week" id="4"/>
    <tableColumn name="Winner" id="5"/>
    <tableColumn name="Opposing Team" id="6"/>
    <tableColumn name="Game Ref #" id="7"/>
  </tableColumns>
  <tableStyleInfo name="League History-style" showColumnStripes="0" showFirstColumn="1" showLastColumn="1" showRowStripes="1"/>
</table>
</file>

<file path=xl/tables/table3.xml><?xml version="1.0" encoding="utf-8"?>
<table xmlns="http://schemas.openxmlformats.org/spreadsheetml/2006/main" ref="X26:AD46" displayName="Table_2" name="Table_2" id="3">
  <tableColumns count="7">
    <tableColumn name="Top 20 " id="1"/>
    <tableColumn name="Score Gap" id="2"/>
    <tableColumn name="Year" id="3"/>
    <tableColumn name="Week" id="4"/>
    <tableColumn name="Winner" id="5"/>
    <tableColumn name="Opposing Team" id="6"/>
    <tableColumn name="Game Ref #" id="7"/>
  </tableColumns>
  <tableStyleInfo name="League History-style 2" showColumnStripes="0" showFirstColumn="1" showLastColumn="1" showRowStripes="1"/>
</table>
</file>

<file path=xl/tables/table4.xml><?xml version="1.0" encoding="utf-8"?>
<table xmlns="http://schemas.openxmlformats.org/spreadsheetml/2006/main" ref="X49:AD69" displayName="Table_3" name="Table_3" id="4">
  <tableColumns count="7">
    <tableColumn name="Top 20 " id="1"/>
    <tableColumn name="Combined Score" id="2"/>
    <tableColumn name="Year" id="3"/>
    <tableColumn name="Week" id="4"/>
    <tableColumn name="Winner" id="5"/>
    <tableColumn name="Opposing Team" id="6"/>
    <tableColumn name="Game Ref #" id="7"/>
  </tableColumns>
  <tableStyleInfo name="League History-style 3" showColumnStripes="0" showFirstColumn="1" showLastColumn="1" showRowStripes="1"/>
</table>
</file>

<file path=xl/tables/table5.xml><?xml version="1.0" encoding="utf-8"?>
<table xmlns="http://schemas.openxmlformats.org/spreadsheetml/2006/main" ref="U2:AA22" displayName="Table_4" name="Table_4" id="5">
  <tableColumns count="7">
    <tableColumn name="Top 20 " id="1"/>
    <tableColumn name="Score Gap" id="2"/>
    <tableColumn name="Year" id="3"/>
    <tableColumn name="Week" id="4"/>
    <tableColumn name="Winner" id="5"/>
    <tableColumn name="Opposing Team" id="6"/>
    <tableColumn name="Game Ref #" id="7"/>
  </tableColumns>
  <tableStyleInfo name="Playoff History-style" showColumnStripes="0" showFirstColumn="1" showLastColumn="1" showRowStripes="1"/>
</table>
</file>

<file path=xl/tables/table6.xml><?xml version="1.0" encoding="utf-8"?>
<table xmlns="http://schemas.openxmlformats.org/spreadsheetml/2006/main" ref="U25:AA45" displayName="Table_5" name="Table_5" id="6">
  <tableColumns count="7">
    <tableColumn name="Top 20 " id="1"/>
    <tableColumn name="Score Gap" id="2"/>
    <tableColumn name="Year" id="3"/>
    <tableColumn name="Week" id="4"/>
    <tableColumn name="Winner" id="5"/>
    <tableColumn name="Opposing Team" id="6"/>
    <tableColumn name="Game Ref #" id="7"/>
  </tableColumns>
  <tableStyleInfo name="Playoff History-style 2" showColumnStripes="0" showFirstColumn="1" showLastColumn="1" showRowStripes="1"/>
</table>
</file>

<file path=xl/tables/table7.xml><?xml version="1.0" encoding="utf-8"?>
<table xmlns="http://schemas.openxmlformats.org/spreadsheetml/2006/main" ref="U48:AA68" displayName="Table_6" name="Table_6" id="7">
  <tableColumns count="7">
    <tableColumn name="Top 20 " id="1"/>
    <tableColumn name="Combined Score" id="2"/>
    <tableColumn name="Year" id="3"/>
    <tableColumn name="Week" id="4"/>
    <tableColumn name="Winner" id="5"/>
    <tableColumn name="Opposing Team" id="6"/>
    <tableColumn name="Game Ref #" id="7"/>
  </tableColumns>
  <tableStyleInfo name="Playoff History-style 3" showColumnStripes="0" showFirstColumn="1" showLastColumn="1" showRowStripes="1"/>
</table>
</file>

<file path=xl/tables/table8.xml><?xml version="1.0" encoding="utf-8"?>
<table xmlns="http://schemas.openxmlformats.org/spreadsheetml/2006/main" ref="U71:AA91" displayName="Table_7" name="Table_7" id="8">
  <tableColumns count="7">
    <tableColumn name="Top 20 " id="1"/>
    <tableColumn name="Combined Score" id="2"/>
    <tableColumn name="Year" id="3"/>
    <tableColumn name="Week" id="4"/>
    <tableColumn name="Winner" id="5"/>
    <tableColumn name="Opposing Team" id="6"/>
    <tableColumn name="Game Ref #" id="7"/>
  </tableColumns>
  <tableStyleInfo name="Playoff History-style 4" showColumnStripes="0" showFirstColumn="1" showLastColumn="1" showRowStripes="1"/>
</table>
</file>

<file path=xl/tables/table9.xml><?xml version="1.0" encoding="utf-8"?>
<table xmlns="http://schemas.openxmlformats.org/spreadsheetml/2006/main" ref="U94:AC114" displayName="Table_8" name="Table_8" id="9">
  <tableColumns count="9">
    <tableColumn name="Top 20 " id="1"/>
    <tableColumn name="Game Value" id="2"/>
    <tableColumn name="Year" id="3"/>
    <tableColumn name="Week" id="4"/>
    <tableColumn name="Winner" id="5"/>
    <tableColumn name="Opposing Team" id="6"/>
    <tableColumn name="Game Ref #" id="7"/>
    <tableColumn name="Score gap" id="8"/>
    <tableColumn name="Combined Scoring" id="9"/>
  </tableColumns>
  <tableStyleInfo name="Playoff History-style 5" showColumnStripes="0" showFirstColumn="1" showLastColumn="1" showRowStripes="1"/>
</table>
</file>

<file path=xl/tables/table10.xml><?xml version="1.0" encoding="utf-8"?>
<table xmlns="http://schemas.openxmlformats.org/spreadsheetml/2006/main" ref="U117:AC137" displayName="Table_9" name="Table_9" id="10">
  <tableColumns count="9">
    <tableColumn name="Top 20 " id="1"/>
    <tableColumn name="Game Value" id="2"/>
    <tableColumn name="Year" id="3"/>
    <tableColumn name="Week" id="4"/>
    <tableColumn name="Winner" id="5"/>
    <tableColumn name="Opposing Team" id="6"/>
    <tableColumn name="Game Ref #" id="7"/>
    <tableColumn name="Score gap" id="8"/>
    <tableColumn name="Combined Scoring" id="9"/>
  </tableColumns>
  <tableStyleInfo name="Playoff History-style 6" showColumnStripes="0" showFirstColumn="1" showLastColumn="1" showRowStripes="1"/>
</table>
</file>

<file path=xl/tables/table11.xml><?xml version="1.0" encoding="utf-8"?>
<table xmlns="http://schemas.openxmlformats.org/spreadsheetml/2006/main" ref="Y3:AA11" displayName="Table_10" name="Table_10" id="11">
  <tableColumns count="3">
    <tableColumn name="Placement" id="1"/>
    <tableColumn name="Team" id="2"/>
    <tableColumn name="Score" id="3"/>
  </tableColumns>
  <tableStyleInfo name="MVT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90" Type="http://schemas.openxmlformats.org/officeDocument/2006/relationships/hyperlink" Target="https://fantasy.espn.com/football/boxscore?leagueId=11593953&amp;matchupPeriodId=11&amp;scoringPeriodId=11&amp;seasonId=2020&amp;teamId=6&amp;view=scoringperiod" TargetMode="External"/><Relationship Id="rId194" Type="http://schemas.openxmlformats.org/officeDocument/2006/relationships/hyperlink" Target="https://fantasy.espn.com/football/boxscore?leagueId=11593953&amp;matchupPeriodId=12&amp;scoringPeriodId=12&amp;seasonId=2020&amp;teamId=9&amp;view=scoringperiod" TargetMode="External"/><Relationship Id="rId193" Type="http://schemas.openxmlformats.org/officeDocument/2006/relationships/hyperlink" Target="https://fantasy.espn.com/football/boxscore?leagueId=11593953&amp;matchupPeriodId=12&amp;scoringPeriodId=12&amp;seasonId=2020&amp;teamId=9&amp;view=scoringperiod" TargetMode="External"/><Relationship Id="rId192" Type="http://schemas.openxmlformats.org/officeDocument/2006/relationships/hyperlink" Target="https://fantasy.espn.com/football/boxscore?leagueId=11593953&amp;matchupPeriodId=11&amp;scoringPeriodId=11&amp;seasonId=2020&amp;teamId=2&amp;view=scoringperiod" TargetMode="External"/><Relationship Id="rId191" Type="http://schemas.openxmlformats.org/officeDocument/2006/relationships/hyperlink" Target="https://fantasy.espn.com/football/boxscore?leagueId=11593953&amp;matchupPeriodId=11&amp;scoringPeriodId=11&amp;seasonId=2020&amp;teamId=2&amp;view=scoringperiod" TargetMode="External"/><Relationship Id="rId187" Type="http://schemas.openxmlformats.org/officeDocument/2006/relationships/hyperlink" Target="https://fantasy.espn.com/football/boxscore?leagueId=11593953&amp;matchupPeriodId=11&amp;scoringPeriodId=11&amp;seasonId=2020&amp;teamId=1&amp;view=scoringperiod" TargetMode="External"/><Relationship Id="rId186" Type="http://schemas.openxmlformats.org/officeDocument/2006/relationships/hyperlink" Target="https://fantasy.espn.com/football/boxscore?leagueId=11593953&amp;matchupPeriodId=11&amp;scoringPeriodId=11&amp;seasonId=2020&amp;teamId=8&amp;view=scoringperiod" TargetMode="External"/><Relationship Id="rId185" Type="http://schemas.openxmlformats.org/officeDocument/2006/relationships/hyperlink" Target="https://fantasy.espn.com/football/boxscore?leagueId=11593953&amp;matchupPeriodId=11&amp;scoringPeriodId=11&amp;seasonId=2020&amp;teamId=8&amp;view=scoringperiod" TargetMode="External"/><Relationship Id="rId184" Type="http://schemas.openxmlformats.org/officeDocument/2006/relationships/hyperlink" Target="https://fantasy.espn.com/football/boxscore?leagueId=11593953&amp;matchupPeriodId=10&amp;scoringPeriodId=10&amp;seasonId=2020&amp;teamId=1&amp;view=scoringperiod" TargetMode="External"/><Relationship Id="rId189" Type="http://schemas.openxmlformats.org/officeDocument/2006/relationships/hyperlink" Target="https://fantasy.espn.com/football/boxscore?leagueId=11593953&amp;matchupPeriodId=11&amp;scoringPeriodId=11&amp;seasonId=2020&amp;teamId=6&amp;view=scoringperiod" TargetMode="External"/><Relationship Id="rId188" Type="http://schemas.openxmlformats.org/officeDocument/2006/relationships/hyperlink" Target="https://fantasy.espn.com/football/boxscore?leagueId=11593953&amp;matchupPeriodId=11&amp;scoringPeriodId=11&amp;seasonId=2020&amp;teamId=1&amp;view=scoringperiod" TargetMode="External"/><Relationship Id="rId183" Type="http://schemas.openxmlformats.org/officeDocument/2006/relationships/hyperlink" Target="https://fantasy.espn.com/football/boxscore?leagueId=11593953&amp;matchupPeriodId=10&amp;scoringPeriodId=10&amp;seasonId=2020&amp;teamId=1&amp;view=scoringperiod" TargetMode="External"/><Relationship Id="rId182" Type="http://schemas.openxmlformats.org/officeDocument/2006/relationships/hyperlink" Target="https://fantasy.espn.com/football/boxscore?leagueId=11593953&amp;matchupPeriodId=10&amp;scoringPeriodId=10&amp;seasonId=2020&amp;teamId=3&amp;view=scoringperiod" TargetMode="External"/><Relationship Id="rId181" Type="http://schemas.openxmlformats.org/officeDocument/2006/relationships/hyperlink" Target="https://fantasy.espn.com/football/boxscore?leagueId=11593953&amp;matchupPeriodId=10&amp;scoringPeriodId=10&amp;seasonId=2020&amp;teamId=3&amp;view=scoringperiod" TargetMode="External"/><Relationship Id="rId180" Type="http://schemas.openxmlformats.org/officeDocument/2006/relationships/hyperlink" Target="https://fantasy.espn.com/football/boxscore?leagueId=11593953&amp;matchupPeriodId=10&amp;scoringPeriodId=10&amp;seasonId=2020&amp;teamId=6&amp;view=scoringperiod" TargetMode="External"/><Relationship Id="rId176" Type="http://schemas.openxmlformats.org/officeDocument/2006/relationships/hyperlink" Target="https://fantasy.espn.com/football/boxscore?leagueId=11593953&amp;matchupPeriodId=9&amp;scoringPeriodId=9&amp;seasonId=2020&amp;teamId=6&amp;view=scoringperiod" TargetMode="External"/><Relationship Id="rId297" Type="http://schemas.openxmlformats.org/officeDocument/2006/relationships/hyperlink" Target="https://fantasy.espn.com/football/boxscore?leagueId=11593953&amp;matchupPeriodId=10&amp;scoringPeriodId=10&amp;seasonId=2021&amp;teamId=11&amp;view=scoringperiod" TargetMode="External"/><Relationship Id="rId175" Type="http://schemas.openxmlformats.org/officeDocument/2006/relationships/hyperlink" Target="https://fantasy.espn.com/football/boxscore?leagueId=11593953&amp;matchupPeriodId=9&amp;scoringPeriodId=9&amp;seasonId=2020&amp;teamId=6&amp;view=scoringperiod" TargetMode="External"/><Relationship Id="rId296" Type="http://schemas.openxmlformats.org/officeDocument/2006/relationships/hyperlink" Target="https://fantasy.espn.com/football/boxscore?leagueId=11593953&amp;matchupPeriodId=10&amp;scoringPeriodId=10&amp;seasonId=2021&amp;teamId=9&amp;view=scoringperiod" TargetMode="External"/><Relationship Id="rId174" Type="http://schemas.openxmlformats.org/officeDocument/2006/relationships/hyperlink" Target="https://fantasy.espn.com/football/boxscore?leagueId=11593953&amp;matchupPeriodId=9&amp;scoringPeriodId=9&amp;seasonId=2020&amp;teamId=2&amp;view=scoringperiod" TargetMode="External"/><Relationship Id="rId295" Type="http://schemas.openxmlformats.org/officeDocument/2006/relationships/hyperlink" Target="https://fantasy.espn.com/football/boxscore?leagueId=11593953&amp;matchupPeriodId=10&amp;scoringPeriodId=10&amp;seasonId=2021&amp;teamId=9&amp;view=scoringperiod" TargetMode="External"/><Relationship Id="rId173" Type="http://schemas.openxmlformats.org/officeDocument/2006/relationships/hyperlink" Target="https://fantasy.espn.com/football/boxscore?leagueId=11593953&amp;matchupPeriodId=9&amp;scoringPeriodId=9&amp;seasonId=2020&amp;teamId=2&amp;view=scoringperiod" TargetMode="External"/><Relationship Id="rId294" Type="http://schemas.openxmlformats.org/officeDocument/2006/relationships/hyperlink" Target="https://fantasy.espn.com/football/boxscore?leagueId=11593953&amp;matchupPeriodId=10&amp;scoringPeriodId=10&amp;seasonId=2021&amp;teamId=1&amp;view=scoringperiod" TargetMode="External"/><Relationship Id="rId179" Type="http://schemas.openxmlformats.org/officeDocument/2006/relationships/hyperlink" Target="https://fantasy.espn.com/football/boxscore?leagueId=11593953&amp;matchupPeriodId=10&amp;scoringPeriodId=10&amp;seasonId=2020&amp;teamId=6&amp;view=scoringperiod" TargetMode="External"/><Relationship Id="rId178" Type="http://schemas.openxmlformats.org/officeDocument/2006/relationships/hyperlink" Target="https://fantasy.espn.com/football/boxscore?leagueId=11593953&amp;matchupPeriodId=10&amp;scoringPeriodId=10&amp;seasonId=2020&amp;teamId=8&amp;view=scoringperiod" TargetMode="External"/><Relationship Id="rId299" Type="http://schemas.openxmlformats.org/officeDocument/2006/relationships/hyperlink" Target="https://fantasy.espn.com/football/boxscore?leagueId=11593953&amp;matchupPeriodId=11&amp;scoringPeriodId=11&amp;seasonId=2021&amp;teamId=3&amp;view=scoringperiod" TargetMode="External"/><Relationship Id="rId177" Type="http://schemas.openxmlformats.org/officeDocument/2006/relationships/hyperlink" Target="https://fantasy.espn.com/football/boxscore?leagueId=11593953&amp;matchupPeriodId=10&amp;scoringPeriodId=10&amp;seasonId=2020&amp;teamId=8&amp;view=scoringperiod" TargetMode="External"/><Relationship Id="rId298" Type="http://schemas.openxmlformats.org/officeDocument/2006/relationships/hyperlink" Target="https://fantasy.espn.com/football/boxscore?leagueId=11593953&amp;matchupPeriodId=10&amp;scoringPeriodId=10&amp;seasonId=2021&amp;teamId=11&amp;view=scoringperiod" TargetMode="External"/><Relationship Id="rId198" Type="http://schemas.openxmlformats.org/officeDocument/2006/relationships/hyperlink" Target="https://fantasy.espn.com/football/boxscore?leagueId=11593953&amp;matchupPeriodId=12&amp;scoringPeriodId=12&amp;seasonId=2020&amp;teamId=4&amp;view=scoringperiod" TargetMode="External"/><Relationship Id="rId197" Type="http://schemas.openxmlformats.org/officeDocument/2006/relationships/hyperlink" Target="https://fantasy.espn.com/football/boxscore?leagueId=11593953&amp;matchupPeriodId=12&amp;scoringPeriodId=12&amp;seasonId=2020&amp;teamId=4&amp;view=scoringperiod" TargetMode="External"/><Relationship Id="rId196" Type="http://schemas.openxmlformats.org/officeDocument/2006/relationships/hyperlink" Target="https://fantasy.espn.com/football/boxscore?leagueId=11593953&amp;matchupPeriodId=12&amp;scoringPeriodId=12&amp;seasonId=2020&amp;teamId=5&amp;view=scoringperiod" TargetMode="External"/><Relationship Id="rId195" Type="http://schemas.openxmlformats.org/officeDocument/2006/relationships/hyperlink" Target="https://fantasy.espn.com/football/boxscore?leagueId=11593953&amp;matchupPeriodId=12&amp;scoringPeriodId=12&amp;seasonId=2020&amp;teamId=5&amp;view=scoringperiod" TargetMode="External"/><Relationship Id="rId199" Type="http://schemas.openxmlformats.org/officeDocument/2006/relationships/hyperlink" Target="https://fantasy.espn.com/football/boxscore?leagueId=11593953&amp;matchupPeriodId=12&amp;scoringPeriodId=12&amp;seasonId=2020&amp;teamId=1&amp;view=scoringperiod" TargetMode="External"/><Relationship Id="rId150" Type="http://schemas.openxmlformats.org/officeDocument/2006/relationships/hyperlink" Target="https://fantasy.espn.com/football/boxscore?leagueId=11593953&amp;matchupPeriodId=6&amp;scoringPeriodId=6&amp;seasonId=2020&amp;teamId=4&amp;view=scoringperiod" TargetMode="External"/><Relationship Id="rId271" Type="http://schemas.openxmlformats.org/officeDocument/2006/relationships/hyperlink" Target="https://fantasy.espn.com/football/boxscore?leagueId=11593953&amp;matchupPeriodId=7&amp;scoringPeriodId=7&amp;seasonId=2021&amp;teamId=2&amp;view=scoringperiod" TargetMode="External"/><Relationship Id="rId392" Type="http://schemas.openxmlformats.org/officeDocument/2006/relationships/hyperlink" Target="https://fantasy.espn.com/football/boxscore?leagueId=11593953&amp;matchupPeriodId=7&amp;scoringPeriodId=7&amp;seasonId=2022&amp;teamId=3&amp;view=scoringperiod" TargetMode="External"/><Relationship Id="rId270" Type="http://schemas.openxmlformats.org/officeDocument/2006/relationships/hyperlink" Target="https://fantasy.espn.com/football/boxscore?leagueId=11593953&amp;matchupPeriodId=7&amp;scoringPeriodId=7&amp;seasonId=2021&amp;teamId=6&amp;view=scoringperiod" TargetMode="External"/><Relationship Id="rId391" Type="http://schemas.openxmlformats.org/officeDocument/2006/relationships/hyperlink" Target="https://fantasy.espn.com/football/boxscore?leagueId=11593953&amp;matchupPeriodId=7&amp;scoringPeriodId=7&amp;seasonId=2022&amp;teamId=3&amp;view=scoringperiod" TargetMode="External"/><Relationship Id="rId390" Type="http://schemas.openxmlformats.org/officeDocument/2006/relationships/hyperlink" Target="https://fantasy.espn.com/football/boxscore?leagueId=11593953&amp;matchupPeriodId=7&amp;scoringPeriodId=7&amp;seasonId=2022&amp;teamId=11&amp;view=scoringperiod" TargetMode="External"/><Relationship Id="rId1" Type="http://schemas.openxmlformats.org/officeDocument/2006/relationships/hyperlink" Target="https://fantasy.espn.com/football/boxscore?leagueId=11593953&amp;matchupPeriodId=1&amp;scoringPeriodId=1&amp;seasonId=2019&amp;teamId=2&amp;view=scoringperiod" TargetMode="External"/><Relationship Id="rId2" Type="http://schemas.openxmlformats.org/officeDocument/2006/relationships/hyperlink" Target="https://fantasy.espn.com/football/boxscore?leagueId=11593953&amp;matchupPeriodId=1&amp;scoringPeriodId=1&amp;seasonId=2019&amp;teamId=2&amp;view=scoringperiod" TargetMode="External"/><Relationship Id="rId3" Type="http://schemas.openxmlformats.org/officeDocument/2006/relationships/hyperlink" Target="https://fantasy.espn.com/football/boxscore?leagueId=11593953&amp;matchupPeriodId=1&amp;scoringPeriodId=1&amp;seasonId=2019&amp;teamId=1&amp;view=scoringperiod" TargetMode="External"/><Relationship Id="rId149" Type="http://schemas.openxmlformats.org/officeDocument/2006/relationships/hyperlink" Target="https://fantasy.espn.com/football/boxscore?leagueId=11593953&amp;matchupPeriodId=6&amp;scoringPeriodId=6&amp;seasonId=2020&amp;teamId=4&amp;view=scoringperiod" TargetMode="External"/><Relationship Id="rId4" Type="http://schemas.openxmlformats.org/officeDocument/2006/relationships/hyperlink" Target="https://fantasy.espn.com/football/boxscore?leagueId=11593953&amp;matchupPeriodId=1&amp;scoringPeriodId=1&amp;seasonId=2019&amp;teamId=1&amp;view=scoringperiod" TargetMode="External"/><Relationship Id="rId148" Type="http://schemas.openxmlformats.org/officeDocument/2006/relationships/hyperlink" Target="https://fantasy.espn.com/football/boxscore?leagueId=11593953&amp;matchupPeriodId=6&amp;scoringPeriodId=6&amp;seasonId=2020&amp;teamId=5&amp;view=scoringperiod" TargetMode="External"/><Relationship Id="rId269" Type="http://schemas.openxmlformats.org/officeDocument/2006/relationships/hyperlink" Target="https://fantasy.espn.com/football/boxscore?leagueId=11593953&amp;matchupPeriodId=7&amp;scoringPeriodId=7&amp;seasonId=2021&amp;teamId=6&amp;view=scoringperiod" TargetMode="External"/><Relationship Id="rId9" Type="http://schemas.openxmlformats.org/officeDocument/2006/relationships/hyperlink" Target="https://fantasy.espn.com/football/boxscore?leagueId=11593953&amp;matchupPeriodId=2&amp;scoringPeriodId=2&amp;seasonId=2019&amp;teamId=2&amp;view=scoringperiod" TargetMode="External"/><Relationship Id="rId143" Type="http://schemas.openxmlformats.org/officeDocument/2006/relationships/hyperlink" Target="https://fantasy.espn.com/football/boxscore?leagueId=11593953&amp;matchupPeriodId=5&amp;scoringPeriodId=5&amp;seasonId=2020&amp;teamId=6&amp;view=scoringperiod" TargetMode="External"/><Relationship Id="rId264" Type="http://schemas.openxmlformats.org/officeDocument/2006/relationships/hyperlink" Target="https://fantasy.espn.com/football/boxscore?leagueId=11593953&amp;matchupPeriodId=6&amp;scoringPeriodId=6&amp;seasonId=2021&amp;teamId=5&amp;view=scoringperiod" TargetMode="External"/><Relationship Id="rId385" Type="http://schemas.openxmlformats.org/officeDocument/2006/relationships/hyperlink" Target="https://fantasy.espn.com/football/boxscore?leagueId=11593953&amp;matchupPeriodId=6&amp;scoringPeriodId=6&amp;seasonId=2022&amp;teamId=8&amp;view=scoringperiod" TargetMode="External"/><Relationship Id="rId142" Type="http://schemas.openxmlformats.org/officeDocument/2006/relationships/hyperlink" Target="https://fantasy.espn.com/football/boxscore?leagueId=11593953&amp;matchupPeriodId=5&amp;scoringPeriodId=5&amp;seasonId=2020&amp;teamId=2&amp;view=scoringperiod" TargetMode="External"/><Relationship Id="rId263" Type="http://schemas.openxmlformats.org/officeDocument/2006/relationships/hyperlink" Target="https://fantasy.espn.com/football/boxscore?leagueId=11593953&amp;matchupPeriodId=6&amp;scoringPeriodId=6&amp;seasonId=2021&amp;teamId=5&amp;view=scoringperiod" TargetMode="External"/><Relationship Id="rId384" Type="http://schemas.openxmlformats.org/officeDocument/2006/relationships/hyperlink" Target="https://fantasy.espn.com/football/boxscore?leagueId=11593953&amp;matchupPeriodId=6&amp;scoringPeriodId=6&amp;seasonId=2022&amp;teamId=9&amp;view=scoringperiod" TargetMode="External"/><Relationship Id="rId141" Type="http://schemas.openxmlformats.org/officeDocument/2006/relationships/hyperlink" Target="https://fantasy.espn.com/football/boxscore?leagueId=11593953&amp;matchupPeriodId=5&amp;scoringPeriodId=5&amp;seasonId=2020&amp;teamId=2&amp;view=scoringperiod" TargetMode="External"/><Relationship Id="rId262" Type="http://schemas.openxmlformats.org/officeDocument/2006/relationships/hyperlink" Target="https://fantasy.espn.com/football/boxscore?leagueId=11593953&amp;matchupPeriodId=6&amp;scoringPeriodId=6&amp;seasonId=2021&amp;teamId=6&amp;view=scoringperiod" TargetMode="External"/><Relationship Id="rId383" Type="http://schemas.openxmlformats.org/officeDocument/2006/relationships/hyperlink" Target="https://fantasy.espn.com/football/boxscore?leagueId=11593953&amp;matchupPeriodId=6&amp;scoringPeriodId=6&amp;seasonId=2022&amp;teamId=9&amp;view=scoringperiod" TargetMode="External"/><Relationship Id="rId140" Type="http://schemas.openxmlformats.org/officeDocument/2006/relationships/hyperlink" Target="https://fantasy.espn.com/football/boxscore?leagueId=11593953&amp;matchupPeriodId=5&amp;scoringPeriodId=5&amp;seasonId=2020&amp;teamId=9&amp;view=scoringperiod" TargetMode="External"/><Relationship Id="rId261" Type="http://schemas.openxmlformats.org/officeDocument/2006/relationships/hyperlink" Target="https://fantasy.espn.com/football/boxscore?leagueId=11593953&amp;matchupPeriodId=6&amp;scoringPeriodId=6&amp;seasonId=2021&amp;teamId=6&amp;view=scoringperiod" TargetMode="External"/><Relationship Id="rId382" Type="http://schemas.openxmlformats.org/officeDocument/2006/relationships/hyperlink" Target="https://fantasy.espn.com/football/boxscore?leagueId=11593953&amp;matchupPeriodId=6&amp;scoringPeriodId=6&amp;seasonId=2022&amp;teamId=3&amp;view=scoringperiod" TargetMode="External"/><Relationship Id="rId5" Type="http://schemas.openxmlformats.org/officeDocument/2006/relationships/hyperlink" Target="https://fantasy.espn.com/football/boxscore?leagueId=11593953&amp;matchupPeriodId=1&amp;scoringPeriodId=1&amp;seasonId=2019&amp;teamId=8&amp;view=scoringperiod" TargetMode="External"/><Relationship Id="rId147" Type="http://schemas.openxmlformats.org/officeDocument/2006/relationships/hyperlink" Target="https://fantasy.espn.com/football/boxscore?leagueId=11593953&amp;matchupPeriodId=6&amp;scoringPeriodId=6&amp;seasonId=2020&amp;teamId=5&amp;view=scoringperiod" TargetMode="External"/><Relationship Id="rId268" Type="http://schemas.openxmlformats.org/officeDocument/2006/relationships/hyperlink" Target="https://fantasy.espn.com/football/boxscore?leagueId=11593953&amp;matchupPeriodId=7&amp;scoringPeriodId=7&amp;seasonId=2021&amp;teamId=8&amp;view=scoringperiod" TargetMode="External"/><Relationship Id="rId389" Type="http://schemas.openxmlformats.org/officeDocument/2006/relationships/hyperlink" Target="https://fantasy.espn.com/football/boxscore?leagueId=11593953&amp;matchupPeriodId=7&amp;scoringPeriodId=7&amp;seasonId=2022&amp;teamId=11&amp;view=scoringperiod" TargetMode="External"/><Relationship Id="rId6" Type="http://schemas.openxmlformats.org/officeDocument/2006/relationships/hyperlink" Target="https://fantasy.espn.com/football/boxscore?leagueId=11593953&amp;matchupPeriodId=1&amp;scoringPeriodId=1&amp;seasonId=2019&amp;teamId=8&amp;view=scoringperiod" TargetMode="External"/><Relationship Id="rId146" Type="http://schemas.openxmlformats.org/officeDocument/2006/relationships/hyperlink" Target="https://fantasy.espn.com/football/boxscore?leagueId=11593953&amp;matchupPeriodId=6&amp;scoringPeriodId=6&amp;seasonId=2020&amp;teamId=8&amp;view=scoringperiod" TargetMode="External"/><Relationship Id="rId267" Type="http://schemas.openxmlformats.org/officeDocument/2006/relationships/hyperlink" Target="https://fantasy.espn.com/football/boxscore?leagueId=11593953&amp;matchupPeriodId=7&amp;scoringPeriodId=7&amp;seasonId=2021&amp;teamId=8&amp;view=scoringperiod" TargetMode="External"/><Relationship Id="rId388" Type="http://schemas.openxmlformats.org/officeDocument/2006/relationships/hyperlink" Target="https://fantasy.espn.com/football/boxscore?leagueId=11593953&amp;matchupPeriodId=7&amp;scoringPeriodId=7&amp;seasonId=2022&amp;teamId=1&amp;view=scoringperiod" TargetMode="External"/><Relationship Id="rId7" Type="http://schemas.openxmlformats.org/officeDocument/2006/relationships/hyperlink" Target="https://fantasy.espn.com/football/boxscore?leagueId=11593953&amp;matchupPeriodId=1&amp;scoringPeriodId=1&amp;seasonId=2019&amp;teamId=6&amp;view=scoringperiod" TargetMode="External"/><Relationship Id="rId145" Type="http://schemas.openxmlformats.org/officeDocument/2006/relationships/hyperlink" Target="https://fantasy.espn.com/football/boxscore?leagueId=11593953&amp;matchupPeriodId=6&amp;scoringPeriodId=6&amp;seasonId=2020&amp;teamId=8&amp;view=scoringperiod" TargetMode="External"/><Relationship Id="rId266" Type="http://schemas.openxmlformats.org/officeDocument/2006/relationships/hyperlink" Target="https://fantasy.espn.com/football/boxscore?leagueId=11593953&amp;matchupPeriodId=7&amp;scoringPeriodId=7&amp;seasonId=2021&amp;teamId=3&amp;view=scoringperiod" TargetMode="External"/><Relationship Id="rId387" Type="http://schemas.openxmlformats.org/officeDocument/2006/relationships/hyperlink" Target="https://fantasy.espn.com/football/boxscore?leagueId=11593953&amp;matchupPeriodId=7&amp;scoringPeriodId=7&amp;seasonId=2022&amp;teamId=1&amp;view=scoringperiod" TargetMode="External"/><Relationship Id="rId8" Type="http://schemas.openxmlformats.org/officeDocument/2006/relationships/hyperlink" Target="https://fantasy.espn.com/football/boxscore?leagueId=11593953&amp;matchupPeriodId=1&amp;scoringPeriodId=1&amp;seasonId=2019&amp;teamId=6&amp;view=scoringperiod" TargetMode="External"/><Relationship Id="rId144" Type="http://schemas.openxmlformats.org/officeDocument/2006/relationships/hyperlink" Target="https://fantasy.espn.com/football/boxscore?leagueId=11593953&amp;matchupPeriodId=5&amp;scoringPeriodId=5&amp;seasonId=2020&amp;teamId=6&amp;view=scoringperiod" TargetMode="External"/><Relationship Id="rId265" Type="http://schemas.openxmlformats.org/officeDocument/2006/relationships/hyperlink" Target="https://fantasy.espn.com/football/boxscore?leagueId=11593953&amp;matchupPeriodId=7&amp;scoringPeriodId=7&amp;seasonId=2021&amp;teamId=3&amp;view=scoringperiod" TargetMode="External"/><Relationship Id="rId386" Type="http://schemas.openxmlformats.org/officeDocument/2006/relationships/hyperlink" Target="https://fantasy.espn.com/football/boxscore?leagueId=11593953&amp;matchupPeriodId=6&amp;scoringPeriodId=6&amp;seasonId=2022&amp;teamId=8&amp;view=scoringperiod" TargetMode="External"/><Relationship Id="rId260" Type="http://schemas.openxmlformats.org/officeDocument/2006/relationships/hyperlink" Target="https://fantasy.espn.com/football/boxscore?leagueId=11593953&amp;matchupPeriodId=6&amp;scoringPeriodId=6&amp;seasonId=2021&amp;teamId=9&amp;view=scoringperiod" TargetMode="External"/><Relationship Id="rId381" Type="http://schemas.openxmlformats.org/officeDocument/2006/relationships/hyperlink" Target="https://fantasy.espn.com/football/boxscore?leagueId=11593953&amp;matchupPeriodId=6&amp;scoringPeriodId=6&amp;seasonId=2022&amp;teamId=3&amp;view=scoringperiod" TargetMode="External"/><Relationship Id="rId380" Type="http://schemas.openxmlformats.org/officeDocument/2006/relationships/hyperlink" Target="https://fantasy.espn.com/football/boxscore?leagueId=11593953&amp;matchupPeriodId=6&amp;scoringPeriodId=6&amp;seasonId=2022&amp;teamId=1&amp;view=scoringperiod" TargetMode="External"/><Relationship Id="rId139" Type="http://schemas.openxmlformats.org/officeDocument/2006/relationships/hyperlink" Target="https://fantasy.espn.com/football/boxscore?leagueId=11593953&amp;matchupPeriodId=5&amp;scoringPeriodId=5&amp;seasonId=2020&amp;teamId=9&amp;view=scoringperiod" TargetMode="External"/><Relationship Id="rId138" Type="http://schemas.openxmlformats.org/officeDocument/2006/relationships/hyperlink" Target="https://fantasy.espn.com/football/boxscore?leagueId=11593953&amp;matchupPeriodId=5&amp;scoringPeriodId=5&amp;seasonId=2020&amp;teamId=3&amp;view=scoringperiod" TargetMode="External"/><Relationship Id="rId259" Type="http://schemas.openxmlformats.org/officeDocument/2006/relationships/hyperlink" Target="https://fantasy.espn.com/football/boxscore?leagueId=11593953&amp;matchupPeriodId=6&amp;scoringPeriodId=6&amp;seasonId=2021&amp;teamId=9&amp;view=scoringperiod" TargetMode="External"/><Relationship Id="rId137" Type="http://schemas.openxmlformats.org/officeDocument/2006/relationships/hyperlink" Target="https://fantasy.espn.com/football/boxscore?leagueId=11593953&amp;matchupPeriodId=5&amp;scoringPeriodId=5&amp;seasonId=2020&amp;teamId=3&amp;view=scoringperiod" TargetMode="External"/><Relationship Id="rId258" Type="http://schemas.openxmlformats.org/officeDocument/2006/relationships/hyperlink" Target="https://fantasy.espn.com/football/boxscore?leagueId=11593953&amp;matchupPeriodId=6&amp;scoringPeriodId=6&amp;seasonId=2021&amp;teamId=3&amp;view=scoringperiod" TargetMode="External"/><Relationship Id="rId379" Type="http://schemas.openxmlformats.org/officeDocument/2006/relationships/hyperlink" Target="https://fantasy.espn.com/football/boxscore?leagueId=11593953&amp;matchupPeriodId=6&amp;scoringPeriodId=6&amp;seasonId=2022&amp;teamId=1&amp;view=scoringperiod" TargetMode="External"/><Relationship Id="rId132" Type="http://schemas.openxmlformats.org/officeDocument/2006/relationships/hyperlink" Target="https://fantasy.espn.com/football/boxscore?leagueId=11593953&amp;matchupPeriodId=4&amp;scoringPeriodId=4&amp;seasonId=2020&amp;teamId=2&amp;view=scoringperiod" TargetMode="External"/><Relationship Id="rId253" Type="http://schemas.openxmlformats.org/officeDocument/2006/relationships/hyperlink" Target="https://fantasy.espn.com/football/boxscore?leagueId=11593953&amp;matchupPeriodId=5&amp;scoringPeriodId=5&amp;seasonId=2021&amp;teamId=6&amp;view=scoringperiod" TargetMode="External"/><Relationship Id="rId374" Type="http://schemas.openxmlformats.org/officeDocument/2006/relationships/hyperlink" Target="https://fantasy.espn.com/football/boxscore?leagueId=11593953&amp;matchupPeriodId=5&amp;scoringPeriodId=5&amp;seasonId=2022&amp;teamId=11&amp;view=scoringperiod" TargetMode="External"/><Relationship Id="rId495" Type="http://schemas.openxmlformats.org/officeDocument/2006/relationships/hyperlink" Target="https://fantasy.espn.com/football/boxscore?leagueId=11593953&amp;matchupPeriodId=6&amp;scoringPeriodId=6&amp;seasonId=2023&amp;teamId=3&amp;view=scoringperiod" TargetMode="External"/><Relationship Id="rId131" Type="http://schemas.openxmlformats.org/officeDocument/2006/relationships/hyperlink" Target="https://fantasy.espn.com/football/boxscore?leagueId=11593953&amp;matchupPeriodId=4&amp;scoringPeriodId=4&amp;seasonId=2020&amp;teamId=2&amp;view=scoringperiod" TargetMode="External"/><Relationship Id="rId252" Type="http://schemas.openxmlformats.org/officeDocument/2006/relationships/hyperlink" Target="https://fantasy.espn.com/football/boxscore?leagueId=11593953&amp;matchupPeriodId=5&amp;scoringPeriodId=5&amp;seasonId=2021&amp;teamId=1&amp;view=scoringperiod" TargetMode="External"/><Relationship Id="rId373" Type="http://schemas.openxmlformats.org/officeDocument/2006/relationships/hyperlink" Target="https://fantasy.espn.com/football/boxscore?leagueId=11593953&amp;matchupPeriodId=5&amp;scoringPeriodId=5&amp;seasonId=2022&amp;teamId=11&amp;view=scoringperiod" TargetMode="External"/><Relationship Id="rId494" Type="http://schemas.openxmlformats.org/officeDocument/2006/relationships/hyperlink" Target="https://fantasy.espn.com/football/boxscore?leagueId=11593953&amp;matchupPeriodId=6&amp;scoringPeriodId=6&amp;seasonId=2023&amp;teamId=2&amp;view=scoringperiod" TargetMode="External"/><Relationship Id="rId130" Type="http://schemas.openxmlformats.org/officeDocument/2006/relationships/hyperlink" Target="https://fantasy.espn.com/football/boxscore?leagueId=11593953&amp;matchupPeriodId=4&amp;scoringPeriodId=4&amp;seasonId=2020&amp;teamId=6&amp;view=scoringperiod" TargetMode="External"/><Relationship Id="rId251" Type="http://schemas.openxmlformats.org/officeDocument/2006/relationships/hyperlink" Target="https://fantasy.espn.com/football/boxscore?leagueId=11593953&amp;matchupPeriodId=5&amp;scoringPeriodId=5&amp;seasonId=2021&amp;teamId=1&amp;view=scoringperiod" TargetMode="External"/><Relationship Id="rId372" Type="http://schemas.openxmlformats.org/officeDocument/2006/relationships/hyperlink" Target="https://fantasy.espn.com/football/boxscore?leagueId=11593953&amp;matchupPeriodId=5&amp;scoringPeriodId=5&amp;seasonId=2022&amp;teamId=1&amp;view=scoringperiod" TargetMode="External"/><Relationship Id="rId493" Type="http://schemas.openxmlformats.org/officeDocument/2006/relationships/hyperlink" Target="https://fantasy.espn.com/football/boxscore?leagueId=11593953&amp;matchupPeriodId=6&amp;scoringPeriodId=6&amp;seasonId=2023&amp;teamId=2&amp;view=scoringperiod" TargetMode="External"/><Relationship Id="rId250" Type="http://schemas.openxmlformats.org/officeDocument/2006/relationships/hyperlink" Target="https://fantasy.espn.com/football/boxscore?leagueId=11593953&amp;matchupPeriodId=5&amp;scoringPeriodId=5&amp;seasonId=2021&amp;teamId=3&amp;view=scoringperiod" TargetMode="External"/><Relationship Id="rId371" Type="http://schemas.openxmlformats.org/officeDocument/2006/relationships/hyperlink" Target="https://fantasy.espn.com/football/boxscore?leagueId=11593953&amp;matchupPeriodId=5&amp;scoringPeriodId=5&amp;seasonId=2022&amp;teamId=1&amp;view=scoringperiod" TargetMode="External"/><Relationship Id="rId492" Type="http://schemas.openxmlformats.org/officeDocument/2006/relationships/hyperlink" Target="https://fantasy.espn.com/football/boxscore?leagueId=11593953&amp;matchupPeriodId=6&amp;scoringPeriodId=6&amp;seasonId=2023&amp;teamId=9&amp;view=scoringperiod" TargetMode="External"/><Relationship Id="rId136" Type="http://schemas.openxmlformats.org/officeDocument/2006/relationships/hyperlink" Target="https://fantasy.espn.com/football/boxscore?leagueId=11593953&amp;matchupPeriodId=4&amp;scoringPeriodId=4&amp;seasonId=2020&amp;teamId=8&amp;view=scoringperiod" TargetMode="External"/><Relationship Id="rId257" Type="http://schemas.openxmlformats.org/officeDocument/2006/relationships/hyperlink" Target="https://fantasy.espn.com/football/boxscore?leagueId=11593953&amp;matchupPeriodId=6&amp;scoringPeriodId=6&amp;seasonId=2021&amp;teamId=3&amp;view=scoringperiod" TargetMode="External"/><Relationship Id="rId378" Type="http://schemas.openxmlformats.org/officeDocument/2006/relationships/hyperlink" Target="https://fantasy.espn.com/football/boxscore?leagueId=11593953&amp;matchupPeriodId=5&amp;scoringPeriodId=5&amp;seasonId=2022&amp;teamId=6&amp;view=scoringperiod" TargetMode="External"/><Relationship Id="rId499" Type="http://schemas.openxmlformats.org/officeDocument/2006/relationships/hyperlink" Target="https://fantasy.espn.com/football/boxscore?leagueId=11593953&amp;matchupPeriodId=7&amp;scoringPeriodId=7&amp;seasonId=2023&amp;teamId=9&amp;view=scoringperiod" TargetMode="External"/><Relationship Id="rId135" Type="http://schemas.openxmlformats.org/officeDocument/2006/relationships/hyperlink" Target="https://fantasy.espn.com/football/boxscore?leagueId=11593953&amp;matchupPeriodId=4&amp;scoringPeriodId=4&amp;seasonId=2020&amp;teamId=8&amp;view=scoringperiod" TargetMode="External"/><Relationship Id="rId256" Type="http://schemas.openxmlformats.org/officeDocument/2006/relationships/hyperlink" Target="https://fantasy.espn.com/football/boxscore?leagueId=11593953&amp;matchupPeriodId=5&amp;scoringPeriodId=5&amp;seasonId=2021&amp;teamId=4&amp;view=scoringperiod" TargetMode="External"/><Relationship Id="rId377" Type="http://schemas.openxmlformats.org/officeDocument/2006/relationships/hyperlink" Target="https://fantasy.espn.com/football/boxscore?leagueId=11593953&amp;matchupPeriodId=5&amp;scoringPeriodId=5&amp;seasonId=2022&amp;teamId=6&amp;view=scoringperiod" TargetMode="External"/><Relationship Id="rId498" Type="http://schemas.openxmlformats.org/officeDocument/2006/relationships/hyperlink" Target="https://fantasy.espn.com/football/boxscore?leagueId=11593953&amp;matchupPeriodId=6&amp;scoringPeriodId=6&amp;seasonId=2023&amp;teamId=11&amp;view=scoringperiod" TargetMode="External"/><Relationship Id="rId134" Type="http://schemas.openxmlformats.org/officeDocument/2006/relationships/hyperlink" Target="https://fantasy.espn.com/football/boxscore?leagueId=11593953&amp;matchupPeriodId=4&amp;scoringPeriodId=4&amp;seasonId=2020&amp;teamId=4&amp;view=scoringperiod" TargetMode="External"/><Relationship Id="rId255" Type="http://schemas.openxmlformats.org/officeDocument/2006/relationships/hyperlink" Target="https://fantasy.espn.com/football/boxscore?leagueId=11593953&amp;matchupPeriodId=5&amp;scoringPeriodId=5&amp;seasonId=2021&amp;teamId=4&amp;view=scoringperiod" TargetMode="External"/><Relationship Id="rId376" Type="http://schemas.openxmlformats.org/officeDocument/2006/relationships/hyperlink" Target="https://fantasy.espn.com/football/boxscore?leagueId=11593953&amp;matchupPeriodId=5&amp;scoringPeriodId=5&amp;seasonId=2022&amp;teamId=3&amp;view=scoringperiod" TargetMode="External"/><Relationship Id="rId497" Type="http://schemas.openxmlformats.org/officeDocument/2006/relationships/hyperlink" Target="https://fantasy.espn.com/football/boxscore?leagueId=11593953&amp;matchupPeriodId=6&amp;scoringPeriodId=6&amp;seasonId=2023&amp;teamId=11&amp;view=scoringperiod" TargetMode="External"/><Relationship Id="rId133" Type="http://schemas.openxmlformats.org/officeDocument/2006/relationships/hyperlink" Target="https://fantasy.espn.com/football/boxscore?leagueId=11593953&amp;matchupPeriodId=4&amp;scoringPeriodId=4&amp;seasonId=2020&amp;teamId=4&amp;view=scoringperiod" TargetMode="External"/><Relationship Id="rId254" Type="http://schemas.openxmlformats.org/officeDocument/2006/relationships/hyperlink" Target="https://fantasy.espn.com/football/boxscore?leagueId=11593953&amp;matchupPeriodId=5&amp;scoringPeriodId=5&amp;seasonId=2021&amp;teamId=6&amp;view=scoringperiod" TargetMode="External"/><Relationship Id="rId375" Type="http://schemas.openxmlformats.org/officeDocument/2006/relationships/hyperlink" Target="https://fantasy.espn.com/football/boxscore?leagueId=11593953&amp;matchupPeriodId=5&amp;scoringPeriodId=5&amp;seasonId=2022&amp;teamId=3&amp;view=scoringperiod" TargetMode="External"/><Relationship Id="rId496" Type="http://schemas.openxmlformats.org/officeDocument/2006/relationships/hyperlink" Target="https://fantasy.espn.com/football/boxscore?leagueId=11593953&amp;matchupPeriodId=6&amp;scoringPeriodId=6&amp;seasonId=2023&amp;teamId=3&amp;view=scoringperiod" TargetMode="External"/><Relationship Id="rId172" Type="http://schemas.openxmlformats.org/officeDocument/2006/relationships/hyperlink" Target="https://fantasy.espn.com/football/boxscore?leagueId=11593953&amp;matchupPeriodId=9&amp;scoringPeriodId=9&amp;seasonId=2020&amp;teamId=1&amp;view=scoringperiod" TargetMode="External"/><Relationship Id="rId293" Type="http://schemas.openxmlformats.org/officeDocument/2006/relationships/hyperlink" Target="https://fantasy.espn.com/football/boxscore?leagueId=11593953&amp;matchupPeriodId=10&amp;scoringPeriodId=10&amp;seasonId=2021&amp;teamId=1&amp;view=scoringperiod" TargetMode="External"/><Relationship Id="rId171" Type="http://schemas.openxmlformats.org/officeDocument/2006/relationships/hyperlink" Target="https://fantasy.espn.com/football/boxscore?leagueId=11593953&amp;matchupPeriodId=9&amp;scoringPeriodId=9&amp;seasonId=2020&amp;teamId=1&amp;view=scoringperiod" TargetMode="External"/><Relationship Id="rId292" Type="http://schemas.openxmlformats.org/officeDocument/2006/relationships/hyperlink" Target="https://fantasy.espn.com/football/boxscore?leagueId=11593953&amp;matchupPeriodId=10&amp;scoringPeriodId=10&amp;seasonId=2021&amp;teamId=8&amp;view=scoringperiod" TargetMode="External"/><Relationship Id="rId170" Type="http://schemas.openxmlformats.org/officeDocument/2006/relationships/hyperlink" Target="https://fantasy.espn.com/football/boxscore?leagueId=11593953&amp;matchupPeriodId=9&amp;scoringPeriodId=9&amp;seasonId=2020&amp;teamId=8&amp;view=scoringperiod" TargetMode="External"/><Relationship Id="rId291" Type="http://schemas.openxmlformats.org/officeDocument/2006/relationships/hyperlink" Target="https://fantasy.espn.com/football/boxscore?leagueId=11593953&amp;matchupPeriodId=10&amp;scoringPeriodId=10&amp;seasonId=2021&amp;teamId=8&amp;view=scoringperiod" TargetMode="External"/><Relationship Id="rId290" Type="http://schemas.openxmlformats.org/officeDocument/2006/relationships/hyperlink" Target="https://fantasy.espn.com/football/boxscore?leagueId=11593953&amp;matchupPeriodId=10&amp;scoringPeriodId=10&amp;seasonId=2021&amp;teamId=3&amp;view=scoringperiod" TargetMode="External"/><Relationship Id="rId165" Type="http://schemas.openxmlformats.org/officeDocument/2006/relationships/hyperlink" Target="https://fantasy.espn.com/football/boxscore?leagueId=11593953&amp;matchupPeriodId=8&amp;scoringPeriodId=8&amp;seasonId=2020&amp;teamId=9&amp;view=scoringperiod" TargetMode="External"/><Relationship Id="rId286" Type="http://schemas.openxmlformats.org/officeDocument/2006/relationships/hyperlink" Target="https://fantasy.espn.com/football/boxscore?leagueId=11593953&amp;matchupPeriodId=9&amp;scoringPeriodId=9&amp;seasonId=2021&amp;teamId=2&amp;view=scoringperiod" TargetMode="External"/><Relationship Id="rId164" Type="http://schemas.openxmlformats.org/officeDocument/2006/relationships/hyperlink" Target="https://fantasy.espn.com/football/boxscore?leagueId=11593953&amp;matchupPeriodId=8&amp;scoringPeriodId=8&amp;seasonId=2020&amp;teamId=3&amp;view=scoringperiod" TargetMode="External"/><Relationship Id="rId285" Type="http://schemas.openxmlformats.org/officeDocument/2006/relationships/hyperlink" Target="https://fantasy.espn.com/football/boxscore?leagueId=11593953&amp;matchupPeriodId=9&amp;scoringPeriodId=9&amp;seasonId=2021&amp;teamId=2&amp;view=scoringperiod" TargetMode="External"/><Relationship Id="rId163" Type="http://schemas.openxmlformats.org/officeDocument/2006/relationships/hyperlink" Target="https://fantasy.espn.com/football/boxscore?leagueId=11593953&amp;matchupPeriodId=8&amp;scoringPeriodId=8&amp;seasonId=2020&amp;teamId=3&amp;view=scoringperiod" TargetMode="External"/><Relationship Id="rId284" Type="http://schemas.openxmlformats.org/officeDocument/2006/relationships/hyperlink" Target="https://fantasy.espn.com/football/boxscore?leagueId=11593953&amp;matchupPeriodId=9&amp;scoringPeriodId=9&amp;seasonId=2021&amp;teamId=1&amp;view=scoringperiod" TargetMode="External"/><Relationship Id="rId162" Type="http://schemas.openxmlformats.org/officeDocument/2006/relationships/hyperlink" Target="https://fantasy.espn.com/football/boxscore?leagueId=11593953&amp;matchupPeriodId=8&amp;scoringPeriodId=8&amp;seasonId=2020&amp;teamId=5&amp;view=scoringperiod" TargetMode="External"/><Relationship Id="rId283" Type="http://schemas.openxmlformats.org/officeDocument/2006/relationships/hyperlink" Target="https://fantasy.espn.com/football/boxscore?leagueId=11593953&amp;matchupPeriodId=9&amp;scoringPeriodId=9&amp;seasonId=2021&amp;teamId=1&amp;view=scoringperiod" TargetMode="External"/><Relationship Id="rId169" Type="http://schemas.openxmlformats.org/officeDocument/2006/relationships/hyperlink" Target="https://fantasy.espn.com/football/boxscore?leagueId=11593953&amp;matchupPeriodId=9&amp;scoringPeriodId=9&amp;seasonId=2020&amp;teamId=8&amp;view=scoringperiod" TargetMode="External"/><Relationship Id="rId168" Type="http://schemas.openxmlformats.org/officeDocument/2006/relationships/hyperlink" Target="https://fantasy.espn.com/football/boxscore?leagueId=11593953&amp;matchupPeriodId=8&amp;scoringPeriodId=8&amp;seasonId=2020&amp;teamId=2&amp;view=scoringperiod" TargetMode="External"/><Relationship Id="rId289" Type="http://schemas.openxmlformats.org/officeDocument/2006/relationships/hyperlink" Target="https://fantasy.espn.com/football/boxscore?leagueId=11593953&amp;matchupPeriodId=10&amp;scoringPeriodId=10&amp;seasonId=2021&amp;teamId=3&amp;view=scoringperiod" TargetMode="External"/><Relationship Id="rId167" Type="http://schemas.openxmlformats.org/officeDocument/2006/relationships/hyperlink" Target="https://fantasy.espn.com/football/boxscore?leagueId=11593953&amp;matchupPeriodId=8&amp;scoringPeriodId=8&amp;seasonId=2020&amp;teamId=2&amp;view=scoringperiod" TargetMode="External"/><Relationship Id="rId288" Type="http://schemas.openxmlformats.org/officeDocument/2006/relationships/hyperlink" Target="https://fantasy.espn.com/football/boxscore?leagueId=11593953&amp;matchupPeriodId=9&amp;scoringPeriodId=9&amp;seasonId=2021&amp;teamId=4&amp;view=scoringperiod" TargetMode="External"/><Relationship Id="rId166" Type="http://schemas.openxmlformats.org/officeDocument/2006/relationships/hyperlink" Target="https://fantasy.espn.com/football/boxscore?leagueId=11593953&amp;matchupPeriodId=8&amp;scoringPeriodId=8&amp;seasonId=2020&amp;teamId=9&amp;view=scoringperiod" TargetMode="External"/><Relationship Id="rId287" Type="http://schemas.openxmlformats.org/officeDocument/2006/relationships/hyperlink" Target="https://fantasy.espn.com/football/boxscore?leagueId=11593953&amp;matchupPeriodId=9&amp;scoringPeriodId=9&amp;seasonId=2021&amp;teamId=4&amp;view=scoringperiod" TargetMode="External"/><Relationship Id="rId161" Type="http://schemas.openxmlformats.org/officeDocument/2006/relationships/hyperlink" Target="https://fantasy.espn.com/football/boxscore?leagueId=11593953&amp;matchupPeriodId=8&amp;scoringPeriodId=8&amp;seasonId=2020&amp;teamId=5&amp;view=scoringperiod" TargetMode="External"/><Relationship Id="rId282" Type="http://schemas.openxmlformats.org/officeDocument/2006/relationships/hyperlink" Target="https://fantasy.espn.com/football/boxscore?leagueId=11593953&amp;matchupPeriodId=9&amp;scoringPeriodId=9&amp;seasonId=2021&amp;teamId=8&amp;view=scoringperiod" TargetMode="External"/><Relationship Id="rId160" Type="http://schemas.openxmlformats.org/officeDocument/2006/relationships/hyperlink" Target="https://fantasy.espn.com/football/boxscore?leagueId=11593953&amp;matchupPeriodId=7&amp;scoringPeriodId=7&amp;seasonId=2020&amp;teamId=5&amp;view=scoringperiod" TargetMode="External"/><Relationship Id="rId281" Type="http://schemas.openxmlformats.org/officeDocument/2006/relationships/hyperlink" Target="https://fantasy.espn.com/football/boxscore?leagueId=11593953&amp;matchupPeriodId=9&amp;scoringPeriodId=9&amp;seasonId=2021&amp;teamId=8&amp;view=scoringperiod" TargetMode="External"/><Relationship Id="rId280" Type="http://schemas.openxmlformats.org/officeDocument/2006/relationships/hyperlink" Target="https://fantasy.espn.com/football/boxscore?leagueId=11593953&amp;matchupPeriodId=8&amp;scoringPeriodId=8&amp;seasonId=2021&amp;teamId=2&amp;view=scoringperiod" TargetMode="External"/><Relationship Id="rId159" Type="http://schemas.openxmlformats.org/officeDocument/2006/relationships/hyperlink" Target="https://fantasy.espn.com/football/boxscore?leagueId=11593953&amp;matchupPeriodId=7&amp;scoringPeriodId=7&amp;seasonId=2020&amp;teamId=5&amp;view=scoringperiod" TargetMode="External"/><Relationship Id="rId154" Type="http://schemas.openxmlformats.org/officeDocument/2006/relationships/hyperlink" Target="https://fantasy.espn.com/football/boxscore?leagueId=11593953&amp;matchupPeriodId=7&amp;scoringPeriodId=7&amp;seasonId=2020&amp;teamId=1&amp;view=scoringperiod" TargetMode="External"/><Relationship Id="rId275" Type="http://schemas.openxmlformats.org/officeDocument/2006/relationships/hyperlink" Target="https://fantasy.espn.com/football/boxscore?leagueId=11593953&amp;matchupPeriodId=8&amp;scoringPeriodId=8&amp;seasonId=2021&amp;teamId=8&amp;view=scoringperiod" TargetMode="External"/><Relationship Id="rId396" Type="http://schemas.openxmlformats.org/officeDocument/2006/relationships/hyperlink" Target="https://fantasy.espn.com/football/boxscore?leagueId=11593953&amp;matchupPeriodId=8&amp;scoringPeriodId=8&amp;seasonId=2022&amp;teamId=1&amp;view=scoringperiod" TargetMode="External"/><Relationship Id="rId153" Type="http://schemas.openxmlformats.org/officeDocument/2006/relationships/hyperlink" Target="https://fantasy.espn.com/football/boxscore?leagueId=11593953&amp;matchupPeriodId=7&amp;scoringPeriodId=7&amp;seasonId=2020&amp;teamId=1&amp;view=scoringperiod" TargetMode="External"/><Relationship Id="rId274" Type="http://schemas.openxmlformats.org/officeDocument/2006/relationships/hyperlink" Target="https://fantasy.espn.com/football/boxscore?leagueId=11593953&amp;matchupPeriodId=8&amp;scoringPeriodId=8&amp;seasonId=2021&amp;teamId=3&amp;view=scoringperiod" TargetMode="External"/><Relationship Id="rId395" Type="http://schemas.openxmlformats.org/officeDocument/2006/relationships/hyperlink" Target="https://fantasy.espn.com/football/boxscore?leagueId=11593953&amp;matchupPeriodId=8&amp;scoringPeriodId=8&amp;seasonId=2022&amp;teamId=1&amp;view=scoringperiod" TargetMode="External"/><Relationship Id="rId152" Type="http://schemas.openxmlformats.org/officeDocument/2006/relationships/hyperlink" Target="https://fantasy.espn.com/football/boxscore?leagueId=11593953&amp;matchupPeriodId=6&amp;scoringPeriodId=6&amp;seasonId=2020&amp;teamId=9&amp;view=scoringperiod" TargetMode="External"/><Relationship Id="rId273" Type="http://schemas.openxmlformats.org/officeDocument/2006/relationships/hyperlink" Target="https://fantasy.espn.com/football/boxscore?leagueId=11593953&amp;matchupPeriodId=8&amp;scoringPeriodId=8&amp;seasonId=2021&amp;teamId=3&amp;view=scoringperiod" TargetMode="External"/><Relationship Id="rId394" Type="http://schemas.openxmlformats.org/officeDocument/2006/relationships/hyperlink" Target="https://fantasy.espn.com/football/boxscore?leagueId=11593953&amp;matchupPeriodId=7&amp;scoringPeriodId=7&amp;seasonId=2022&amp;teamId=6&amp;view=scoringperiod" TargetMode="External"/><Relationship Id="rId151" Type="http://schemas.openxmlformats.org/officeDocument/2006/relationships/hyperlink" Target="https://fantasy.espn.com/football/boxscore?leagueId=11593953&amp;matchupPeriodId=6&amp;scoringPeriodId=6&amp;seasonId=2020&amp;teamId=9&amp;view=scoringperiod" TargetMode="External"/><Relationship Id="rId272" Type="http://schemas.openxmlformats.org/officeDocument/2006/relationships/hyperlink" Target="https://fantasy.espn.com/football/boxscore?leagueId=11593953&amp;matchupPeriodId=7&amp;scoringPeriodId=7&amp;seasonId=2021&amp;teamId=2&amp;view=scoringperiod" TargetMode="External"/><Relationship Id="rId393" Type="http://schemas.openxmlformats.org/officeDocument/2006/relationships/hyperlink" Target="https://fantasy.espn.com/football/boxscore?leagueId=11593953&amp;matchupPeriodId=7&amp;scoringPeriodId=7&amp;seasonId=2022&amp;teamId=6&amp;view=scoringperiod" TargetMode="External"/><Relationship Id="rId158" Type="http://schemas.openxmlformats.org/officeDocument/2006/relationships/hyperlink" Target="https://fantasy.espn.com/football/boxscore?leagueId=11593953&amp;matchupPeriodId=7&amp;scoringPeriodId=7&amp;seasonId=2020&amp;teamId=8&amp;view=scoringperiod" TargetMode="External"/><Relationship Id="rId279" Type="http://schemas.openxmlformats.org/officeDocument/2006/relationships/hyperlink" Target="https://fantasy.espn.com/football/boxscore?leagueId=11593953&amp;matchupPeriodId=8&amp;scoringPeriodId=8&amp;seasonId=2021&amp;teamId=2&amp;view=scoringperiod" TargetMode="External"/><Relationship Id="rId157" Type="http://schemas.openxmlformats.org/officeDocument/2006/relationships/hyperlink" Target="https://fantasy.espn.com/football/boxscore?leagueId=11593953&amp;matchupPeriodId=7&amp;scoringPeriodId=7&amp;seasonId=2020&amp;teamId=8&amp;view=scoringperiod" TargetMode="External"/><Relationship Id="rId278" Type="http://schemas.openxmlformats.org/officeDocument/2006/relationships/hyperlink" Target="https://fantasy.espn.com/football/boxscore?leagueId=11593953&amp;matchupPeriodId=8&amp;scoringPeriodId=8&amp;seasonId=2021&amp;teamId=6&amp;view=scoringperiod" TargetMode="External"/><Relationship Id="rId399" Type="http://schemas.openxmlformats.org/officeDocument/2006/relationships/hyperlink" Target="https://fantasy.espn.com/football/boxscore?leagueId=11593953&amp;matchupPeriodId=8&amp;scoringPeriodId=8&amp;seasonId=2022&amp;teamId=3&amp;view=scoringperiod" TargetMode="External"/><Relationship Id="rId156" Type="http://schemas.openxmlformats.org/officeDocument/2006/relationships/hyperlink" Target="https://fantasy.espn.com/football/boxscore?leagueId=11593953&amp;matchupPeriodId=7&amp;scoringPeriodId=7&amp;seasonId=2020&amp;teamId=3&amp;view=scoringperiod" TargetMode="External"/><Relationship Id="rId277" Type="http://schemas.openxmlformats.org/officeDocument/2006/relationships/hyperlink" Target="https://fantasy.espn.com/football/boxscore?leagueId=11593953&amp;matchupPeriodId=8&amp;scoringPeriodId=8&amp;seasonId=2021&amp;teamId=6&amp;view=scoringperiod" TargetMode="External"/><Relationship Id="rId398" Type="http://schemas.openxmlformats.org/officeDocument/2006/relationships/hyperlink" Target="https://fantasy.espn.com/football/boxscore?leagueId=11593953&amp;matchupPeriodId=8&amp;scoringPeriodId=8&amp;seasonId=2022&amp;teamId=11&amp;view=scoringperiod" TargetMode="External"/><Relationship Id="rId155" Type="http://schemas.openxmlformats.org/officeDocument/2006/relationships/hyperlink" Target="https://fantasy.espn.com/football/boxscore?leagueId=11593953&amp;matchupPeriodId=7&amp;scoringPeriodId=7&amp;seasonId=2020&amp;teamId=3&amp;view=scoringperiod" TargetMode="External"/><Relationship Id="rId276" Type="http://schemas.openxmlformats.org/officeDocument/2006/relationships/hyperlink" Target="https://fantasy.espn.com/football/boxscore?leagueId=11593953&amp;matchupPeriodId=8&amp;scoringPeriodId=8&amp;seasonId=2021&amp;teamId=8&amp;view=scoringperiod" TargetMode="External"/><Relationship Id="rId397" Type="http://schemas.openxmlformats.org/officeDocument/2006/relationships/hyperlink" Target="https://fantasy.espn.com/football/boxscore?leagueId=11593953&amp;matchupPeriodId=8&amp;scoringPeriodId=8&amp;seasonId=2022&amp;teamId=11&amp;view=scoringperiod" TargetMode="External"/><Relationship Id="rId40" Type="http://schemas.openxmlformats.org/officeDocument/2006/relationships/hyperlink" Target="https://fantasy.espn.com/football/boxscore?leagueId=11593953&amp;matchupPeriodId=5&amp;scoringPeriodId=5&amp;seasonId=2019&amp;teamId=6&amp;view=scoringperiod" TargetMode="External"/><Relationship Id="rId42" Type="http://schemas.openxmlformats.org/officeDocument/2006/relationships/hyperlink" Target="https://fantasy.espn.com/football/boxscore?leagueId=11593953&amp;matchupPeriodId=6&amp;scoringPeriodId=6&amp;seasonId=2019&amp;teamId=8&amp;view=scoringperiod" TargetMode="External"/><Relationship Id="rId41" Type="http://schemas.openxmlformats.org/officeDocument/2006/relationships/hyperlink" Target="https://fantasy.espn.com/football/boxscore?leagueId=11593953&amp;matchupPeriodId=6&amp;scoringPeriodId=6&amp;seasonId=2019&amp;teamId=8&amp;view=scoringperiod" TargetMode="External"/><Relationship Id="rId44" Type="http://schemas.openxmlformats.org/officeDocument/2006/relationships/hyperlink" Target="https://fantasy.espn.com/football/boxscore?leagueId=11593953&amp;matchupPeriodId=6&amp;scoringPeriodId=6&amp;seasonId=2019&amp;teamId=2&amp;view=scoringperiod" TargetMode="External"/><Relationship Id="rId43" Type="http://schemas.openxmlformats.org/officeDocument/2006/relationships/hyperlink" Target="https://fantasy.espn.com/football/boxscore?leagueId=11593953&amp;matchupPeriodId=6&amp;scoringPeriodId=6&amp;seasonId=2019&amp;teamId=2&amp;view=scoringperiod" TargetMode="External"/><Relationship Id="rId46" Type="http://schemas.openxmlformats.org/officeDocument/2006/relationships/hyperlink" Target="https://fantasy.espn.com/football/boxscore?leagueId=11593953&amp;matchupPeriodId=6&amp;scoringPeriodId=6&amp;seasonId=2019&amp;teamId=5&amp;view=scoringperiod" TargetMode="External"/><Relationship Id="rId45" Type="http://schemas.openxmlformats.org/officeDocument/2006/relationships/hyperlink" Target="https://fantasy.espn.com/football/boxscore?leagueId=11593953&amp;matchupPeriodId=6&amp;scoringPeriodId=6&amp;seasonId=2019&amp;teamId=5&amp;view=scoringperiod" TargetMode="External"/><Relationship Id="rId509" Type="http://schemas.openxmlformats.org/officeDocument/2006/relationships/hyperlink" Target="https://fantasy.espn.com/football/boxscore?leagueId=11593953&amp;matchupPeriodId=8&amp;scoringPeriodId=8&amp;seasonId=2023&amp;teamId=2&amp;view=scoringperiod" TargetMode="External"/><Relationship Id="rId508" Type="http://schemas.openxmlformats.org/officeDocument/2006/relationships/hyperlink" Target="https://fantasy.espn.com/football/boxscore?leagueId=11593953&amp;matchupPeriodId=8&amp;scoringPeriodId=8&amp;seasonId=2023&amp;teamId=9&amp;view=scoringperiod" TargetMode="External"/><Relationship Id="rId503" Type="http://schemas.openxmlformats.org/officeDocument/2006/relationships/hyperlink" Target="https://fantasy.espn.com/football/boxscore?leagueId=11593953&amp;matchupPeriodId=7&amp;scoringPeriodId=7&amp;seasonId=2023&amp;teamId=4&amp;view=scoringperiod" TargetMode="External"/><Relationship Id="rId502" Type="http://schemas.openxmlformats.org/officeDocument/2006/relationships/hyperlink" Target="https://fantasy.espn.com/football/boxscore?leagueId=11593953&amp;matchupPeriodId=7&amp;scoringPeriodId=7&amp;seasonId=2023&amp;teamId=2&amp;view=scoringperiod" TargetMode="External"/><Relationship Id="rId501" Type="http://schemas.openxmlformats.org/officeDocument/2006/relationships/hyperlink" Target="https://fantasy.espn.com/football/boxscore?leagueId=11593953&amp;matchupPeriodId=7&amp;scoringPeriodId=7&amp;seasonId=2023&amp;teamId=2&amp;view=scoringperiod" TargetMode="External"/><Relationship Id="rId500" Type="http://schemas.openxmlformats.org/officeDocument/2006/relationships/hyperlink" Target="https://fantasy.espn.com/football/boxscore?leagueId=11593953&amp;matchupPeriodId=7&amp;scoringPeriodId=7&amp;seasonId=2023&amp;teamId=9&amp;view=scoringperiod" TargetMode="External"/><Relationship Id="rId507" Type="http://schemas.openxmlformats.org/officeDocument/2006/relationships/hyperlink" Target="https://fantasy.espn.com/football/boxscore?leagueId=11593953&amp;matchupPeriodId=8&amp;scoringPeriodId=8&amp;seasonId=2023&amp;teamId=9&amp;view=scoringperiod" TargetMode="External"/><Relationship Id="rId506" Type="http://schemas.openxmlformats.org/officeDocument/2006/relationships/hyperlink" Target="https://fantasy.espn.com/football/boxscore?leagueId=11593953&amp;matchupPeriodId=7&amp;scoringPeriodId=7&amp;seasonId=2023&amp;teamId=3&amp;view=scoringperiod" TargetMode="External"/><Relationship Id="rId505" Type="http://schemas.openxmlformats.org/officeDocument/2006/relationships/hyperlink" Target="https://fantasy.espn.com/football/boxscore?leagueId=11593953&amp;matchupPeriodId=7&amp;scoringPeriodId=7&amp;seasonId=2023&amp;teamId=3&amp;view=scoringperiod" TargetMode="External"/><Relationship Id="rId504" Type="http://schemas.openxmlformats.org/officeDocument/2006/relationships/hyperlink" Target="https://fantasy.espn.com/football/boxscore?leagueId=11593953&amp;matchupPeriodId=7&amp;scoringPeriodId=7&amp;seasonId=2023&amp;teamId=4&amp;view=scoringperiod" TargetMode="External"/><Relationship Id="rId48" Type="http://schemas.openxmlformats.org/officeDocument/2006/relationships/hyperlink" Target="https://fantasy.espn.com/football/boxscore?leagueId=11593953&amp;matchupPeriodId=6&amp;scoringPeriodId=6&amp;seasonId=2019&amp;teamId=9&amp;view=scoringperiod" TargetMode="External"/><Relationship Id="rId47" Type="http://schemas.openxmlformats.org/officeDocument/2006/relationships/hyperlink" Target="https://fantasy.espn.com/football/boxscore?leagueId=11593953&amp;matchupPeriodId=6&amp;scoringPeriodId=6&amp;seasonId=2019&amp;teamId=9&amp;view=scoringperiod" TargetMode="External"/><Relationship Id="rId49" Type="http://schemas.openxmlformats.org/officeDocument/2006/relationships/hyperlink" Target="https://fantasy.espn.com/football/boxscore?leagueId=11593953&amp;matchupPeriodId=7&amp;scoringPeriodId=7&amp;seasonId=2019&amp;teamId=1&amp;view=scoringperiod" TargetMode="External"/><Relationship Id="rId31" Type="http://schemas.openxmlformats.org/officeDocument/2006/relationships/hyperlink" Target="https://fantasy.espn.com/football/boxscore?leagueId=11593953&amp;matchupPeriodId=4&amp;scoringPeriodId=4&amp;seasonId=2019&amp;teamId=1&amp;view=scoringperiod" TargetMode="External"/><Relationship Id="rId30" Type="http://schemas.openxmlformats.org/officeDocument/2006/relationships/hyperlink" Target="https://fantasy.espn.com/football/boxscore?leagueId=11593953&amp;matchupPeriodId=4&amp;scoringPeriodId=4&amp;seasonId=2019&amp;teamId=4&amp;view=scoringperiod" TargetMode="External"/><Relationship Id="rId33" Type="http://schemas.openxmlformats.org/officeDocument/2006/relationships/hyperlink" Target="https://fantasy.espn.com/football/boxscore?leagueId=11593953&amp;matchupPeriodId=5&amp;scoringPeriodId=5&amp;seasonId=2019&amp;teamId=3&amp;view=scoringperiod" TargetMode="External"/><Relationship Id="rId32" Type="http://schemas.openxmlformats.org/officeDocument/2006/relationships/hyperlink" Target="https://fantasy.espn.com/football/boxscore?leagueId=11593953&amp;matchupPeriodId=4&amp;scoringPeriodId=4&amp;seasonId=2019&amp;teamId=1&amp;view=scoringperiod" TargetMode="External"/><Relationship Id="rId35" Type="http://schemas.openxmlformats.org/officeDocument/2006/relationships/hyperlink" Target="https://fantasy.espn.com/football/boxscore?leagueId=11593953&amp;matchupPeriodId=5&amp;scoringPeriodId=5&amp;seasonId=2019&amp;teamId=9&amp;view=scoringperiod" TargetMode="External"/><Relationship Id="rId34" Type="http://schemas.openxmlformats.org/officeDocument/2006/relationships/hyperlink" Target="https://fantasy.espn.com/football/boxscore?leagueId=11593953&amp;matchupPeriodId=5&amp;scoringPeriodId=5&amp;seasonId=2019&amp;teamId=3&amp;view=scoringperiod" TargetMode="External"/><Relationship Id="rId37" Type="http://schemas.openxmlformats.org/officeDocument/2006/relationships/hyperlink" Target="https://fantasy.espn.com/football/boxscore?leagueId=11593953&amp;matchupPeriodId=5&amp;scoringPeriodId=5&amp;seasonId=2019&amp;teamId=5&amp;view=scoringperiod" TargetMode="External"/><Relationship Id="rId36" Type="http://schemas.openxmlformats.org/officeDocument/2006/relationships/hyperlink" Target="https://fantasy.espn.com/football/boxscore?leagueId=11593953&amp;matchupPeriodId=5&amp;scoringPeriodId=5&amp;seasonId=2019&amp;teamId=9&amp;view=scoringperiod" TargetMode="External"/><Relationship Id="rId39" Type="http://schemas.openxmlformats.org/officeDocument/2006/relationships/hyperlink" Target="https://fantasy.espn.com/football/boxscore?leagueId=11593953&amp;matchupPeriodId=5&amp;scoringPeriodId=5&amp;seasonId=2019&amp;teamId=6&amp;view=scoringperiod" TargetMode="External"/><Relationship Id="rId38" Type="http://schemas.openxmlformats.org/officeDocument/2006/relationships/hyperlink" Target="https://fantasy.espn.com/football/boxscore?leagueId=11593953&amp;matchupPeriodId=5&amp;scoringPeriodId=5&amp;seasonId=2019&amp;teamId=5&amp;view=scoringperiod" TargetMode="External"/><Relationship Id="rId20" Type="http://schemas.openxmlformats.org/officeDocument/2006/relationships/hyperlink" Target="https://fantasy.espn.com/football/boxscore?leagueId=11593953&amp;matchupPeriodId=3&amp;scoringPeriodId=3&amp;seasonId=2019&amp;teamId=5&amp;view=scoringperiod" TargetMode="External"/><Relationship Id="rId22" Type="http://schemas.openxmlformats.org/officeDocument/2006/relationships/hyperlink" Target="https://fantasy.espn.com/football/boxscore?leagueId=11593953&amp;matchupPeriodId=3&amp;scoringPeriodId=3&amp;seasonId=2019&amp;teamId=9&amp;view=scoringperiod" TargetMode="External"/><Relationship Id="rId21" Type="http://schemas.openxmlformats.org/officeDocument/2006/relationships/hyperlink" Target="https://fantasy.espn.com/football/boxscore?leagueId=11593953&amp;matchupPeriodId=3&amp;scoringPeriodId=3&amp;seasonId=2019&amp;teamId=9&amp;view=scoringperiod" TargetMode="External"/><Relationship Id="rId24" Type="http://schemas.openxmlformats.org/officeDocument/2006/relationships/hyperlink" Target="https://fantasy.espn.com/football/boxscore?leagueId=11593953&amp;matchupPeriodId=3&amp;scoringPeriodId=3&amp;seasonId=2019&amp;teamId=4&amp;view=scoringperiod" TargetMode="External"/><Relationship Id="rId23" Type="http://schemas.openxmlformats.org/officeDocument/2006/relationships/hyperlink" Target="https://fantasy.espn.com/football/boxscore?leagueId=11593953&amp;matchupPeriodId=3&amp;scoringPeriodId=3&amp;seasonId=2019&amp;teamId=4&amp;view=scoringperiod" TargetMode="External"/><Relationship Id="rId409" Type="http://schemas.openxmlformats.org/officeDocument/2006/relationships/hyperlink" Target="https://fantasy.espn.com/football/boxscore?leagueId=11593953&amp;matchupPeriodId=9&amp;scoringPeriodId=9&amp;seasonId=2022&amp;teamId=8&amp;view=scoringperiod" TargetMode="External"/><Relationship Id="rId404" Type="http://schemas.openxmlformats.org/officeDocument/2006/relationships/hyperlink" Target="https://fantasy.espn.com/football/boxscore?leagueId=11593953&amp;matchupPeriodId=9&amp;scoringPeriodId=9&amp;seasonId=2022&amp;teamId=1&amp;view=scoringperiod" TargetMode="External"/><Relationship Id="rId525" Type="http://schemas.openxmlformats.org/officeDocument/2006/relationships/hyperlink" Target="https://fantasy.espn.com/football/boxscore?leagueId=11593953&amp;matchupPeriodId=10&amp;scoringPeriodId=10&amp;seasonId=2023&amp;teamId=2&amp;view=scoringperiod" TargetMode="External"/><Relationship Id="rId403" Type="http://schemas.openxmlformats.org/officeDocument/2006/relationships/hyperlink" Target="https://fantasy.espn.com/football/boxscore?leagueId=11593953&amp;matchupPeriodId=9&amp;scoringPeriodId=9&amp;seasonId=2022&amp;teamId=1&amp;view=scoringperiod" TargetMode="External"/><Relationship Id="rId524" Type="http://schemas.openxmlformats.org/officeDocument/2006/relationships/hyperlink" Target="https://fantasy.espn.com/football/boxscore?leagueId=11593953&amp;matchupPeriodId=10&amp;scoringPeriodId=10&amp;seasonId=2023&amp;teamId=9&amp;view=scoringperiod" TargetMode="External"/><Relationship Id="rId402" Type="http://schemas.openxmlformats.org/officeDocument/2006/relationships/hyperlink" Target="https://fantasy.espn.com/football/boxscore?leagueId=11593953&amp;matchupPeriodId=8&amp;scoringPeriodId=8&amp;seasonId=2022&amp;teamId=6&amp;view=scoringperiod" TargetMode="External"/><Relationship Id="rId523" Type="http://schemas.openxmlformats.org/officeDocument/2006/relationships/hyperlink" Target="https://fantasy.espn.com/football/boxscore?leagueId=11593953&amp;matchupPeriodId=10&amp;scoringPeriodId=10&amp;seasonId=2023&amp;teamId=9&amp;view=scoringperiod" TargetMode="External"/><Relationship Id="rId401" Type="http://schemas.openxmlformats.org/officeDocument/2006/relationships/hyperlink" Target="https://fantasy.espn.com/football/boxscore?leagueId=11593953&amp;matchupPeriodId=8&amp;scoringPeriodId=8&amp;seasonId=2022&amp;teamId=6&amp;view=scoringperiod" TargetMode="External"/><Relationship Id="rId522" Type="http://schemas.openxmlformats.org/officeDocument/2006/relationships/hyperlink" Target="https://fantasy.espn.com/football/boxscore?leagueId=11593953&amp;matchupPeriodId=9&amp;scoringPeriodId=9&amp;seasonId=2023&amp;teamId=1&amp;view=scoringperiod" TargetMode="External"/><Relationship Id="rId408" Type="http://schemas.openxmlformats.org/officeDocument/2006/relationships/hyperlink" Target="https://fantasy.espn.com/football/boxscore?leagueId=11593953&amp;matchupPeriodId=9&amp;scoringPeriodId=9&amp;seasonId=2022&amp;teamId=9&amp;view=scoringperiod" TargetMode="External"/><Relationship Id="rId529" Type="http://schemas.openxmlformats.org/officeDocument/2006/relationships/hyperlink" Target="https://fantasy.espn.com/football/boxscore?leagueId=11593953&amp;matchupPeriodId=10&amp;scoringPeriodId=10&amp;seasonId=2023&amp;teamId=1&amp;view=scoringperiod" TargetMode="External"/><Relationship Id="rId407" Type="http://schemas.openxmlformats.org/officeDocument/2006/relationships/hyperlink" Target="https://fantasy.espn.com/football/boxscore?leagueId=11593953&amp;matchupPeriodId=9&amp;scoringPeriodId=9&amp;seasonId=2022&amp;teamId=9&amp;view=scoringperiod" TargetMode="External"/><Relationship Id="rId528" Type="http://schemas.openxmlformats.org/officeDocument/2006/relationships/hyperlink" Target="https://fantasy.espn.com/football/boxscore?leagueId=11593953&amp;matchupPeriodId=10&amp;scoringPeriodId=10&amp;seasonId=2023&amp;teamId=11&amp;view=scoringperiod" TargetMode="External"/><Relationship Id="rId406" Type="http://schemas.openxmlformats.org/officeDocument/2006/relationships/hyperlink" Target="https://fantasy.espn.com/football/boxscore?leagueId=11593953&amp;matchupPeriodId=9&amp;scoringPeriodId=9&amp;seasonId=2022&amp;teamId=3&amp;view=scoringperiod" TargetMode="External"/><Relationship Id="rId527" Type="http://schemas.openxmlformats.org/officeDocument/2006/relationships/hyperlink" Target="https://fantasy.espn.com/football/boxscore?leagueId=11593953&amp;matchupPeriodId=10&amp;scoringPeriodId=10&amp;seasonId=2023&amp;teamId=11&amp;view=scoringperiod" TargetMode="External"/><Relationship Id="rId405" Type="http://schemas.openxmlformats.org/officeDocument/2006/relationships/hyperlink" Target="https://fantasy.espn.com/football/boxscore?leagueId=11593953&amp;matchupPeriodId=9&amp;scoringPeriodId=9&amp;seasonId=2022&amp;teamId=3&amp;view=scoringperiod" TargetMode="External"/><Relationship Id="rId526" Type="http://schemas.openxmlformats.org/officeDocument/2006/relationships/hyperlink" Target="https://fantasy.espn.com/football/boxscore?leagueId=11593953&amp;matchupPeriodId=10&amp;scoringPeriodId=10&amp;seasonId=2023&amp;teamId=2&amp;view=scoringperiod" TargetMode="External"/><Relationship Id="rId26" Type="http://schemas.openxmlformats.org/officeDocument/2006/relationships/hyperlink" Target="https://fantasy.espn.com/football/boxscore?leagueId=11593953&amp;matchupPeriodId=4&amp;scoringPeriodId=4&amp;seasonId=2019&amp;teamId=6&amp;view=scoringperiod" TargetMode="External"/><Relationship Id="rId25" Type="http://schemas.openxmlformats.org/officeDocument/2006/relationships/hyperlink" Target="https://fantasy.espn.com/football/boxscore?leagueId=11593953&amp;matchupPeriodId=4&amp;scoringPeriodId=4&amp;seasonId=2019&amp;teamId=6&amp;view=scoringperiod" TargetMode="External"/><Relationship Id="rId28" Type="http://schemas.openxmlformats.org/officeDocument/2006/relationships/hyperlink" Target="https://fantasy.espn.com/football/boxscore?leagueId=11593953&amp;matchupPeriodId=4&amp;scoringPeriodId=4&amp;seasonId=2019&amp;teamId=2&amp;view=scoringperiod" TargetMode="External"/><Relationship Id="rId27" Type="http://schemas.openxmlformats.org/officeDocument/2006/relationships/hyperlink" Target="https://fantasy.espn.com/football/boxscore?leagueId=11593953&amp;matchupPeriodId=4&amp;scoringPeriodId=4&amp;seasonId=2019&amp;teamId=2&amp;view=scoringperiod" TargetMode="External"/><Relationship Id="rId400" Type="http://schemas.openxmlformats.org/officeDocument/2006/relationships/hyperlink" Target="https://fantasy.espn.com/football/boxscore?leagueId=11593953&amp;matchupPeriodId=8&amp;scoringPeriodId=8&amp;seasonId=2022&amp;teamId=3&amp;view=scoringperiod" TargetMode="External"/><Relationship Id="rId521" Type="http://schemas.openxmlformats.org/officeDocument/2006/relationships/hyperlink" Target="https://fantasy.espn.com/football/boxscore?leagueId=11593953&amp;matchupPeriodId=9&amp;scoringPeriodId=9&amp;seasonId=2023&amp;teamId=1&amp;view=scoringperiod" TargetMode="External"/><Relationship Id="rId29" Type="http://schemas.openxmlformats.org/officeDocument/2006/relationships/hyperlink" Target="https://fantasy.espn.com/football/boxscore?leagueId=11593953&amp;matchupPeriodId=4&amp;scoringPeriodId=4&amp;seasonId=2019&amp;teamId=4&amp;view=scoringperiod" TargetMode="External"/><Relationship Id="rId520" Type="http://schemas.openxmlformats.org/officeDocument/2006/relationships/hyperlink" Target="https://fantasy.espn.com/football/boxscore?leagueId=11593953&amp;matchupPeriodId=9&amp;scoringPeriodId=9&amp;seasonId=2023&amp;teamId=4&amp;view=scoringperiod" TargetMode="External"/><Relationship Id="rId11" Type="http://schemas.openxmlformats.org/officeDocument/2006/relationships/hyperlink" Target="https://fantasy.espn.com/football/boxscore?leagueId=11593953&amp;matchupPeriodId=2&amp;scoringPeriodId=2&amp;seasonId=2019&amp;teamId=3&amp;view=scoringperiod" TargetMode="External"/><Relationship Id="rId10" Type="http://schemas.openxmlformats.org/officeDocument/2006/relationships/hyperlink" Target="https://fantasy.espn.com/football/boxscore?leagueId=11593953&amp;matchupPeriodId=2&amp;scoringPeriodId=2&amp;seasonId=2019&amp;teamId=2&amp;view=scoringperiod" TargetMode="External"/><Relationship Id="rId13" Type="http://schemas.openxmlformats.org/officeDocument/2006/relationships/hyperlink" Target="https://fantasy.espn.com/football/boxscore?leagueId=11593953&amp;matchupPeriodId=2&amp;scoringPeriodId=2&amp;seasonId=2019&amp;teamId=6&amp;view=scoringperiod" TargetMode="External"/><Relationship Id="rId12" Type="http://schemas.openxmlformats.org/officeDocument/2006/relationships/hyperlink" Target="https://fantasy.espn.com/football/boxscore?leagueId=11593953&amp;matchupPeriodId=2&amp;scoringPeriodId=2&amp;seasonId=2019&amp;teamId=3&amp;view=scoringperiod" TargetMode="External"/><Relationship Id="rId519" Type="http://schemas.openxmlformats.org/officeDocument/2006/relationships/hyperlink" Target="https://fantasy.espn.com/football/boxscore?leagueId=11593953&amp;matchupPeriodId=9&amp;scoringPeriodId=9&amp;seasonId=2023&amp;teamId=4&amp;view=scoringperiod" TargetMode="External"/><Relationship Id="rId514" Type="http://schemas.openxmlformats.org/officeDocument/2006/relationships/hyperlink" Target="https://fantasy.espn.com/football/boxscore?leagueId=11593953&amp;matchupPeriodId=8&amp;scoringPeriodId=8&amp;seasonId=2023&amp;teamId=3&amp;view=scoringperiod" TargetMode="External"/><Relationship Id="rId513" Type="http://schemas.openxmlformats.org/officeDocument/2006/relationships/hyperlink" Target="https://fantasy.espn.com/football/boxscore?leagueId=11593953&amp;matchupPeriodId=8&amp;scoringPeriodId=8&amp;seasonId=2023&amp;teamId=3&amp;view=scoringperiod" TargetMode="External"/><Relationship Id="rId512" Type="http://schemas.openxmlformats.org/officeDocument/2006/relationships/hyperlink" Target="https://fantasy.espn.com/football/boxscore?leagueId=11593953&amp;matchupPeriodId=8&amp;scoringPeriodId=8&amp;seasonId=2023&amp;teamId=4&amp;view=scoringperiod" TargetMode="External"/><Relationship Id="rId511" Type="http://schemas.openxmlformats.org/officeDocument/2006/relationships/hyperlink" Target="https://fantasy.espn.com/football/boxscore?leagueId=11593953&amp;matchupPeriodId=8&amp;scoringPeriodId=8&amp;seasonId=2023&amp;teamId=4&amp;view=scoringperiod" TargetMode="External"/><Relationship Id="rId518" Type="http://schemas.openxmlformats.org/officeDocument/2006/relationships/hyperlink" Target="https://fantasy.espn.com/football/boxscore?leagueId=11593953&amp;matchupPeriodId=9&amp;scoringPeriodId=9&amp;seasonId=2023&amp;teamId=2&amp;view=scoringperiod" TargetMode="External"/><Relationship Id="rId517" Type="http://schemas.openxmlformats.org/officeDocument/2006/relationships/hyperlink" Target="https://fantasy.espn.com/football/boxscore?leagueId=11593953&amp;matchupPeriodId=9&amp;scoringPeriodId=9&amp;seasonId=2023&amp;teamId=2&amp;view=scoringperiod" TargetMode="External"/><Relationship Id="rId516" Type="http://schemas.openxmlformats.org/officeDocument/2006/relationships/hyperlink" Target="https://fantasy.espn.com/football/boxscore?leagueId=11593953&amp;matchupPeriodId=9&amp;scoringPeriodId=9&amp;seasonId=2023&amp;teamId=9&amp;view=scoringperiod" TargetMode="External"/><Relationship Id="rId515" Type="http://schemas.openxmlformats.org/officeDocument/2006/relationships/hyperlink" Target="https://fantasy.espn.com/football/boxscore?leagueId=11593953&amp;matchupPeriodId=9&amp;scoringPeriodId=9&amp;seasonId=2023&amp;teamId=9&amp;view=scoringperiod" TargetMode="External"/><Relationship Id="rId15" Type="http://schemas.openxmlformats.org/officeDocument/2006/relationships/hyperlink" Target="https://fantasy.espn.com/football/boxscore?leagueId=11593953&amp;matchupPeriodId=2&amp;scoringPeriodId=2&amp;seasonId=2019&amp;teamId=4&amp;view=scoringperiod" TargetMode="External"/><Relationship Id="rId14" Type="http://schemas.openxmlformats.org/officeDocument/2006/relationships/hyperlink" Target="https://fantasy.espn.com/football/boxscore?leagueId=11593953&amp;matchupPeriodId=2&amp;scoringPeriodId=2&amp;seasonId=2019&amp;teamId=6&amp;view=scoringperiod" TargetMode="External"/><Relationship Id="rId17" Type="http://schemas.openxmlformats.org/officeDocument/2006/relationships/hyperlink" Target="https://fantasy.espn.com/football/boxscore?leagueId=11593953&amp;matchupPeriodId=3&amp;scoringPeriodId=3&amp;seasonId=2019&amp;teamId=8&amp;view=scoringperiod" TargetMode="External"/><Relationship Id="rId16" Type="http://schemas.openxmlformats.org/officeDocument/2006/relationships/hyperlink" Target="https://fantasy.espn.com/football/boxscore?leagueId=11593953&amp;matchupPeriodId=2&amp;scoringPeriodId=2&amp;seasonId=2019&amp;teamId=4&amp;view=scoringperiod" TargetMode="External"/><Relationship Id="rId19" Type="http://schemas.openxmlformats.org/officeDocument/2006/relationships/hyperlink" Target="https://fantasy.espn.com/football/boxscore?leagueId=11593953&amp;matchupPeriodId=3&amp;scoringPeriodId=3&amp;seasonId=2019&amp;teamId=5&amp;view=scoringperiod" TargetMode="External"/><Relationship Id="rId510" Type="http://schemas.openxmlformats.org/officeDocument/2006/relationships/hyperlink" Target="https://fantasy.espn.com/football/boxscore?leagueId=11593953&amp;matchupPeriodId=8&amp;scoringPeriodId=8&amp;seasonId=2023&amp;teamId=2&amp;view=scoringperiod" TargetMode="External"/><Relationship Id="rId18" Type="http://schemas.openxmlformats.org/officeDocument/2006/relationships/hyperlink" Target="https://fantasy.espn.com/football/boxscore?leagueId=11593953&amp;matchupPeriodId=3&amp;scoringPeriodId=3&amp;seasonId=2019&amp;teamId=8&amp;view=scoringperiod" TargetMode="External"/><Relationship Id="rId84" Type="http://schemas.openxmlformats.org/officeDocument/2006/relationships/hyperlink" Target="https://fantasy.espn.com/football/boxscore?leagueId=11593953&amp;matchupPeriodId=11&amp;scoringPeriodId=11&amp;seasonId=2019&amp;teamId=1&amp;view=scoringperiod" TargetMode="External"/><Relationship Id="rId83" Type="http://schemas.openxmlformats.org/officeDocument/2006/relationships/hyperlink" Target="https://fantasy.espn.com/football/boxscore?leagueId=11593953&amp;matchupPeriodId=11&amp;scoringPeriodId=11&amp;seasonId=2019&amp;teamId=1&amp;view=scoringperiod" TargetMode="External"/><Relationship Id="rId86" Type="http://schemas.openxmlformats.org/officeDocument/2006/relationships/hyperlink" Target="https://fantasy.espn.com/football/boxscore?leagueId=11593953&amp;matchupPeriodId=11&amp;scoringPeriodId=11&amp;seasonId=2019&amp;teamId=6&amp;view=scoringperiod" TargetMode="External"/><Relationship Id="rId85" Type="http://schemas.openxmlformats.org/officeDocument/2006/relationships/hyperlink" Target="https://fantasy.espn.com/football/boxscore?leagueId=11593953&amp;matchupPeriodId=11&amp;scoringPeriodId=11&amp;seasonId=2019&amp;teamId=6&amp;view=scoringperiod" TargetMode="External"/><Relationship Id="rId88" Type="http://schemas.openxmlformats.org/officeDocument/2006/relationships/hyperlink" Target="https://fantasy.espn.com/football/boxscore?leagueId=11593953&amp;matchupPeriodId=11&amp;scoringPeriodId=11&amp;seasonId=2019&amp;teamId=2&amp;view=scoringperiod" TargetMode="External"/><Relationship Id="rId87" Type="http://schemas.openxmlformats.org/officeDocument/2006/relationships/hyperlink" Target="https://fantasy.espn.com/football/boxscore?leagueId=11593953&amp;matchupPeriodId=11&amp;scoringPeriodId=11&amp;seasonId=2019&amp;teamId=2&amp;view=scoringperiod" TargetMode="External"/><Relationship Id="rId89" Type="http://schemas.openxmlformats.org/officeDocument/2006/relationships/hyperlink" Target="https://fantasy.espn.com/football/boxscore?leagueId=11593953&amp;matchupPeriodId=12&amp;scoringPeriodId=12&amp;seasonId=2019&amp;teamId=3&amp;view=scoringperiod" TargetMode="External"/><Relationship Id="rId80" Type="http://schemas.openxmlformats.org/officeDocument/2006/relationships/hyperlink" Target="https://fantasy.espn.com/football/boxscore?leagueId=11593953&amp;matchupPeriodId=10&amp;scoringPeriodId=10&amp;seasonId=2019&amp;teamId=9&amp;view=scoringperiod" TargetMode="External"/><Relationship Id="rId82" Type="http://schemas.openxmlformats.org/officeDocument/2006/relationships/hyperlink" Target="https://fantasy.espn.com/football/boxscore?leagueId=11593953&amp;matchupPeriodId=11&amp;scoringPeriodId=11&amp;seasonId=2019&amp;teamId=8&amp;view=scoringperiod" TargetMode="External"/><Relationship Id="rId81" Type="http://schemas.openxmlformats.org/officeDocument/2006/relationships/hyperlink" Target="https://fantasy.espn.com/football/boxscore?leagueId=11593953&amp;matchupPeriodId=11&amp;scoringPeriodId=11&amp;seasonId=2019&amp;teamId=8&amp;view=scoringperiod" TargetMode="External"/><Relationship Id="rId73" Type="http://schemas.openxmlformats.org/officeDocument/2006/relationships/hyperlink" Target="https://fantasy.espn.com/football/boxscore?leagueId=11593953&amp;matchupPeriodId=10&amp;scoringPeriodId=10&amp;seasonId=2019&amp;teamId=8&amp;view=scoringperiod" TargetMode="External"/><Relationship Id="rId72" Type="http://schemas.openxmlformats.org/officeDocument/2006/relationships/hyperlink" Target="https://fantasy.espn.com/football/boxscore?leagueId=11593953&amp;matchupPeriodId=9&amp;scoringPeriodId=9&amp;seasonId=2019&amp;teamId=4&amp;view=scoringperiod" TargetMode="External"/><Relationship Id="rId75" Type="http://schemas.openxmlformats.org/officeDocument/2006/relationships/hyperlink" Target="https://fantasy.espn.com/football/boxscore?leagueId=11593953&amp;matchupPeriodId=10&amp;scoringPeriodId=10&amp;seasonId=2019&amp;teamId=6&amp;view=scoringperiod" TargetMode="External"/><Relationship Id="rId74" Type="http://schemas.openxmlformats.org/officeDocument/2006/relationships/hyperlink" Target="https://fantasy.espn.com/football/boxscore?leagueId=11593953&amp;matchupPeriodId=10&amp;scoringPeriodId=10&amp;seasonId=2019&amp;teamId=8&amp;view=scoringperiod" TargetMode="External"/><Relationship Id="rId77" Type="http://schemas.openxmlformats.org/officeDocument/2006/relationships/hyperlink" Target="https://fantasy.espn.com/football/boxscore?leagueId=11593953&amp;matchupPeriodId=10&amp;scoringPeriodId=10&amp;seasonId=2019&amp;teamId=3&amp;view=scoringperiod" TargetMode="External"/><Relationship Id="rId76" Type="http://schemas.openxmlformats.org/officeDocument/2006/relationships/hyperlink" Target="https://fantasy.espn.com/football/boxscore?leagueId=11593953&amp;matchupPeriodId=10&amp;scoringPeriodId=10&amp;seasonId=2019&amp;teamId=6&amp;view=scoringperiod" TargetMode="External"/><Relationship Id="rId79" Type="http://schemas.openxmlformats.org/officeDocument/2006/relationships/hyperlink" Target="https://fantasy.espn.com/football/boxscore?leagueId=11593953&amp;matchupPeriodId=10&amp;scoringPeriodId=10&amp;seasonId=2019&amp;teamId=9&amp;view=scoringperiod" TargetMode="External"/><Relationship Id="rId78" Type="http://schemas.openxmlformats.org/officeDocument/2006/relationships/hyperlink" Target="https://fantasy.espn.com/football/boxscore?leagueId=11593953&amp;matchupPeriodId=10&amp;scoringPeriodId=10&amp;seasonId=2019&amp;teamId=3&amp;view=scoringperiod" TargetMode="External"/><Relationship Id="rId71" Type="http://schemas.openxmlformats.org/officeDocument/2006/relationships/hyperlink" Target="https://fantasy.espn.com/football/boxscore?leagueId=11593953&amp;matchupPeriodId=9&amp;scoringPeriodId=9&amp;seasonId=2019&amp;teamId=4&amp;view=scoringperiod" TargetMode="External"/><Relationship Id="rId70" Type="http://schemas.openxmlformats.org/officeDocument/2006/relationships/hyperlink" Target="https://fantasy.espn.com/football/boxscore?leagueId=11593953&amp;matchupPeriodId=9&amp;scoringPeriodId=9&amp;seasonId=2019&amp;teamId=2&amp;view=scoringperiod" TargetMode="External"/><Relationship Id="rId62" Type="http://schemas.openxmlformats.org/officeDocument/2006/relationships/hyperlink" Target="https://fantasy.espn.com/football/boxscore?leagueId=11593953&amp;matchupPeriodId=8&amp;scoringPeriodId=8&amp;seasonId=2019&amp;teamId=9&amp;view=scoringperiod" TargetMode="External"/><Relationship Id="rId61" Type="http://schemas.openxmlformats.org/officeDocument/2006/relationships/hyperlink" Target="https://fantasy.espn.com/football/boxscore?leagueId=11593953&amp;matchupPeriodId=8&amp;scoringPeriodId=8&amp;seasonId=2019&amp;teamId=9&amp;view=scoringperiod" TargetMode="External"/><Relationship Id="rId64" Type="http://schemas.openxmlformats.org/officeDocument/2006/relationships/hyperlink" Target="https://fantasy.espn.com/football/boxscore?leagueId=11593953&amp;matchupPeriodId=8&amp;scoringPeriodId=8&amp;seasonId=2019&amp;teamId=4&amp;view=scoringperiod" TargetMode="External"/><Relationship Id="rId63" Type="http://schemas.openxmlformats.org/officeDocument/2006/relationships/hyperlink" Target="https://fantasy.espn.com/football/boxscore?leagueId=11593953&amp;matchupPeriodId=8&amp;scoringPeriodId=8&amp;seasonId=2019&amp;teamId=4&amp;view=scoringperiod" TargetMode="External"/><Relationship Id="rId66" Type="http://schemas.openxmlformats.org/officeDocument/2006/relationships/hyperlink" Target="https://fantasy.espn.com/football/boxscore?leagueId=11593953&amp;matchupPeriodId=9&amp;scoringPeriodId=9&amp;seasonId=2019&amp;teamId=8&amp;view=scoringperiod" TargetMode="External"/><Relationship Id="rId65" Type="http://schemas.openxmlformats.org/officeDocument/2006/relationships/hyperlink" Target="https://fantasy.espn.com/football/boxscore?leagueId=11593953&amp;matchupPeriodId=9&amp;scoringPeriodId=9&amp;seasonId=2019&amp;teamId=8&amp;view=scoringperiod" TargetMode="External"/><Relationship Id="rId68" Type="http://schemas.openxmlformats.org/officeDocument/2006/relationships/hyperlink" Target="https://fantasy.espn.com/football/boxscore?leagueId=11593953&amp;matchupPeriodId=9&amp;scoringPeriodId=9&amp;seasonId=2019&amp;teamId=1&amp;view=scoringperiod" TargetMode="External"/><Relationship Id="rId67" Type="http://schemas.openxmlformats.org/officeDocument/2006/relationships/hyperlink" Target="https://fantasy.espn.com/football/boxscore?leagueId=11593953&amp;matchupPeriodId=9&amp;scoringPeriodId=9&amp;seasonId=2019&amp;teamId=1&amp;view=scoringperiod" TargetMode="External"/><Relationship Id="rId60" Type="http://schemas.openxmlformats.org/officeDocument/2006/relationships/hyperlink" Target="https://fantasy.espn.com/football/boxscore?leagueId=11593953&amp;matchupPeriodId=8&amp;scoringPeriodId=8&amp;seasonId=2019&amp;teamId=3&amp;view=scoringperiod" TargetMode="External"/><Relationship Id="rId69" Type="http://schemas.openxmlformats.org/officeDocument/2006/relationships/hyperlink" Target="https://fantasy.espn.com/football/boxscore?leagueId=11593953&amp;matchupPeriodId=9&amp;scoringPeriodId=9&amp;seasonId=2019&amp;teamId=2&amp;view=scoringperiod" TargetMode="External"/><Relationship Id="rId51" Type="http://schemas.openxmlformats.org/officeDocument/2006/relationships/hyperlink" Target="https://fantasy.espn.com/football/boxscore?leagueId=11593953&amp;matchupPeriodId=7&amp;scoringPeriodId=7&amp;seasonId=2019&amp;teamId=3&amp;view=scoringperiod" TargetMode="External"/><Relationship Id="rId50" Type="http://schemas.openxmlformats.org/officeDocument/2006/relationships/hyperlink" Target="https://fantasy.espn.com/football/boxscore?leagueId=11593953&amp;matchupPeriodId=7&amp;scoringPeriodId=7&amp;seasonId=2019&amp;teamId=1&amp;view=scoringperiod" TargetMode="External"/><Relationship Id="rId53" Type="http://schemas.openxmlformats.org/officeDocument/2006/relationships/hyperlink" Target="https://fantasy.espn.com/football/boxscore?leagueId=11593953&amp;matchupPeriodId=7&amp;scoringPeriodId=7&amp;seasonId=2019&amp;teamId=8&amp;view=scoringperiod" TargetMode="External"/><Relationship Id="rId52" Type="http://schemas.openxmlformats.org/officeDocument/2006/relationships/hyperlink" Target="https://fantasy.espn.com/football/boxscore?leagueId=11593953&amp;matchupPeriodId=7&amp;scoringPeriodId=7&amp;seasonId=2019&amp;teamId=3&amp;view=scoringperiod" TargetMode="External"/><Relationship Id="rId55" Type="http://schemas.openxmlformats.org/officeDocument/2006/relationships/hyperlink" Target="https://fantasy.espn.com/football/boxscore?leagueId=11593953&amp;matchupPeriodId=7&amp;scoringPeriodId=7&amp;seasonId=2019&amp;teamId=5&amp;view=scoringperiod" TargetMode="External"/><Relationship Id="rId54" Type="http://schemas.openxmlformats.org/officeDocument/2006/relationships/hyperlink" Target="https://fantasy.espn.com/football/boxscore?leagueId=11593953&amp;matchupPeriodId=7&amp;scoringPeriodId=7&amp;seasonId=2019&amp;teamId=8&amp;view=scoringperiod" TargetMode="External"/><Relationship Id="rId57" Type="http://schemas.openxmlformats.org/officeDocument/2006/relationships/hyperlink" Target="https://fantasy.espn.com/football/boxscore?leagueId=11593953&amp;matchupPeriodId=8&amp;scoringPeriodId=8&amp;seasonId=2019&amp;teamId=5&amp;view=scoringperiod" TargetMode="External"/><Relationship Id="rId56" Type="http://schemas.openxmlformats.org/officeDocument/2006/relationships/hyperlink" Target="https://fantasy.espn.com/football/boxscore?leagueId=11593953&amp;matchupPeriodId=7&amp;scoringPeriodId=7&amp;seasonId=2019&amp;teamId=5&amp;view=scoringperiod" TargetMode="External"/><Relationship Id="rId59" Type="http://schemas.openxmlformats.org/officeDocument/2006/relationships/hyperlink" Target="https://fantasy.espn.com/football/boxscore?leagueId=11593953&amp;matchupPeriodId=8&amp;scoringPeriodId=8&amp;seasonId=2019&amp;teamId=3&amp;view=scoringperiod" TargetMode="External"/><Relationship Id="rId58" Type="http://schemas.openxmlformats.org/officeDocument/2006/relationships/hyperlink" Target="https://fantasy.espn.com/football/boxscore?leagueId=11593953&amp;matchupPeriodId=8&amp;scoringPeriodId=8&amp;seasonId=2019&amp;teamId=5&amp;view=scoringperiod" TargetMode="External"/><Relationship Id="rId107" Type="http://schemas.openxmlformats.org/officeDocument/2006/relationships/hyperlink" Target="https://fantasy.espn.com/football/boxscore?leagueId=11593953&amp;matchupPeriodId=1&amp;scoringPeriodId=1&amp;seasonId=2020&amp;teamId=1&amp;view=scoringperiod" TargetMode="External"/><Relationship Id="rId228" Type="http://schemas.openxmlformats.org/officeDocument/2006/relationships/hyperlink" Target="https://fantasy.espn.com/football/boxscore?leagueId=11593953&amp;matchupPeriodId=2&amp;scoringPeriodId=2&amp;seasonId=2021&amp;teamId=5&amp;view=scoringperiod" TargetMode="External"/><Relationship Id="rId349" Type="http://schemas.openxmlformats.org/officeDocument/2006/relationships/hyperlink" Target="https://fantasy.espn.com/football/boxscore?leagueId=11593953&amp;matchupPeriodId=2&amp;scoringPeriodId=2&amp;seasonId=2022&amp;teamId=11&amp;view=scoringperiod" TargetMode="External"/><Relationship Id="rId106" Type="http://schemas.openxmlformats.org/officeDocument/2006/relationships/hyperlink" Target="https://fantasy.espn.com/football/boxscore?leagueId=11593953&amp;matchupPeriodId=1&amp;scoringPeriodId=1&amp;seasonId=2020&amp;teamId=5&amp;view=scoringperiod" TargetMode="External"/><Relationship Id="rId227" Type="http://schemas.openxmlformats.org/officeDocument/2006/relationships/hyperlink" Target="https://fantasy.espn.com/football/boxscore?leagueId=11593953&amp;matchupPeriodId=2&amp;scoringPeriodId=2&amp;seasonId=2021&amp;teamId=5&amp;view=scoringperiod" TargetMode="External"/><Relationship Id="rId348" Type="http://schemas.openxmlformats.org/officeDocument/2006/relationships/hyperlink" Target="https://fantasy.espn.com/football/boxscore?leagueId=11593953&amp;matchupPeriodId=2&amp;scoringPeriodId=2&amp;seasonId=2022&amp;teamId=1&amp;view=scoringperiod" TargetMode="External"/><Relationship Id="rId469" Type="http://schemas.openxmlformats.org/officeDocument/2006/relationships/hyperlink" Target="https://fantasy.espn.com/football/boxscore?leagueId=11593953&amp;matchupPeriodId=3&amp;scoringPeriodId=3&amp;seasonId=2023&amp;teamId=2&amp;view=scoringperiod" TargetMode="External"/><Relationship Id="rId105" Type="http://schemas.openxmlformats.org/officeDocument/2006/relationships/hyperlink" Target="https://fantasy.espn.com/football/boxscore?leagueId=11593953&amp;matchupPeriodId=1&amp;scoringPeriodId=1&amp;seasonId=2020&amp;teamId=5&amp;view=scoringperiod" TargetMode="External"/><Relationship Id="rId226" Type="http://schemas.openxmlformats.org/officeDocument/2006/relationships/hyperlink" Target="https://fantasy.espn.com/football/boxscore?leagueId=11593953&amp;matchupPeriodId=2&amp;scoringPeriodId=2&amp;seasonId=2021&amp;teamId=6&amp;view=scoringperiod" TargetMode="External"/><Relationship Id="rId347" Type="http://schemas.openxmlformats.org/officeDocument/2006/relationships/hyperlink" Target="https://fantasy.espn.com/football/boxscore?leagueId=11593953&amp;matchupPeriodId=2&amp;scoringPeriodId=2&amp;seasonId=2022&amp;teamId=1&amp;view=scoringperiod" TargetMode="External"/><Relationship Id="rId468" Type="http://schemas.openxmlformats.org/officeDocument/2006/relationships/hyperlink" Target="https://fantasy.espn.com/football/boxscore?leagueId=11593953&amp;matchupPeriodId=3&amp;scoringPeriodId=3&amp;seasonId=2023&amp;teamId=9&amp;view=scoringperiod" TargetMode="External"/><Relationship Id="rId104" Type="http://schemas.openxmlformats.org/officeDocument/2006/relationships/hyperlink" Target="https://fantasy.espn.com/football/boxscore?leagueId=11593953&amp;matchupPeriodId=13&amp;scoringPeriodId=13&amp;seasonId=2019&amp;teamId=9&amp;view=scoringperiod" TargetMode="External"/><Relationship Id="rId225" Type="http://schemas.openxmlformats.org/officeDocument/2006/relationships/hyperlink" Target="https://fantasy.espn.com/football/boxscore?leagueId=11593953&amp;matchupPeriodId=2&amp;scoringPeriodId=2&amp;seasonId=2021&amp;teamId=6&amp;view=scoringperiod" TargetMode="External"/><Relationship Id="rId346" Type="http://schemas.openxmlformats.org/officeDocument/2006/relationships/hyperlink" Target="https://fantasy.espn.com/football/boxscore?leagueId=11593953&amp;matchupPeriodId=1&amp;scoringPeriodId=1&amp;seasonId=2022&amp;teamId=8&amp;view=scoringperiod" TargetMode="External"/><Relationship Id="rId467" Type="http://schemas.openxmlformats.org/officeDocument/2006/relationships/hyperlink" Target="https://fantasy.espn.com/football/boxscore?leagueId=11593953&amp;matchupPeriodId=3&amp;scoringPeriodId=3&amp;seasonId=2023&amp;teamId=9&amp;view=scoringperiod" TargetMode="External"/><Relationship Id="rId109" Type="http://schemas.openxmlformats.org/officeDocument/2006/relationships/hyperlink" Target="https://fantasy.espn.com/football/boxscore?leagueId=11593953&amp;matchupPeriodId=1&amp;scoringPeriodId=1&amp;seasonId=2020&amp;teamId=3&amp;view=scoringperiod" TargetMode="External"/><Relationship Id="rId108" Type="http://schemas.openxmlformats.org/officeDocument/2006/relationships/hyperlink" Target="https://fantasy.espn.com/football/boxscore?leagueId=11593953&amp;matchupPeriodId=1&amp;scoringPeriodId=1&amp;seasonId=2020&amp;teamId=1&amp;view=scoringperiod" TargetMode="External"/><Relationship Id="rId229" Type="http://schemas.openxmlformats.org/officeDocument/2006/relationships/hyperlink" Target="https://fantasy.espn.com/football/boxscore?leagueId=11593953&amp;matchupPeriodId=3&amp;scoringPeriodId=3&amp;seasonId=2021&amp;teamId=3&amp;view=scoringperiod" TargetMode="External"/><Relationship Id="rId220" Type="http://schemas.openxmlformats.org/officeDocument/2006/relationships/hyperlink" Target="https://fantasy.espn.com/football/boxscore?leagueId=11593953&amp;matchupPeriodId=2&amp;scoringPeriodId=2&amp;seasonId=2021&amp;teamId=3&amp;view=scoringperiod" TargetMode="External"/><Relationship Id="rId341" Type="http://schemas.openxmlformats.org/officeDocument/2006/relationships/hyperlink" Target="https://fantasy.espn.com/football/boxscore?leagueId=11593953&amp;matchupPeriodId=1&amp;scoringPeriodId=1&amp;seasonId=2022&amp;teamId=3&amp;view=scoringperiod" TargetMode="External"/><Relationship Id="rId462" Type="http://schemas.openxmlformats.org/officeDocument/2006/relationships/hyperlink" Target="https://fantasy.espn.com/football/boxscore?leagueId=11593953&amp;matchupPeriodId=2&amp;scoringPeriodId=2&amp;seasonId=2023&amp;teamId=2&amp;view=scoringperiod" TargetMode="External"/><Relationship Id="rId340" Type="http://schemas.openxmlformats.org/officeDocument/2006/relationships/hyperlink" Target="https://fantasy.espn.com/football/boxscore?leagueId=11593953&amp;matchupPeriodId=1&amp;scoringPeriodId=1&amp;seasonId=2022&amp;teamId=1&amp;view=scoringperiod" TargetMode="External"/><Relationship Id="rId461" Type="http://schemas.openxmlformats.org/officeDocument/2006/relationships/hyperlink" Target="https://fantasy.espn.com/football/boxscore?leagueId=11593953&amp;matchupPeriodId=2&amp;scoringPeriodId=2&amp;seasonId=2023&amp;teamId=2&amp;view=scoringperiod" TargetMode="External"/><Relationship Id="rId460" Type="http://schemas.openxmlformats.org/officeDocument/2006/relationships/hyperlink" Target="https://fantasy.espn.com/football/boxscore?leagueId=11593953&amp;matchupPeriodId=2&amp;scoringPeriodId=2&amp;seasonId=2023&amp;teamId=9&amp;view=scoringperiod" TargetMode="External"/><Relationship Id="rId103" Type="http://schemas.openxmlformats.org/officeDocument/2006/relationships/hyperlink" Target="https://fantasy.espn.com/football/boxscore?leagueId=11593953&amp;matchupPeriodId=13&amp;scoringPeriodId=13&amp;seasonId=2019&amp;teamId=9&amp;view=scoringperiod" TargetMode="External"/><Relationship Id="rId224" Type="http://schemas.openxmlformats.org/officeDocument/2006/relationships/hyperlink" Target="https://fantasy.espn.com/football/boxscore?leagueId=11593953&amp;matchupPeriodId=2&amp;scoringPeriodId=2&amp;seasonId=2021&amp;teamId=9&amp;view=scoringperiod" TargetMode="External"/><Relationship Id="rId345" Type="http://schemas.openxmlformats.org/officeDocument/2006/relationships/hyperlink" Target="https://fantasy.espn.com/football/boxscore?leagueId=11593953&amp;matchupPeriodId=1&amp;scoringPeriodId=1&amp;seasonId=2022&amp;teamId=8&amp;view=scoringperiod" TargetMode="External"/><Relationship Id="rId466" Type="http://schemas.openxmlformats.org/officeDocument/2006/relationships/hyperlink" Target="https://fantasy.espn.com/football/boxscore?leagueId=11593953&amp;matchupPeriodId=2&amp;scoringPeriodId=2&amp;seasonId=2023&amp;teamId=1&amp;view=scoringperiod" TargetMode="External"/><Relationship Id="rId102" Type="http://schemas.openxmlformats.org/officeDocument/2006/relationships/hyperlink" Target="https://fantasy.espn.com/football/boxscore?leagueId=11593953&amp;matchupPeriodId=13&amp;scoringPeriodId=13&amp;seasonId=2019&amp;teamId=6&amp;view=scoringperiod" TargetMode="External"/><Relationship Id="rId223" Type="http://schemas.openxmlformats.org/officeDocument/2006/relationships/hyperlink" Target="https://fantasy.espn.com/football/boxscore?leagueId=11593953&amp;matchupPeriodId=2&amp;scoringPeriodId=2&amp;seasonId=2021&amp;teamId=9&amp;view=scoringperiod" TargetMode="External"/><Relationship Id="rId344" Type="http://schemas.openxmlformats.org/officeDocument/2006/relationships/hyperlink" Target="https://fantasy.espn.com/football/boxscore?leagueId=11593953&amp;matchupPeriodId=1&amp;scoringPeriodId=1&amp;seasonId=2022&amp;teamId=9&amp;view=scoringperiod" TargetMode="External"/><Relationship Id="rId465" Type="http://schemas.openxmlformats.org/officeDocument/2006/relationships/hyperlink" Target="https://fantasy.espn.com/football/boxscore?leagueId=11593953&amp;matchupPeriodId=2&amp;scoringPeriodId=2&amp;seasonId=2023&amp;teamId=1&amp;view=scoringperiod" TargetMode="External"/><Relationship Id="rId101" Type="http://schemas.openxmlformats.org/officeDocument/2006/relationships/hyperlink" Target="https://fantasy.espn.com/football/boxscore?leagueId=11593953&amp;matchupPeriodId=13&amp;scoringPeriodId=13&amp;seasonId=2019&amp;teamId=6&amp;view=scoringperiod" TargetMode="External"/><Relationship Id="rId222" Type="http://schemas.openxmlformats.org/officeDocument/2006/relationships/hyperlink" Target="https://fantasy.espn.com/football/boxscore?leagueId=11593953&amp;matchupPeriodId=2&amp;scoringPeriodId=2&amp;seasonId=2021&amp;teamId=8&amp;view=scoringperiod" TargetMode="External"/><Relationship Id="rId343" Type="http://schemas.openxmlformats.org/officeDocument/2006/relationships/hyperlink" Target="https://fantasy.espn.com/football/boxscore?leagueId=11593953&amp;matchupPeriodId=1&amp;scoringPeriodId=1&amp;seasonId=2022&amp;teamId=9&amp;view=scoringperiod" TargetMode="External"/><Relationship Id="rId464" Type="http://schemas.openxmlformats.org/officeDocument/2006/relationships/hyperlink" Target="https://fantasy.espn.com/football/boxscore?leagueId=11593953&amp;matchupPeriodId=2&amp;scoringPeriodId=2&amp;seasonId=2023&amp;teamId=11&amp;view=scoringperiod" TargetMode="External"/><Relationship Id="rId100" Type="http://schemas.openxmlformats.org/officeDocument/2006/relationships/hyperlink" Target="https://fantasy.espn.com/football/boxscore?leagueId=11593953&amp;matchupPeriodId=13&amp;scoringPeriodId=13&amp;seasonId=2019&amp;teamId=1&amp;view=scoringperiod" TargetMode="External"/><Relationship Id="rId221" Type="http://schemas.openxmlformats.org/officeDocument/2006/relationships/hyperlink" Target="https://fantasy.espn.com/football/boxscore?leagueId=11593953&amp;matchupPeriodId=2&amp;scoringPeriodId=2&amp;seasonId=2021&amp;teamId=8&amp;view=scoringperiod" TargetMode="External"/><Relationship Id="rId342" Type="http://schemas.openxmlformats.org/officeDocument/2006/relationships/hyperlink" Target="https://fantasy.espn.com/football/boxscore?leagueId=11593953&amp;matchupPeriodId=1&amp;scoringPeriodId=1&amp;seasonId=2022&amp;teamId=3&amp;view=scoringperiod" TargetMode="External"/><Relationship Id="rId463" Type="http://schemas.openxmlformats.org/officeDocument/2006/relationships/hyperlink" Target="https://fantasy.espn.com/football/boxscore?leagueId=11593953&amp;matchupPeriodId=2&amp;scoringPeriodId=2&amp;seasonId=2023&amp;teamId=11&amp;view=scoringperiod" TargetMode="External"/><Relationship Id="rId217" Type="http://schemas.openxmlformats.org/officeDocument/2006/relationships/hyperlink" Target="https://fantasy.espn.com/football/boxscore?leagueId=11593953&amp;matchupPeriodId=1&amp;scoringPeriodId=1&amp;seasonId=2021&amp;teamId=4&amp;view=scoringperiod" TargetMode="External"/><Relationship Id="rId338" Type="http://schemas.openxmlformats.org/officeDocument/2006/relationships/hyperlink" Target="https://fantasy.espn.com/football/boxscore?leagueId=11593953&amp;matchupPeriodId=14&amp;scoringPeriodId=14&amp;seasonId=2021&amp;teamId=2&amp;view=scoringperiod" TargetMode="External"/><Relationship Id="rId459" Type="http://schemas.openxmlformats.org/officeDocument/2006/relationships/hyperlink" Target="https://fantasy.espn.com/football/boxscore?leagueId=11593953&amp;matchupPeriodId=2&amp;scoringPeriodId=2&amp;seasonId=2023&amp;teamId=9&amp;view=scoringperiod" TargetMode="External"/><Relationship Id="rId216" Type="http://schemas.openxmlformats.org/officeDocument/2006/relationships/hyperlink" Target="https://fantasy.espn.com/football/boxscore?leagueId=11593953&amp;matchupPeriodId=1&amp;scoringPeriodId=1&amp;seasonId=2021&amp;teamId=2&amp;view=scoringperiod" TargetMode="External"/><Relationship Id="rId337" Type="http://schemas.openxmlformats.org/officeDocument/2006/relationships/hyperlink" Target="https://fantasy.espn.com/football/boxscore?leagueId=11593953&amp;matchupPeriodId=14&amp;scoringPeriodId=14&amp;seasonId=2021&amp;teamId=2&amp;view=scoringperiod" TargetMode="External"/><Relationship Id="rId458" Type="http://schemas.openxmlformats.org/officeDocument/2006/relationships/hyperlink" Target="https://fantasy.espn.com/football/boxscore?leagueId=11593953&amp;matchupPeriodId=1&amp;scoringPeriodId=1&amp;seasonId=2023&amp;teamId=8&amp;view=scoringperiod" TargetMode="External"/><Relationship Id="rId215" Type="http://schemas.openxmlformats.org/officeDocument/2006/relationships/hyperlink" Target="https://fantasy.espn.com/football/boxscore?leagueId=11593953&amp;matchupPeriodId=1&amp;scoringPeriodId=1&amp;seasonId=2021&amp;teamId=2&amp;view=scoringperiod" TargetMode="External"/><Relationship Id="rId336" Type="http://schemas.openxmlformats.org/officeDocument/2006/relationships/hyperlink" Target="https://fantasy.espn.com/football/boxscore?leagueId=11593953&amp;matchupPeriodId=14&amp;scoringPeriodId=14&amp;seasonId=2021&amp;teamId=6&amp;view=scoringperiod" TargetMode="External"/><Relationship Id="rId457" Type="http://schemas.openxmlformats.org/officeDocument/2006/relationships/hyperlink" Target="https://fantasy.espn.com/football/boxscore?leagueId=11593953&amp;matchupPeriodId=1&amp;scoringPeriodId=1&amp;seasonId=2023&amp;teamId=8&amp;view=scoringperiod" TargetMode="External"/><Relationship Id="rId214" Type="http://schemas.openxmlformats.org/officeDocument/2006/relationships/hyperlink" Target="https://fantasy.espn.com/football/boxscore?leagueId=11593953&amp;matchupPeriodId=1&amp;scoringPeriodId=1&amp;seasonId=2021&amp;teamId=1&amp;view=scoringperiod" TargetMode="External"/><Relationship Id="rId335" Type="http://schemas.openxmlformats.org/officeDocument/2006/relationships/hyperlink" Target="https://fantasy.espn.com/football/boxscore?leagueId=11593953&amp;matchupPeriodId=14&amp;scoringPeriodId=14&amp;seasonId=2021&amp;teamId=6&amp;view=scoringperiod" TargetMode="External"/><Relationship Id="rId456" Type="http://schemas.openxmlformats.org/officeDocument/2006/relationships/hyperlink" Target="https://fantasy.espn.com/football/boxscore?leagueId=11593953&amp;matchupPeriodId=1&amp;scoringPeriodId=1&amp;seasonId=2023&amp;teamId=11&amp;view=scoringperiod" TargetMode="External"/><Relationship Id="rId219" Type="http://schemas.openxmlformats.org/officeDocument/2006/relationships/hyperlink" Target="https://fantasy.espn.com/football/boxscore?leagueId=11593953&amp;matchupPeriodId=2&amp;scoringPeriodId=2&amp;seasonId=2021&amp;teamId=3&amp;view=scoringperiod" TargetMode="External"/><Relationship Id="rId218" Type="http://schemas.openxmlformats.org/officeDocument/2006/relationships/hyperlink" Target="https://fantasy.espn.com/football/boxscore?leagueId=11593953&amp;matchupPeriodId=1&amp;scoringPeriodId=1&amp;seasonId=2021&amp;teamId=4&amp;view=scoringperiod" TargetMode="External"/><Relationship Id="rId339" Type="http://schemas.openxmlformats.org/officeDocument/2006/relationships/hyperlink" Target="https://fantasy.espn.com/football/boxscore?leagueId=11593953&amp;matchupPeriodId=1&amp;scoringPeriodId=1&amp;seasonId=2022&amp;teamId=1&amp;view=scoringperiod" TargetMode="External"/><Relationship Id="rId330" Type="http://schemas.openxmlformats.org/officeDocument/2006/relationships/hyperlink" Target="https://fantasy.espn.com/football/boxscore?leagueId=11593953&amp;matchupPeriodId=14&amp;scoringPeriodId=14&amp;seasonId=2021&amp;teamId=3&amp;view=scoringperiod" TargetMode="External"/><Relationship Id="rId451" Type="http://schemas.openxmlformats.org/officeDocument/2006/relationships/hyperlink" Target="https://fantasy.espn.com/football/boxscore?leagueId=11593953&amp;matchupPeriodId=1&amp;scoringPeriodId=1&amp;seasonId=2023&amp;teamId=9&amp;view=scoringperiod" TargetMode="External"/><Relationship Id="rId450" Type="http://schemas.openxmlformats.org/officeDocument/2006/relationships/hyperlink" Target="https://fantasy.espn.com/football/boxscore?leagueId=11593953&amp;matchupPeriodId=14&amp;scoringPeriodId=14&amp;seasonId=2022&amp;teamId=4&amp;view=scoringperiod" TargetMode="External"/><Relationship Id="rId213" Type="http://schemas.openxmlformats.org/officeDocument/2006/relationships/hyperlink" Target="https://fantasy.espn.com/football/boxscore?leagueId=11593953&amp;matchupPeriodId=1&amp;scoringPeriodId=1&amp;seasonId=2021&amp;teamId=1&amp;view=scoringperiod" TargetMode="External"/><Relationship Id="rId334" Type="http://schemas.openxmlformats.org/officeDocument/2006/relationships/hyperlink" Target="https://fantasy.espn.com/football/boxscore?leagueId=11593953&amp;matchupPeriodId=14&amp;scoringPeriodId=14&amp;seasonId=2021&amp;teamId=11&amp;view=scoringperiod" TargetMode="External"/><Relationship Id="rId455" Type="http://schemas.openxmlformats.org/officeDocument/2006/relationships/hyperlink" Target="https://fantasy.espn.com/football/boxscore?leagueId=11593953&amp;matchupPeriodId=1&amp;scoringPeriodId=1&amp;seasonId=2023&amp;teamId=11&amp;view=scoringperiod" TargetMode="External"/><Relationship Id="rId212" Type="http://schemas.openxmlformats.org/officeDocument/2006/relationships/hyperlink" Target="https://fantasy.espn.com/football/boxscore?leagueId=11593953&amp;matchupPeriodId=1&amp;scoringPeriodId=1&amp;seasonId=2021&amp;teamId=8&amp;view=scoringperiod" TargetMode="External"/><Relationship Id="rId333" Type="http://schemas.openxmlformats.org/officeDocument/2006/relationships/hyperlink" Target="https://fantasy.espn.com/football/boxscore?leagueId=11593953&amp;matchupPeriodId=14&amp;scoringPeriodId=14&amp;seasonId=2021&amp;teamId=11&amp;view=scoringperiod" TargetMode="External"/><Relationship Id="rId454" Type="http://schemas.openxmlformats.org/officeDocument/2006/relationships/hyperlink" Target="https://fantasy.espn.com/football/boxscore?leagueId=11593953&amp;matchupPeriodId=1&amp;scoringPeriodId=1&amp;seasonId=2023&amp;teamId=4&amp;view=scoringperiod" TargetMode="External"/><Relationship Id="rId211" Type="http://schemas.openxmlformats.org/officeDocument/2006/relationships/hyperlink" Target="https://fantasy.espn.com/football/boxscore?leagueId=11593953&amp;matchupPeriodId=1&amp;scoringPeriodId=1&amp;seasonId=2021&amp;teamId=8&amp;view=scoringperiod" TargetMode="External"/><Relationship Id="rId332" Type="http://schemas.openxmlformats.org/officeDocument/2006/relationships/hyperlink" Target="https://fantasy.espn.com/football/boxscore?leagueId=11593953&amp;matchupPeriodId=14&amp;scoringPeriodId=14&amp;seasonId=2021&amp;teamId=8&amp;view=scoringperiod" TargetMode="External"/><Relationship Id="rId453" Type="http://schemas.openxmlformats.org/officeDocument/2006/relationships/hyperlink" Target="https://fantasy.espn.com/football/boxscore?leagueId=11593953&amp;matchupPeriodId=1&amp;scoringPeriodId=1&amp;seasonId=2023&amp;teamId=4&amp;view=scoringperiod" TargetMode="External"/><Relationship Id="rId210" Type="http://schemas.openxmlformats.org/officeDocument/2006/relationships/hyperlink" Target="https://fantasy.espn.com/football/boxscore?leagueId=11593953&amp;matchupPeriodId=1&amp;scoringPeriodId=1&amp;seasonId=2021&amp;teamId=3&amp;view=scoringperiod" TargetMode="External"/><Relationship Id="rId331" Type="http://schemas.openxmlformats.org/officeDocument/2006/relationships/hyperlink" Target="https://fantasy.espn.com/football/boxscore?leagueId=11593953&amp;matchupPeriodId=14&amp;scoringPeriodId=14&amp;seasonId=2021&amp;teamId=8&amp;view=scoringperiod" TargetMode="External"/><Relationship Id="rId452" Type="http://schemas.openxmlformats.org/officeDocument/2006/relationships/hyperlink" Target="https://fantasy.espn.com/football/boxscore?leagueId=11593953&amp;matchupPeriodId=1&amp;scoringPeriodId=1&amp;seasonId=2023&amp;teamId=9&amp;view=scoringperiod" TargetMode="External"/><Relationship Id="rId370" Type="http://schemas.openxmlformats.org/officeDocument/2006/relationships/hyperlink" Target="https://fantasy.espn.com/football/boxscore?leagueId=11593953&amp;matchupPeriodId=4&amp;scoringPeriodId=4&amp;seasonId=2022&amp;teamId=6&amp;view=scoringperiod" TargetMode="External"/><Relationship Id="rId491" Type="http://schemas.openxmlformats.org/officeDocument/2006/relationships/hyperlink" Target="https://fantasy.espn.com/football/boxscore?leagueId=11593953&amp;matchupPeriodId=6&amp;scoringPeriodId=6&amp;seasonId=2023&amp;teamId=9&amp;view=scoringperiod" TargetMode="External"/><Relationship Id="rId490" Type="http://schemas.openxmlformats.org/officeDocument/2006/relationships/hyperlink" Target="https://fantasy.espn.com/football/boxscore?leagueId=11593953&amp;matchupPeriodId=5&amp;scoringPeriodId=5&amp;seasonId=2023&amp;teamId=3&amp;view=scoringperiod" TargetMode="External"/><Relationship Id="rId129" Type="http://schemas.openxmlformats.org/officeDocument/2006/relationships/hyperlink" Target="https://fantasy.espn.com/football/boxscore?leagueId=11593953&amp;matchupPeriodId=4&amp;scoringPeriodId=4&amp;seasonId=2020&amp;teamId=6&amp;view=scoringperiod" TargetMode="External"/><Relationship Id="rId128" Type="http://schemas.openxmlformats.org/officeDocument/2006/relationships/hyperlink" Target="https://fantasy.espn.com/football/boxscore?leagueId=11593953&amp;matchupPeriodId=3&amp;scoringPeriodId=3&amp;seasonId=2020&amp;teamId=4&amp;view=scoringperiod" TargetMode="External"/><Relationship Id="rId249" Type="http://schemas.openxmlformats.org/officeDocument/2006/relationships/hyperlink" Target="https://fantasy.espn.com/football/boxscore?leagueId=11593953&amp;matchupPeriodId=5&amp;scoringPeriodId=5&amp;seasonId=2021&amp;teamId=3&amp;view=scoringperiod" TargetMode="External"/><Relationship Id="rId127" Type="http://schemas.openxmlformats.org/officeDocument/2006/relationships/hyperlink" Target="https://fantasy.espn.com/football/boxscore?leagueId=11593953&amp;matchupPeriodId=3&amp;scoringPeriodId=3&amp;seasonId=2020&amp;teamId=4&amp;view=scoringperiod" TargetMode="External"/><Relationship Id="rId248" Type="http://schemas.openxmlformats.org/officeDocument/2006/relationships/hyperlink" Target="https://fantasy.espn.com/football/boxscore?leagueId=11593953&amp;matchupPeriodId=4&amp;scoringPeriodId=4&amp;seasonId=2021&amp;teamId=11&amp;view=scoringperiod" TargetMode="External"/><Relationship Id="rId369" Type="http://schemas.openxmlformats.org/officeDocument/2006/relationships/hyperlink" Target="https://fantasy.espn.com/football/boxscore?leagueId=11593953&amp;matchupPeriodId=4&amp;scoringPeriodId=4&amp;seasonId=2022&amp;teamId=6&amp;view=scoringperiod" TargetMode="External"/><Relationship Id="rId126" Type="http://schemas.openxmlformats.org/officeDocument/2006/relationships/hyperlink" Target="https://fantasy.espn.com/football/boxscore?leagueId=11593953&amp;matchupPeriodId=3&amp;scoringPeriodId=3&amp;seasonId=2020&amp;teamId=1&amp;view=scoringperiod" TargetMode="External"/><Relationship Id="rId247" Type="http://schemas.openxmlformats.org/officeDocument/2006/relationships/hyperlink" Target="https://fantasy.espn.com/football/boxscore?leagueId=11593953&amp;matchupPeriodId=4&amp;scoringPeriodId=4&amp;seasonId=2021&amp;teamId=11&amp;view=scoringperiod" TargetMode="External"/><Relationship Id="rId368" Type="http://schemas.openxmlformats.org/officeDocument/2006/relationships/hyperlink" Target="https://fantasy.espn.com/football/boxscore?leagueId=11593953&amp;matchupPeriodId=4&amp;scoringPeriodId=4&amp;seasonId=2022&amp;teamId=3&amp;view=scoringperiod" TargetMode="External"/><Relationship Id="rId489" Type="http://schemas.openxmlformats.org/officeDocument/2006/relationships/hyperlink" Target="https://fantasy.espn.com/football/boxscore?leagueId=11593953&amp;matchupPeriodId=5&amp;scoringPeriodId=5&amp;seasonId=2023&amp;teamId=3&amp;view=scoringperiod" TargetMode="External"/><Relationship Id="rId121" Type="http://schemas.openxmlformats.org/officeDocument/2006/relationships/hyperlink" Target="https://fantasy.espn.com/football/boxscore?leagueId=11593953&amp;matchupPeriodId=3&amp;scoringPeriodId=3&amp;seasonId=2020&amp;teamId=8&amp;view=scoringperiod" TargetMode="External"/><Relationship Id="rId242" Type="http://schemas.openxmlformats.org/officeDocument/2006/relationships/hyperlink" Target="https://fantasy.espn.com/football/boxscore?leagueId=11593953&amp;matchupPeriodId=4&amp;scoringPeriodId=4&amp;seasonId=2021&amp;teamId=8&amp;view=scoringperiod" TargetMode="External"/><Relationship Id="rId363" Type="http://schemas.openxmlformats.org/officeDocument/2006/relationships/hyperlink" Target="https://fantasy.espn.com/football/boxscore?leagueId=11593953&amp;matchupPeriodId=4&amp;scoringPeriodId=4&amp;seasonId=2022&amp;teamId=1&amp;view=scoringperiod" TargetMode="External"/><Relationship Id="rId484" Type="http://schemas.openxmlformats.org/officeDocument/2006/relationships/hyperlink" Target="https://fantasy.espn.com/football/boxscore?leagueId=11593953&amp;matchupPeriodId=5&amp;scoringPeriodId=5&amp;seasonId=2023&amp;teamId=9&amp;view=scoringperiod" TargetMode="External"/><Relationship Id="rId120" Type="http://schemas.openxmlformats.org/officeDocument/2006/relationships/hyperlink" Target="https://fantasy.espn.com/football/boxscore?leagueId=11593953&amp;matchupPeriodId=2&amp;scoringPeriodId=2&amp;seasonId=2020&amp;teamId=4&amp;view=scoringperiod" TargetMode="External"/><Relationship Id="rId241" Type="http://schemas.openxmlformats.org/officeDocument/2006/relationships/hyperlink" Target="https://fantasy.espn.com/football/boxscore?leagueId=11593953&amp;matchupPeriodId=4&amp;scoringPeriodId=4&amp;seasonId=2021&amp;teamId=8&amp;view=scoringperiod" TargetMode="External"/><Relationship Id="rId362" Type="http://schemas.openxmlformats.org/officeDocument/2006/relationships/hyperlink" Target="https://fantasy.espn.com/football/boxscore?leagueId=11593953&amp;matchupPeriodId=3&amp;scoringPeriodId=3&amp;seasonId=2022&amp;teamId=8&amp;view=scoringperiod" TargetMode="External"/><Relationship Id="rId483" Type="http://schemas.openxmlformats.org/officeDocument/2006/relationships/hyperlink" Target="https://fantasy.espn.com/football/boxscore?leagueId=11593953&amp;matchupPeriodId=5&amp;scoringPeriodId=5&amp;seasonId=2023&amp;teamId=9&amp;view=scoringperiod" TargetMode="External"/><Relationship Id="rId240" Type="http://schemas.openxmlformats.org/officeDocument/2006/relationships/hyperlink" Target="https://fantasy.espn.com/football/boxscore?leagueId=11593953&amp;matchupPeriodId=4&amp;scoringPeriodId=4&amp;seasonId=2021&amp;teamId=3&amp;view=scoringperiod" TargetMode="External"/><Relationship Id="rId361" Type="http://schemas.openxmlformats.org/officeDocument/2006/relationships/hyperlink" Target="https://fantasy.espn.com/football/boxscore?leagueId=11593953&amp;matchupPeriodId=3&amp;scoringPeriodId=3&amp;seasonId=2022&amp;teamId=8&amp;view=scoringperiod" TargetMode="External"/><Relationship Id="rId482" Type="http://schemas.openxmlformats.org/officeDocument/2006/relationships/hyperlink" Target="https://fantasy.espn.com/football/boxscore?leagueId=11593953&amp;matchupPeriodId=4&amp;scoringPeriodId=4&amp;seasonId=2023&amp;teamId=3&amp;view=scoringperiod" TargetMode="External"/><Relationship Id="rId360" Type="http://schemas.openxmlformats.org/officeDocument/2006/relationships/hyperlink" Target="https://fantasy.espn.com/football/boxscore?leagueId=11593953&amp;matchupPeriodId=3&amp;scoringPeriodId=3&amp;seasonId=2022&amp;teamId=9&amp;view=scoringperiod" TargetMode="External"/><Relationship Id="rId481" Type="http://schemas.openxmlformats.org/officeDocument/2006/relationships/hyperlink" Target="https://fantasy.espn.com/football/boxscore?leagueId=11593953&amp;matchupPeriodId=4&amp;scoringPeriodId=4&amp;seasonId=2023&amp;teamId=3&amp;view=scoringperiod" TargetMode="External"/><Relationship Id="rId125" Type="http://schemas.openxmlformats.org/officeDocument/2006/relationships/hyperlink" Target="https://fantasy.espn.com/football/boxscore?leagueId=11593953&amp;matchupPeriodId=3&amp;scoringPeriodId=3&amp;seasonId=2020&amp;teamId=1&amp;view=scoringperiod" TargetMode="External"/><Relationship Id="rId246" Type="http://schemas.openxmlformats.org/officeDocument/2006/relationships/hyperlink" Target="https://fantasy.espn.com/football/boxscore?leagueId=11593953&amp;matchupPeriodId=4&amp;scoringPeriodId=4&amp;seasonId=2021&amp;teamId=9&amp;view=scoringperiod" TargetMode="External"/><Relationship Id="rId367" Type="http://schemas.openxmlformats.org/officeDocument/2006/relationships/hyperlink" Target="https://fantasy.espn.com/football/boxscore?leagueId=11593953&amp;matchupPeriodId=4&amp;scoringPeriodId=4&amp;seasonId=2022&amp;teamId=3&amp;view=scoringperiod" TargetMode="External"/><Relationship Id="rId488" Type="http://schemas.openxmlformats.org/officeDocument/2006/relationships/hyperlink" Target="https://fantasy.espn.com/football/boxscore?leagueId=11593953&amp;matchupPeriodId=5&amp;scoringPeriodId=5&amp;seasonId=2023&amp;teamId=4&amp;view=scoringperiod" TargetMode="External"/><Relationship Id="rId124" Type="http://schemas.openxmlformats.org/officeDocument/2006/relationships/hyperlink" Target="https://fantasy.espn.com/football/boxscore?leagueId=11593953&amp;matchupPeriodId=3&amp;scoringPeriodId=3&amp;seasonId=2020&amp;teamId=5&amp;view=scoringperiod" TargetMode="External"/><Relationship Id="rId245" Type="http://schemas.openxmlformats.org/officeDocument/2006/relationships/hyperlink" Target="https://fantasy.espn.com/football/boxscore?leagueId=11593953&amp;matchupPeriodId=4&amp;scoringPeriodId=4&amp;seasonId=2021&amp;teamId=9&amp;view=scoringperiod" TargetMode="External"/><Relationship Id="rId366" Type="http://schemas.openxmlformats.org/officeDocument/2006/relationships/hyperlink" Target="https://fantasy.espn.com/football/boxscore?leagueId=11593953&amp;matchupPeriodId=4&amp;scoringPeriodId=4&amp;seasonId=2022&amp;teamId=11&amp;view=scoringperiod" TargetMode="External"/><Relationship Id="rId487" Type="http://schemas.openxmlformats.org/officeDocument/2006/relationships/hyperlink" Target="https://fantasy.espn.com/football/boxscore?leagueId=11593953&amp;matchupPeriodId=5&amp;scoringPeriodId=5&amp;seasonId=2023&amp;teamId=4&amp;view=scoringperiod" TargetMode="External"/><Relationship Id="rId123" Type="http://schemas.openxmlformats.org/officeDocument/2006/relationships/hyperlink" Target="https://fantasy.espn.com/football/boxscore?leagueId=11593953&amp;matchupPeriodId=3&amp;scoringPeriodId=3&amp;seasonId=2020&amp;teamId=5&amp;view=scoringperiod" TargetMode="External"/><Relationship Id="rId244" Type="http://schemas.openxmlformats.org/officeDocument/2006/relationships/hyperlink" Target="https://fantasy.espn.com/football/boxscore?leagueId=11593953&amp;matchupPeriodId=4&amp;scoringPeriodId=4&amp;seasonId=2021&amp;teamId=1&amp;view=scoringperiod" TargetMode="External"/><Relationship Id="rId365" Type="http://schemas.openxmlformats.org/officeDocument/2006/relationships/hyperlink" Target="https://fantasy.espn.com/football/boxscore?leagueId=11593953&amp;matchupPeriodId=4&amp;scoringPeriodId=4&amp;seasonId=2022&amp;teamId=11&amp;view=scoringperiod" TargetMode="External"/><Relationship Id="rId486" Type="http://schemas.openxmlformats.org/officeDocument/2006/relationships/hyperlink" Target="https://fantasy.espn.com/football/boxscore?leagueId=11593953&amp;matchupPeriodId=5&amp;scoringPeriodId=5&amp;seasonId=2023&amp;teamId=2&amp;view=scoringperiod" TargetMode="External"/><Relationship Id="rId122" Type="http://schemas.openxmlformats.org/officeDocument/2006/relationships/hyperlink" Target="https://fantasy.espn.com/football/boxscore?leagueId=11593953&amp;matchupPeriodId=3&amp;scoringPeriodId=3&amp;seasonId=2020&amp;teamId=8&amp;view=scoringperiod" TargetMode="External"/><Relationship Id="rId243" Type="http://schemas.openxmlformats.org/officeDocument/2006/relationships/hyperlink" Target="https://fantasy.espn.com/football/boxscore?leagueId=11593953&amp;matchupPeriodId=4&amp;scoringPeriodId=4&amp;seasonId=2021&amp;teamId=1&amp;view=scoringperiod" TargetMode="External"/><Relationship Id="rId364" Type="http://schemas.openxmlformats.org/officeDocument/2006/relationships/hyperlink" Target="https://fantasy.espn.com/football/boxscore?leagueId=11593953&amp;matchupPeriodId=4&amp;scoringPeriodId=4&amp;seasonId=2022&amp;teamId=1&amp;view=scoringperiod" TargetMode="External"/><Relationship Id="rId485" Type="http://schemas.openxmlformats.org/officeDocument/2006/relationships/hyperlink" Target="https://fantasy.espn.com/football/boxscore?leagueId=11593953&amp;matchupPeriodId=5&amp;scoringPeriodId=5&amp;seasonId=2023&amp;teamId=2&amp;view=scoringperiod" TargetMode="External"/><Relationship Id="rId95" Type="http://schemas.openxmlformats.org/officeDocument/2006/relationships/hyperlink" Target="https://fantasy.espn.com/football/boxscore?leagueId=11593953&amp;matchupPeriodId=12&amp;scoringPeriodId=12&amp;seasonId=2019&amp;teamId=1&amp;view=scoringperiod" TargetMode="External"/><Relationship Id="rId94" Type="http://schemas.openxmlformats.org/officeDocument/2006/relationships/hyperlink" Target="https://fantasy.espn.com/football/boxscore?leagueId=11593953&amp;matchupPeriodId=12&amp;scoringPeriodId=12&amp;seasonId=2019&amp;teamId=2&amp;view=scoringperiod" TargetMode="External"/><Relationship Id="rId97" Type="http://schemas.openxmlformats.org/officeDocument/2006/relationships/hyperlink" Target="https://fantasy.espn.com/football/boxscore?leagueId=11593953&amp;matchupPeriodId=13&amp;scoringPeriodId=13&amp;seasonId=2019&amp;teamId=4&amp;view=scoringperiod" TargetMode="External"/><Relationship Id="rId96" Type="http://schemas.openxmlformats.org/officeDocument/2006/relationships/hyperlink" Target="https://fantasy.espn.com/football/boxscore?leagueId=11593953&amp;matchupPeriodId=12&amp;scoringPeriodId=12&amp;seasonId=2019&amp;teamId=1&amp;view=scoringperiod" TargetMode="External"/><Relationship Id="rId99" Type="http://schemas.openxmlformats.org/officeDocument/2006/relationships/hyperlink" Target="https://fantasy.espn.com/football/boxscore?leagueId=11593953&amp;matchupPeriodId=13&amp;scoringPeriodId=13&amp;seasonId=2019&amp;teamId=1&amp;view=scoringperiod" TargetMode="External"/><Relationship Id="rId480" Type="http://schemas.openxmlformats.org/officeDocument/2006/relationships/hyperlink" Target="https://fantasy.espn.com/football/boxscore?leagueId=11593953&amp;matchupPeriodId=4&amp;scoringPeriodId=4&amp;seasonId=2023&amp;teamId=4&amp;view=scoringperiod" TargetMode="External"/><Relationship Id="rId98" Type="http://schemas.openxmlformats.org/officeDocument/2006/relationships/hyperlink" Target="https://fantasy.espn.com/football/boxscore?leagueId=11593953&amp;matchupPeriodId=13&amp;scoringPeriodId=13&amp;seasonId=2019&amp;teamId=4&amp;view=scoringperiod" TargetMode="External"/><Relationship Id="rId91" Type="http://schemas.openxmlformats.org/officeDocument/2006/relationships/hyperlink" Target="https://fantasy.espn.com/football/boxscore?leagueId=11593953&amp;matchupPeriodId=12&amp;scoringPeriodId=12&amp;seasonId=2019&amp;teamId=5&amp;view=scoringperiod" TargetMode="External"/><Relationship Id="rId90" Type="http://schemas.openxmlformats.org/officeDocument/2006/relationships/hyperlink" Target="https://fantasy.espn.com/football/boxscore?leagueId=11593953&amp;matchupPeriodId=12&amp;scoringPeriodId=12&amp;seasonId=2019&amp;teamId=3&amp;view=scoringperiod" TargetMode="External"/><Relationship Id="rId93" Type="http://schemas.openxmlformats.org/officeDocument/2006/relationships/hyperlink" Target="https://fantasy.espn.com/football/boxscore?leagueId=11593953&amp;matchupPeriodId=12&amp;scoringPeriodId=12&amp;seasonId=2019&amp;teamId=2&amp;view=scoringperiod" TargetMode="External"/><Relationship Id="rId92" Type="http://schemas.openxmlformats.org/officeDocument/2006/relationships/hyperlink" Target="https://fantasy.espn.com/football/boxscore?leagueId=11593953&amp;matchupPeriodId=12&amp;scoringPeriodId=12&amp;seasonId=2019&amp;teamId=5&amp;view=scoringperiod" TargetMode="External"/><Relationship Id="rId118" Type="http://schemas.openxmlformats.org/officeDocument/2006/relationships/hyperlink" Target="https://fantasy.espn.com/football/boxscore?leagueId=11593953&amp;matchupPeriodId=2&amp;scoringPeriodId=2&amp;seasonId=2020&amp;teamId=6&amp;view=scoringperiod" TargetMode="External"/><Relationship Id="rId239" Type="http://schemas.openxmlformats.org/officeDocument/2006/relationships/hyperlink" Target="https://fantasy.espn.com/football/boxscore?leagueId=11593953&amp;matchupPeriodId=4&amp;scoringPeriodId=4&amp;seasonId=2021&amp;teamId=3&amp;view=scoringperiod" TargetMode="External"/><Relationship Id="rId117" Type="http://schemas.openxmlformats.org/officeDocument/2006/relationships/hyperlink" Target="https://fantasy.espn.com/football/boxscore?leagueId=11593953&amp;matchupPeriodId=2&amp;scoringPeriodId=2&amp;seasonId=2020&amp;teamId=6&amp;view=scoringperiod" TargetMode="External"/><Relationship Id="rId238" Type="http://schemas.openxmlformats.org/officeDocument/2006/relationships/hyperlink" Target="https://fantasy.espn.com/football/boxscore?leagueId=11593953&amp;matchupPeriodId=3&amp;scoringPeriodId=3&amp;seasonId=2021&amp;teamId=11&amp;view=scoringperiod" TargetMode="External"/><Relationship Id="rId359" Type="http://schemas.openxmlformats.org/officeDocument/2006/relationships/hyperlink" Target="https://fantasy.espn.com/football/boxscore?leagueId=11593953&amp;matchupPeriodId=3&amp;scoringPeriodId=3&amp;seasonId=2022&amp;teamId=9&amp;view=scoringperiod" TargetMode="External"/><Relationship Id="rId116" Type="http://schemas.openxmlformats.org/officeDocument/2006/relationships/hyperlink" Target="https://fantasy.espn.com/football/boxscore?leagueId=11593953&amp;matchupPeriodId=2&amp;scoringPeriodId=2&amp;seasonId=2020&amp;teamId=9&amp;view=scoringperiod" TargetMode="External"/><Relationship Id="rId237" Type="http://schemas.openxmlformats.org/officeDocument/2006/relationships/hyperlink" Target="https://fantasy.espn.com/football/boxscore?leagueId=11593953&amp;matchupPeriodId=3&amp;scoringPeriodId=3&amp;seasonId=2021&amp;teamId=11&amp;view=scoringperiod" TargetMode="External"/><Relationship Id="rId358" Type="http://schemas.openxmlformats.org/officeDocument/2006/relationships/hyperlink" Target="https://fantasy.espn.com/football/boxscore?leagueId=11593953&amp;matchupPeriodId=3&amp;scoringPeriodId=3&amp;seasonId=2022&amp;teamId=3&amp;view=scoringperiod" TargetMode="External"/><Relationship Id="rId479" Type="http://schemas.openxmlformats.org/officeDocument/2006/relationships/hyperlink" Target="https://fantasy.espn.com/football/boxscore?leagueId=11593953&amp;matchupPeriodId=4&amp;scoringPeriodId=4&amp;seasonId=2023&amp;teamId=4&amp;view=scoringperiod" TargetMode="External"/><Relationship Id="rId115" Type="http://schemas.openxmlformats.org/officeDocument/2006/relationships/hyperlink" Target="https://fantasy.espn.com/football/boxscore?leagueId=11593953&amp;matchupPeriodId=2&amp;scoringPeriodId=2&amp;seasonId=2020&amp;teamId=9&amp;view=scoringperiod" TargetMode="External"/><Relationship Id="rId236" Type="http://schemas.openxmlformats.org/officeDocument/2006/relationships/hyperlink" Target="https://fantasy.espn.com/football/boxscore?leagueId=11593953&amp;matchupPeriodId=3&amp;scoringPeriodId=3&amp;seasonId=2021&amp;teamId=9&amp;view=scoringperiod" TargetMode="External"/><Relationship Id="rId357" Type="http://schemas.openxmlformats.org/officeDocument/2006/relationships/hyperlink" Target="https://fantasy.espn.com/football/boxscore?leagueId=11593953&amp;matchupPeriodId=3&amp;scoringPeriodId=3&amp;seasonId=2022&amp;teamId=3&amp;view=scoringperiod" TargetMode="External"/><Relationship Id="rId478" Type="http://schemas.openxmlformats.org/officeDocument/2006/relationships/hyperlink" Target="https://fantasy.espn.com/football/boxscore?leagueId=11593953&amp;matchupPeriodId=4&amp;scoringPeriodId=4&amp;seasonId=2023&amp;teamId=2&amp;view=scoringperiod" TargetMode="External"/><Relationship Id="rId119" Type="http://schemas.openxmlformats.org/officeDocument/2006/relationships/hyperlink" Target="https://fantasy.espn.com/football/boxscore?leagueId=11593953&amp;matchupPeriodId=2&amp;scoringPeriodId=2&amp;seasonId=2020&amp;teamId=4&amp;view=scoringperiod" TargetMode="External"/><Relationship Id="rId110" Type="http://schemas.openxmlformats.org/officeDocument/2006/relationships/hyperlink" Target="https://fantasy.espn.com/football/boxscore?leagueId=11593953&amp;matchupPeriodId=1&amp;scoringPeriodId=1&amp;seasonId=2020&amp;teamId=3&amp;view=scoringperiod" TargetMode="External"/><Relationship Id="rId231" Type="http://schemas.openxmlformats.org/officeDocument/2006/relationships/hyperlink" Target="https://fantasy.espn.com/football/boxscore?leagueId=11593953&amp;matchupPeriodId=3&amp;scoringPeriodId=3&amp;seasonId=2021&amp;teamId=8&amp;view=scoringperiod" TargetMode="External"/><Relationship Id="rId352" Type="http://schemas.openxmlformats.org/officeDocument/2006/relationships/hyperlink" Target="https://fantasy.espn.com/football/boxscore?leagueId=11593953&amp;matchupPeriodId=2&amp;scoringPeriodId=2&amp;seasonId=2022&amp;teamId=9&amp;view=scoringperiod" TargetMode="External"/><Relationship Id="rId473" Type="http://schemas.openxmlformats.org/officeDocument/2006/relationships/hyperlink" Target="https://fantasy.espn.com/football/boxscore?leagueId=11593953&amp;matchupPeriodId=3&amp;scoringPeriodId=3&amp;seasonId=2023&amp;teamId=3&amp;view=scoringperiod" TargetMode="External"/><Relationship Id="rId230" Type="http://schemas.openxmlformats.org/officeDocument/2006/relationships/hyperlink" Target="https://fantasy.espn.com/football/boxscore?leagueId=11593953&amp;matchupPeriodId=3&amp;scoringPeriodId=3&amp;seasonId=2021&amp;teamId=3&amp;view=scoringperiod" TargetMode="External"/><Relationship Id="rId351" Type="http://schemas.openxmlformats.org/officeDocument/2006/relationships/hyperlink" Target="https://fantasy.espn.com/football/boxscore?leagueId=11593953&amp;matchupPeriodId=2&amp;scoringPeriodId=2&amp;seasonId=2022&amp;teamId=9&amp;view=scoringperiod" TargetMode="External"/><Relationship Id="rId472" Type="http://schemas.openxmlformats.org/officeDocument/2006/relationships/hyperlink" Target="https://fantasy.espn.com/football/boxscore?leagueId=11593953&amp;matchupPeriodId=3&amp;scoringPeriodId=3&amp;seasonId=2023&amp;teamId=4&amp;view=scoringperiod" TargetMode="External"/><Relationship Id="rId350" Type="http://schemas.openxmlformats.org/officeDocument/2006/relationships/hyperlink" Target="https://fantasy.espn.com/football/boxscore?leagueId=11593953&amp;matchupPeriodId=2&amp;scoringPeriodId=2&amp;seasonId=2022&amp;teamId=11&amp;view=scoringperiod" TargetMode="External"/><Relationship Id="rId471" Type="http://schemas.openxmlformats.org/officeDocument/2006/relationships/hyperlink" Target="https://fantasy.espn.com/football/boxscore?leagueId=11593953&amp;matchupPeriodId=3&amp;scoringPeriodId=3&amp;seasonId=2023&amp;teamId=4&amp;view=scoringperiod" TargetMode="External"/><Relationship Id="rId470" Type="http://schemas.openxmlformats.org/officeDocument/2006/relationships/hyperlink" Target="https://fantasy.espn.com/football/boxscore?leagueId=11593953&amp;matchupPeriodId=3&amp;scoringPeriodId=3&amp;seasonId=2023&amp;teamId=2&amp;view=scoringperiod" TargetMode="External"/><Relationship Id="rId114" Type="http://schemas.openxmlformats.org/officeDocument/2006/relationships/hyperlink" Target="https://fantasy.espn.com/football/boxscore?leagueId=11593953&amp;matchupPeriodId=2&amp;scoringPeriodId=2&amp;seasonId=2020&amp;teamId=5&amp;view=scoringperiod" TargetMode="External"/><Relationship Id="rId235" Type="http://schemas.openxmlformats.org/officeDocument/2006/relationships/hyperlink" Target="https://fantasy.espn.com/football/boxscore?leagueId=11593953&amp;matchupPeriodId=3&amp;scoringPeriodId=3&amp;seasonId=2021&amp;teamId=9&amp;view=scoringperiod" TargetMode="External"/><Relationship Id="rId356" Type="http://schemas.openxmlformats.org/officeDocument/2006/relationships/hyperlink" Target="https://fantasy.espn.com/football/boxscore?leagueId=11593953&amp;matchupPeriodId=3&amp;scoringPeriodId=3&amp;seasonId=2022&amp;teamId=1&amp;view=scoringperiod" TargetMode="External"/><Relationship Id="rId477" Type="http://schemas.openxmlformats.org/officeDocument/2006/relationships/hyperlink" Target="https://fantasy.espn.com/football/boxscore?leagueId=11593953&amp;matchupPeriodId=4&amp;scoringPeriodId=4&amp;seasonId=2023&amp;teamId=2&amp;view=scoringperiod" TargetMode="External"/><Relationship Id="rId113" Type="http://schemas.openxmlformats.org/officeDocument/2006/relationships/hyperlink" Target="https://fantasy.espn.com/football/boxscore?leagueId=11593953&amp;matchupPeriodId=2&amp;scoringPeriodId=2&amp;seasonId=2020&amp;teamId=5&amp;view=scoringperiod" TargetMode="External"/><Relationship Id="rId234" Type="http://schemas.openxmlformats.org/officeDocument/2006/relationships/hyperlink" Target="https://fantasy.espn.com/football/boxscore?leagueId=11593953&amp;matchupPeriodId=3&amp;scoringPeriodId=3&amp;seasonId=2021&amp;teamId=1&amp;view=scoringperiod" TargetMode="External"/><Relationship Id="rId355" Type="http://schemas.openxmlformats.org/officeDocument/2006/relationships/hyperlink" Target="https://fantasy.espn.com/football/boxscore?leagueId=11593953&amp;matchupPeriodId=3&amp;scoringPeriodId=3&amp;seasonId=2022&amp;teamId=1&amp;view=scoringperiod" TargetMode="External"/><Relationship Id="rId476" Type="http://schemas.openxmlformats.org/officeDocument/2006/relationships/hyperlink" Target="https://fantasy.espn.com/football/boxscore?leagueId=11593953&amp;matchupPeriodId=4&amp;scoringPeriodId=4&amp;seasonId=2023&amp;teamId=9&amp;view=scoringperiod" TargetMode="External"/><Relationship Id="rId112" Type="http://schemas.openxmlformats.org/officeDocument/2006/relationships/hyperlink" Target="https://fantasy.espn.com/football/boxscore?leagueId=11593953&amp;matchupPeriodId=1&amp;scoringPeriodId=1&amp;seasonId=2020&amp;teamId=6&amp;view=scoringperiod" TargetMode="External"/><Relationship Id="rId233" Type="http://schemas.openxmlformats.org/officeDocument/2006/relationships/hyperlink" Target="https://fantasy.espn.com/football/boxscore?leagueId=11593953&amp;matchupPeriodId=3&amp;scoringPeriodId=3&amp;seasonId=2021&amp;teamId=1&amp;view=scoringperiod" TargetMode="External"/><Relationship Id="rId354" Type="http://schemas.openxmlformats.org/officeDocument/2006/relationships/hyperlink" Target="https://fantasy.espn.com/football/boxscore?leagueId=11593953&amp;matchupPeriodId=2&amp;scoringPeriodId=2&amp;seasonId=2022&amp;teamId=4&amp;view=scoringperiod" TargetMode="External"/><Relationship Id="rId475" Type="http://schemas.openxmlformats.org/officeDocument/2006/relationships/hyperlink" Target="https://fantasy.espn.com/football/boxscore?leagueId=11593953&amp;matchupPeriodId=4&amp;scoringPeriodId=4&amp;seasonId=2023&amp;teamId=9&amp;view=scoringperiod" TargetMode="External"/><Relationship Id="rId111" Type="http://schemas.openxmlformats.org/officeDocument/2006/relationships/hyperlink" Target="https://fantasy.espn.com/football/boxscore?leagueId=11593953&amp;matchupPeriodId=1&amp;scoringPeriodId=1&amp;seasonId=2020&amp;teamId=6&amp;view=scoringperiod" TargetMode="External"/><Relationship Id="rId232" Type="http://schemas.openxmlformats.org/officeDocument/2006/relationships/hyperlink" Target="https://fantasy.espn.com/football/boxscore?leagueId=11593953&amp;matchupPeriodId=3&amp;scoringPeriodId=3&amp;seasonId=2021&amp;teamId=8&amp;view=scoringperiod" TargetMode="External"/><Relationship Id="rId353" Type="http://schemas.openxmlformats.org/officeDocument/2006/relationships/hyperlink" Target="https://fantasy.espn.com/football/boxscore?leagueId=11593953&amp;matchupPeriodId=2&amp;scoringPeriodId=2&amp;seasonId=2022&amp;teamId=4&amp;view=scoringperiod" TargetMode="External"/><Relationship Id="rId474" Type="http://schemas.openxmlformats.org/officeDocument/2006/relationships/hyperlink" Target="https://fantasy.espn.com/football/boxscore?leagueId=11593953&amp;matchupPeriodId=3&amp;scoringPeriodId=3&amp;seasonId=2023&amp;teamId=3&amp;view=scoringperiod" TargetMode="External"/><Relationship Id="rId305" Type="http://schemas.openxmlformats.org/officeDocument/2006/relationships/hyperlink" Target="https://fantasy.espn.com/football/boxscore?leagueId=11593953&amp;matchupPeriodId=11&amp;scoringPeriodId=11&amp;seasonId=2021&amp;teamId=9&amp;view=scoringperiod" TargetMode="External"/><Relationship Id="rId426" Type="http://schemas.openxmlformats.org/officeDocument/2006/relationships/hyperlink" Target="https://fantasy.espn.com/football/boxscore?leagueId=11593953&amp;matchupPeriodId=11&amp;scoringPeriodId=11&amp;seasonId=2022&amp;teamId=8&amp;view=scoringperiod" TargetMode="External"/><Relationship Id="rId547" Type="http://schemas.openxmlformats.org/officeDocument/2006/relationships/hyperlink" Target="https://fantasy.espn.com/football/boxscore?leagueId=11593953&amp;matchupPeriodId=13&amp;scoringPeriodId=13&amp;seasonId=2023&amp;teamId=9&amp;view=scoringperiod" TargetMode="External"/><Relationship Id="rId304" Type="http://schemas.openxmlformats.org/officeDocument/2006/relationships/hyperlink" Target="https://fantasy.espn.com/football/boxscore?leagueId=11593953&amp;matchupPeriodId=11&amp;scoringPeriodId=11&amp;seasonId=2021&amp;teamId=1&amp;view=scoringperiod" TargetMode="External"/><Relationship Id="rId425" Type="http://schemas.openxmlformats.org/officeDocument/2006/relationships/hyperlink" Target="https://fantasy.espn.com/football/boxscore?leagueId=11593953&amp;matchupPeriodId=11&amp;scoringPeriodId=11&amp;seasonId=2022&amp;teamId=8&amp;view=scoringperiod" TargetMode="External"/><Relationship Id="rId546" Type="http://schemas.openxmlformats.org/officeDocument/2006/relationships/hyperlink" Target="https://fantasy.espn.com/football/boxscore?leagueId=11593953&amp;matchupPeriodId=12&amp;scoringPeriodId=12&amp;seasonId=2023&amp;teamId=3&amp;view=scoringperiod" TargetMode="External"/><Relationship Id="rId303" Type="http://schemas.openxmlformats.org/officeDocument/2006/relationships/hyperlink" Target="https://fantasy.espn.com/football/boxscore?leagueId=11593953&amp;matchupPeriodId=11&amp;scoringPeriodId=11&amp;seasonId=2021&amp;teamId=1&amp;view=scoringperiod" TargetMode="External"/><Relationship Id="rId424" Type="http://schemas.openxmlformats.org/officeDocument/2006/relationships/hyperlink" Target="https://fantasy.espn.com/football/boxscore?leagueId=11593953&amp;matchupPeriodId=11&amp;scoringPeriodId=11&amp;seasonId=2022&amp;teamId=9&amp;view=scoringperiod" TargetMode="External"/><Relationship Id="rId545" Type="http://schemas.openxmlformats.org/officeDocument/2006/relationships/hyperlink" Target="https://fantasy.espn.com/football/boxscore?leagueId=11593953&amp;matchupPeriodId=12&amp;scoringPeriodId=12&amp;seasonId=2023&amp;teamId=3&amp;view=scoringperiod" TargetMode="External"/><Relationship Id="rId302" Type="http://schemas.openxmlformats.org/officeDocument/2006/relationships/hyperlink" Target="https://fantasy.espn.com/football/boxscore?leagueId=11593953&amp;matchupPeriodId=11&amp;scoringPeriodId=11&amp;seasonId=2021&amp;teamId=8&amp;view=scoringperiod" TargetMode="External"/><Relationship Id="rId423" Type="http://schemas.openxmlformats.org/officeDocument/2006/relationships/hyperlink" Target="https://fantasy.espn.com/football/boxscore?leagueId=11593953&amp;matchupPeriodId=11&amp;scoringPeriodId=11&amp;seasonId=2022&amp;teamId=9&amp;view=scoringperiod" TargetMode="External"/><Relationship Id="rId544" Type="http://schemas.openxmlformats.org/officeDocument/2006/relationships/hyperlink" Target="https://fantasy.espn.com/football/boxscore?leagueId=11593953&amp;matchupPeriodId=12&amp;scoringPeriodId=12&amp;seasonId=2023&amp;teamId=4&amp;view=scoringperiod" TargetMode="External"/><Relationship Id="rId309" Type="http://schemas.openxmlformats.org/officeDocument/2006/relationships/hyperlink" Target="https://fantasy.espn.com/football/boxscore?leagueId=11593953&amp;matchupPeriodId=12&amp;scoringPeriodId=12&amp;seasonId=2021&amp;teamId=3&amp;view=scoringperiod" TargetMode="External"/><Relationship Id="rId308" Type="http://schemas.openxmlformats.org/officeDocument/2006/relationships/hyperlink" Target="https://fantasy.espn.com/football/boxscore?leagueId=11593953&amp;matchupPeriodId=11&amp;scoringPeriodId=11&amp;seasonId=2021&amp;teamId=11&amp;view=scoringperiod" TargetMode="External"/><Relationship Id="rId429" Type="http://schemas.openxmlformats.org/officeDocument/2006/relationships/hyperlink" Target="https://fantasy.espn.com/football/boxscore?leagueId=11593953&amp;matchupPeriodId=12&amp;scoringPeriodId=12&amp;seasonId=2022&amp;teamId=11&amp;view=scoringperiod" TargetMode="External"/><Relationship Id="rId307" Type="http://schemas.openxmlformats.org/officeDocument/2006/relationships/hyperlink" Target="https://fantasy.espn.com/football/boxscore?leagueId=11593953&amp;matchupPeriodId=11&amp;scoringPeriodId=11&amp;seasonId=2021&amp;teamId=11&amp;view=scoringperiod" TargetMode="External"/><Relationship Id="rId428" Type="http://schemas.openxmlformats.org/officeDocument/2006/relationships/hyperlink" Target="https://fantasy.espn.com/football/boxscore?leagueId=11593953&amp;matchupPeriodId=12&amp;scoringPeriodId=12&amp;seasonId=2022&amp;teamId=1&amp;view=scoringperiod" TargetMode="External"/><Relationship Id="rId549" Type="http://schemas.openxmlformats.org/officeDocument/2006/relationships/hyperlink" Target="https://fantasy.espn.com/football/boxscore?leagueId=11593953&amp;matchupPeriodId=13&amp;scoringPeriodId=13&amp;seasonId=2023&amp;teamId=2&amp;view=scoringperiod" TargetMode="External"/><Relationship Id="rId306" Type="http://schemas.openxmlformats.org/officeDocument/2006/relationships/hyperlink" Target="https://fantasy.espn.com/football/boxscore?leagueId=11593953&amp;matchupPeriodId=11&amp;scoringPeriodId=11&amp;seasonId=2021&amp;teamId=9&amp;view=scoringperiod" TargetMode="External"/><Relationship Id="rId427" Type="http://schemas.openxmlformats.org/officeDocument/2006/relationships/hyperlink" Target="https://fantasy.espn.com/football/boxscore?leagueId=11593953&amp;matchupPeriodId=12&amp;scoringPeriodId=12&amp;seasonId=2022&amp;teamId=1&amp;view=scoringperiod" TargetMode="External"/><Relationship Id="rId548" Type="http://schemas.openxmlformats.org/officeDocument/2006/relationships/hyperlink" Target="https://fantasy.espn.com/football/boxscore?leagueId=11593953&amp;matchupPeriodId=13&amp;scoringPeriodId=13&amp;seasonId=2023&amp;teamId=9&amp;view=scoringperiod" TargetMode="External"/><Relationship Id="rId301" Type="http://schemas.openxmlformats.org/officeDocument/2006/relationships/hyperlink" Target="https://fantasy.espn.com/football/boxscore?leagueId=11593953&amp;matchupPeriodId=11&amp;scoringPeriodId=11&amp;seasonId=2021&amp;teamId=8&amp;view=scoringperiod" TargetMode="External"/><Relationship Id="rId422" Type="http://schemas.openxmlformats.org/officeDocument/2006/relationships/hyperlink" Target="https://fantasy.espn.com/football/boxscore?leagueId=11593953&amp;matchupPeriodId=11&amp;scoringPeriodId=11&amp;seasonId=2022&amp;teamId=3&amp;view=scoringperiod" TargetMode="External"/><Relationship Id="rId543" Type="http://schemas.openxmlformats.org/officeDocument/2006/relationships/hyperlink" Target="https://fantasy.espn.com/football/boxscore?leagueId=11593953&amp;matchupPeriodId=12&amp;scoringPeriodId=12&amp;seasonId=2023&amp;teamId=4&amp;view=scoringperiod" TargetMode="External"/><Relationship Id="rId300" Type="http://schemas.openxmlformats.org/officeDocument/2006/relationships/hyperlink" Target="https://fantasy.espn.com/football/boxscore?leagueId=11593953&amp;matchupPeriodId=11&amp;scoringPeriodId=11&amp;seasonId=2021&amp;teamId=3&amp;view=scoringperiod" TargetMode="External"/><Relationship Id="rId421" Type="http://schemas.openxmlformats.org/officeDocument/2006/relationships/hyperlink" Target="https://fantasy.espn.com/football/boxscore?leagueId=11593953&amp;matchupPeriodId=11&amp;scoringPeriodId=11&amp;seasonId=2022&amp;teamId=3&amp;view=scoringperiod" TargetMode="External"/><Relationship Id="rId542" Type="http://schemas.openxmlformats.org/officeDocument/2006/relationships/hyperlink" Target="https://fantasy.espn.com/football/boxscore?leagueId=11593953&amp;matchupPeriodId=12&amp;scoringPeriodId=12&amp;seasonId=2023&amp;teamId=2&amp;view=scoringperiod" TargetMode="External"/><Relationship Id="rId420" Type="http://schemas.openxmlformats.org/officeDocument/2006/relationships/hyperlink" Target="https://fantasy.espn.com/football/boxscore?leagueId=11593953&amp;matchupPeriodId=11&amp;scoringPeriodId=11&amp;seasonId=2022&amp;teamId=1&amp;view=scoringperiod" TargetMode="External"/><Relationship Id="rId541" Type="http://schemas.openxmlformats.org/officeDocument/2006/relationships/hyperlink" Target="https://fantasy.espn.com/football/boxscore?leagueId=11593953&amp;matchupPeriodId=12&amp;scoringPeriodId=12&amp;seasonId=2023&amp;teamId=2&amp;view=scoringperiod" TargetMode="External"/><Relationship Id="rId540" Type="http://schemas.openxmlformats.org/officeDocument/2006/relationships/hyperlink" Target="https://fantasy.espn.com/football/boxscore?leagueId=11593953&amp;matchupPeriodId=12&amp;scoringPeriodId=12&amp;seasonId=2023&amp;teamId=9&amp;view=scoringperiod" TargetMode="External"/><Relationship Id="rId415" Type="http://schemas.openxmlformats.org/officeDocument/2006/relationships/hyperlink" Target="https://fantasy.espn.com/football/boxscore?leagueId=11593953&amp;matchupPeriodId=10&amp;scoringPeriodId=10&amp;seasonId=2022&amp;teamId=9&amp;view=scoringperiod" TargetMode="External"/><Relationship Id="rId536" Type="http://schemas.openxmlformats.org/officeDocument/2006/relationships/hyperlink" Target="https://fantasy.espn.com/football/boxscore?leagueId=11593953&amp;matchupPeriodId=11&amp;scoringPeriodId=11&amp;seasonId=2023&amp;teamId=11&amp;view=scoringperiod" TargetMode="External"/><Relationship Id="rId414" Type="http://schemas.openxmlformats.org/officeDocument/2006/relationships/hyperlink" Target="https://fantasy.espn.com/football/boxscore?leagueId=11593953&amp;matchupPeriodId=10&amp;scoringPeriodId=10&amp;seasonId=2022&amp;teamId=11&amp;view=scoringperiod" TargetMode="External"/><Relationship Id="rId535" Type="http://schemas.openxmlformats.org/officeDocument/2006/relationships/hyperlink" Target="https://fantasy.espn.com/football/boxscore?leagueId=11593953&amp;matchupPeriodId=11&amp;scoringPeriodId=11&amp;seasonId=2023&amp;teamId=11&amp;view=scoringperiod" TargetMode="External"/><Relationship Id="rId413" Type="http://schemas.openxmlformats.org/officeDocument/2006/relationships/hyperlink" Target="https://fantasy.espn.com/football/boxscore?leagueId=11593953&amp;matchupPeriodId=10&amp;scoringPeriodId=10&amp;seasonId=2022&amp;teamId=11&amp;view=scoringperiod" TargetMode="External"/><Relationship Id="rId534" Type="http://schemas.openxmlformats.org/officeDocument/2006/relationships/hyperlink" Target="https://fantasy.espn.com/football/boxscore?leagueId=11593953&amp;matchupPeriodId=11&amp;scoringPeriodId=11&amp;seasonId=2023&amp;teamId=4&amp;view=scoringperiod" TargetMode="External"/><Relationship Id="rId412" Type="http://schemas.openxmlformats.org/officeDocument/2006/relationships/hyperlink" Target="https://fantasy.espn.com/football/boxscore?leagueId=11593953&amp;matchupPeriodId=10&amp;scoringPeriodId=10&amp;seasonId=2022&amp;teamId=1&amp;view=scoringperiod" TargetMode="External"/><Relationship Id="rId533" Type="http://schemas.openxmlformats.org/officeDocument/2006/relationships/hyperlink" Target="https://fantasy.espn.com/football/boxscore?leagueId=11593953&amp;matchupPeriodId=11&amp;scoringPeriodId=11&amp;seasonId=2023&amp;teamId=4&amp;view=scoringperiod" TargetMode="External"/><Relationship Id="rId419" Type="http://schemas.openxmlformats.org/officeDocument/2006/relationships/hyperlink" Target="https://fantasy.espn.com/football/boxscore?leagueId=11593953&amp;matchupPeriodId=11&amp;scoringPeriodId=11&amp;seasonId=2022&amp;teamId=1&amp;view=scoringperiod" TargetMode="External"/><Relationship Id="rId418" Type="http://schemas.openxmlformats.org/officeDocument/2006/relationships/hyperlink" Target="https://fantasy.espn.com/football/boxscore?leagueId=11593953&amp;matchupPeriodId=10&amp;scoringPeriodId=10&amp;seasonId=2022&amp;teamId=4&amp;view=scoringperiod" TargetMode="External"/><Relationship Id="rId539" Type="http://schemas.openxmlformats.org/officeDocument/2006/relationships/hyperlink" Target="https://fantasy.espn.com/football/boxscore?leagueId=11593953&amp;matchupPeriodId=12&amp;scoringPeriodId=12&amp;seasonId=2023&amp;teamId=9&amp;view=scoringperiod" TargetMode="External"/><Relationship Id="rId417" Type="http://schemas.openxmlformats.org/officeDocument/2006/relationships/hyperlink" Target="https://fantasy.espn.com/football/boxscore?leagueId=11593953&amp;matchupPeriodId=10&amp;scoringPeriodId=10&amp;seasonId=2022&amp;teamId=4&amp;view=scoringperiod" TargetMode="External"/><Relationship Id="rId538" Type="http://schemas.openxmlformats.org/officeDocument/2006/relationships/hyperlink" Target="https://fantasy.espn.com/football/boxscore?leagueId=11593953&amp;matchupPeriodId=11&amp;scoringPeriodId=11&amp;seasonId=2023&amp;teamId=8&amp;view=scoringperiod" TargetMode="External"/><Relationship Id="rId416" Type="http://schemas.openxmlformats.org/officeDocument/2006/relationships/hyperlink" Target="https://fantasy.espn.com/football/boxscore?leagueId=11593953&amp;matchupPeriodId=10&amp;scoringPeriodId=10&amp;seasonId=2022&amp;teamId=9&amp;view=scoringperiod" TargetMode="External"/><Relationship Id="rId537" Type="http://schemas.openxmlformats.org/officeDocument/2006/relationships/hyperlink" Target="https://fantasy.espn.com/football/boxscore?leagueId=11593953&amp;matchupPeriodId=11&amp;scoringPeriodId=11&amp;seasonId=2023&amp;teamId=8&amp;view=scoringperiod" TargetMode="External"/><Relationship Id="rId411" Type="http://schemas.openxmlformats.org/officeDocument/2006/relationships/hyperlink" Target="https://fantasy.espn.com/football/boxscore?leagueId=11593953&amp;matchupPeriodId=10&amp;scoringPeriodId=10&amp;seasonId=2022&amp;teamId=1&amp;view=scoringperiod" TargetMode="External"/><Relationship Id="rId532" Type="http://schemas.openxmlformats.org/officeDocument/2006/relationships/hyperlink" Target="https://fantasy.espn.com/football/boxscore?leagueId=11593953&amp;matchupPeriodId=11&amp;scoringPeriodId=11&amp;seasonId=2023&amp;teamId=9&amp;view=scoringperiod" TargetMode="External"/><Relationship Id="rId410" Type="http://schemas.openxmlformats.org/officeDocument/2006/relationships/hyperlink" Target="https://fantasy.espn.com/football/boxscore?leagueId=11593953&amp;matchupPeriodId=9&amp;scoringPeriodId=9&amp;seasonId=2022&amp;teamId=8&amp;view=scoringperiod" TargetMode="External"/><Relationship Id="rId531" Type="http://schemas.openxmlformats.org/officeDocument/2006/relationships/hyperlink" Target="https://fantasy.espn.com/football/boxscore?leagueId=11593953&amp;matchupPeriodId=11&amp;scoringPeriodId=11&amp;seasonId=2023&amp;teamId=9&amp;view=scoringperiod" TargetMode="External"/><Relationship Id="rId530" Type="http://schemas.openxmlformats.org/officeDocument/2006/relationships/hyperlink" Target="https://fantasy.espn.com/football/boxscore?leagueId=11593953&amp;matchupPeriodId=10&amp;scoringPeriodId=10&amp;seasonId=2023&amp;teamId=1&amp;view=scoringperiod" TargetMode="External"/><Relationship Id="rId206" Type="http://schemas.openxmlformats.org/officeDocument/2006/relationships/hyperlink" Target="https://fantasy.espn.com/football/boxscore?leagueId=11593953&amp;matchupPeriodId=13&amp;scoringPeriodId=13&amp;seasonId=2020&amp;teamId=6&amp;view=scoringperiod" TargetMode="External"/><Relationship Id="rId327" Type="http://schemas.openxmlformats.org/officeDocument/2006/relationships/hyperlink" Target="https://fantasy.espn.com/football/boxscore?leagueId=11593953&amp;matchupPeriodId=13&amp;scoringPeriodId=13&amp;seasonId=2021&amp;teamId=4&amp;view=scoringperiod" TargetMode="External"/><Relationship Id="rId448" Type="http://schemas.openxmlformats.org/officeDocument/2006/relationships/hyperlink" Target="https://fantasy.espn.com/football/boxscore?leagueId=11593953&amp;matchupPeriodId=14&amp;scoringPeriodId=14&amp;seasonId=2022&amp;teamId=9&amp;view=scoringperiod" TargetMode="External"/><Relationship Id="rId569" Type="http://schemas.openxmlformats.org/officeDocument/2006/relationships/table" Target="../tables/table4.xml"/><Relationship Id="rId205" Type="http://schemas.openxmlformats.org/officeDocument/2006/relationships/hyperlink" Target="https://fantasy.espn.com/football/boxscore?leagueId=11593953&amp;matchupPeriodId=13&amp;scoringPeriodId=13&amp;seasonId=2020&amp;teamId=6&amp;view=scoringperiod" TargetMode="External"/><Relationship Id="rId326" Type="http://schemas.openxmlformats.org/officeDocument/2006/relationships/hyperlink" Target="https://fantasy.espn.com/football/boxscore?leagueId=11593953&amp;matchupPeriodId=13&amp;scoringPeriodId=13&amp;seasonId=2021&amp;teamId=6&amp;view=scoringperiod" TargetMode="External"/><Relationship Id="rId447" Type="http://schemas.openxmlformats.org/officeDocument/2006/relationships/hyperlink" Target="https://fantasy.espn.com/football/boxscore?leagueId=11593953&amp;matchupPeriodId=14&amp;scoringPeriodId=14&amp;seasonId=2022&amp;teamId=9&amp;view=scoringperiod" TargetMode="External"/><Relationship Id="rId568" Type="http://schemas.openxmlformats.org/officeDocument/2006/relationships/table" Target="../tables/table3.xml"/><Relationship Id="rId204" Type="http://schemas.openxmlformats.org/officeDocument/2006/relationships/hyperlink" Target="https://fantasy.espn.com/football/boxscore?leagueId=11593953&amp;matchupPeriodId=13&amp;scoringPeriodId=13&amp;seasonId=2020&amp;teamId=1&amp;view=scoringperiod" TargetMode="External"/><Relationship Id="rId325" Type="http://schemas.openxmlformats.org/officeDocument/2006/relationships/hyperlink" Target="https://fantasy.espn.com/football/boxscore?leagueId=11593953&amp;matchupPeriodId=13&amp;scoringPeriodId=13&amp;seasonId=2021&amp;teamId=6&amp;view=scoringperiod" TargetMode="External"/><Relationship Id="rId446" Type="http://schemas.openxmlformats.org/officeDocument/2006/relationships/hyperlink" Target="https://fantasy.espn.com/football/boxscore?leagueId=11593953&amp;matchupPeriodId=14&amp;scoringPeriodId=14&amp;seasonId=2022&amp;teamId=11&amp;view=scoringperiod" TargetMode="External"/><Relationship Id="rId567" Type="http://schemas.openxmlformats.org/officeDocument/2006/relationships/table" Target="../tables/table2.xml"/><Relationship Id="rId203" Type="http://schemas.openxmlformats.org/officeDocument/2006/relationships/hyperlink" Target="https://fantasy.espn.com/football/boxscore?leagueId=11593953&amp;matchupPeriodId=13&amp;scoringPeriodId=13&amp;seasonId=2020&amp;teamId=1&amp;view=scoringperiod" TargetMode="External"/><Relationship Id="rId324" Type="http://schemas.openxmlformats.org/officeDocument/2006/relationships/hyperlink" Target="https://fantasy.espn.com/football/boxscore?leagueId=11593953&amp;matchupPeriodId=13&amp;scoringPeriodId=13&amp;seasonId=2021&amp;teamId=9&amp;view=scoringperiod" TargetMode="External"/><Relationship Id="rId445" Type="http://schemas.openxmlformats.org/officeDocument/2006/relationships/hyperlink" Target="https://fantasy.espn.com/football/boxscore?leagueId=11593953&amp;matchupPeriodId=14&amp;scoringPeriodId=14&amp;seasonId=2022&amp;teamId=11&amp;view=scoringperiod" TargetMode="External"/><Relationship Id="rId209" Type="http://schemas.openxmlformats.org/officeDocument/2006/relationships/hyperlink" Target="https://fantasy.espn.com/football/boxscore?leagueId=11593953&amp;matchupPeriodId=1&amp;scoringPeriodId=1&amp;seasonId=2021&amp;teamId=3&amp;view=scoringperiod" TargetMode="External"/><Relationship Id="rId208" Type="http://schemas.openxmlformats.org/officeDocument/2006/relationships/hyperlink" Target="https://fantasy.espn.com/football/boxscore?leagueId=11593953&amp;matchupPeriodId=13&amp;scoringPeriodId=13&amp;seasonId=2020&amp;teamId=9&amp;view=scoringperiod" TargetMode="External"/><Relationship Id="rId329" Type="http://schemas.openxmlformats.org/officeDocument/2006/relationships/hyperlink" Target="https://fantasy.espn.com/football/boxscore?leagueId=11593953&amp;matchupPeriodId=14&amp;scoringPeriodId=14&amp;seasonId=2021&amp;teamId=3&amp;view=scoringperiod" TargetMode="External"/><Relationship Id="rId207" Type="http://schemas.openxmlformats.org/officeDocument/2006/relationships/hyperlink" Target="https://fantasy.espn.com/football/boxscore?leagueId=11593953&amp;matchupPeriodId=13&amp;scoringPeriodId=13&amp;seasonId=2020&amp;teamId=9&amp;view=scoringperiod" TargetMode="External"/><Relationship Id="rId328" Type="http://schemas.openxmlformats.org/officeDocument/2006/relationships/hyperlink" Target="https://fantasy.espn.com/football/boxscore?leagueId=11593953&amp;matchupPeriodId=13&amp;scoringPeriodId=13&amp;seasonId=2021&amp;teamId=4&amp;view=scoringperiod" TargetMode="External"/><Relationship Id="rId449" Type="http://schemas.openxmlformats.org/officeDocument/2006/relationships/hyperlink" Target="https://fantasy.espn.com/football/boxscore?leagueId=11593953&amp;matchupPeriodId=14&amp;scoringPeriodId=14&amp;seasonId=2022&amp;teamId=4&amp;view=scoringperiod" TargetMode="External"/><Relationship Id="rId440" Type="http://schemas.openxmlformats.org/officeDocument/2006/relationships/hyperlink" Target="https://fantasy.espn.com/football/boxscore?leagueId=11593953&amp;matchupPeriodId=13&amp;scoringPeriodId=13&amp;seasonId=2022&amp;teamId=3&amp;view=scoringperiod" TargetMode="External"/><Relationship Id="rId561" Type="http://schemas.openxmlformats.org/officeDocument/2006/relationships/hyperlink" Target="https://fantasy.espn.com/football/boxscore?leagueId=11593953&amp;matchupPeriodId=14&amp;scoringPeriodId=14&amp;seasonId=2023&amp;teamId=1&amp;view=scoringperiod" TargetMode="External"/><Relationship Id="rId560" Type="http://schemas.openxmlformats.org/officeDocument/2006/relationships/hyperlink" Target="https://fantasy.espn.com/football/boxscore?leagueId=11593953&amp;matchupPeriodId=14&amp;scoringPeriodId=14&amp;seasonId=2023&amp;teamId=11&amp;view=scoringperiod" TargetMode="External"/><Relationship Id="rId202" Type="http://schemas.openxmlformats.org/officeDocument/2006/relationships/hyperlink" Target="https://fantasy.espn.com/football/boxscore?leagueId=11593953&amp;matchupPeriodId=13&amp;scoringPeriodId=13&amp;seasonId=2020&amp;teamId=4&amp;view=scoringperiod" TargetMode="External"/><Relationship Id="rId323" Type="http://schemas.openxmlformats.org/officeDocument/2006/relationships/hyperlink" Target="https://fantasy.espn.com/football/boxscore?leagueId=11593953&amp;matchupPeriodId=13&amp;scoringPeriodId=13&amp;seasonId=2021&amp;teamId=9&amp;view=scoringperiod" TargetMode="External"/><Relationship Id="rId444" Type="http://schemas.openxmlformats.org/officeDocument/2006/relationships/hyperlink" Target="https://fantasy.espn.com/football/boxscore?leagueId=11593953&amp;matchupPeriodId=14&amp;scoringPeriodId=14&amp;seasonId=2022&amp;teamId=1&amp;view=scoringperiod" TargetMode="External"/><Relationship Id="rId201" Type="http://schemas.openxmlformats.org/officeDocument/2006/relationships/hyperlink" Target="https://fantasy.espn.com/football/boxscore?leagueId=11593953&amp;matchupPeriodId=13&amp;scoringPeriodId=13&amp;seasonId=2020&amp;teamId=4&amp;view=scoringperiod" TargetMode="External"/><Relationship Id="rId322" Type="http://schemas.openxmlformats.org/officeDocument/2006/relationships/hyperlink" Target="https://fantasy.espn.com/football/boxscore?leagueId=11593953&amp;matchupPeriodId=13&amp;scoringPeriodId=13&amp;seasonId=2021&amp;teamId=1&amp;view=scoringperiod" TargetMode="External"/><Relationship Id="rId443" Type="http://schemas.openxmlformats.org/officeDocument/2006/relationships/hyperlink" Target="https://fantasy.espn.com/football/boxscore?leagueId=11593953&amp;matchupPeriodId=14&amp;scoringPeriodId=14&amp;seasonId=2022&amp;teamId=1&amp;view=scoringperiod" TargetMode="External"/><Relationship Id="rId200" Type="http://schemas.openxmlformats.org/officeDocument/2006/relationships/hyperlink" Target="https://fantasy.espn.com/football/boxscore?leagueId=11593953&amp;matchupPeriodId=12&amp;scoringPeriodId=12&amp;seasonId=2020&amp;teamId=1&amp;view=scoringperiod" TargetMode="External"/><Relationship Id="rId321" Type="http://schemas.openxmlformats.org/officeDocument/2006/relationships/hyperlink" Target="https://fantasy.espn.com/football/boxscore?leagueId=11593953&amp;matchupPeriodId=13&amp;scoringPeriodId=13&amp;seasonId=2021&amp;teamId=1&amp;view=scoringperiod" TargetMode="External"/><Relationship Id="rId442" Type="http://schemas.openxmlformats.org/officeDocument/2006/relationships/hyperlink" Target="https://fantasy.espn.com/football/boxscore?leagueId=11593953&amp;matchupPeriodId=13&amp;scoringPeriodId=13&amp;seasonId=2022&amp;teamId=6&amp;view=scoringperiod" TargetMode="External"/><Relationship Id="rId563" Type="http://schemas.openxmlformats.org/officeDocument/2006/relationships/drawing" Target="../drawings/drawing15.xml"/><Relationship Id="rId320" Type="http://schemas.openxmlformats.org/officeDocument/2006/relationships/hyperlink" Target="https://fantasy.espn.com/football/boxscore?leagueId=11593953&amp;matchupPeriodId=13&amp;scoringPeriodId=13&amp;seasonId=2021&amp;teamId=3&amp;view=scoringperiod" TargetMode="External"/><Relationship Id="rId441" Type="http://schemas.openxmlformats.org/officeDocument/2006/relationships/hyperlink" Target="https://fantasy.espn.com/football/boxscore?leagueId=11593953&amp;matchupPeriodId=13&amp;scoringPeriodId=13&amp;seasonId=2022&amp;teamId=6&amp;view=scoringperiod" TargetMode="External"/><Relationship Id="rId562" Type="http://schemas.openxmlformats.org/officeDocument/2006/relationships/hyperlink" Target="https://fantasy.espn.com/football/boxscore?leagueId=11593953&amp;matchupPeriodId=14&amp;scoringPeriodId=14&amp;seasonId=2023&amp;teamId=1&amp;view=scoringperiod" TargetMode="External"/><Relationship Id="rId316" Type="http://schemas.openxmlformats.org/officeDocument/2006/relationships/hyperlink" Target="https://fantasy.espn.com/football/boxscore?leagueId=11593953&amp;matchupPeriodId=12&amp;scoringPeriodId=12&amp;seasonId=2021&amp;teamId=6&amp;view=scoringperiod" TargetMode="External"/><Relationship Id="rId437" Type="http://schemas.openxmlformats.org/officeDocument/2006/relationships/hyperlink" Target="https://fantasy.espn.com/football/boxscore?leagueId=11593953&amp;matchupPeriodId=13&amp;scoringPeriodId=13&amp;seasonId=2022&amp;teamId=11&amp;view=scoringperiod" TargetMode="External"/><Relationship Id="rId558" Type="http://schemas.openxmlformats.org/officeDocument/2006/relationships/hyperlink" Target="https://fantasy.espn.com/football/boxscore?leagueId=11593953&amp;matchupPeriodId=14&amp;scoringPeriodId=14&amp;seasonId=2023&amp;teamId=2&amp;view=scoringperiod" TargetMode="External"/><Relationship Id="rId315" Type="http://schemas.openxmlformats.org/officeDocument/2006/relationships/hyperlink" Target="https://fantasy.espn.com/football/boxscore?leagueId=11593953&amp;matchupPeriodId=12&amp;scoringPeriodId=12&amp;seasonId=2021&amp;teamId=6&amp;view=scoringperiod" TargetMode="External"/><Relationship Id="rId436" Type="http://schemas.openxmlformats.org/officeDocument/2006/relationships/hyperlink" Target="https://fantasy.espn.com/football/boxscore?leagueId=11593953&amp;matchupPeriodId=13&amp;scoringPeriodId=13&amp;seasonId=2022&amp;teamId=1&amp;view=scoringperiod" TargetMode="External"/><Relationship Id="rId557" Type="http://schemas.openxmlformats.org/officeDocument/2006/relationships/hyperlink" Target="https://fantasy.espn.com/football/boxscore?leagueId=11593953&amp;matchupPeriodId=14&amp;scoringPeriodId=14&amp;seasonId=2023&amp;teamId=2&amp;view=scoringperiod" TargetMode="External"/><Relationship Id="rId314" Type="http://schemas.openxmlformats.org/officeDocument/2006/relationships/hyperlink" Target="https://fantasy.espn.com/football/boxscore?leagueId=11593953&amp;matchupPeriodId=12&amp;scoringPeriodId=12&amp;seasonId=2021&amp;teamId=1&amp;view=scoringperiod" TargetMode="External"/><Relationship Id="rId435" Type="http://schemas.openxmlformats.org/officeDocument/2006/relationships/hyperlink" Target="https://fantasy.espn.com/football/boxscore?leagueId=11593953&amp;matchupPeriodId=13&amp;scoringPeriodId=13&amp;seasonId=2022&amp;teamId=1&amp;view=scoringperiod" TargetMode="External"/><Relationship Id="rId556" Type="http://schemas.openxmlformats.org/officeDocument/2006/relationships/hyperlink" Target="https://fantasy.espn.com/football/boxscore?leagueId=11593953&amp;matchupPeriodId=14&amp;scoringPeriodId=14&amp;seasonId=2023&amp;teamId=9&amp;view=scoringperiod" TargetMode="External"/><Relationship Id="rId313" Type="http://schemas.openxmlformats.org/officeDocument/2006/relationships/hyperlink" Target="https://fantasy.espn.com/football/boxscore?leagueId=11593953&amp;matchupPeriodId=12&amp;scoringPeriodId=12&amp;seasonId=2021&amp;teamId=1&amp;view=scoringperiod" TargetMode="External"/><Relationship Id="rId434" Type="http://schemas.openxmlformats.org/officeDocument/2006/relationships/hyperlink" Target="https://fantasy.espn.com/football/boxscore?leagueId=11593953&amp;matchupPeriodId=12&amp;scoringPeriodId=12&amp;seasonId=2022&amp;teamId=6&amp;view=scoringperiod" TargetMode="External"/><Relationship Id="rId555" Type="http://schemas.openxmlformats.org/officeDocument/2006/relationships/hyperlink" Target="https://fantasy.espn.com/football/boxscore?leagueId=11593953&amp;matchupPeriodId=14&amp;scoringPeriodId=14&amp;seasonId=2023&amp;teamId=9&amp;view=scoringperiod" TargetMode="External"/><Relationship Id="rId319" Type="http://schemas.openxmlformats.org/officeDocument/2006/relationships/hyperlink" Target="https://fantasy.espn.com/football/boxscore?leagueId=11593953&amp;matchupPeriodId=13&amp;scoringPeriodId=13&amp;seasonId=2021&amp;teamId=3&amp;view=scoringperiod" TargetMode="External"/><Relationship Id="rId318" Type="http://schemas.openxmlformats.org/officeDocument/2006/relationships/hyperlink" Target="https://fantasy.espn.com/football/boxscore?leagueId=11593953&amp;matchupPeriodId=12&amp;scoringPeriodId=12&amp;seasonId=2021&amp;teamId=2&amp;view=scoringperiod" TargetMode="External"/><Relationship Id="rId439" Type="http://schemas.openxmlformats.org/officeDocument/2006/relationships/hyperlink" Target="https://fantasy.espn.com/football/boxscore?leagueId=11593953&amp;matchupPeriodId=13&amp;scoringPeriodId=13&amp;seasonId=2022&amp;teamId=3&amp;view=scoringperiod" TargetMode="External"/><Relationship Id="rId317" Type="http://schemas.openxmlformats.org/officeDocument/2006/relationships/hyperlink" Target="https://fantasy.espn.com/football/boxscore?leagueId=11593953&amp;matchupPeriodId=12&amp;scoringPeriodId=12&amp;seasonId=2021&amp;teamId=2&amp;view=scoringperiod" TargetMode="External"/><Relationship Id="rId438" Type="http://schemas.openxmlformats.org/officeDocument/2006/relationships/hyperlink" Target="https://fantasy.espn.com/football/boxscore?leagueId=11593953&amp;matchupPeriodId=13&amp;scoringPeriodId=13&amp;seasonId=2022&amp;teamId=11&amp;view=scoringperiod" TargetMode="External"/><Relationship Id="rId559" Type="http://schemas.openxmlformats.org/officeDocument/2006/relationships/hyperlink" Target="https://fantasy.espn.com/football/boxscore?leagueId=11593953&amp;matchupPeriodId=14&amp;scoringPeriodId=14&amp;seasonId=2023&amp;teamId=11&amp;view=scoringperiod" TargetMode="External"/><Relationship Id="rId550" Type="http://schemas.openxmlformats.org/officeDocument/2006/relationships/hyperlink" Target="https://fantasy.espn.com/football/boxscore?leagueId=11593953&amp;matchupPeriodId=13&amp;scoringPeriodId=13&amp;seasonId=2023&amp;teamId=2&amp;view=scoringperiod" TargetMode="External"/><Relationship Id="rId312" Type="http://schemas.openxmlformats.org/officeDocument/2006/relationships/hyperlink" Target="https://fantasy.espn.com/football/boxscore?leagueId=11593953&amp;matchupPeriodId=12&amp;scoringPeriodId=12&amp;seasonId=2021&amp;teamId=8&amp;view=scoringperiod" TargetMode="External"/><Relationship Id="rId433" Type="http://schemas.openxmlformats.org/officeDocument/2006/relationships/hyperlink" Target="https://fantasy.espn.com/football/boxscore?leagueId=11593953&amp;matchupPeriodId=12&amp;scoringPeriodId=12&amp;seasonId=2022&amp;teamId=6&amp;view=scoringperiod" TargetMode="External"/><Relationship Id="rId554" Type="http://schemas.openxmlformats.org/officeDocument/2006/relationships/hyperlink" Target="https://fantasy.espn.com/football/boxscore?leagueId=11593953&amp;matchupPeriodId=13&amp;scoringPeriodId=13&amp;seasonId=2023&amp;teamId=3&amp;view=scoringperiod" TargetMode="External"/><Relationship Id="rId311" Type="http://schemas.openxmlformats.org/officeDocument/2006/relationships/hyperlink" Target="https://fantasy.espn.com/football/boxscore?leagueId=11593953&amp;matchupPeriodId=12&amp;scoringPeriodId=12&amp;seasonId=2021&amp;teamId=8&amp;view=scoringperiod" TargetMode="External"/><Relationship Id="rId432" Type="http://schemas.openxmlformats.org/officeDocument/2006/relationships/hyperlink" Target="https://fantasy.espn.com/football/boxscore?leagueId=11593953&amp;matchupPeriodId=12&amp;scoringPeriodId=12&amp;seasonId=2022&amp;teamId=3&amp;view=scoringperiod" TargetMode="External"/><Relationship Id="rId553" Type="http://schemas.openxmlformats.org/officeDocument/2006/relationships/hyperlink" Target="https://fantasy.espn.com/football/boxscore?leagueId=11593953&amp;matchupPeriodId=13&amp;scoringPeriodId=13&amp;seasonId=2023&amp;teamId=3&amp;view=scoringperiod" TargetMode="External"/><Relationship Id="rId310" Type="http://schemas.openxmlformats.org/officeDocument/2006/relationships/hyperlink" Target="https://fantasy.espn.com/football/boxscore?leagueId=11593953&amp;matchupPeriodId=12&amp;scoringPeriodId=12&amp;seasonId=2021&amp;teamId=3&amp;view=scoringperiod" TargetMode="External"/><Relationship Id="rId431" Type="http://schemas.openxmlformats.org/officeDocument/2006/relationships/hyperlink" Target="https://fantasy.espn.com/football/boxscore?leagueId=11593953&amp;matchupPeriodId=12&amp;scoringPeriodId=12&amp;seasonId=2022&amp;teamId=3&amp;view=scoringperiod" TargetMode="External"/><Relationship Id="rId552" Type="http://schemas.openxmlformats.org/officeDocument/2006/relationships/hyperlink" Target="https://fantasy.espn.com/football/boxscore?leagueId=11593953&amp;matchupPeriodId=13&amp;scoringPeriodId=13&amp;seasonId=2023&amp;teamId=4&amp;view=scoringperiod" TargetMode="External"/><Relationship Id="rId430" Type="http://schemas.openxmlformats.org/officeDocument/2006/relationships/hyperlink" Target="https://fantasy.espn.com/football/boxscore?leagueId=11593953&amp;matchupPeriodId=12&amp;scoringPeriodId=12&amp;seasonId=2022&amp;teamId=11&amp;view=scoringperiod" TargetMode="External"/><Relationship Id="rId551" Type="http://schemas.openxmlformats.org/officeDocument/2006/relationships/hyperlink" Target="https://fantasy.espn.com/football/boxscore?leagueId=11593953&amp;matchupPeriodId=13&amp;scoringPeriodId=13&amp;seasonId=2023&amp;teamId=4&amp;view=scoringperiod"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4&amp;scoringPeriodId=14&amp;seasonId=2019&amp;teamId=9&amp;view=scoringperiod" TargetMode="External"/><Relationship Id="rId2" Type="http://schemas.openxmlformats.org/officeDocument/2006/relationships/hyperlink" Target="https://fantasy.espn.com/football/boxscore?leagueId=11593953&amp;matchupPeriodId=14&amp;scoringPeriodId=14&amp;seasonId=2019&amp;teamId=9&amp;view=scoringperiod" TargetMode="External"/><Relationship Id="rId3" Type="http://schemas.openxmlformats.org/officeDocument/2006/relationships/hyperlink" Target="https://fantasy.espn.com/football/boxscore?leagueId=11593953&amp;matchupPeriodId=14&amp;scoringPeriodId=14&amp;seasonId=2019&amp;teamId=1&amp;view=scoringperiod" TargetMode="External"/><Relationship Id="rId4" Type="http://schemas.openxmlformats.org/officeDocument/2006/relationships/hyperlink" Target="https://fantasy.espn.com/football/boxscore?leagueId=11593953&amp;matchupPeriodId=14&amp;scoringPeriodId=14&amp;seasonId=2019&amp;teamId=1&amp;view=scoringperiod" TargetMode="External"/><Relationship Id="rId9" Type="http://schemas.openxmlformats.org/officeDocument/2006/relationships/hyperlink" Target="https://fantasy.espn.com/football/boxscore?leagueId=11593953&amp;matchupPeriodId=15&amp;scoringPeriodId=15&amp;seasonId=2019&amp;teamId=5&amp;view=scoringperiod" TargetMode="External"/><Relationship Id="rId5" Type="http://schemas.openxmlformats.org/officeDocument/2006/relationships/hyperlink" Target="https://fantasy.espn.com/football/boxscore?leagueId=11593953&amp;matchupPeriodId=14&amp;scoringPeriodId=14&amp;seasonId=2019&amp;teamId=4&amp;view=scoringperiod" TargetMode="External"/><Relationship Id="rId6" Type="http://schemas.openxmlformats.org/officeDocument/2006/relationships/hyperlink" Target="https://fantasy.espn.com/football/boxscore?leagueId=11593953&amp;matchupPeriodId=14&amp;scoringPeriodId=14&amp;seasonId=2019&amp;teamId=4&amp;view=scoringperiod" TargetMode="External"/><Relationship Id="rId7" Type="http://schemas.openxmlformats.org/officeDocument/2006/relationships/hyperlink" Target="https://fantasy.espn.com/football/boxscore?leagueId=11593953&amp;matchupPeriodId=15&amp;scoringPeriodId=15&amp;seasonId=2019&amp;teamId=1&amp;view=scoringperiod" TargetMode="External"/><Relationship Id="rId8" Type="http://schemas.openxmlformats.org/officeDocument/2006/relationships/hyperlink" Target="https://fantasy.espn.com/football/boxscore?leagueId=11593953&amp;matchupPeriodId=15&amp;scoringPeriodId=15&amp;seasonId=2019&amp;teamId=1&amp;view=scoringperiod" TargetMode="External"/><Relationship Id="rId131" Type="http://schemas.openxmlformats.org/officeDocument/2006/relationships/table" Target="../tables/table10.xml"/><Relationship Id="rId130" Type="http://schemas.openxmlformats.org/officeDocument/2006/relationships/table" Target="../tables/table9.xml"/><Relationship Id="rId40" Type="http://schemas.openxmlformats.org/officeDocument/2006/relationships/hyperlink" Target="https://fantasy.espn.com/football/boxscore?leagueId=11593953&amp;matchupPeriodId=16&amp;scoringPeriodId=16&amp;seasonId=2020&amp;teamId=8&amp;view=scoringperiod" TargetMode="External"/><Relationship Id="rId42" Type="http://schemas.openxmlformats.org/officeDocument/2006/relationships/hyperlink" Target="https://fantasy.espn.com/football/boxscore?leagueId=11593953&amp;matchupPeriodId=16&amp;scoringPeriodId=16&amp;seasonId=2020&amp;teamId=5&amp;view=scoringperiod" TargetMode="External"/><Relationship Id="rId41" Type="http://schemas.openxmlformats.org/officeDocument/2006/relationships/hyperlink" Target="https://fantasy.espn.com/football/boxscore?leagueId=11593953&amp;matchupPeriodId=16&amp;scoringPeriodId=16&amp;seasonId=2020&amp;teamId=5&amp;view=scoringperiod" TargetMode="External"/><Relationship Id="rId44" Type="http://schemas.openxmlformats.org/officeDocument/2006/relationships/hyperlink" Target="https://fantasy.espn.com/football/boxscore?leagueId=11593953&amp;matchupPeriodId=16&amp;scoringPeriodId=16&amp;seasonId=2020&amp;teamId=9&amp;view=scoringperiod" TargetMode="External"/><Relationship Id="rId43" Type="http://schemas.openxmlformats.org/officeDocument/2006/relationships/hyperlink" Target="https://fantasy.espn.com/football/boxscore?leagueId=11593953&amp;matchupPeriodId=16&amp;scoringPeriodId=16&amp;seasonId=2020&amp;teamId=9&amp;view=scoringperiod" TargetMode="External"/><Relationship Id="rId46" Type="http://schemas.openxmlformats.org/officeDocument/2006/relationships/hyperlink" Target="https://fantasy.espn.com/football/boxscore?leagueId=11593953&amp;matchupPeriodId=15&amp;scoringPeriodId=15&amp;seasonId=2021&amp;teamId=1&amp;view=scoringperiod" TargetMode="External"/><Relationship Id="rId45" Type="http://schemas.openxmlformats.org/officeDocument/2006/relationships/hyperlink" Target="https://fantasy.espn.com/football/boxscore?leagueId=11593953&amp;matchupPeriodId=15&amp;scoringPeriodId=15&amp;seasonId=2021&amp;teamId=1&amp;view=scoringperiod" TargetMode="External"/><Relationship Id="rId48" Type="http://schemas.openxmlformats.org/officeDocument/2006/relationships/hyperlink" Target="https://fantasy.espn.com/football/boxscore?leagueId=11593953&amp;matchupPeriodId=15&amp;scoringPeriodId=15&amp;seasonId=2021&amp;teamId=8&amp;view=scoringperiod" TargetMode="External"/><Relationship Id="rId47" Type="http://schemas.openxmlformats.org/officeDocument/2006/relationships/hyperlink" Target="https://fantasy.espn.com/football/boxscore?leagueId=11593953&amp;matchupPeriodId=15&amp;scoringPeriodId=15&amp;seasonId=2021&amp;teamId=8&amp;view=scoringperiod" TargetMode="External"/><Relationship Id="rId49" Type="http://schemas.openxmlformats.org/officeDocument/2006/relationships/hyperlink" Target="https://fantasy.espn.com/football/boxscore?leagueId=11593953&amp;matchupPeriodId=15&amp;scoringPeriodId=15&amp;seasonId=2021&amp;teamId=4&amp;view=scoringperiod" TargetMode="External"/><Relationship Id="rId31" Type="http://schemas.openxmlformats.org/officeDocument/2006/relationships/hyperlink" Target="https://fantasy.espn.com/football/boxscore?leagueId=11593953&amp;matchupPeriodId=15&amp;scoringPeriodId=15&amp;seasonId=2020&amp;teamId=2&amp;view=scoringperiod" TargetMode="External"/><Relationship Id="rId30" Type="http://schemas.openxmlformats.org/officeDocument/2006/relationships/hyperlink" Target="https://fantasy.espn.com/football/boxscore?leagueId=11593953&amp;matchupPeriodId=15&amp;scoringPeriodId=15&amp;seasonId=2020&amp;teamId=8&amp;view=scoringperiod" TargetMode="External"/><Relationship Id="rId33" Type="http://schemas.openxmlformats.org/officeDocument/2006/relationships/hyperlink" Target="https://fantasy.espn.com/football/boxscore?leagueId=11593953&amp;matchupPeriodId=15&amp;scoringPeriodId=15&amp;seasonId=2020&amp;teamId=5&amp;view=scoringperiod" TargetMode="External"/><Relationship Id="rId32" Type="http://schemas.openxmlformats.org/officeDocument/2006/relationships/hyperlink" Target="https://fantasy.espn.com/football/boxscore?leagueId=11593953&amp;matchupPeriodId=15&amp;scoringPeriodId=15&amp;seasonId=2020&amp;teamId=2&amp;view=scoringperiod" TargetMode="External"/><Relationship Id="rId35" Type="http://schemas.openxmlformats.org/officeDocument/2006/relationships/hyperlink" Target="https://fantasy.espn.com/football/boxscore?leagueId=11593953&amp;matchupPeriodId=15&amp;scoringPeriodId=15&amp;seasonId=2020&amp;teamId=9&amp;view=scoringperiod" TargetMode="External"/><Relationship Id="rId34" Type="http://schemas.openxmlformats.org/officeDocument/2006/relationships/hyperlink" Target="https://fantasy.espn.com/football/boxscore?leagueId=11593953&amp;matchupPeriodId=15&amp;scoringPeriodId=15&amp;seasonId=2020&amp;teamId=5&amp;view=scoringperiod" TargetMode="External"/><Relationship Id="rId37" Type="http://schemas.openxmlformats.org/officeDocument/2006/relationships/hyperlink" Target="https://fantasy.espn.com/football/boxscore?leagueId=11593953&amp;matchupPeriodId=16&amp;scoringPeriodId=16&amp;seasonId=2020&amp;teamId=6&amp;view=scoringperiod" TargetMode="External"/><Relationship Id="rId36" Type="http://schemas.openxmlformats.org/officeDocument/2006/relationships/hyperlink" Target="https://fantasy.espn.com/football/boxscore?leagueId=11593953&amp;matchupPeriodId=15&amp;scoringPeriodId=15&amp;seasonId=2020&amp;teamId=9&amp;view=scoringperiod" TargetMode="External"/><Relationship Id="rId39" Type="http://schemas.openxmlformats.org/officeDocument/2006/relationships/hyperlink" Target="https://fantasy.espn.com/football/boxscore?leagueId=11593953&amp;matchupPeriodId=16&amp;scoringPeriodId=16&amp;seasonId=2020&amp;teamId=8&amp;view=scoringperiod" TargetMode="External"/><Relationship Id="rId38" Type="http://schemas.openxmlformats.org/officeDocument/2006/relationships/hyperlink" Target="https://fantasy.espn.com/football/boxscore?leagueId=11593953&amp;matchupPeriodId=16&amp;scoringPeriodId=16&amp;seasonId=2020&amp;teamId=6&amp;view=scoringperiod" TargetMode="External"/><Relationship Id="rId20" Type="http://schemas.openxmlformats.org/officeDocument/2006/relationships/hyperlink" Target="https://fantasy.espn.com/football/boxscore?leagueId=11593953&amp;matchupPeriodId=16&amp;scoringPeriodId=16&amp;seasonId=2019&amp;teamId=9&amp;view=scoringperiod" TargetMode="External"/><Relationship Id="rId22" Type="http://schemas.openxmlformats.org/officeDocument/2006/relationships/hyperlink" Target="https://fantasy.espn.com/football/boxscore?leagueId=11593953&amp;matchupPeriodId=16&amp;scoringPeriodId=16&amp;seasonId=2019&amp;teamId=4&amp;view=scoringperiod" TargetMode="External"/><Relationship Id="rId21" Type="http://schemas.openxmlformats.org/officeDocument/2006/relationships/hyperlink" Target="https://fantasy.espn.com/football/boxscore?leagueId=11593953&amp;matchupPeriodId=16&amp;scoringPeriodId=16&amp;seasonId=2019&amp;teamId=4&amp;view=scoringperiod" TargetMode="External"/><Relationship Id="rId24" Type="http://schemas.openxmlformats.org/officeDocument/2006/relationships/hyperlink" Target="https://fantasy.espn.com/football/boxscore?leagueId=11593953&amp;matchupPeriodId=14&amp;scoringPeriodId=14&amp;seasonId=2020&amp;teamId=8&amp;view=scoringperiod" TargetMode="External"/><Relationship Id="rId23" Type="http://schemas.openxmlformats.org/officeDocument/2006/relationships/hyperlink" Target="https://fantasy.espn.com/football/boxscore?leagueId=11593953&amp;matchupPeriodId=14&amp;scoringPeriodId=14&amp;seasonId=2020&amp;teamId=8&amp;view=scoringperiod" TargetMode="External"/><Relationship Id="rId26" Type="http://schemas.openxmlformats.org/officeDocument/2006/relationships/hyperlink" Target="https://fantasy.espn.com/football/boxscore?leagueId=11593953&amp;matchupPeriodId=14&amp;scoringPeriodId=14&amp;seasonId=2020&amp;teamId=5&amp;view=scoringperiod" TargetMode="External"/><Relationship Id="rId25" Type="http://schemas.openxmlformats.org/officeDocument/2006/relationships/hyperlink" Target="https://fantasy.espn.com/football/boxscore?leagueId=11593953&amp;matchupPeriodId=14&amp;scoringPeriodId=14&amp;seasonId=2020&amp;teamId=5&amp;view=scoringperiod" TargetMode="External"/><Relationship Id="rId28" Type="http://schemas.openxmlformats.org/officeDocument/2006/relationships/hyperlink" Target="https://fantasy.espn.com/football/boxscore?leagueId=11593953&amp;matchupPeriodId=14&amp;scoringPeriodId=14&amp;seasonId=2020&amp;teamId=9&amp;view=scoringperiod" TargetMode="External"/><Relationship Id="rId27" Type="http://schemas.openxmlformats.org/officeDocument/2006/relationships/hyperlink" Target="https://fantasy.espn.com/football/boxscore?leagueId=11593953&amp;matchupPeriodId=14&amp;scoringPeriodId=14&amp;seasonId=2020&amp;teamId=9&amp;view=scoringperiod" TargetMode="External"/><Relationship Id="rId29" Type="http://schemas.openxmlformats.org/officeDocument/2006/relationships/hyperlink" Target="https://fantasy.espn.com/football/boxscore?leagueId=11593953&amp;matchupPeriodId=15&amp;scoringPeriodId=15&amp;seasonId=2020&amp;teamId=8&amp;view=scoringperiod" TargetMode="External"/><Relationship Id="rId11" Type="http://schemas.openxmlformats.org/officeDocument/2006/relationships/hyperlink" Target="https://fantasy.espn.com/football/boxscore?leagueId=11593953&amp;matchupPeriodId=15&amp;scoringPeriodId=15&amp;seasonId=2019&amp;teamId=9&amp;view=scoringperiod" TargetMode="External"/><Relationship Id="rId10" Type="http://schemas.openxmlformats.org/officeDocument/2006/relationships/hyperlink" Target="https://fantasy.espn.com/football/boxscore?leagueId=11593953&amp;matchupPeriodId=15&amp;scoringPeriodId=15&amp;seasonId=2019&amp;teamId=5&amp;view=scoringperiod" TargetMode="External"/><Relationship Id="rId13" Type="http://schemas.openxmlformats.org/officeDocument/2006/relationships/hyperlink" Target="https://fantasy.espn.com/football/boxscore?leagueId=11593953&amp;matchupPeriodId=15&amp;scoringPeriodId=15&amp;seasonId=2019&amp;teamId=4&amp;view=scoringperiod" TargetMode="External"/><Relationship Id="rId12" Type="http://schemas.openxmlformats.org/officeDocument/2006/relationships/hyperlink" Target="https://fantasy.espn.com/football/boxscore?leagueId=11593953&amp;matchupPeriodId=15&amp;scoringPeriodId=15&amp;seasonId=2019&amp;teamId=9&amp;view=scoringperiod" TargetMode="External"/><Relationship Id="rId15" Type="http://schemas.openxmlformats.org/officeDocument/2006/relationships/hyperlink" Target="https://fantasy.espn.com/football/boxscore?leagueId=11593953&amp;matchupPeriodId=16&amp;scoringPeriodId=16&amp;seasonId=2019&amp;teamId=6&amp;view=scoringperiod" TargetMode="External"/><Relationship Id="rId14" Type="http://schemas.openxmlformats.org/officeDocument/2006/relationships/hyperlink" Target="https://fantasy.espn.com/football/boxscore?leagueId=11593953&amp;matchupPeriodId=15&amp;scoringPeriodId=15&amp;seasonId=2019&amp;teamId=4&amp;view=scoringperiod" TargetMode="External"/><Relationship Id="rId17" Type="http://schemas.openxmlformats.org/officeDocument/2006/relationships/hyperlink" Target="https://fantasy.espn.com/football/boxscore?leagueId=11593953&amp;matchupPeriodId=16&amp;scoringPeriodId=16&amp;seasonId=2019&amp;teamId=1&amp;view=scoringperiod" TargetMode="External"/><Relationship Id="rId16" Type="http://schemas.openxmlformats.org/officeDocument/2006/relationships/hyperlink" Target="https://fantasy.espn.com/football/boxscore?leagueId=11593953&amp;matchupPeriodId=16&amp;scoringPeriodId=16&amp;seasonId=2019&amp;teamId=6&amp;view=scoringperiod" TargetMode="External"/><Relationship Id="rId19" Type="http://schemas.openxmlformats.org/officeDocument/2006/relationships/hyperlink" Target="https://fantasy.espn.com/football/boxscore?leagueId=11593953&amp;matchupPeriodId=16&amp;scoringPeriodId=16&amp;seasonId=2019&amp;teamId=9&amp;view=scoringperiod" TargetMode="External"/><Relationship Id="rId18" Type="http://schemas.openxmlformats.org/officeDocument/2006/relationships/hyperlink" Target="https://fantasy.espn.com/football/boxscore?leagueId=11593953&amp;matchupPeriodId=16&amp;scoringPeriodId=16&amp;seasonId=2019&amp;teamId=1&amp;view=scoringperiod" TargetMode="External"/><Relationship Id="rId84" Type="http://schemas.openxmlformats.org/officeDocument/2006/relationships/hyperlink" Target="https://fantasy.espn.com/football/boxscore?leagueId=11593953&amp;matchupPeriodId=16&amp;scoringPeriodId=16&amp;seasonId=2022&amp;teamId=3&amp;view=scoringperiod" TargetMode="External"/><Relationship Id="rId83" Type="http://schemas.openxmlformats.org/officeDocument/2006/relationships/hyperlink" Target="https://fantasy.espn.com/football/boxscore?leagueId=11593953&amp;matchupPeriodId=16&amp;scoringPeriodId=16&amp;seasonId=2022&amp;teamId=3&amp;view=scoringperiod" TargetMode="External"/><Relationship Id="rId86" Type="http://schemas.openxmlformats.org/officeDocument/2006/relationships/hyperlink" Target="https://fantasy.espn.com/football/boxscore?leagueId=11593953&amp;matchupPeriodId=16&amp;scoringPeriodId=16&amp;seasonId=2022&amp;teamId=11&amp;view=scoringperiod" TargetMode="External"/><Relationship Id="rId85" Type="http://schemas.openxmlformats.org/officeDocument/2006/relationships/hyperlink" Target="https://fantasy.espn.com/football/boxscore?leagueId=11593953&amp;matchupPeriodId=16&amp;scoringPeriodId=16&amp;seasonId=2022&amp;teamId=11&amp;view=scoringperiod" TargetMode="External"/><Relationship Id="rId88" Type="http://schemas.openxmlformats.org/officeDocument/2006/relationships/hyperlink" Target="https://fantasy.espn.com/football/boxscore?leagueId=11593953&amp;matchupPeriodId=16&amp;scoringPeriodId=16&amp;seasonId=2022&amp;teamId=6&amp;view=scoringperiod" TargetMode="External"/><Relationship Id="rId87" Type="http://schemas.openxmlformats.org/officeDocument/2006/relationships/hyperlink" Target="https://fantasy.espn.com/football/boxscore?leagueId=11593953&amp;matchupPeriodId=16&amp;scoringPeriodId=16&amp;seasonId=2022&amp;teamId=6&amp;view=scoringperiod" TargetMode="External"/><Relationship Id="rId89" Type="http://schemas.openxmlformats.org/officeDocument/2006/relationships/hyperlink" Target="https://fantasy.espn.com/football/boxscore?leagueId=11593953&amp;matchupPeriodId=17&amp;scoringPeriodId=17&amp;seasonId=2022&amp;teamId=2&amp;view=scoringperiod" TargetMode="External"/><Relationship Id="rId80" Type="http://schemas.openxmlformats.org/officeDocument/2006/relationships/hyperlink" Target="https://fantasy.espn.com/football/boxscore?leagueId=11593953&amp;matchupPeriodId=15&amp;scoringPeriodId=15&amp;seasonId=2022&amp;teamId=6&amp;view=scoringperiod" TargetMode="External"/><Relationship Id="rId82" Type="http://schemas.openxmlformats.org/officeDocument/2006/relationships/hyperlink" Target="https://fantasy.espn.com/football/boxscore?leagueId=11593953&amp;matchupPeriodId=16&amp;scoringPeriodId=16&amp;seasonId=2022&amp;teamId=2&amp;view=scoringperiod" TargetMode="External"/><Relationship Id="rId81" Type="http://schemas.openxmlformats.org/officeDocument/2006/relationships/hyperlink" Target="https://fantasy.espn.com/football/boxscore?leagueId=11593953&amp;matchupPeriodId=16&amp;scoringPeriodId=16&amp;seasonId=2022&amp;teamId=2&amp;view=scoringperiod" TargetMode="External"/><Relationship Id="rId73" Type="http://schemas.openxmlformats.org/officeDocument/2006/relationships/hyperlink" Target="https://fantasy.espn.com/football/boxscore?leagueId=11593953&amp;matchupPeriodId=17&amp;scoringPeriodId=17&amp;seasonId=2021&amp;teamId=5&amp;view=scoringperiod" TargetMode="External"/><Relationship Id="rId72" Type="http://schemas.openxmlformats.org/officeDocument/2006/relationships/hyperlink" Target="https://fantasy.espn.com/football/boxscore?leagueId=11593953&amp;matchupPeriodId=17&amp;scoringPeriodId=17&amp;seasonId=2021&amp;teamId=8&amp;view=scoringperiod" TargetMode="External"/><Relationship Id="rId75" Type="http://schemas.openxmlformats.org/officeDocument/2006/relationships/hyperlink" Target="https://fantasy.espn.com/football/boxscore?leagueId=11593953&amp;matchupPeriodId=15&amp;scoringPeriodId=15&amp;seasonId=2022&amp;teamId=11&amp;view=scoringperiod" TargetMode="External"/><Relationship Id="rId74" Type="http://schemas.openxmlformats.org/officeDocument/2006/relationships/hyperlink" Target="https://fantasy.espn.com/football/boxscore?leagueId=11593953&amp;matchupPeriodId=17&amp;scoringPeriodId=17&amp;seasonId=2021&amp;teamId=5&amp;view=scoringperiod" TargetMode="External"/><Relationship Id="rId77" Type="http://schemas.openxmlformats.org/officeDocument/2006/relationships/hyperlink" Target="https://fantasy.espn.com/football/boxscore?leagueId=11593953&amp;matchupPeriodId=15&amp;scoringPeriodId=15&amp;seasonId=2022&amp;teamId=3&amp;view=scoringperiod" TargetMode="External"/><Relationship Id="rId76" Type="http://schemas.openxmlformats.org/officeDocument/2006/relationships/hyperlink" Target="https://fantasy.espn.com/football/boxscore?leagueId=11593953&amp;matchupPeriodId=15&amp;scoringPeriodId=15&amp;seasonId=2022&amp;teamId=11&amp;view=scoringperiod" TargetMode="External"/><Relationship Id="rId79" Type="http://schemas.openxmlformats.org/officeDocument/2006/relationships/hyperlink" Target="https://fantasy.espn.com/football/boxscore?leagueId=11593953&amp;matchupPeriodId=15&amp;scoringPeriodId=15&amp;seasonId=2022&amp;teamId=6&amp;view=scoringperiod" TargetMode="External"/><Relationship Id="rId78" Type="http://schemas.openxmlformats.org/officeDocument/2006/relationships/hyperlink" Target="https://fantasy.espn.com/football/boxscore?leagueId=11593953&amp;matchupPeriodId=15&amp;scoringPeriodId=15&amp;seasonId=2022&amp;teamId=3&amp;view=scoringperiod" TargetMode="External"/><Relationship Id="rId71" Type="http://schemas.openxmlformats.org/officeDocument/2006/relationships/hyperlink" Target="https://fantasy.espn.com/football/boxscore?leagueId=11593953&amp;matchupPeriodId=17&amp;scoringPeriodId=17&amp;seasonId=2021&amp;teamId=8&amp;view=scoringperiod" TargetMode="External"/><Relationship Id="rId70" Type="http://schemas.openxmlformats.org/officeDocument/2006/relationships/hyperlink" Target="https://fantasy.espn.com/football/boxscore?leagueId=11593953&amp;matchupPeriodId=17&amp;scoringPeriodId=17&amp;seasonId=2021&amp;teamId=9&amp;view=scoringperiod" TargetMode="External"/><Relationship Id="rId62" Type="http://schemas.openxmlformats.org/officeDocument/2006/relationships/hyperlink" Target="https://fantasy.espn.com/football/boxscore?leagueId=11593953&amp;matchupPeriodId=16&amp;scoringPeriodId=16&amp;seasonId=2021&amp;teamId=2&amp;view=scoringperiod" TargetMode="External"/><Relationship Id="rId61" Type="http://schemas.openxmlformats.org/officeDocument/2006/relationships/hyperlink" Target="https://fantasy.espn.com/football/boxscore?leagueId=11593953&amp;matchupPeriodId=16&amp;scoringPeriodId=16&amp;seasonId=2021&amp;teamId=2&amp;view=scoringperiod" TargetMode="External"/><Relationship Id="rId64" Type="http://schemas.openxmlformats.org/officeDocument/2006/relationships/hyperlink" Target="https://fantasy.espn.com/football/boxscore?leagueId=11593953&amp;matchupPeriodId=16&amp;scoringPeriodId=16&amp;seasonId=2021&amp;teamId=5&amp;view=scoringperiod" TargetMode="External"/><Relationship Id="rId63" Type="http://schemas.openxmlformats.org/officeDocument/2006/relationships/hyperlink" Target="https://fantasy.espn.com/football/boxscore?leagueId=11593953&amp;matchupPeriodId=16&amp;scoringPeriodId=16&amp;seasonId=2021&amp;teamId=5&amp;view=scoringperiod" TargetMode="External"/><Relationship Id="rId66" Type="http://schemas.openxmlformats.org/officeDocument/2006/relationships/hyperlink" Target="https://fantasy.espn.com/football/boxscore?leagueId=11593953&amp;matchupPeriodId=17&amp;scoringPeriodId=17&amp;seasonId=2021&amp;teamId=11&amp;view=scoringperiod" TargetMode="External"/><Relationship Id="rId65" Type="http://schemas.openxmlformats.org/officeDocument/2006/relationships/hyperlink" Target="https://fantasy.espn.com/football/boxscore?leagueId=11593953&amp;matchupPeriodId=17&amp;scoringPeriodId=17&amp;seasonId=2021&amp;teamId=11&amp;view=scoringperiod" TargetMode="External"/><Relationship Id="rId68" Type="http://schemas.openxmlformats.org/officeDocument/2006/relationships/hyperlink" Target="https://fantasy.espn.com/football/boxscore?leagueId=11593953&amp;matchupPeriodId=17&amp;scoringPeriodId=17&amp;seasonId=2021&amp;teamId=6&amp;view=scoringperiod" TargetMode="External"/><Relationship Id="rId67" Type="http://schemas.openxmlformats.org/officeDocument/2006/relationships/hyperlink" Target="https://fantasy.espn.com/football/boxscore?leagueId=11593953&amp;matchupPeriodId=17&amp;scoringPeriodId=17&amp;seasonId=2021&amp;teamId=6&amp;view=scoringperiod" TargetMode="External"/><Relationship Id="rId60" Type="http://schemas.openxmlformats.org/officeDocument/2006/relationships/hyperlink" Target="https://fantasy.espn.com/football/boxscore?leagueId=11593953&amp;matchupPeriodId=16&amp;scoringPeriodId=16&amp;seasonId=2021&amp;teamId=8&amp;view=scoringperiod" TargetMode="External"/><Relationship Id="rId69" Type="http://schemas.openxmlformats.org/officeDocument/2006/relationships/hyperlink" Target="https://fantasy.espn.com/football/boxscore?leagueId=11593953&amp;matchupPeriodId=17&amp;scoringPeriodId=17&amp;seasonId=2021&amp;teamId=9&amp;view=scoringperiod" TargetMode="External"/><Relationship Id="rId51" Type="http://schemas.openxmlformats.org/officeDocument/2006/relationships/hyperlink" Target="https://fantasy.espn.com/football/boxscore?leagueId=11593953&amp;matchupPeriodId=15&amp;scoringPeriodId=15&amp;seasonId=2021&amp;teamId=2&amp;view=scoringperiod" TargetMode="External"/><Relationship Id="rId50" Type="http://schemas.openxmlformats.org/officeDocument/2006/relationships/hyperlink" Target="https://fantasy.espn.com/football/boxscore?leagueId=11593953&amp;matchupPeriodId=15&amp;scoringPeriodId=15&amp;seasonId=2021&amp;teamId=4&amp;view=scoringperiod" TargetMode="External"/><Relationship Id="rId53" Type="http://schemas.openxmlformats.org/officeDocument/2006/relationships/hyperlink" Target="https://fantasy.espn.com/football/boxscore?leagueId=11593953&amp;matchupPeriodId=15&amp;scoringPeriodId=15&amp;seasonId=2021&amp;teamId=5&amp;view=scoringperiod" TargetMode="External"/><Relationship Id="rId52" Type="http://schemas.openxmlformats.org/officeDocument/2006/relationships/hyperlink" Target="https://fantasy.espn.com/football/boxscore?leagueId=11593953&amp;matchupPeriodId=15&amp;scoringPeriodId=15&amp;seasonId=2021&amp;teamId=2&amp;view=scoringperiod" TargetMode="External"/><Relationship Id="rId55" Type="http://schemas.openxmlformats.org/officeDocument/2006/relationships/hyperlink" Target="https://fantasy.espn.com/football/boxscore?leagueId=11593953&amp;matchupPeriodId=16&amp;scoringPeriodId=16&amp;seasonId=2021&amp;teamId=3&amp;view=scoringperiod" TargetMode="External"/><Relationship Id="rId54" Type="http://schemas.openxmlformats.org/officeDocument/2006/relationships/hyperlink" Target="https://fantasy.espn.com/football/boxscore?leagueId=11593953&amp;matchupPeriodId=15&amp;scoringPeriodId=15&amp;seasonId=2021&amp;teamId=5&amp;view=scoringperiod" TargetMode="External"/><Relationship Id="rId57" Type="http://schemas.openxmlformats.org/officeDocument/2006/relationships/hyperlink" Target="https://fantasy.espn.com/football/boxscore?leagueId=11593953&amp;matchupPeriodId=16&amp;scoringPeriodId=16&amp;seasonId=2021&amp;teamId=6&amp;view=scoringperiod" TargetMode="External"/><Relationship Id="rId56" Type="http://schemas.openxmlformats.org/officeDocument/2006/relationships/hyperlink" Target="https://fantasy.espn.com/football/boxscore?leagueId=11593953&amp;matchupPeriodId=16&amp;scoringPeriodId=16&amp;seasonId=2021&amp;teamId=3&amp;view=scoringperiod" TargetMode="External"/><Relationship Id="rId59" Type="http://schemas.openxmlformats.org/officeDocument/2006/relationships/hyperlink" Target="https://fantasy.espn.com/football/boxscore?leagueId=11593953&amp;matchupPeriodId=16&amp;scoringPeriodId=16&amp;seasonId=2021&amp;teamId=8&amp;view=scoringperiod" TargetMode="External"/><Relationship Id="rId58" Type="http://schemas.openxmlformats.org/officeDocument/2006/relationships/hyperlink" Target="https://fantasy.espn.com/football/boxscore?leagueId=11593953&amp;matchupPeriodId=16&amp;scoringPeriodId=16&amp;seasonId=2021&amp;teamId=6&amp;view=scoringperiod" TargetMode="External"/><Relationship Id="rId107" Type="http://schemas.openxmlformats.org/officeDocument/2006/relationships/hyperlink" Target="https://fantasy.espn.com/football/boxscore?leagueId=11593953&amp;matchupPeriodId=16&amp;scoringPeriodId=16&amp;seasonId=2023&amp;teamId=9&amp;view=scoringperiod" TargetMode="External"/><Relationship Id="rId106" Type="http://schemas.openxmlformats.org/officeDocument/2006/relationships/hyperlink" Target="https://fantasy.espn.com/football/boxscore?leagueId=11593953&amp;matchupPeriodId=16&amp;scoringPeriodId=16&amp;seasonId=2023&amp;teamId=3&amp;view=scoringperiod" TargetMode="External"/><Relationship Id="rId105" Type="http://schemas.openxmlformats.org/officeDocument/2006/relationships/hyperlink" Target="https://fantasy.espn.com/football/boxscore?leagueId=11593953&amp;matchupPeriodId=16&amp;scoringPeriodId=16&amp;seasonId=2023&amp;teamId=3&amp;view=scoringperiod" TargetMode="External"/><Relationship Id="rId104" Type="http://schemas.openxmlformats.org/officeDocument/2006/relationships/hyperlink" Target="https://fantasy.espn.com/football/boxscore?leagueId=11593953&amp;matchupPeriodId=16&amp;scoringPeriodId=16&amp;seasonId=2023&amp;teamId=11&amp;view=scoringperiod" TargetMode="External"/><Relationship Id="rId109" Type="http://schemas.openxmlformats.org/officeDocument/2006/relationships/hyperlink" Target="https://fantasy.espn.com/football/boxscore?leagueId=11593953&amp;matchupPeriodId=16&amp;scoringPeriodId=16&amp;seasonId=2023&amp;teamId=8&amp;view=scoringperiod" TargetMode="External"/><Relationship Id="rId108" Type="http://schemas.openxmlformats.org/officeDocument/2006/relationships/hyperlink" Target="https://fantasy.espn.com/football/boxscore?leagueId=11593953&amp;matchupPeriodId=16&amp;scoringPeriodId=16&amp;seasonId=2023&amp;teamId=9&amp;view=scoringperiod" TargetMode="External"/><Relationship Id="rId103" Type="http://schemas.openxmlformats.org/officeDocument/2006/relationships/hyperlink" Target="https://fantasy.espn.com/football/boxscore?leagueId=11593953&amp;matchupPeriodId=16&amp;scoringPeriodId=16&amp;seasonId=2023&amp;teamId=11&amp;view=scoringperiod" TargetMode="External"/><Relationship Id="rId102" Type="http://schemas.openxmlformats.org/officeDocument/2006/relationships/hyperlink" Target="https://fantasy.espn.com/football/boxscore?leagueId=11593953&amp;matchupPeriodId=15&amp;scoringPeriodId=15&amp;seasonId=2023&amp;teamId=8&amp;view=scoringperiod" TargetMode="External"/><Relationship Id="rId101" Type="http://schemas.openxmlformats.org/officeDocument/2006/relationships/hyperlink" Target="https://fantasy.espn.com/football/boxscore?leagueId=11593953&amp;matchupPeriodId=15&amp;scoringPeriodId=15&amp;seasonId=2023&amp;teamId=8&amp;view=scoringperiod" TargetMode="External"/><Relationship Id="rId100" Type="http://schemas.openxmlformats.org/officeDocument/2006/relationships/hyperlink" Target="https://fantasy.espn.com/football/boxscore?leagueId=11593953&amp;matchupPeriodId=15&amp;scoringPeriodId=15&amp;seasonId=2023&amp;teamId=11&amp;view=scoringperiod" TargetMode="External"/><Relationship Id="rId129" Type="http://schemas.openxmlformats.org/officeDocument/2006/relationships/table" Target="../tables/table8.xml"/><Relationship Id="rId128" Type="http://schemas.openxmlformats.org/officeDocument/2006/relationships/table" Target="../tables/table7.xml"/><Relationship Id="rId127" Type="http://schemas.openxmlformats.org/officeDocument/2006/relationships/table" Target="../tables/table6.xml"/><Relationship Id="rId126" Type="http://schemas.openxmlformats.org/officeDocument/2006/relationships/table" Target="../tables/table5.xml"/><Relationship Id="rId95" Type="http://schemas.openxmlformats.org/officeDocument/2006/relationships/hyperlink" Target="https://fantasy.espn.com/football/boxscore?leagueId=11593953&amp;matchupPeriodId=17&amp;scoringPeriodId=17&amp;seasonId=2022&amp;teamId=6&amp;view=scoringperiod" TargetMode="External"/><Relationship Id="rId94" Type="http://schemas.openxmlformats.org/officeDocument/2006/relationships/hyperlink" Target="https://fantasy.espn.com/football/boxscore?leagueId=11593953&amp;matchupPeriodId=17&amp;scoringPeriodId=17&amp;seasonId=2022&amp;teamId=11&amp;view=scoringperiod" TargetMode="External"/><Relationship Id="rId97" Type="http://schemas.openxmlformats.org/officeDocument/2006/relationships/hyperlink" Target="https://fantasy.espn.com/football/boxscore?leagueId=11593953&amp;matchupPeriodId=15&amp;scoringPeriodId=15&amp;seasonId=2023&amp;teamId=3&amp;view=scoringperiod" TargetMode="External"/><Relationship Id="rId96" Type="http://schemas.openxmlformats.org/officeDocument/2006/relationships/hyperlink" Target="https://fantasy.espn.com/football/boxscore?leagueId=11593953&amp;matchupPeriodId=17&amp;scoringPeriodId=17&amp;seasonId=2022&amp;teamId=6&amp;view=scoringperiod" TargetMode="External"/><Relationship Id="rId99" Type="http://schemas.openxmlformats.org/officeDocument/2006/relationships/hyperlink" Target="https://fantasy.espn.com/football/boxscore?leagueId=11593953&amp;matchupPeriodId=15&amp;scoringPeriodId=15&amp;seasonId=2023&amp;teamId=11&amp;view=scoringperiod" TargetMode="External"/><Relationship Id="rId98" Type="http://schemas.openxmlformats.org/officeDocument/2006/relationships/hyperlink" Target="https://fantasy.espn.com/football/boxscore?leagueId=11593953&amp;matchupPeriodId=15&amp;scoringPeriodId=15&amp;seasonId=2023&amp;teamId=3&amp;view=scoringperiod" TargetMode="External"/><Relationship Id="rId91" Type="http://schemas.openxmlformats.org/officeDocument/2006/relationships/hyperlink" Target="https://fantasy.espn.com/football/boxscore?leagueId=11593953&amp;matchupPeriodId=17&amp;scoringPeriodId=17&amp;seasonId=2022&amp;teamId=3&amp;view=scoringperiod" TargetMode="External"/><Relationship Id="rId90" Type="http://schemas.openxmlformats.org/officeDocument/2006/relationships/hyperlink" Target="https://fantasy.espn.com/football/boxscore?leagueId=11593953&amp;matchupPeriodId=17&amp;scoringPeriodId=17&amp;seasonId=2022&amp;teamId=2&amp;view=scoringperiod" TargetMode="External"/><Relationship Id="rId93" Type="http://schemas.openxmlformats.org/officeDocument/2006/relationships/hyperlink" Target="https://fantasy.espn.com/football/boxscore?leagueId=11593953&amp;matchupPeriodId=17&amp;scoringPeriodId=17&amp;seasonId=2022&amp;teamId=11&amp;view=scoringperiod" TargetMode="External"/><Relationship Id="rId92" Type="http://schemas.openxmlformats.org/officeDocument/2006/relationships/hyperlink" Target="https://fantasy.espn.com/football/boxscore?leagueId=11593953&amp;matchupPeriodId=17&amp;scoringPeriodId=17&amp;seasonId=2022&amp;teamId=3&amp;view=scoringperiod" TargetMode="External"/><Relationship Id="rId118" Type="http://schemas.openxmlformats.org/officeDocument/2006/relationships/hyperlink" Target="https://fantasy.espn.com/football/boxscore?leagueId=11593953&amp;matchupPeriodId=17&amp;scoringPeriodId=17&amp;seasonId=2023&amp;teamId=8&amp;view=scoringperiod" TargetMode="External"/><Relationship Id="rId117" Type="http://schemas.openxmlformats.org/officeDocument/2006/relationships/hyperlink" Target="https://fantasy.espn.com/football/boxscore?leagueId=11593953&amp;matchupPeriodId=17&amp;scoringPeriodId=17&amp;seasonId=2023&amp;teamId=8&amp;view=scoringperiod" TargetMode="External"/><Relationship Id="rId116" Type="http://schemas.openxmlformats.org/officeDocument/2006/relationships/hyperlink" Target="https://fantasy.espn.com/football/boxscore?leagueId=11593953&amp;matchupPeriodId=17&amp;scoringPeriodId=17&amp;seasonId=2023&amp;teamId=9&amp;view=scoringperiod" TargetMode="External"/><Relationship Id="rId115" Type="http://schemas.openxmlformats.org/officeDocument/2006/relationships/hyperlink" Target="https://fantasy.espn.com/football/boxscore?leagueId=11593953&amp;matchupPeriodId=17&amp;scoringPeriodId=17&amp;seasonId=2023&amp;teamId=9&amp;view=scoringperiod" TargetMode="External"/><Relationship Id="rId119" Type="http://schemas.openxmlformats.org/officeDocument/2006/relationships/drawing" Target="../drawings/drawing17.xml"/><Relationship Id="rId110" Type="http://schemas.openxmlformats.org/officeDocument/2006/relationships/hyperlink" Target="https://fantasy.espn.com/football/boxscore?leagueId=11593953&amp;matchupPeriodId=16&amp;scoringPeriodId=16&amp;seasonId=2023&amp;teamId=8&amp;view=scoringperiod" TargetMode="External"/><Relationship Id="rId114" Type="http://schemas.openxmlformats.org/officeDocument/2006/relationships/hyperlink" Target="https://fantasy.espn.com/football/boxscore?leagueId=11593953&amp;matchupPeriodId=17&amp;scoringPeriodId=17&amp;seasonId=2023&amp;teamId=1&amp;view=scoringperiod" TargetMode="External"/><Relationship Id="rId113" Type="http://schemas.openxmlformats.org/officeDocument/2006/relationships/hyperlink" Target="https://fantasy.espn.com/football/boxscore?leagueId=11593953&amp;matchupPeriodId=17&amp;scoringPeriodId=17&amp;seasonId=2023&amp;teamId=1&amp;view=scoringperiod" TargetMode="External"/><Relationship Id="rId112" Type="http://schemas.openxmlformats.org/officeDocument/2006/relationships/hyperlink" Target="https://fantasy.espn.com/football/boxscore?leagueId=11593953&amp;matchupPeriodId=17&amp;scoringPeriodId=17&amp;seasonId=2023&amp;teamId=11&amp;view=scoringperiod" TargetMode="External"/><Relationship Id="rId111" Type="http://schemas.openxmlformats.org/officeDocument/2006/relationships/hyperlink" Target="https://fantasy.espn.com/football/boxscore?leagueId=11593953&amp;matchupPeriodId=17&amp;scoringPeriodId=17&amp;seasonId=2023&amp;teamId=11&amp;view=scoringperiod"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amp;scoringPeriodId=1&amp;seasonId=2020&amp;teamId=5&amp;view=scoringperiod" TargetMode="External"/><Relationship Id="rId2" Type="http://schemas.openxmlformats.org/officeDocument/2006/relationships/hyperlink" Target="https://fantasy.espn.com/football/boxscore?leagueId=11593953&amp;matchupPeriodId=1&amp;scoringPeriodId=1&amp;seasonId=2020&amp;teamId=5&amp;view=scoringperiod" TargetMode="External"/><Relationship Id="rId3" Type="http://schemas.openxmlformats.org/officeDocument/2006/relationships/hyperlink" Target="https://fantasy.espn.com/football/boxscore?leagueId=11593953&amp;matchupPeriodId=1&amp;scoringPeriodId=1&amp;seasonId=2020&amp;teamId=1&amp;view=scoringperiod" TargetMode="External"/><Relationship Id="rId4" Type="http://schemas.openxmlformats.org/officeDocument/2006/relationships/hyperlink" Target="https://fantasy.espn.com/football/boxscore?leagueId=11593953&amp;matchupPeriodId=1&amp;scoringPeriodId=1&amp;seasonId=2020&amp;teamId=1&amp;view=scoringperiod" TargetMode="External"/><Relationship Id="rId9" Type="http://schemas.openxmlformats.org/officeDocument/2006/relationships/hyperlink" Target="https://fantasy.espn.com/football/boxscore?leagueId=11593953&amp;matchupPeriodId=2&amp;scoringPeriodId=2&amp;seasonId=2020&amp;teamId=5&amp;view=scoringperiod" TargetMode="External"/><Relationship Id="rId5" Type="http://schemas.openxmlformats.org/officeDocument/2006/relationships/hyperlink" Target="https://fantasy.espn.com/football/boxscore?leagueId=11593953&amp;matchupPeriodId=1&amp;scoringPeriodId=1&amp;seasonId=2020&amp;teamId=3&amp;view=scoringperiod" TargetMode="External"/><Relationship Id="rId6" Type="http://schemas.openxmlformats.org/officeDocument/2006/relationships/hyperlink" Target="https://fantasy.espn.com/football/boxscore?leagueId=11593953&amp;matchupPeriodId=1&amp;scoringPeriodId=1&amp;seasonId=2020&amp;teamId=3&amp;view=scoringperiod" TargetMode="External"/><Relationship Id="rId7" Type="http://schemas.openxmlformats.org/officeDocument/2006/relationships/hyperlink" Target="https://fantasy.espn.com/football/boxscore?leagueId=11593953&amp;matchupPeriodId=1&amp;scoringPeriodId=1&amp;seasonId=2020&amp;teamId=6&amp;view=scoringperiod" TargetMode="External"/><Relationship Id="rId8" Type="http://schemas.openxmlformats.org/officeDocument/2006/relationships/hyperlink" Target="https://fantasy.espn.com/football/boxscore?leagueId=11593953&amp;matchupPeriodId=1&amp;scoringPeriodId=1&amp;seasonId=2020&amp;teamId=6&amp;view=scoringperiod" TargetMode="External"/><Relationship Id="rId40" Type="http://schemas.openxmlformats.org/officeDocument/2006/relationships/hyperlink" Target="https://fantasy.espn.com/football/boxscore?leagueId=11593953&amp;matchupPeriodId=5&amp;scoringPeriodId=5&amp;seasonId=2020&amp;teamId=6&amp;view=scoringperiod" TargetMode="External"/><Relationship Id="rId42" Type="http://schemas.openxmlformats.org/officeDocument/2006/relationships/hyperlink" Target="https://fantasy.espn.com/football/boxscore?leagueId=11593953&amp;matchupPeriodId=6&amp;scoringPeriodId=6&amp;seasonId=2020&amp;teamId=8&amp;view=scoringperiod" TargetMode="External"/><Relationship Id="rId41" Type="http://schemas.openxmlformats.org/officeDocument/2006/relationships/hyperlink" Target="https://fantasy.espn.com/football/boxscore?leagueId=11593953&amp;matchupPeriodId=6&amp;scoringPeriodId=6&amp;seasonId=2020&amp;teamId=8&amp;view=scoringperiod" TargetMode="External"/><Relationship Id="rId44" Type="http://schemas.openxmlformats.org/officeDocument/2006/relationships/hyperlink" Target="https://fantasy.espn.com/football/boxscore?leagueId=11593953&amp;matchupPeriodId=6&amp;scoringPeriodId=6&amp;seasonId=2020&amp;teamId=5&amp;view=scoringperiod" TargetMode="External"/><Relationship Id="rId43" Type="http://schemas.openxmlformats.org/officeDocument/2006/relationships/hyperlink" Target="https://fantasy.espn.com/football/boxscore?leagueId=11593953&amp;matchupPeriodId=6&amp;scoringPeriodId=6&amp;seasonId=2020&amp;teamId=5&amp;view=scoringperiod" TargetMode="External"/><Relationship Id="rId46" Type="http://schemas.openxmlformats.org/officeDocument/2006/relationships/hyperlink" Target="https://fantasy.espn.com/football/boxscore?leagueId=11593953&amp;matchupPeriodId=6&amp;scoringPeriodId=6&amp;seasonId=2020&amp;teamId=4&amp;view=scoringperiod" TargetMode="External"/><Relationship Id="rId45" Type="http://schemas.openxmlformats.org/officeDocument/2006/relationships/hyperlink" Target="https://fantasy.espn.com/football/boxscore?leagueId=11593953&amp;matchupPeriodId=6&amp;scoringPeriodId=6&amp;seasonId=2020&amp;teamId=4&amp;view=scoringperiod" TargetMode="External"/><Relationship Id="rId48" Type="http://schemas.openxmlformats.org/officeDocument/2006/relationships/hyperlink" Target="https://fantasy.espn.com/football/boxscore?leagueId=11593953&amp;matchupPeriodId=6&amp;scoringPeriodId=6&amp;seasonId=2020&amp;teamId=9&amp;view=scoringperiod" TargetMode="External"/><Relationship Id="rId47" Type="http://schemas.openxmlformats.org/officeDocument/2006/relationships/hyperlink" Target="https://fantasy.espn.com/football/boxscore?leagueId=11593953&amp;matchupPeriodId=6&amp;scoringPeriodId=6&amp;seasonId=2020&amp;teamId=9&amp;view=scoringperiod" TargetMode="External"/><Relationship Id="rId49" Type="http://schemas.openxmlformats.org/officeDocument/2006/relationships/hyperlink" Target="https://fantasy.espn.com/football/boxscore?leagueId=11593953&amp;matchupPeriodId=7&amp;scoringPeriodId=7&amp;seasonId=2020&amp;teamId=1&amp;view=scoringperiod" TargetMode="External"/><Relationship Id="rId31" Type="http://schemas.openxmlformats.org/officeDocument/2006/relationships/hyperlink" Target="https://fantasy.espn.com/football/boxscore?leagueId=11593953&amp;matchupPeriodId=4&amp;scoringPeriodId=4&amp;seasonId=2020&amp;teamId=8&amp;view=scoringperiod" TargetMode="External"/><Relationship Id="rId30" Type="http://schemas.openxmlformats.org/officeDocument/2006/relationships/hyperlink" Target="https://fantasy.espn.com/football/boxscore?leagueId=11593953&amp;matchupPeriodId=4&amp;scoringPeriodId=4&amp;seasonId=2020&amp;teamId=4&amp;view=scoringperiod" TargetMode="External"/><Relationship Id="rId33" Type="http://schemas.openxmlformats.org/officeDocument/2006/relationships/hyperlink" Target="https://fantasy.espn.com/football/boxscore?leagueId=11593953&amp;matchupPeriodId=5&amp;scoringPeriodId=5&amp;seasonId=2020&amp;teamId=3&amp;view=scoringperiod" TargetMode="External"/><Relationship Id="rId32" Type="http://schemas.openxmlformats.org/officeDocument/2006/relationships/hyperlink" Target="https://fantasy.espn.com/football/boxscore?leagueId=11593953&amp;matchupPeriodId=4&amp;scoringPeriodId=4&amp;seasonId=2020&amp;teamId=8&amp;view=scoringperiod" TargetMode="External"/><Relationship Id="rId35" Type="http://schemas.openxmlformats.org/officeDocument/2006/relationships/hyperlink" Target="https://fantasy.espn.com/football/boxscore?leagueId=11593953&amp;matchupPeriodId=5&amp;scoringPeriodId=5&amp;seasonId=2020&amp;teamId=9&amp;view=scoringperiod" TargetMode="External"/><Relationship Id="rId34" Type="http://schemas.openxmlformats.org/officeDocument/2006/relationships/hyperlink" Target="https://fantasy.espn.com/football/boxscore?leagueId=11593953&amp;matchupPeriodId=5&amp;scoringPeriodId=5&amp;seasonId=2020&amp;teamId=3&amp;view=scoringperiod" TargetMode="External"/><Relationship Id="rId37" Type="http://schemas.openxmlformats.org/officeDocument/2006/relationships/hyperlink" Target="https://fantasy.espn.com/football/boxscore?leagueId=11593953&amp;matchupPeriodId=5&amp;scoringPeriodId=5&amp;seasonId=2020&amp;teamId=2&amp;view=scoringperiod" TargetMode="External"/><Relationship Id="rId36" Type="http://schemas.openxmlformats.org/officeDocument/2006/relationships/hyperlink" Target="https://fantasy.espn.com/football/boxscore?leagueId=11593953&amp;matchupPeriodId=5&amp;scoringPeriodId=5&amp;seasonId=2020&amp;teamId=9&amp;view=scoringperiod" TargetMode="External"/><Relationship Id="rId39" Type="http://schemas.openxmlformats.org/officeDocument/2006/relationships/hyperlink" Target="https://fantasy.espn.com/football/boxscore?leagueId=11593953&amp;matchupPeriodId=5&amp;scoringPeriodId=5&amp;seasonId=2020&amp;teamId=6&amp;view=scoringperiod" TargetMode="External"/><Relationship Id="rId38" Type="http://schemas.openxmlformats.org/officeDocument/2006/relationships/hyperlink" Target="https://fantasy.espn.com/football/boxscore?leagueId=11593953&amp;matchupPeriodId=5&amp;scoringPeriodId=5&amp;seasonId=2020&amp;teamId=2&amp;view=scoringperiod" TargetMode="External"/><Relationship Id="rId20" Type="http://schemas.openxmlformats.org/officeDocument/2006/relationships/hyperlink" Target="https://fantasy.espn.com/football/boxscore?leagueId=11593953&amp;matchupPeriodId=3&amp;scoringPeriodId=3&amp;seasonId=2020&amp;teamId=5&amp;view=scoringperiod" TargetMode="External"/><Relationship Id="rId22" Type="http://schemas.openxmlformats.org/officeDocument/2006/relationships/hyperlink" Target="https://fantasy.espn.com/football/boxscore?leagueId=11593953&amp;matchupPeriodId=3&amp;scoringPeriodId=3&amp;seasonId=2020&amp;teamId=1&amp;view=scoringperiod" TargetMode="External"/><Relationship Id="rId21" Type="http://schemas.openxmlformats.org/officeDocument/2006/relationships/hyperlink" Target="https://fantasy.espn.com/football/boxscore?leagueId=11593953&amp;matchupPeriodId=3&amp;scoringPeriodId=3&amp;seasonId=2020&amp;teamId=1&amp;view=scoringperiod" TargetMode="External"/><Relationship Id="rId24" Type="http://schemas.openxmlformats.org/officeDocument/2006/relationships/hyperlink" Target="https://fantasy.espn.com/football/boxscore?leagueId=11593953&amp;matchupPeriodId=3&amp;scoringPeriodId=3&amp;seasonId=2020&amp;teamId=4&amp;view=scoringperiod" TargetMode="External"/><Relationship Id="rId23" Type="http://schemas.openxmlformats.org/officeDocument/2006/relationships/hyperlink" Target="https://fantasy.espn.com/football/boxscore?leagueId=11593953&amp;matchupPeriodId=3&amp;scoringPeriodId=3&amp;seasonId=2020&amp;teamId=4&amp;view=scoringperiod" TargetMode="External"/><Relationship Id="rId26" Type="http://schemas.openxmlformats.org/officeDocument/2006/relationships/hyperlink" Target="https://fantasy.espn.com/football/boxscore?leagueId=11593953&amp;matchupPeriodId=4&amp;scoringPeriodId=4&amp;seasonId=2020&amp;teamId=6&amp;view=scoringperiod" TargetMode="External"/><Relationship Id="rId25" Type="http://schemas.openxmlformats.org/officeDocument/2006/relationships/hyperlink" Target="https://fantasy.espn.com/football/boxscore?leagueId=11593953&amp;matchupPeriodId=4&amp;scoringPeriodId=4&amp;seasonId=2020&amp;teamId=6&amp;view=scoringperiod" TargetMode="External"/><Relationship Id="rId28" Type="http://schemas.openxmlformats.org/officeDocument/2006/relationships/hyperlink" Target="https://fantasy.espn.com/football/boxscore?leagueId=11593953&amp;matchupPeriodId=4&amp;scoringPeriodId=4&amp;seasonId=2020&amp;teamId=2&amp;view=scoringperiod" TargetMode="External"/><Relationship Id="rId27" Type="http://schemas.openxmlformats.org/officeDocument/2006/relationships/hyperlink" Target="https://fantasy.espn.com/football/boxscore?leagueId=11593953&amp;matchupPeriodId=4&amp;scoringPeriodId=4&amp;seasonId=2020&amp;teamId=2&amp;view=scoringperiod" TargetMode="External"/><Relationship Id="rId29" Type="http://schemas.openxmlformats.org/officeDocument/2006/relationships/hyperlink" Target="https://fantasy.espn.com/football/boxscore?leagueId=11593953&amp;matchupPeriodId=4&amp;scoringPeriodId=4&amp;seasonId=2020&amp;teamId=4&amp;view=scoringperiod" TargetMode="External"/><Relationship Id="rId11" Type="http://schemas.openxmlformats.org/officeDocument/2006/relationships/hyperlink" Target="https://fantasy.espn.com/football/boxscore?leagueId=11593953&amp;matchupPeriodId=2&amp;scoringPeriodId=2&amp;seasonId=2020&amp;teamId=9&amp;view=scoringperiod" TargetMode="External"/><Relationship Id="rId10" Type="http://schemas.openxmlformats.org/officeDocument/2006/relationships/hyperlink" Target="https://fantasy.espn.com/football/boxscore?leagueId=11593953&amp;matchupPeriodId=2&amp;scoringPeriodId=2&amp;seasonId=2020&amp;teamId=5&amp;view=scoringperiod" TargetMode="External"/><Relationship Id="rId13" Type="http://schemas.openxmlformats.org/officeDocument/2006/relationships/hyperlink" Target="https://fantasy.espn.com/football/boxscore?leagueId=11593953&amp;matchupPeriodId=2&amp;scoringPeriodId=2&amp;seasonId=2020&amp;teamId=6&amp;view=scoringperiod" TargetMode="External"/><Relationship Id="rId12" Type="http://schemas.openxmlformats.org/officeDocument/2006/relationships/hyperlink" Target="https://fantasy.espn.com/football/boxscore?leagueId=11593953&amp;matchupPeriodId=2&amp;scoringPeriodId=2&amp;seasonId=2020&amp;teamId=9&amp;view=scoringperiod" TargetMode="External"/><Relationship Id="rId15" Type="http://schemas.openxmlformats.org/officeDocument/2006/relationships/hyperlink" Target="https://fantasy.espn.com/football/boxscore?leagueId=11593953&amp;matchupPeriodId=2&amp;scoringPeriodId=2&amp;seasonId=2020&amp;teamId=4&amp;view=scoringperiod" TargetMode="External"/><Relationship Id="rId14" Type="http://schemas.openxmlformats.org/officeDocument/2006/relationships/hyperlink" Target="https://fantasy.espn.com/football/boxscore?leagueId=11593953&amp;matchupPeriodId=2&amp;scoringPeriodId=2&amp;seasonId=2020&amp;teamId=6&amp;view=scoringperiod" TargetMode="External"/><Relationship Id="rId17" Type="http://schemas.openxmlformats.org/officeDocument/2006/relationships/hyperlink" Target="https://fantasy.espn.com/football/boxscore?leagueId=11593953&amp;matchupPeriodId=3&amp;scoringPeriodId=3&amp;seasonId=2020&amp;teamId=8&amp;view=scoringperiod" TargetMode="External"/><Relationship Id="rId16" Type="http://schemas.openxmlformats.org/officeDocument/2006/relationships/hyperlink" Target="https://fantasy.espn.com/football/boxscore?leagueId=11593953&amp;matchupPeriodId=2&amp;scoringPeriodId=2&amp;seasonId=2020&amp;teamId=4&amp;view=scoringperiod" TargetMode="External"/><Relationship Id="rId19" Type="http://schemas.openxmlformats.org/officeDocument/2006/relationships/hyperlink" Target="https://fantasy.espn.com/football/boxscore?leagueId=11593953&amp;matchupPeriodId=3&amp;scoringPeriodId=3&amp;seasonId=2020&amp;teamId=5&amp;view=scoringperiod" TargetMode="External"/><Relationship Id="rId18" Type="http://schemas.openxmlformats.org/officeDocument/2006/relationships/hyperlink" Target="https://fantasy.espn.com/football/boxscore?leagueId=11593953&amp;matchupPeriodId=3&amp;scoringPeriodId=3&amp;seasonId=2020&amp;teamId=8&amp;view=scoringperiod" TargetMode="External"/><Relationship Id="rId84" Type="http://schemas.openxmlformats.org/officeDocument/2006/relationships/hyperlink" Target="https://fantasy.espn.com/football/boxscore?leagueId=11593953&amp;matchupPeriodId=11&amp;scoringPeriodId=11&amp;seasonId=2020&amp;teamId=1&amp;view=scoringperiod" TargetMode="External"/><Relationship Id="rId83" Type="http://schemas.openxmlformats.org/officeDocument/2006/relationships/hyperlink" Target="https://fantasy.espn.com/football/boxscore?leagueId=11593953&amp;matchupPeriodId=11&amp;scoringPeriodId=11&amp;seasonId=2020&amp;teamId=1&amp;view=scoringperiod" TargetMode="External"/><Relationship Id="rId86" Type="http://schemas.openxmlformats.org/officeDocument/2006/relationships/hyperlink" Target="https://fantasy.espn.com/football/boxscore?leagueId=11593953&amp;matchupPeriodId=11&amp;scoringPeriodId=11&amp;seasonId=2020&amp;teamId=6&amp;view=scoringperiod" TargetMode="External"/><Relationship Id="rId85" Type="http://schemas.openxmlformats.org/officeDocument/2006/relationships/hyperlink" Target="https://fantasy.espn.com/football/boxscore?leagueId=11593953&amp;matchupPeriodId=11&amp;scoringPeriodId=11&amp;seasonId=2020&amp;teamId=6&amp;view=scoringperiod" TargetMode="External"/><Relationship Id="rId88" Type="http://schemas.openxmlformats.org/officeDocument/2006/relationships/hyperlink" Target="https://fantasy.espn.com/football/boxscore?leagueId=11593953&amp;matchupPeriodId=11&amp;scoringPeriodId=11&amp;seasonId=2020&amp;teamId=2&amp;view=scoringperiod" TargetMode="External"/><Relationship Id="rId87" Type="http://schemas.openxmlformats.org/officeDocument/2006/relationships/hyperlink" Target="https://fantasy.espn.com/football/boxscore?leagueId=11593953&amp;matchupPeriodId=11&amp;scoringPeriodId=11&amp;seasonId=2020&amp;teamId=2&amp;view=scoringperiod" TargetMode="External"/><Relationship Id="rId89" Type="http://schemas.openxmlformats.org/officeDocument/2006/relationships/hyperlink" Target="https://fantasy.espn.com/football/boxscore?leagueId=11593953&amp;matchupPeriodId=12&amp;scoringPeriodId=12&amp;seasonId=2020&amp;teamId=9&amp;view=scoringperiod" TargetMode="External"/><Relationship Id="rId80" Type="http://schemas.openxmlformats.org/officeDocument/2006/relationships/hyperlink" Target="https://fantasy.espn.com/football/boxscore?leagueId=11593953&amp;matchupPeriodId=10&amp;scoringPeriodId=10&amp;seasonId=2020&amp;teamId=1&amp;view=scoringperiod" TargetMode="External"/><Relationship Id="rId82" Type="http://schemas.openxmlformats.org/officeDocument/2006/relationships/hyperlink" Target="https://fantasy.espn.com/football/boxscore?leagueId=11593953&amp;matchupPeriodId=11&amp;scoringPeriodId=11&amp;seasonId=2020&amp;teamId=8&amp;view=scoringperiod" TargetMode="External"/><Relationship Id="rId81" Type="http://schemas.openxmlformats.org/officeDocument/2006/relationships/hyperlink" Target="https://fantasy.espn.com/football/boxscore?leagueId=11593953&amp;matchupPeriodId=11&amp;scoringPeriodId=11&amp;seasonId=2020&amp;teamId=8&amp;view=scoringperiod" TargetMode="External"/><Relationship Id="rId73" Type="http://schemas.openxmlformats.org/officeDocument/2006/relationships/hyperlink" Target="https://fantasy.espn.com/football/boxscore?leagueId=11593953&amp;matchupPeriodId=10&amp;scoringPeriodId=10&amp;seasonId=2020&amp;teamId=8&amp;view=scoringperiod" TargetMode="External"/><Relationship Id="rId72" Type="http://schemas.openxmlformats.org/officeDocument/2006/relationships/hyperlink" Target="https://fantasy.espn.com/football/boxscore?leagueId=11593953&amp;matchupPeriodId=9&amp;scoringPeriodId=9&amp;seasonId=2020&amp;teamId=6&amp;view=scoringperiod" TargetMode="External"/><Relationship Id="rId75" Type="http://schemas.openxmlformats.org/officeDocument/2006/relationships/hyperlink" Target="https://fantasy.espn.com/football/boxscore?leagueId=11593953&amp;matchupPeriodId=10&amp;scoringPeriodId=10&amp;seasonId=2020&amp;teamId=6&amp;view=scoringperiod" TargetMode="External"/><Relationship Id="rId74" Type="http://schemas.openxmlformats.org/officeDocument/2006/relationships/hyperlink" Target="https://fantasy.espn.com/football/boxscore?leagueId=11593953&amp;matchupPeriodId=10&amp;scoringPeriodId=10&amp;seasonId=2020&amp;teamId=8&amp;view=scoringperiod" TargetMode="External"/><Relationship Id="rId77" Type="http://schemas.openxmlformats.org/officeDocument/2006/relationships/hyperlink" Target="https://fantasy.espn.com/football/boxscore?leagueId=11593953&amp;matchupPeriodId=10&amp;scoringPeriodId=10&amp;seasonId=2020&amp;teamId=3&amp;view=scoringperiod" TargetMode="External"/><Relationship Id="rId76" Type="http://schemas.openxmlformats.org/officeDocument/2006/relationships/hyperlink" Target="https://fantasy.espn.com/football/boxscore?leagueId=11593953&amp;matchupPeriodId=10&amp;scoringPeriodId=10&amp;seasonId=2020&amp;teamId=6&amp;view=scoringperiod" TargetMode="External"/><Relationship Id="rId79" Type="http://schemas.openxmlformats.org/officeDocument/2006/relationships/hyperlink" Target="https://fantasy.espn.com/football/boxscore?leagueId=11593953&amp;matchupPeriodId=10&amp;scoringPeriodId=10&amp;seasonId=2020&amp;teamId=1&amp;view=scoringperiod" TargetMode="External"/><Relationship Id="rId78" Type="http://schemas.openxmlformats.org/officeDocument/2006/relationships/hyperlink" Target="https://fantasy.espn.com/football/boxscore?leagueId=11593953&amp;matchupPeriodId=10&amp;scoringPeriodId=10&amp;seasonId=2020&amp;teamId=3&amp;view=scoringperiod" TargetMode="External"/><Relationship Id="rId71" Type="http://schemas.openxmlformats.org/officeDocument/2006/relationships/hyperlink" Target="https://fantasy.espn.com/football/boxscore?leagueId=11593953&amp;matchupPeriodId=9&amp;scoringPeriodId=9&amp;seasonId=2020&amp;teamId=6&amp;view=scoringperiod" TargetMode="External"/><Relationship Id="rId70" Type="http://schemas.openxmlformats.org/officeDocument/2006/relationships/hyperlink" Target="https://fantasy.espn.com/football/boxscore?leagueId=11593953&amp;matchupPeriodId=9&amp;scoringPeriodId=9&amp;seasonId=2020&amp;teamId=2&amp;view=scoringperiod" TargetMode="External"/><Relationship Id="rId62" Type="http://schemas.openxmlformats.org/officeDocument/2006/relationships/hyperlink" Target="https://fantasy.espn.com/football/boxscore?leagueId=11593953&amp;matchupPeriodId=8&amp;scoringPeriodId=8&amp;seasonId=2020&amp;teamId=9&amp;view=scoringperiod" TargetMode="External"/><Relationship Id="rId61" Type="http://schemas.openxmlformats.org/officeDocument/2006/relationships/hyperlink" Target="https://fantasy.espn.com/football/boxscore?leagueId=11593953&amp;matchupPeriodId=8&amp;scoringPeriodId=8&amp;seasonId=2020&amp;teamId=9&amp;view=scoringperiod" TargetMode="External"/><Relationship Id="rId64" Type="http://schemas.openxmlformats.org/officeDocument/2006/relationships/hyperlink" Target="https://fantasy.espn.com/football/boxscore?leagueId=11593953&amp;matchupPeriodId=8&amp;scoringPeriodId=8&amp;seasonId=2020&amp;teamId=2&amp;view=scoringperiod" TargetMode="External"/><Relationship Id="rId63" Type="http://schemas.openxmlformats.org/officeDocument/2006/relationships/hyperlink" Target="https://fantasy.espn.com/football/boxscore?leagueId=11593953&amp;matchupPeriodId=8&amp;scoringPeriodId=8&amp;seasonId=2020&amp;teamId=2&amp;view=scoringperiod" TargetMode="External"/><Relationship Id="rId66" Type="http://schemas.openxmlformats.org/officeDocument/2006/relationships/hyperlink" Target="https://fantasy.espn.com/football/boxscore?leagueId=11593953&amp;matchupPeriodId=9&amp;scoringPeriodId=9&amp;seasonId=2020&amp;teamId=8&amp;view=scoringperiod" TargetMode="External"/><Relationship Id="rId65" Type="http://schemas.openxmlformats.org/officeDocument/2006/relationships/hyperlink" Target="https://fantasy.espn.com/football/boxscore?leagueId=11593953&amp;matchupPeriodId=9&amp;scoringPeriodId=9&amp;seasonId=2020&amp;teamId=8&amp;view=scoringperiod" TargetMode="External"/><Relationship Id="rId68" Type="http://schemas.openxmlformats.org/officeDocument/2006/relationships/hyperlink" Target="https://fantasy.espn.com/football/boxscore?leagueId=11593953&amp;matchupPeriodId=9&amp;scoringPeriodId=9&amp;seasonId=2020&amp;teamId=1&amp;view=scoringperiod" TargetMode="External"/><Relationship Id="rId67" Type="http://schemas.openxmlformats.org/officeDocument/2006/relationships/hyperlink" Target="https://fantasy.espn.com/football/boxscore?leagueId=11593953&amp;matchupPeriodId=9&amp;scoringPeriodId=9&amp;seasonId=2020&amp;teamId=1&amp;view=scoringperiod" TargetMode="External"/><Relationship Id="rId60" Type="http://schemas.openxmlformats.org/officeDocument/2006/relationships/hyperlink" Target="https://fantasy.espn.com/football/boxscore?leagueId=11593953&amp;matchupPeriodId=8&amp;scoringPeriodId=8&amp;seasonId=2020&amp;teamId=3&amp;view=scoringperiod" TargetMode="External"/><Relationship Id="rId69" Type="http://schemas.openxmlformats.org/officeDocument/2006/relationships/hyperlink" Target="https://fantasy.espn.com/football/boxscore?leagueId=11593953&amp;matchupPeriodId=9&amp;scoringPeriodId=9&amp;seasonId=2020&amp;teamId=2&amp;view=scoringperiod" TargetMode="External"/><Relationship Id="rId51" Type="http://schemas.openxmlformats.org/officeDocument/2006/relationships/hyperlink" Target="https://fantasy.espn.com/football/boxscore?leagueId=11593953&amp;matchupPeriodId=7&amp;scoringPeriodId=7&amp;seasonId=2020&amp;teamId=3&amp;view=scoringperiod" TargetMode="External"/><Relationship Id="rId50" Type="http://schemas.openxmlformats.org/officeDocument/2006/relationships/hyperlink" Target="https://fantasy.espn.com/football/boxscore?leagueId=11593953&amp;matchupPeriodId=7&amp;scoringPeriodId=7&amp;seasonId=2020&amp;teamId=1&amp;view=scoringperiod" TargetMode="External"/><Relationship Id="rId53" Type="http://schemas.openxmlformats.org/officeDocument/2006/relationships/hyperlink" Target="https://fantasy.espn.com/football/boxscore?leagueId=11593953&amp;matchupPeriodId=7&amp;scoringPeriodId=7&amp;seasonId=2020&amp;teamId=8&amp;view=scoringperiod" TargetMode="External"/><Relationship Id="rId52" Type="http://schemas.openxmlformats.org/officeDocument/2006/relationships/hyperlink" Target="https://fantasy.espn.com/football/boxscore?leagueId=11593953&amp;matchupPeriodId=7&amp;scoringPeriodId=7&amp;seasonId=2020&amp;teamId=3&amp;view=scoringperiod" TargetMode="External"/><Relationship Id="rId55" Type="http://schemas.openxmlformats.org/officeDocument/2006/relationships/hyperlink" Target="https://fantasy.espn.com/football/boxscore?leagueId=11593953&amp;matchupPeriodId=7&amp;scoringPeriodId=7&amp;seasonId=2020&amp;teamId=5&amp;view=scoringperiod" TargetMode="External"/><Relationship Id="rId54" Type="http://schemas.openxmlformats.org/officeDocument/2006/relationships/hyperlink" Target="https://fantasy.espn.com/football/boxscore?leagueId=11593953&amp;matchupPeriodId=7&amp;scoringPeriodId=7&amp;seasonId=2020&amp;teamId=8&amp;view=scoringperiod" TargetMode="External"/><Relationship Id="rId57" Type="http://schemas.openxmlformats.org/officeDocument/2006/relationships/hyperlink" Target="https://fantasy.espn.com/football/boxscore?leagueId=11593953&amp;matchupPeriodId=8&amp;scoringPeriodId=8&amp;seasonId=2020&amp;teamId=5&amp;view=scoringperiod" TargetMode="External"/><Relationship Id="rId56" Type="http://schemas.openxmlformats.org/officeDocument/2006/relationships/hyperlink" Target="https://fantasy.espn.com/football/boxscore?leagueId=11593953&amp;matchupPeriodId=7&amp;scoringPeriodId=7&amp;seasonId=2020&amp;teamId=5&amp;view=scoringperiod" TargetMode="External"/><Relationship Id="rId59" Type="http://schemas.openxmlformats.org/officeDocument/2006/relationships/hyperlink" Target="https://fantasy.espn.com/football/boxscore?leagueId=11593953&amp;matchupPeriodId=8&amp;scoringPeriodId=8&amp;seasonId=2020&amp;teamId=3&amp;view=scoringperiod" TargetMode="External"/><Relationship Id="rId58" Type="http://schemas.openxmlformats.org/officeDocument/2006/relationships/hyperlink" Target="https://fantasy.espn.com/football/boxscore?leagueId=11593953&amp;matchupPeriodId=8&amp;scoringPeriodId=8&amp;seasonId=2020&amp;teamId=5&amp;view=scoringperiod" TargetMode="External"/><Relationship Id="rId107" Type="http://schemas.openxmlformats.org/officeDocument/2006/relationships/hyperlink" Target="https://fantasy.espn.com/football/boxscore?leagueId=11593953&amp;matchupPeriodId=14&amp;scoringPeriodId=14&amp;seasonId=2020&amp;teamId=5&amp;view=scoringperiod" TargetMode="External"/><Relationship Id="rId106" Type="http://schemas.openxmlformats.org/officeDocument/2006/relationships/hyperlink" Target="https://fantasy.espn.com/football/boxscore?leagueId=11593953&amp;matchupPeriodId=14&amp;scoringPeriodId=14&amp;seasonId=2020&amp;teamId=8&amp;view=scoringperiod" TargetMode="External"/><Relationship Id="rId105" Type="http://schemas.openxmlformats.org/officeDocument/2006/relationships/hyperlink" Target="https://fantasy.espn.com/football/boxscore?leagueId=11593953&amp;matchupPeriodId=14&amp;scoringPeriodId=14&amp;seasonId=2020&amp;teamId=8&amp;view=scoringperiod" TargetMode="External"/><Relationship Id="rId104" Type="http://schemas.openxmlformats.org/officeDocument/2006/relationships/hyperlink" Target="https://fantasy.espn.com/football/boxscore?leagueId=11593953&amp;matchupPeriodId=13&amp;scoringPeriodId=13&amp;seasonId=2020&amp;teamId=9&amp;view=scoringperiod" TargetMode="External"/><Relationship Id="rId109" Type="http://schemas.openxmlformats.org/officeDocument/2006/relationships/hyperlink" Target="https://fantasy.espn.com/football/boxscore?leagueId=11593953&amp;matchupPeriodId=14&amp;scoringPeriodId=14&amp;seasonId=2020&amp;teamId=9&amp;view=scoringperiod" TargetMode="External"/><Relationship Id="rId108" Type="http://schemas.openxmlformats.org/officeDocument/2006/relationships/hyperlink" Target="https://fantasy.espn.com/football/boxscore?leagueId=11593953&amp;matchupPeriodId=14&amp;scoringPeriodId=14&amp;seasonId=2020&amp;teamId=5&amp;view=scoringperiod" TargetMode="External"/><Relationship Id="rId103" Type="http://schemas.openxmlformats.org/officeDocument/2006/relationships/hyperlink" Target="https://fantasy.espn.com/football/boxscore?leagueId=11593953&amp;matchupPeriodId=13&amp;scoringPeriodId=13&amp;seasonId=2020&amp;teamId=9&amp;view=scoringperiod" TargetMode="External"/><Relationship Id="rId102" Type="http://schemas.openxmlformats.org/officeDocument/2006/relationships/hyperlink" Target="https://fantasy.espn.com/football/boxscore?leagueId=11593953&amp;matchupPeriodId=13&amp;scoringPeriodId=13&amp;seasonId=2020&amp;teamId=6&amp;view=scoringperiod" TargetMode="External"/><Relationship Id="rId101" Type="http://schemas.openxmlformats.org/officeDocument/2006/relationships/hyperlink" Target="https://fantasy.espn.com/football/boxscore?leagueId=11593953&amp;matchupPeriodId=13&amp;scoringPeriodId=13&amp;seasonId=2020&amp;teamId=6&amp;view=scoringperiod" TargetMode="External"/><Relationship Id="rId100" Type="http://schemas.openxmlformats.org/officeDocument/2006/relationships/hyperlink" Target="https://fantasy.espn.com/football/boxscore?leagueId=11593953&amp;matchupPeriodId=13&amp;scoringPeriodId=13&amp;seasonId=2020&amp;teamId=1&amp;view=scoringperiod" TargetMode="External"/><Relationship Id="rId127" Type="http://schemas.openxmlformats.org/officeDocument/2006/relationships/drawing" Target="../drawings/drawing18.xml"/><Relationship Id="rId126" Type="http://schemas.openxmlformats.org/officeDocument/2006/relationships/hyperlink" Target="https://fantasy.espn.com/football/boxscore?leagueId=11593953&amp;matchupPeriodId=16&amp;scoringPeriodId=16&amp;seasonId=2020&amp;teamId=9&amp;view=scoringperiod" TargetMode="External"/><Relationship Id="rId121" Type="http://schemas.openxmlformats.org/officeDocument/2006/relationships/hyperlink" Target="https://fantasy.espn.com/football/boxscore?leagueId=11593953&amp;matchupPeriodId=16&amp;scoringPeriodId=16&amp;seasonId=2020&amp;teamId=8&amp;view=scoringperiod" TargetMode="External"/><Relationship Id="rId120" Type="http://schemas.openxmlformats.org/officeDocument/2006/relationships/hyperlink" Target="https://fantasy.espn.com/football/boxscore?leagueId=11593953&amp;matchupPeriodId=16&amp;scoringPeriodId=16&amp;seasonId=2020&amp;teamId=6&amp;view=scoringperiod" TargetMode="External"/><Relationship Id="rId125" Type="http://schemas.openxmlformats.org/officeDocument/2006/relationships/hyperlink" Target="https://fantasy.espn.com/football/boxscore?leagueId=11593953&amp;matchupPeriodId=16&amp;scoringPeriodId=16&amp;seasonId=2020&amp;teamId=9&amp;view=scoringperiod" TargetMode="External"/><Relationship Id="rId124" Type="http://schemas.openxmlformats.org/officeDocument/2006/relationships/hyperlink" Target="https://fantasy.espn.com/football/boxscore?leagueId=11593953&amp;matchupPeriodId=16&amp;scoringPeriodId=16&amp;seasonId=2020&amp;teamId=5&amp;view=scoringperiod" TargetMode="External"/><Relationship Id="rId123" Type="http://schemas.openxmlformats.org/officeDocument/2006/relationships/hyperlink" Target="https://fantasy.espn.com/football/boxscore?leagueId=11593953&amp;matchupPeriodId=16&amp;scoringPeriodId=16&amp;seasonId=2020&amp;teamId=5&amp;view=scoringperiod" TargetMode="External"/><Relationship Id="rId122" Type="http://schemas.openxmlformats.org/officeDocument/2006/relationships/hyperlink" Target="https://fantasy.espn.com/football/boxscore?leagueId=11593953&amp;matchupPeriodId=16&amp;scoringPeriodId=16&amp;seasonId=2020&amp;teamId=8&amp;view=scoringperiod" TargetMode="External"/><Relationship Id="rId95" Type="http://schemas.openxmlformats.org/officeDocument/2006/relationships/hyperlink" Target="https://fantasy.espn.com/football/boxscore?leagueId=11593953&amp;matchupPeriodId=12&amp;scoringPeriodId=12&amp;seasonId=2020&amp;teamId=1&amp;view=scoringperiod" TargetMode="External"/><Relationship Id="rId94" Type="http://schemas.openxmlformats.org/officeDocument/2006/relationships/hyperlink" Target="https://fantasy.espn.com/football/boxscore?leagueId=11593953&amp;matchupPeriodId=12&amp;scoringPeriodId=12&amp;seasonId=2020&amp;teamId=4&amp;view=scoringperiod" TargetMode="External"/><Relationship Id="rId97" Type="http://schemas.openxmlformats.org/officeDocument/2006/relationships/hyperlink" Target="https://fantasy.espn.com/football/boxscore?leagueId=11593953&amp;matchupPeriodId=13&amp;scoringPeriodId=13&amp;seasonId=2020&amp;teamId=4&amp;view=scoringperiod" TargetMode="External"/><Relationship Id="rId96" Type="http://schemas.openxmlformats.org/officeDocument/2006/relationships/hyperlink" Target="https://fantasy.espn.com/football/boxscore?leagueId=11593953&amp;matchupPeriodId=12&amp;scoringPeriodId=12&amp;seasonId=2020&amp;teamId=1&amp;view=scoringperiod" TargetMode="External"/><Relationship Id="rId99" Type="http://schemas.openxmlformats.org/officeDocument/2006/relationships/hyperlink" Target="https://fantasy.espn.com/football/boxscore?leagueId=11593953&amp;matchupPeriodId=13&amp;scoringPeriodId=13&amp;seasonId=2020&amp;teamId=1&amp;view=scoringperiod" TargetMode="External"/><Relationship Id="rId98" Type="http://schemas.openxmlformats.org/officeDocument/2006/relationships/hyperlink" Target="https://fantasy.espn.com/football/boxscore?leagueId=11593953&amp;matchupPeriodId=13&amp;scoringPeriodId=13&amp;seasonId=2020&amp;teamId=4&amp;view=scoringperiod" TargetMode="External"/><Relationship Id="rId91" Type="http://schemas.openxmlformats.org/officeDocument/2006/relationships/hyperlink" Target="https://fantasy.espn.com/football/boxscore?leagueId=11593953&amp;matchupPeriodId=12&amp;scoringPeriodId=12&amp;seasonId=2020&amp;teamId=5&amp;view=scoringperiod" TargetMode="External"/><Relationship Id="rId90" Type="http://schemas.openxmlformats.org/officeDocument/2006/relationships/hyperlink" Target="https://fantasy.espn.com/football/boxscore?leagueId=11593953&amp;matchupPeriodId=12&amp;scoringPeriodId=12&amp;seasonId=2020&amp;teamId=9&amp;view=scoringperiod" TargetMode="External"/><Relationship Id="rId93" Type="http://schemas.openxmlformats.org/officeDocument/2006/relationships/hyperlink" Target="https://fantasy.espn.com/football/boxscore?leagueId=11593953&amp;matchupPeriodId=12&amp;scoringPeriodId=12&amp;seasonId=2020&amp;teamId=4&amp;view=scoringperiod" TargetMode="External"/><Relationship Id="rId92" Type="http://schemas.openxmlformats.org/officeDocument/2006/relationships/hyperlink" Target="https://fantasy.espn.com/football/boxscore?leagueId=11593953&amp;matchupPeriodId=12&amp;scoringPeriodId=12&amp;seasonId=2020&amp;teamId=5&amp;view=scoringperiod" TargetMode="External"/><Relationship Id="rId118" Type="http://schemas.openxmlformats.org/officeDocument/2006/relationships/hyperlink" Target="https://fantasy.espn.com/football/boxscore?leagueId=11593953&amp;matchupPeriodId=15&amp;scoringPeriodId=15&amp;seasonId=2020&amp;teamId=9&amp;view=scoringperiod" TargetMode="External"/><Relationship Id="rId117" Type="http://schemas.openxmlformats.org/officeDocument/2006/relationships/hyperlink" Target="https://fantasy.espn.com/football/boxscore?leagueId=11593953&amp;matchupPeriodId=15&amp;scoringPeriodId=15&amp;seasonId=2020&amp;teamId=9&amp;view=scoringperiod" TargetMode="External"/><Relationship Id="rId116" Type="http://schemas.openxmlformats.org/officeDocument/2006/relationships/hyperlink" Target="https://fantasy.espn.com/football/boxscore?leagueId=11593953&amp;matchupPeriodId=15&amp;scoringPeriodId=15&amp;seasonId=2020&amp;teamId=5&amp;view=scoringperiod" TargetMode="External"/><Relationship Id="rId115" Type="http://schemas.openxmlformats.org/officeDocument/2006/relationships/hyperlink" Target="https://fantasy.espn.com/football/boxscore?leagueId=11593953&amp;matchupPeriodId=15&amp;scoringPeriodId=15&amp;seasonId=2020&amp;teamId=5&amp;view=scoringperiod" TargetMode="External"/><Relationship Id="rId119" Type="http://schemas.openxmlformats.org/officeDocument/2006/relationships/hyperlink" Target="https://fantasy.espn.com/football/boxscore?leagueId=11593953&amp;matchupPeriodId=16&amp;scoringPeriodId=16&amp;seasonId=2020&amp;teamId=6&amp;view=scoringperiod" TargetMode="External"/><Relationship Id="rId110" Type="http://schemas.openxmlformats.org/officeDocument/2006/relationships/hyperlink" Target="https://fantasy.espn.com/football/boxscore?leagueId=11593953&amp;matchupPeriodId=14&amp;scoringPeriodId=14&amp;seasonId=2020&amp;teamId=9&amp;view=scoringperiod" TargetMode="External"/><Relationship Id="rId114" Type="http://schemas.openxmlformats.org/officeDocument/2006/relationships/hyperlink" Target="https://fantasy.espn.com/football/boxscore?leagueId=11593953&amp;matchupPeriodId=15&amp;scoringPeriodId=15&amp;seasonId=2020&amp;teamId=2&amp;view=scoringperiod" TargetMode="External"/><Relationship Id="rId113" Type="http://schemas.openxmlformats.org/officeDocument/2006/relationships/hyperlink" Target="https://fantasy.espn.com/football/boxscore?leagueId=11593953&amp;matchupPeriodId=15&amp;scoringPeriodId=15&amp;seasonId=2020&amp;teamId=2&amp;view=scoringperiod" TargetMode="External"/><Relationship Id="rId112" Type="http://schemas.openxmlformats.org/officeDocument/2006/relationships/hyperlink" Target="https://fantasy.espn.com/football/boxscore?leagueId=11593953&amp;matchupPeriodId=15&amp;scoringPeriodId=15&amp;seasonId=2020&amp;teamId=8&amp;view=scoringperiod" TargetMode="External"/><Relationship Id="rId111" Type="http://schemas.openxmlformats.org/officeDocument/2006/relationships/hyperlink" Target="https://fantasy.espn.com/football/boxscore?leagueId=11593953&amp;matchupPeriodId=15&amp;scoringPeriodId=15&amp;seasonId=2020&amp;teamId=8&amp;view=scoringperiod" TargetMode="External"/></Relationships>
</file>

<file path=xl/worksheets/_rels/sheet19.xml.rels><?xml version="1.0" encoding="UTF-8" standalone="yes"?><Relationships xmlns="http://schemas.openxmlformats.org/package/2006/relationships"><Relationship Id="rId150" Type="http://schemas.openxmlformats.org/officeDocument/2006/relationships/hyperlink" Target="https://fantasy.espn.com/football/boxscore?leagueId=11593953&amp;matchupPeriodId=16&amp;scoringPeriodId=16&amp;seasonId=2021&amp;teamId=5&amp;view=scoringperiod" TargetMode="External"/><Relationship Id="rId1" Type="http://schemas.openxmlformats.org/officeDocument/2006/relationships/hyperlink" Target="https://fantasy.espn.com/football/boxscore?leagueId=11593953&amp;matchupPeriodId=1&amp;scoringPeriodId=1&amp;seasonId=2021&amp;teamId=3&amp;view=scoringperiod" TargetMode="External"/><Relationship Id="rId2" Type="http://schemas.openxmlformats.org/officeDocument/2006/relationships/hyperlink" Target="https://fantasy.espn.com/football/boxscore?leagueId=11593953&amp;matchupPeriodId=1&amp;scoringPeriodId=1&amp;seasonId=2021&amp;teamId=3&amp;view=scoringperiod" TargetMode="External"/><Relationship Id="rId3" Type="http://schemas.openxmlformats.org/officeDocument/2006/relationships/hyperlink" Target="https://fantasy.espn.com/football/boxscore?leagueId=11593953&amp;matchupPeriodId=1&amp;scoringPeriodId=1&amp;seasonId=2021&amp;teamId=8&amp;view=scoringperiod" TargetMode="External"/><Relationship Id="rId149" Type="http://schemas.openxmlformats.org/officeDocument/2006/relationships/hyperlink" Target="https://fantasy.espn.com/football/boxscore?leagueId=11593953&amp;matchupPeriodId=16&amp;scoringPeriodId=16&amp;seasonId=2021&amp;teamId=5&amp;view=scoringperiod" TargetMode="External"/><Relationship Id="rId4" Type="http://schemas.openxmlformats.org/officeDocument/2006/relationships/hyperlink" Target="https://fantasy.espn.com/football/boxscore?leagueId=11593953&amp;matchupPeriodId=1&amp;scoringPeriodId=1&amp;seasonId=2021&amp;teamId=8&amp;view=scoringperiod" TargetMode="External"/><Relationship Id="rId148" Type="http://schemas.openxmlformats.org/officeDocument/2006/relationships/hyperlink" Target="https://fantasy.espn.com/football/boxscore?leagueId=11593953&amp;matchupPeriodId=16&amp;scoringPeriodId=16&amp;seasonId=2021&amp;teamId=2&amp;view=scoringperiod" TargetMode="External"/><Relationship Id="rId9" Type="http://schemas.openxmlformats.org/officeDocument/2006/relationships/hyperlink" Target="https://fantasy.espn.com/football/boxscore?leagueId=11593953&amp;matchupPeriodId=1&amp;scoringPeriodId=1&amp;seasonId=2021&amp;teamId=4&amp;view=scoringperiod" TargetMode="External"/><Relationship Id="rId143" Type="http://schemas.openxmlformats.org/officeDocument/2006/relationships/hyperlink" Target="https://fantasy.espn.com/football/boxscore?leagueId=11593953&amp;matchupPeriodId=16&amp;scoringPeriodId=16&amp;seasonId=2021&amp;teamId=6&amp;view=scoringperiod" TargetMode="External"/><Relationship Id="rId142" Type="http://schemas.openxmlformats.org/officeDocument/2006/relationships/hyperlink" Target="https://fantasy.espn.com/football/boxscore?leagueId=11593953&amp;matchupPeriodId=16&amp;scoringPeriodId=16&amp;seasonId=2021&amp;teamId=3&amp;view=scoringperiod" TargetMode="External"/><Relationship Id="rId141" Type="http://schemas.openxmlformats.org/officeDocument/2006/relationships/hyperlink" Target="https://fantasy.espn.com/football/boxscore?leagueId=11593953&amp;matchupPeriodId=16&amp;scoringPeriodId=16&amp;seasonId=2021&amp;teamId=3&amp;view=scoringperiod" TargetMode="External"/><Relationship Id="rId140" Type="http://schemas.openxmlformats.org/officeDocument/2006/relationships/hyperlink" Target="https://fantasy.espn.com/football/boxscore?leagueId=11593953&amp;matchupPeriodId=15&amp;scoringPeriodId=15&amp;seasonId=2021&amp;teamId=5&amp;view=scoringperiod" TargetMode="External"/><Relationship Id="rId5" Type="http://schemas.openxmlformats.org/officeDocument/2006/relationships/hyperlink" Target="https://fantasy.espn.com/football/boxscore?leagueId=11593953&amp;matchupPeriodId=1&amp;scoringPeriodId=1&amp;seasonId=2021&amp;teamId=1&amp;view=scoringperiod" TargetMode="External"/><Relationship Id="rId147" Type="http://schemas.openxmlformats.org/officeDocument/2006/relationships/hyperlink" Target="https://fantasy.espn.com/football/boxscore?leagueId=11593953&amp;matchupPeriodId=16&amp;scoringPeriodId=16&amp;seasonId=2021&amp;teamId=2&amp;view=scoringperiod" TargetMode="External"/><Relationship Id="rId6" Type="http://schemas.openxmlformats.org/officeDocument/2006/relationships/hyperlink" Target="https://fantasy.espn.com/football/boxscore?leagueId=11593953&amp;matchupPeriodId=1&amp;scoringPeriodId=1&amp;seasonId=2021&amp;teamId=1&amp;view=scoringperiod" TargetMode="External"/><Relationship Id="rId146" Type="http://schemas.openxmlformats.org/officeDocument/2006/relationships/hyperlink" Target="https://fantasy.espn.com/football/boxscore?leagueId=11593953&amp;matchupPeriodId=16&amp;scoringPeriodId=16&amp;seasonId=2021&amp;teamId=8&amp;view=scoringperiod" TargetMode="External"/><Relationship Id="rId7" Type="http://schemas.openxmlformats.org/officeDocument/2006/relationships/hyperlink" Target="https://fantasy.espn.com/football/boxscore?leagueId=11593953&amp;matchupPeriodId=1&amp;scoringPeriodId=1&amp;seasonId=2021&amp;teamId=2&amp;view=scoringperiod" TargetMode="External"/><Relationship Id="rId145" Type="http://schemas.openxmlformats.org/officeDocument/2006/relationships/hyperlink" Target="https://fantasy.espn.com/football/boxscore?leagueId=11593953&amp;matchupPeriodId=16&amp;scoringPeriodId=16&amp;seasonId=2021&amp;teamId=8&amp;view=scoringperiod" TargetMode="External"/><Relationship Id="rId8" Type="http://schemas.openxmlformats.org/officeDocument/2006/relationships/hyperlink" Target="https://fantasy.espn.com/football/boxscore?leagueId=11593953&amp;matchupPeriodId=1&amp;scoringPeriodId=1&amp;seasonId=2021&amp;teamId=2&amp;view=scoringperiod" TargetMode="External"/><Relationship Id="rId144" Type="http://schemas.openxmlformats.org/officeDocument/2006/relationships/hyperlink" Target="https://fantasy.espn.com/football/boxscore?leagueId=11593953&amp;matchupPeriodId=16&amp;scoringPeriodId=16&amp;seasonId=2021&amp;teamId=6&amp;view=scoringperiod" TargetMode="External"/><Relationship Id="rId139" Type="http://schemas.openxmlformats.org/officeDocument/2006/relationships/hyperlink" Target="https://fantasy.espn.com/football/boxscore?leagueId=11593953&amp;matchupPeriodId=15&amp;scoringPeriodId=15&amp;seasonId=2021&amp;teamId=5&amp;view=scoringperiod" TargetMode="External"/><Relationship Id="rId138" Type="http://schemas.openxmlformats.org/officeDocument/2006/relationships/hyperlink" Target="https://fantasy.espn.com/football/boxscore?leagueId=11593953&amp;matchupPeriodId=15&amp;scoringPeriodId=15&amp;seasonId=2021&amp;teamId=2&amp;view=scoringperiod" TargetMode="External"/><Relationship Id="rId137" Type="http://schemas.openxmlformats.org/officeDocument/2006/relationships/hyperlink" Target="https://fantasy.espn.com/football/boxscore?leagueId=11593953&amp;matchupPeriodId=15&amp;scoringPeriodId=15&amp;seasonId=2021&amp;teamId=2&amp;view=scoringperiod" TargetMode="External"/><Relationship Id="rId132" Type="http://schemas.openxmlformats.org/officeDocument/2006/relationships/hyperlink" Target="https://fantasy.espn.com/football/boxscore?leagueId=11593953&amp;matchupPeriodId=15&amp;scoringPeriodId=15&amp;seasonId=2021&amp;teamId=1&amp;view=scoringperiod" TargetMode="External"/><Relationship Id="rId131" Type="http://schemas.openxmlformats.org/officeDocument/2006/relationships/hyperlink" Target="https://fantasy.espn.com/football/boxscore?leagueId=11593953&amp;matchupPeriodId=15&amp;scoringPeriodId=15&amp;seasonId=2021&amp;teamId=1&amp;view=scoringperiod" TargetMode="External"/><Relationship Id="rId130" Type="http://schemas.openxmlformats.org/officeDocument/2006/relationships/hyperlink" Target="https://fantasy.espn.com/football/boxscore?leagueId=11593953&amp;matchupPeriodId=14&amp;scoringPeriodId=14&amp;seasonId=2021&amp;teamId=2&amp;view=scoringperiod" TargetMode="External"/><Relationship Id="rId136" Type="http://schemas.openxmlformats.org/officeDocument/2006/relationships/hyperlink" Target="https://fantasy.espn.com/football/boxscore?leagueId=11593953&amp;matchupPeriodId=15&amp;scoringPeriodId=15&amp;seasonId=2021&amp;teamId=4&amp;view=scoringperiod" TargetMode="External"/><Relationship Id="rId135" Type="http://schemas.openxmlformats.org/officeDocument/2006/relationships/hyperlink" Target="https://fantasy.espn.com/football/boxscore?leagueId=11593953&amp;matchupPeriodId=15&amp;scoringPeriodId=15&amp;seasonId=2021&amp;teamId=4&amp;view=scoringperiod" TargetMode="External"/><Relationship Id="rId134" Type="http://schemas.openxmlformats.org/officeDocument/2006/relationships/hyperlink" Target="https://fantasy.espn.com/football/boxscore?leagueId=11593953&amp;matchupPeriodId=15&amp;scoringPeriodId=15&amp;seasonId=2021&amp;teamId=8&amp;view=scoringperiod" TargetMode="External"/><Relationship Id="rId133" Type="http://schemas.openxmlformats.org/officeDocument/2006/relationships/hyperlink" Target="https://fantasy.espn.com/football/boxscore?leagueId=11593953&amp;matchupPeriodId=15&amp;scoringPeriodId=15&amp;seasonId=2021&amp;teamId=8&amp;view=scoringperiod" TargetMode="External"/><Relationship Id="rId161" Type="http://schemas.openxmlformats.org/officeDocument/2006/relationships/drawing" Target="../drawings/drawing19.xml"/><Relationship Id="rId160" Type="http://schemas.openxmlformats.org/officeDocument/2006/relationships/hyperlink" Target="https://fantasy.espn.com/football/boxscore?leagueId=11593953&amp;matchupPeriodId=17&amp;scoringPeriodId=17&amp;seasonId=2021&amp;teamId=5&amp;view=scoringperiod" TargetMode="External"/><Relationship Id="rId159" Type="http://schemas.openxmlformats.org/officeDocument/2006/relationships/hyperlink" Target="https://fantasy.espn.com/football/boxscore?leagueId=11593953&amp;matchupPeriodId=17&amp;scoringPeriodId=17&amp;seasonId=2021&amp;teamId=5&amp;view=scoringperiod" TargetMode="External"/><Relationship Id="rId154" Type="http://schemas.openxmlformats.org/officeDocument/2006/relationships/hyperlink" Target="https://fantasy.espn.com/football/boxscore?leagueId=11593953&amp;matchupPeriodId=17&amp;scoringPeriodId=17&amp;seasonId=2021&amp;teamId=6&amp;view=scoringperiod" TargetMode="External"/><Relationship Id="rId153" Type="http://schemas.openxmlformats.org/officeDocument/2006/relationships/hyperlink" Target="https://fantasy.espn.com/football/boxscore?leagueId=11593953&amp;matchupPeriodId=17&amp;scoringPeriodId=17&amp;seasonId=2021&amp;teamId=6&amp;view=scoringperiod" TargetMode="External"/><Relationship Id="rId152" Type="http://schemas.openxmlformats.org/officeDocument/2006/relationships/hyperlink" Target="https://fantasy.espn.com/football/boxscore?leagueId=11593953&amp;matchupPeriodId=17&amp;scoringPeriodId=17&amp;seasonId=2021&amp;teamId=11&amp;view=scoringperiod" TargetMode="External"/><Relationship Id="rId151" Type="http://schemas.openxmlformats.org/officeDocument/2006/relationships/hyperlink" Target="https://fantasy.espn.com/football/boxscore?leagueId=11593953&amp;matchupPeriodId=17&amp;scoringPeriodId=17&amp;seasonId=2021&amp;teamId=11&amp;view=scoringperiod" TargetMode="External"/><Relationship Id="rId158" Type="http://schemas.openxmlformats.org/officeDocument/2006/relationships/hyperlink" Target="https://fantasy.espn.com/football/boxscore?leagueId=11593953&amp;matchupPeriodId=17&amp;scoringPeriodId=17&amp;seasonId=2021&amp;teamId=8&amp;view=scoringperiod" TargetMode="External"/><Relationship Id="rId157" Type="http://schemas.openxmlformats.org/officeDocument/2006/relationships/hyperlink" Target="https://fantasy.espn.com/football/boxscore?leagueId=11593953&amp;matchupPeriodId=17&amp;scoringPeriodId=17&amp;seasonId=2021&amp;teamId=8&amp;view=scoringperiod" TargetMode="External"/><Relationship Id="rId156" Type="http://schemas.openxmlformats.org/officeDocument/2006/relationships/hyperlink" Target="https://fantasy.espn.com/football/boxscore?leagueId=11593953&amp;matchupPeriodId=17&amp;scoringPeriodId=17&amp;seasonId=2021&amp;teamId=9&amp;view=scoringperiod" TargetMode="External"/><Relationship Id="rId155" Type="http://schemas.openxmlformats.org/officeDocument/2006/relationships/hyperlink" Target="https://fantasy.espn.com/football/boxscore?leagueId=11593953&amp;matchupPeriodId=17&amp;scoringPeriodId=17&amp;seasonId=2021&amp;teamId=9&amp;view=scoringperiod" TargetMode="External"/><Relationship Id="rId40" Type="http://schemas.openxmlformats.org/officeDocument/2006/relationships/hyperlink" Target="https://fantasy.espn.com/football/boxscore?leagueId=11593953&amp;matchupPeriodId=4&amp;scoringPeriodId=4&amp;seasonId=2021&amp;teamId=11&amp;view=scoringperiod" TargetMode="External"/><Relationship Id="rId42" Type="http://schemas.openxmlformats.org/officeDocument/2006/relationships/hyperlink" Target="https://fantasy.espn.com/football/boxscore?leagueId=11593953&amp;matchupPeriodId=5&amp;scoringPeriodId=5&amp;seasonId=2021&amp;teamId=3&amp;view=scoringperiod" TargetMode="External"/><Relationship Id="rId41" Type="http://schemas.openxmlformats.org/officeDocument/2006/relationships/hyperlink" Target="https://fantasy.espn.com/football/boxscore?leagueId=11593953&amp;matchupPeriodId=5&amp;scoringPeriodId=5&amp;seasonId=2021&amp;teamId=3&amp;view=scoringperiod" TargetMode="External"/><Relationship Id="rId44" Type="http://schemas.openxmlformats.org/officeDocument/2006/relationships/hyperlink" Target="https://fantasy.espn.com/football/boxscore?leagueId=11593953&amp;matchupPeriodId=5&amp;scoringPeriodId=5&amp;seasonId=2021&amp;teamId=1&amp;view=scoringperiod" TargetMode="External"/><Relationship Id="rId43" Type="http://schemas.openxmlformats.org/officeDocument/2006/relationships/hyperlink" Target="https://fantasy.espn.com/football/boxscore?leagueId=11593953&amp;matchupPeriodId=5&amp;scoringPeriodId=5&amp;seasonId=2021&amp;teamId=1&amp;view=scoringperiod" TargetMode="External"/><Relationship Id="rId46" Type="http://schemas.openxmlformats.org/officeDocument/2006/relationships/hyperlink" Target="https://fantasy.espn.com/football/boxscore?leagueId=11593953&amp;matchupPeriodId=5&amp;scoringPeriodId=5&amp;seasonId=2021&amp;teamId=6&amp;view=scoringperiod" TargetMode="External"/><Relationship Id="rId45" Type="http://schemas.openxmlformats.org/officeDocument/2006/relationships/hyperlink" Target="https://fantasy.espn.com/football/boxscore?leagueId=11593953&amp;matchupPeriodId=5&amp;scoringPeriodId=5&amp;seasonId=2021&amp;teamId=6&amp;view=scoringperiod" TargetMode="External"/><Relationship Id="rId48" Type="http://schemas.openxmlformats.org/officeDocument/2006/relationships/hyperlink" Target="https://fantasy.espn.com/football/boxscore?leagueId=11593953&amp;matchupPeriodId=5&amp;scoringPeriodId=5&amp;seasonId=2021&amp;teamId=4&amp;view=scoringperiod" TargetMode="External"/><Relationship Id="rId47" Type="http://schemas.openxmlformats.org/officeDocument/2006/relationships/hyperlink" Target="https://fantasy.espn.com/football/boxscore?leagueId=11593953&amp;matchupPeriodId=5&amp;scoringPeriodId=5&amp;seasonId=2021&amp;teamId=4&amp;view=scoringperiod" TargetMode="External"/><Relationship Id="rId49" Type="http://schemas.openxmlformats.org/officeDocument/2006/relationships/hyperlink" Target="https://fantasy.espn.com/football/boxscore?leagueId=11593953&amp;matchupPeriodId=6&amp;scoringPeriodId=6&amp;seasonId=2021&amp;teamId=3&amp;view=scoringperiod" TargetMode="External"/><Relationship Id="rId31" Type="http://schemas.openxmlformats.org/officeDocument/2006/relationships/hyperlink" Target="https://fantasy.espn.com/football/boxscore?leagueId=11593953&amp;matchupPeriodId=4&amp;scoringPeriodId=4&amp;seasonId=2021&amp;teamId=3&amp;view=scoringperiod" TargetMode="External"/><Relationship Id="rId30" Type="http://schemas.openxmlformats.org/officeDocument/2006/relationships/hyperlink" Target="https://fantasy.espn.com/football/boxscore?leagueId=11593953&amp;matchupPeriodId=3&amp;scoringPeriodId=3&amp;seasonId=2021&amp;teamId=11&amp;view=scoringperiod" TargetMode="External"/><Relationship Id="rId33" Type="http://schemas.openxmlformats.org/officeDocument/2006/relationships/hyperlink" Target="https://fantasy.espn.com/football/boxscore?leagueId=11593953&amp;matchupPeriodId=4&amp;scoringPeriodId=4&amp;seasonId=2021&amp;teamId=8&amp;view=scoringperiod" TargetMode="External"/><Relationship Id="rId32" Type="http://schemas.openxmlformats.org/officeDocument/2006/relationships/hyperlink" Target="https://fantasy.espn.com/football/boxscore?leagueId=11593953&amp;matchupPeriodId=4&amp;scoringPeriodId=4&amp;seasonId=2021&amp;teamId=3&amp;view=scoringperiod" TargetMode="External"/><Relationship Id="rId35" Type="http://schemas.openxmlformats.org/officeDocument/2006/relationships/hyperlink" Target="https://fantasy.espn.com/football/boxscore?leagueId=11593953&amp;matchupPeriodId=4&amp;scoringPeriodId=4&amp;seasonId=2021&amp;teamId=1&amp;view=scoringperiod" TargetMode="External"/><Relationship Id="rId34" Type="http://schemas.openxmlformats.org/officeDocument/2006/relationships/hyperlink" Target="https://fantasy.espn.com/football/boxscore?leagueId=11593953&amp;matchupPeriodId=4&amp;scoringPeriodId=4&amp;seasonId=2021&amp;teamId=8&amp;view=scoringperiod" TargetMode="External"/><Relationship Id="rId37" Type="http://schemas.openxmlformats.org/officeDocument/2006/relationships/hyperlink" Target="https://fantasy.espn.com/football/boxscore?leagueId=11593953&amp;matchupPeriodId=4&amp;scoringPeriodId=4&amp;seasonId=2021&amp;teamId=9&amp;view=scoringperiod" TargetMode="External"/><Relationship Id="rId36" Type="http://schemas.openxmlformats.org/officeDocument/2006/relationships/hyperlink" Target="https://fantasy.espn.com/football/boxscore?leagueId=11593953&amp;matchupPeriodId=4&amp;scoringPeriodId=4&amp;seasonId=2021&amp;teamId=1&amp;view=scoringperiod" TargetMode="External"/><Relationship Id="rId39" Type="http://schemas.openxmlformats.org/officeDocument/2006/relationships/hyperlink" Target="https://fantasy.espn.com/football/boxscore?leagueId=11593953&amp;matchupPeriodId=4&amp;scoringPeriodId=4&amp;seasonId=2021&amp;teamId=11&amp;view=scoringperiod" TargetMode="External"/><Relationship Id="rId38" Type="http://schemas.openxmlformats.org/officeDocument/2006/relationships/hyperlink" Target="https://fantasy.espn.com/football/boxscore?leagueId=11593953&amp;matchupPeriodId=4&amp;scoringPeriodId=4&amp;seasonId=2021&amp;teamId=9&amp;view=scoringperiod" TargetMode="External"/><Relationship Id="rId20" Type="http://schemas.openxmlformats.org/officeDocument/2006/relationships/hyperlink" Target="https://fantasy.espn.com/football/boxscore?leagueId=11593953&amp;matchupPeriodId=2&amp;scoringPeriodId=2&amp;seasonId=2021&amp;teamId=5&amp;view=scoringperiod" TargetMode="External"/><Relationship Id="rId22" Type="http://schemas.openxmlformats.org/officeDocument/2006/relationships/hyperlink" Target="https://fantasy.espn.com/football/boxscore?leagueId=11593953&amp;matchupPeriodId=3&amp;scoringPeriodId=3&amp;seasonId=2021&amp;teamId=3&amp;view=scoringperiod" TargetMode="External"/><Relationship Id="rId21" Type="http://schemas.openxmlformats.org/officeDocument/2006/relationships/hyperlink" Target="https://fantasy.espn.com/football/boxscore?leagueId=11593953&amp;matchupPeriodId=3&amp;scoringPeriodId=3&amp;seasonId=2021&amp;teamId=3&amp;view=scoringperiod" TargetMode="External"/><Relationship Id="rId24" Type="http://schemas.openxmlformats.org/officeDocument/2006/relationships/hyperlink" Target="https://fantasy.espn.com/football/boxscore?leagueId=11593953&amp;matchupPeriodId=3&amp;scoringPeriodId=3&amp;seasonId=2021&amp;teamId=8&amp;view=scoringperiod" TargetMode="External"/><Relationship Id="rId23" Type="http://schemas.openxmlformats.org/officeDocument/2006/relationships/hyperlink" Target="https://fantasy.espn.com/football/boxscore?leagueId=11593953&amp;matchupPeriodId=3&amp;scoringPeriodId=3&amp;seasonId=2021&amp;teamId=8&amp;view=scoringperiod" TargetMode="External"/><Relationship Id="rId26" Type="http://schemas.openxmlformats.org/officeDocument/2006/relationships/hyperlink" Target="https://fantasy.espn.com/football/boxscore?leagueId=11593953&amp;matchupPeriodId=3&amp;scoringPeriodId=3&amp;seasonId=2021&amp;teamId=1&amp;view=scoringperiod" TargetMode="External"/><Relationship Id="rId25" Type="http://schemas.openxmlformats.org/officeDocument/2006/relationships/hyperlink" Target="https://fantasy.espn.com/football/boxscore?leagueId=11593953&amp;matchupPeriodId=3&amp;scoringPeriodId=3&amp;seasonId=2021&amp;teamId=1&amp;view=scoringperiod" TargetMode="External"/><Relationship Id="rId28" Type="http://schemas.openxmlformats.org/officeDocument/2006/relationships/hyperlink" Target="https://fantasy.espn.com/football/boxscore?leagueId=11593953&amp;matchupPeriodId=3&amp;scoringPeriodId=3&amp;seasonId=2021&amp;teamId=9&amp;view=scoringperiod" TargetMode="External"/><Relationship Id="rId27" Type="http://schemas.openxmlformats.org/officeDocument/2006/relationships/hyperlink" Target="https://fantasy.espn.com/football/boxscore?leagueId=11593953&amp;matchupPeriodId=3&amp;scoringPeriodId=3&amp;seasonId=2021&amp;teamId=9&amp;view=scoringperiod" TargetMode="External"/><Relationship Id="rId29" Type="http://schemas.openxmlformats.org/officeDocument/2006/relationships/hyperlink" Target="https://fantasy.espn.com/football/boxscore?leagueId=11593953&amp;matchupPeriodId=3&amp;scoringPeriodId=3&amp;seasonId=2021&amp;teamId=11&amp;view=scoringperiod" TargetMode="External"/><Relationship Id="rId11" Type="http://schemas.openxmlformats.org/officeDocument/2006/relationships/hyperlink" Target="https://fantasy.espn.com/football/boxscore?leagueId=11593953&amp;matchupPeriodId=2&amp;scoringPeriodId=2&amp;seasonId=2021&amp;teamId=3&amp;view=scoringperiod" TargetMode="External"/><Relationship Id="rId10" Type="http://schemas.openxmlformats.org/officeDocument/2006/relationships/hyperlink" Target="https://fantasy.espn.com/football/boxscore?leagueId=11593953&amp;matchupPeriodId=1&amp;scoringPeriodId=1&amp;seasonId=2021&amp;teamId=4&amp;view=scoringperiod" TargetMode="External"/><Relationship Id="rId13" Type="http://schemas.openxmlformats.org/officeDocument/2006/relationships/hyperlink" Target="https://fantasy.espn.com/football/boxscore?leagueId=11593953&amp;matchupPeriodId=2&amp;scoringPeriodId=2&amp;seasonId=2021&amp;teamId=8&amp;view=scoringperiod" TargetMode="External"/><Relationship Id="rId12" Type="http://schemas.openxmlformats.org/officeDocument/2006/relationships/hyperlink" Target="https://fantasy.espn.com/football/boxscore?leagueId=11593953&amp;matchupPeriodId=2&amp;scoringPeriodId=2&amp;seasonId=2021&amp;teamId=3&amp;view=scoringperiod" TargetMode="External"/><Relationship Id="rId15" Type="http://schemas.openxmlformats.org/officeDocument/2006/relationships/hyperlink" Target="https://fantasy.espn.com/football/boxscore?leagueId=11593953&amp;matchupPeriodId=2&amp;scoringPeriodId=2&amp;seasonId=2021&amp;teamId=9&amp;view=scoringperiod" TargetMode="External"/><Relationship Id="rId14" Type="http://schemas.openxmlformats.org/officeDocument/2006/relationships/hyperlink" Target="https://fantasy.espn.com/football/boxscore?leagueId=11593953&amp;matchupPeriodId=2&amp;scoringPeriodId=2&amp;seasonId=2021&amp;teamId=8&amp;view=scoringperiod" TargetMode="External"/><Relationship Id="rId17" Type="http://schemas.openxmlformats.org/officeDocument/2006/relationships/hyperlink" Target="https://fantasy.espn.com/football/boxscore?leagueId=11593953&amp;matchupPeriodId=2&amp;scoringPeriodId=2&amp;seasonId=2021&amp;teamId=6&amp;view=scoringperiod" TargetMode="External"/><Relationship Id="rId16" Type="http://schemas.openxmlformats.org/officeDocument/2006/relationships/hyperlink" Target="https://fantasy.espn.com/football/boxscore?leagueId=11593953&amp;matchupPeriodId=2&amp;scoringPeriodId=2&amp;seasonId=2021&amp;teamId=9&amp;view=scoringperiod" TargetMode="External"/><Relationship Id="rId19" Type="http://schemas.openxmlformats.org/officeDocument/2006/relationships/hyperlink" Target="https://fantasy.espn.com/football/boxscore?leagueId=11593953&amp;matchupPeriodId=2&amp;scoringPeriodId=2&amp;seasonId=2021&amp;teamId=5&amp;view=scoringperiod" TargetMode="External"/><Relationship Id="rId18" Type="http://schemas.openxmlformats.org/officeDocument/2006/relationships/hyperlink" Target="https://fantasy.espn.com/football/boxscore?leagueId=11593953&amp;matchupPeriodId=2&amp;scoringPeriodId=2&amp;seasonId=2021&amp;teamId=6&amp;view=scoringperiod" TargetMode="External"/><Relationship Id="rId84" Type="http://schemas.openxmlformats.org/officeDocument/2006/relationships/hyperlink" Target="https://fantasy.espn.com/football/boxscore?leagueId=11593953&amp;matchupPeriodId=10&amp;scoringPeriodId=10&amp;seasonId=2021&amp;teamId=8&amp;view=scoringperiod" TargetMode="External"/><Relationship Id="rId83" Type="http://schemas.openxmlformats.org/officeDocument/2006/relationships/hyperlink" Target="https://fantasy.espn.com/football/boxscore?leagueId=11593953&amp;matchupPeriodId=10&amp;scoringPeriodId=10&amp;seasonId=2021&amp;teamId=8&amp;view=scoringperiod" TargetMode="External"/><Relationship Id="rId86" Type="http://schemas.openxmlformats.org/officeDocument/2006/relationships/hyperlink" Target="https://fantasy.espn.com/football/boxscore?leagueId=11593953&amp;matchupPeriodId=10&amp;scoringPeriodId=10&amp;seasonId=2021&amp;teamId=1&amp;view=scoringperiod" TargetMode="External"/><Relationship Id="rId85" Type="http://schemas.openxmlformats.org/officeDocument/2006/relationships/hyperlink" Target="https://fantasy.espn.com/football/boxscore?leagueId=11593953&amp;matchupPeriodId=10&amp;scoringPeriodId=10&amp;seasonId=2021&amp;teamId=1&amp;view=scoringperiod" TargetMode="External"/><Relationship Id="rId88" Type="http://schemas.openxmlformats.org/officeDocument/2006/relationships/hyperlink" Target="https://fantasy.espn.com/football/boxscore?leagueId=11593953&amp;matchupPeriodId=10&amp;scoringPeriodId=10&amp;seasonId=2021&amp;teamId=9&amp;view=scoringperiod" TargetMode="External"/><Relationship Id="rId87" Type="http://schemas.openxmlformats.org/officeDocument/2006/relationships/hyperlink" Target="https://fantasy.espn.com/football/boxscore?leagueId=11593953&amp;matchupPeriodId=10&amp;scoringPeriodId=10&amp;seasonId=2021&amp;teamId=9&amp;view=scoringperiod" TargetMode="External"/><Relationship Id="rId89" Type="http://schemas.openxmlformats.org/officeDocument/2006/relationships/hyperlink" Target="https://fantasy.espn.com/football/boxscore?leagueId=11593953&amp;matchupPeriodId=10&amp;scoringPeriodId=10&amp;seasonId=2021&amp;teamId=11&amp;view=scoringperiod" TargetMode="External"/><Relationship Id="rId80" Type="http://schemas.openxmlformats.org/officeDocument/2006/relationships/hyperlink" Target="https://fantasy.espn.com/football/boxscore?leagueId=11593953&amp;matchupPeriodId=9&amp;scoringPeriodId=9&amp;seasonId=2021&amp;teamId=4&amp;view=scoringperiod" TargetMode="External"/><Relationship Id="rId82" Type="http://schemas.openxmlformats.org/officeDocument/2006/relationships/hyperlink" Target="https://fantasy.espn.com/football/boxscore?leagueId=11593953&amp;matchupPeriodId=10&amp;scoringPeriodId=10&amp;seasonId=2021&amp;teamId=3&amp;view=scoringperiod" TargetMode="External"/><Relationship Id="rId81" Type="http://schemas.openxmlformats.org/officeDocument/2006/relationships/hyperlink" Target="https://fantasy.espn.com/football/boxscore?leagueId=11593953&amp;matchupPeriodId=10&amp;scoringPeriodId=10&amp;seasonId=2021&amp;teamId=3&amp;view=scoringperiod" TargetMode="External"/><Relationship Id="rId73" Type="http://schemas.openxmlformats.org/officeDocument/2006/relationships/hyperlink" Target="https://fantasy.espn.com/football/boxscore?leagueId=11593953&amp;matchupPeriodId=9&amp;scoringPeriodId=9&amp;seasonId=2021&amp;teamId=8&amp;view=scoringperiod" TargetMode="External"/><Relationship Id="rId72" Type="http://schemas.openxmlformats.org/officeDocument/2006/relationships/hyperlink" Target="https://fantasy.espn.com/football/boxscore?leagueId=11593953&amp;matchupPeriodId=8&amp;scoringPeriodId=8&amp;seasonId=2021&amp;teamId=2&amp;view=scoringperiod" TargetMode="External"/><Relationship Id="rId75" Type="http://schemas.openxmlformats.org/officeDocument/2006/relationships/hyperlink" Target="https://fantasy.espn.com/football/boxscore?leagueId=11593953&amp;matchupPeriodId=9&amp;scoringPeriodId=9&amp;seasonId=2021&amp;teamId=1&amp;view=scoringperiod" TargetMode="External"/><Relationship Id="rId74" Type="http://schemas.openxmlformats.org/officeDocument/2006/relationships/hyperlink" Target="https://fantasy.espn.com/football/boxscore?leagueId=11593953&amp;matchupPeriodId=9&amp;scoringPeriodId=9&amp;seasonId=2021&amp;teamId=8&amp;view=scoringperiod" TargetMode="External"/><Relationship Id="rId77" Type="http://schemas.openxmlformats.org/officeDocument/2006/relationships/hyperlink" Target="https://fantasy.espn.com/football/boxscore?leagueId=11593953&amp;matchupPeriodId=9&amp;scoringPeriodId=9&amp;seasonId=2021&amp;teamId=2&amp;view=scoringperiod" TargetMode="External"/><Relationship Id="rId76" Type="http://schemas.openxmlformats.org/officeDocument/2006/relationships/hyperlink" Target="https://fantasy.espn.com/football/boxscore?leagueId=11593953&amp;matchupPeriodId=9&amp;scoringPeriodId=9&amp;seasonId=2021&amp;teamId=1&amp;view=scoringperiod" TargetMode="External"/><Relationship Id="rId79" Type="http://schemas.openxmlformats.org/officeDocument/2006/relationships/hyperlink" Target="https://fantasy.espn.com/football/boxscore?leagueId=11593953&amp;matchupPeriodId=9&amp;scoringPeriodId=9&amp;seasonId=2021&amp;teamId=4&amp;view=scoringperiod" TargetMode="External"/><Relationship Id="rId78" Type="http://schemas.openxmlformats.org/officeDocument/2006/relationships/hyperlink" Target="https://fantasy.espn.com/football/boxscore?leagueId=11593953&amp;matchupPeriodId=9&amp;scoringPeriodId=9&amp;seasonId=2021&amp;teamId=2&amp;view=scoringperiod" TargetMode="External"/><Relationship Id="rId71" Type="http://schemas.openxmlformats.org/officeDocument/2006/relationships/hyperlink" Target="https://fantasy.espn.com/football/boxscore?leagueId=11593953&amp;matchupPeriodId=8&amp;scoringPeriodId=8&amp;seasonId=2021&amp;teamId=2&amp;view=scoringperiod" TargetMode="External"/><Relationship Id="rId70" Type="http://schemas.openxmlformats.org/officeDocument/2006/relationships/hyperlink" Target="https://fantasy.espn.com/football/boxscore?leagueId=11593953&amp;matchupPeriodId=8&amp;scoringPeriodId=8&amp;seasonId=2021&amp;teamId=6&amp;view=scoringperiod" TargetMode="External"/><Relationship Id="rId62" Type="http://schemas.openxmlformats.org/officeDocument/2006/relationships/hyperlink" Target="https://fantasy.espn.com/football/boxscore?leagueId=11593953&amp;matchupPeriodId=7&amp;scoringPeriodId=7&amp;seasonId=2021&amp;teamId=6&amp;view=scoringperiod" TargetMode="External"/><Relationship Id="rId61" Type="http://schemas.openxmlformats.org/officeDocument/2006/relationships/hyperlink" Target="https://fantasy.espn.com/football/boxscore?leagueId=11593953&amp;matchupPeriodId=7&amp;scoringPeriodId=7&amp;seasonId=2021&amp;teamId=6&amp;view=scoringperiod" TargetMode="External"/><Relationship Id="rId64" Type="http://schemas.openxmlformats.org/officeDocument/2006/relationships/hyperlink" Target="https://fantasy.espn.com/football/boxscore?leagueId=11593953&amp;matchupPeriodId=7&amp;scoringPeriodId=7&amp;seasonId=2021&amp;teamId=2&amp;view=scoringperiod" TargetMode="External"/><Relationship Id="rId63" Type="http://schemas.openxmlformats.org/officeDocument/2006/relationships/hyperlink" Target="https://fantasy.espn.com/football/boxscore?leagueId=11593953&amp;matchupPeriodId=7&amp;scoringPeriodId=7&amp;seasonId=2021&amp;teamId=2&amp;view=scoringperiod" TargetMode="External"/><Relationship Id="rId66" Type="http://schemas.openxmlformats.org/officeDocument/2006/relationships/hyperlink" Target="https://fantasy.espn.com/football/boxscore?leagueId=11593953&amp;matchupPeriodId=8&amp;scoringPeriodId=8&amp;seasonId=2021&amp;teamId=3&amp;view=scoringperiod" TargetMode="External"/><Relationship Id="rId65" Type="http://schemas.openxmlformats.org/officeDocument/2006/relationships/hyperlink" Target="https://fantasy.espn.com/football/boxscore?leagueId=11593953&amp;matchupPeriodId=8&amp;scoringPeriodId=8&amp;seasonId=2021&amp;teamId=3&amp;view=scoringperiod" TargetMode="External"/><Relationship Id="rId68" Type="http://schemas.openxmlformats.org/officeDocument/2006/relationships/hyperlink" Target="https://fantasy.espn.com/football/boxscore?leagueId=11593953&amp;matchupPeriodId=8&amp;scoringPeriodId=8&amp;seasonId=2021&amp;teamId=8&amp;view=scoringperiod" TargetMode="External"/><Relationship Id="rId67" Type="http://schemas.openxmlformats.org/officeDocument/2006/relationships/hyperlink" Target="https://fantasy.espn.com/football/boxscore?leagueId=11593953&amp;matchupPeriodId=8&amp;scoringPeriodId=8&amp;seasonId=2021&amp;teamId=8&amp;view=scoringperiod" TargetMode="External"/><Relationship Id="rId60" Type="http://schemas.openxmlformats.org/officeDocument/2006/relationships/hyperlink" Target="https://fantasy.espn.com/football/boxscore?leagueId=11593953&amp;matchupPeriodId=7&amp;scoringPeriodId=7&amp;seasonId=2021&amp;teamId=8&amp;view=scoringperiod" TargetMode="External"/><Relationship Id="rId69" Type="http://schemas.openxmlformats.org/officeDocument/2006/relationships/hyperlink" Target="https://fantasy.espn.com/football/boxscore?leagueId=11593953&amp;matchupPeriodId=8&amp;scoringPeriodId=8&amp;seasonId=2021&amp;teamId=6&amp;view=scoringperiod" TargetMode="External"/><Relationship Id="rId51" Type="http://schemas.openxmlformats.org/officeDocument/2006/relationships/hyperlink" Target="https://fantasy.espn.com/football/boxscore?leagueId=11593953&amp;matchupPeriodId=6&amp;scoringPeriodId=6&amp;seasonId=2021&amp;teamId=9&amp;view=scoringperiod" TargetMode="External"/><Relationship Id="rId50" Type="http://schemas.openxmlformats.org/officeDocument/2006/relationships/hyperlink" Target="https://fantasy.espn.com/football/boxscore?leagueId=11593953&amp;matchupPeriodId=6&amp;scoringPeriodId=6&amp;seasonId=2021&amp;teamId=3&amp;view=scoringperiod" TargetMode="External"/><Relationship Id="rId53" Type="http://schemas.openxmlformats.org/officeDocument/2006/relationships/hyperlink" Target="https://fantasy.espn.com/football/boxscore?leagueId=11593953&amp;matchupPeriodId=6&amp;scoringPeriodId=6&amp;seasonId=2021&amp;teamId=6&amp;view=scoringperiod" TargetMode="External"/><Relationship Id="rId52" Type="http://schemas.openxmlformats.org/officeDocument/2006/relationships/hyperlink" Target="https://fantasy.espn.com/football/boxscore?leagueId=11593953&amp;matchupPeriodId=6&amp;scoringPeriodId=6&amp;seasonId=2021&amp;teamId=9&amp;view=scoringperiod" TargetMode="External"/><Relationship Id="rId55" Type="http://schemas.openxmlformats.org/officeDocument/2006/relationships/hyperlink" Target="https://fantasy.espn.com/football/boxscore?leagueId=11593953&amp;matchupPeriodId=6&amp;scoringPeriodId=6&amp;seasonId=2021&amp;teamId=5&amp;view=scoringperiod" TargetMode="External"/><Relationship Id="rId54" Type="http://schemas.openxmlformats.org/officeDocument/2006/relationships/hyperlink" Target="https://fantasy.espn.com/football/boxscore?leagueId=11593953&amp;matchupPeriodId=6&amp;scoringPeriodId=6&amp;seasonId=2021&amp;teamId=6&amp;view=scoringperiod" TargetMode="External"/><Relationship Id="rId57" Type="http://schemas.openxmlformats.org/officeDocument/2006/relationships/hyperlink" Target="https://fantasy.espn.com/football/boxscore?leagueId=11593953&amp;matchupPeriodId=7&amp;scoringPeriodId=7&amp;seasonId=2021&amp;teamId=3&amp;view=scoringperiod" TargetMode="External"/><Relationship Id="rId56" Type="http://schemas.openxmlformats.org/officeDocument/2006/relationships/hyperlink" Target="https://fantasy.espn.com/football/boxscore?leagueId=11593953&amp;matchupPeriodId=6&amp;scoringPeriodId=6&amp;seasonId=2021&amp;teamId=5&amp;view=scoringperiod" TargetMode="External"/><Relationship Id="rId59" Type="http://schemas.openxmlformats.org/officeDocument/2006/relationships/hyperlink" Target="https://fantasy.espn.com/football/boxscore?leagueId=11593953&amp;matchupPeriodId=7&amp;scoringPeriodId=7&amp;seasonId=2021&amp;teamId=8&amp;view=scoringperiod" TargetMode="External"/><Relationship Id="rId58" Type="http://schemas.openxmlformats.org/officeDocument/2006/relationships/hyperlink" Target="https://fantasy.espn.com/football/boxscore?leagueId=11593953&amp;matchupPeriodId=7&amp;scoringPeriodId=7&amp;seasonId=2021&amp;teamId=3&amp;view=scoringperiod" TargetMode="External"/><Relationship Id="rId107" Type="http://schemas.openxmlformats.org/officeDocument/2006/relationships/hyperlink" Target="https://fantasy.espn.com/football/boxscore?leagueId=11593953&amp;matchupPeriodId=12&amp;scoringPeriodId=12&amp;seasonId=2021&amp;teamId=6&amp;view=scoringperiod" TargetMode="External"/><Relationship Id="rId106" Type="http://schemas.openxmlformats.org/officeDocument/2006/relationships/hyperlink" Target="https://fantasy.espn.com/football/boxscore?leagueId=11593953&amp;matchupPeriodId=12&amp;scoringPeriodId=12&amp;seasonId=2021&amp;teamId=1&amp;view=scoringperiod" TargetMode="External"/><Relationship Id="rId105" Type="http://schemas.openxmlformats.org/officeDocument/2006/relationships/hyperlink" Target="https://fantasy.espn.com/football/boxscore?leagueId=11593953&amp;matchupPeriodId=12&amp;scoringPeriodId=12&amp;seasonId=2021&amp;teamId=1&amp;view=scoringperiod" TargetMode="External"/><Relationship Id="rId104" Type="http://schemas.openxmlformats.org/officeDocument/2006/relationships/hyperlink" Target="https://fantasy.espn.com/football/boxscore?leagueId=11593953&amp;matchupPeriodId=12&amp;scoringPeriodId=12&amp;seasonId=2021&amp;teamId=8&amp;view=scoringperiod" TargetMode="External"/><Relationship Id="rId109" Type="http://schemas.openxmlformats.org/officeDocument/2006/relationships/hyperlink" Target="https://fantasy.espn.com/football/boxscore?leagueId=11593953&amp;matchupPeriodId=12&amp;scoringPeriodId=12&amp;seasonId=2021&amp;teamId=2&amp;view=scoringperiod" TargetMode="External"/><Relationship Id="rId108" Type="http://schemas.openxmlformats.org/officeDocument/2006/relationships/hyperlink" Target="https://fantasy.espn.com/football/boxscore?leagueId=11593953&amp;matchupPeriodId=12&amp;scoringPeriodId=12&amp;seasonId=2021&amp;teamId=6&amp;view=scoringperiod" TargetMode="External"/><Relationship Id="rId103" Type="http://schemas.openxmlformats.org/officeDocument/2006/relationships/hyperlink" Target="https://fantasy.espn.com/football/boxscore?leagueId=11593953&amp;matchupPeriodId=12&amp;scoringPeriodId=12&amp;seasonId=2021&amp;teamId=8&amp;view=scoringperiod" TargetMode="External"/><Relationship Id="rId102" Type="http://schemas.openxmlformats.org/officeDocument/2006/relationships/hyperlink" Target="https://fantasy.espn.com/football/boxscore?leagueId=11593953&amp;matchupPeriodId=12&amp;scoringPeriodId=12&amp;seasonId=2021&amp;teamId=3&amp;view=scoringperiod" TargetMode="External"/><Relationship Id="rId101" Type="http://schemas.openxmlformats.org/officeDocument/2006/relationships/hyperlink" Target="https://fantasy.espn.com/football/boxscore?leagueId=11593953&amp;matchupPeriodId=12&amp;scoringPeriodId=12&amp;seasonId=2021&amp;teamId=3&amp;view=scoringperiod" TargetMode="External"/><Relationship Id="rId100" Type="http://schemas.openxmlformats.org/officeDocument/2006/relationships/hyperlink" Target="https://fantasy.espn.com/football/boxscore?leagueId=11593953&amp;matchupPeriodId=11&amp;scoringPeriodId=11&amp;seasonId=2021&amp;teamId=11&amp;view=scoringperiod" TargetMode="External"/><Relationship Id="rId129" Type="http://schemas.openxmlformats.org/officeDocument/2006/relationships/hyperlink" Target="https://fantasy.espn.com/football/boxscore?leagueId=11593953&amp;matchupPeriodId=14&amp;scoringPeriodId=14&amp;seasonId=2021&amp;teamId=2&amp;view=scoringperiod" TargetMode="External"/><Relationship Id="rId128" Type="http://schemas.openxmlformats.org/officeDocument/2006/relationships/hyperlink" Target="https://fantasy.espn.com/football/boxscore?leagueId=11593953&amp;matchupPeriodId=14&amp;scoringPeriodId=14&amp;seasonId=2021&amp;teamId=6&amp;view=scoringperiod" TargetMode="External"/><Relationship Id="rId127" Type="http://schemas.openxmlformats.org/officeDocument/2006/relationships/hyperlink" Target="https://fantasy.espn.com/football/boxscore?leagueId=11593953&amp;matchupPeriodId=14&amp;scoringPeriodId=14&amp;seasonId=2021&amp;teamId=6&amp;view=scoringperiod" TargetMode="External"/><Relationship Id="rId126" Type="http://schemas.openxmlformats.org/officeDocument/2006/relationships/hyperlink" Target="https://fantasy.espn.com/football/boxscore?leagueId=11593953&amp;matchupPeriodId=14&amp;scoringPeriodId=14&amp;seasonId=2021&amp;teamId=11&amp;view=scoringperiod" TargetMode="External"/><Relationship Id="rId121" Type="http://schemas.openxmlformats.org/officeDocument/2006/relationships/hyperlink" Target="https://fantasy.espn.com/football/boxscore?leagueId=11593953&amp;matchupPeriodId=14&amp;scoringPeriodId=14&amp;seasonId=2021&amp;teamId=3&amp;view=scoringperiod" TargetMode="External"/><Relationship Id="rId120" Type="http://schemas.openxmlformats.org/officeDocument/2006/relationships/hyperlink" Target="https://fantasy.espn.com/football/boxscore?leagueId=11593953&amp;matchupPeriodId=13&amp;scoringPeriodId=13&amp;seasonId=2021&amp;teamId=4&amp;view=scoringperiod" TargetMode="External"/><Relationship Id="rId125" Type="http://schemas.openxmlformats.org/officeDocument/2006/relationships/hyperlink" Target="https://fantasy.espn.com/football/boxscore?leagueId=11593953&amp;matchupPeriodId=14&amp;scoringPeriodId=14&amp;seasonId=2021&amp;teamId=11&amp;view=scoringperiod" TargetMode="External"/><Relationship Id="rId124" Type="http://schemas.openxmlformats.org/officeDocument/2006/relationships/hyperlink" Target="https://fantasy.espn.com/football/boxscore?leagueId=11593953&amp;matchupPeriodId=14&amp;scoringPeriodId=14&amp;seasonId=2021&amp;teamId=8&amp;view=scoringperiod" TargetMode="External"/><Relationship Id="rId123" Type="http://schemas.openxmlformats.org/officeDocument/2006/relationships/hyperlink" Target="https://fantasy.espn.com/football/boxscore?leagueId=11593953&amp;matchupPeriodId=14&amp;scoringPeriodId=14&amp;seasonId=2021&amp;teamId=8&amp;view=scoringperiod" TargetMode="External"/><Relationship Id="rId122" Type="http://schemas.openxmlformats.org/officeDocument/2006/relationships/hyperlink" Target="https://fantasy.espn.com/football/boxscore?leagueId=11593953&amp;matchupPeriodId=14&amp;scoringPeriodId=14&amp;seasonId=2021&amp;teamId=3&amp;view=scoringperiod" TargetMode="External"/><Relationship Id="rId95" Type="http://schemas.openxmlformats.org/officeDocument/2006/relationships/hyperlink" Target="https://fantasy.espn.com/football/boxscore?leagueId=11593953&amp;matchupPeriodId=11&amp;scoringPeriodId=11&amp;seasonId=2021&amp;teamId=1&amp;view=scoringperiod" TargetMode="External"/><Relationship Id="rId94" Type="http://schemas.openxmlformats.org/officeDocument/2006/relationships/hyperlink" Target="https://fantasy.espn.com/football/boxscore?leagueId=11593953&amp;matchupPeriodId=11&amp;scoringPeriodId=11&amp;seasonId=2021&amp;teamId=8&amp;view=scoringperiod" TargetMode="External"/><Relationship Id="rId97" Type="http://schemas.openxmlformats.org/officeDocument/2006/relationships/hyperlink" Target="https://fantasy.espn.com/football/boxscore?leagueId=11593953&amp;matchupPeriodId=11&amp;scoringPeriodId=11&amp;seasonId=2021&amp;teamId=9&amp;view=scoringperiod" TargetMode="External"/><Relationship Id="rId96" Type="http://schemas.openxmlformats.org/officeDocument/2006/relationships/hyperlink" Target="https://fantasy.espn.com/football/boxscore?leagueId=11593953&amp;matchupPeriodId=11&amp;scoringPeriodId=11&amp;seasonId=2021&amp;teamId=1&amp;view=scoringperiod" TargetMode="External"/><Relationship Id="rId99" Type="http://schemas.openxmlformats.org/officeDocument/2006/relationships/hyperlink" Target="https://fantasy.espn.com/football/boxscore?leagueId=11593953&amp;matchupPeriodId=11&amp;scoringPeriodId=11&amp;seasonId=2021&amp;teamId=11&amp;view=scoringperiod" TargetMode="External"/><Relationship Id="rId98" Type="http://schemas.openxmlformats.org/officeDocument/2006/relationships/hyperlink" Target="https://fantasy.espn.com/football/boxscore?leagueId=11593953&amp;matchupPeriodId=11&amp;scoringPeriodId=11&amp;seasonId=2021&amp;teamId=9&amp;view=scoringperiod" TargetMode="External"/><Relationship Id="rId91" Type="http://schemas.openxmlformats.org/officeDocument/2006/relationships/hyperlink" Target="https://fantasy.espn.com/football/boxscore?leagueId=11593953&amp;matchupPeriodId=11&amp;scoringPeriodId=11&amp;seasonId=2021&amp;teamId=3&amp;view=scoringperiod" TargetMode="External"/><Relationship Id="rId90" Type="http://schemas.openxmlformats.org/officeDocument/2006/relationships/hyperlink" Target="https://fantasy.espn.com/football/boxscore?leagueId=11593953&amp;matchupPeriodId=10&amp;scoringPeriodId=10&amp;seasonId=2021&amp;teamId=11&amp;view=scoringperiod" TargetMode="External"/><Relationship Id="rId93" Type="http://schemas.openxmlformats.org/officeDocument/2006/relationships/hyperlink" Target="https://fantasy.espn.com/football/boxscore?leagueId=11593953&amp;matchupPeriodId=11&amp;scoringPeriodId=11&amp;seasonId=2021&amp;teamId=8&amp;view=scoringperiod" TargetMode="External"/><Relationship Id="rId92" Type="http://schemas.openxmlformats.org/officeDocument/2006/relationships/hyperlink" Target="https://fantasy.espn.com/football/boxscore?leagueId=11593953&amp;matchupPeriodId=11&amp;scoringPeriodId=11&amp;seasonId=2021&amp;teamId=3&amp;view=scoringperiod" TargetMode="External"/><Relationship Id="rId118" Type="http://schemas.openxmlformats.org/officeDocument/2006/relationships/hyperlink" Target="https://fantasy.espn.com/football/boxscore?leagueId=11593953&amp;matchupPeriodId=13&amp;scoringPeriodId=13&amp;seasonId=2021&amp;teamId=6&amp;view=scoringperiod" TargetMode="External"/><Relationship Id="rId117" Type="http://schemas.openxmlformats.org/officeDocument/2006/relationships/hyperlink" Target="https://fantasy.espn.com/football/boxscore?leagueId=11593953&amp;matchupPeriodId=13&amp;scoringPeriodId=13&amp;seasonId=2021&amp;teamId=6&amp;view=scoringperiod" TargetMode="External"/><Relationship Id="rId116" Type="http://schemas.openxmlformats.org/officeDocument/2006/relationships/hyperlink" Target="https://fantasy.espn.com/football/boxscore?leagueId=11593953&amp;matchupPeriodId=13&amp;scoringPeriodId=13&amp;seasonId=2021&amp;teamId=9&amp;view=scoringperiod" TargetMode="External"/><Relationship Id="rId115" Type="http://schemas.openxmlformats.org/officeDocument/2006/relationships/hyperlink" Target="https://fantasy.espn.com/football/boxscore?leagueId=11593953&amp;matchupPeriodId=13&amp;scoringPeriodId=13&amp;seasonId=2021&amp;teamId=9&amp;view=scoringperiod" TargetMode="External"/><Relationship Id="rId119" Type="http://schemas.openxmlformats.org/officeDocument/2006/relationships/hyperlink" Target="https://fantasy.espn.com/football/boxscore?leagueId=11593953&amp;matchupPeriodId=13&amp;scoringPeriodId=13&amp;seasonId=2021&amp;teamId=4&amp;view=scoringperiod" TargetMode="External"/><Relationship Id="rId110" Type="http://schemas.openxmlformats.org/officeDocument/2006/relationships/hyperlink" Target="https://fantasy.espn.com/football/boxscore?leagueId=11593953&amp;matchupPeriodId=12&amp;scoringPeriodId=12&amp;seasonId=2021&amp;teamId=2&amp;view=scoringperiod" TargetMode="External"/><Relationship Id="rId114" Type="http://schemas.openxmlformats.org/officeDocument/2006/relationships/hyperlink" Target="https://fantasy.espn.com/football/boxscore?leagueId=11593953&amp;matchupPeriodId=13&amp;scoringPeriodId=13&amp;seasonId=2021&amp;teamId=1&amp;view=scoringperiod" TargetMode="External"/><Relationship Id="rId113" Type="http://schemas.openxmlformats.org/officeDocument/2006/relationships/hyperlink" Target="https://fantasy.espn.com/football/boxscore?leagueId=11593953&amp;matchupPeriodId=13&amp;scoringPeriodId=13&amp;seasonId=2021&amp;teamId=1&amp;view=scoringperiod" TargetMode="External"/><Relationship Id="rId112" Type="http://schemas.openxmlformats.org/officeDocument/2006/relationships/hyperlink" Target="https://fantasy.espn.com/football/boxscore?leagueId=11593953&amp;matchupPeriodId=13&amp;scoringPeriodId=13&amp;seasonId=2021&amp;teamId=3&amp;view=scoringperiod" TargetMode="External"/><Relationship Id="rId111" Type="http://schemas.openxmlformats.org/officeDocument/2006/relationships/hyperlink" Target="https://fantasy.espn.com/football/boxscore?leagueId=11593953&amp;matchupPeriodId=13&amp;scoringPeriodId=13&amp;seasonId=2021&amp;teamId=3&amp;view=scoringperiod"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amp;scoringPeriodId=1&amp;seasonId=2019&amp;teamId=2&amp;view=scoringperiod" TargetMode="External"/><Relationship Id="rId2" Type="http://schemas.openxmlformats.org/officeDocument/2006/relationships/hyperlink" Target="https://fantasy.espn.com/football/boxscore?leagueId=11593953&amp;matchupPeriodId=1&amp;scoringPeriodId=1&amp;seasonId=2019&amp;teamId=2&amp;view=scoringperiod" TargetMode="External"/><Relationship Id="rId3" Type="http://schemas.openxmlformats.org/officeDocument/2006/relationships/hyperlink" Target="https://fantasy.espn.com/football/boxscore?leagueId=11593953&amp;matchupPeriodId=1&amp;scoringPeriodId=1&amp;seasonId=2019&amp;teamId=1&amp;view=scoringperiod" TargetMode="External"/><Relationship Id="rId4" Type="http://schemas.openxmlformats.org/officeDocument/2006/relationships/hyperlink" Target="https://fantasy.espn.com/football/boxscore?leagueId=11593953&amp;matchupPeriodId=1&amp;scoringPeriodId=1&amp;seasonId=2019&amp;teamId=1&amp;view=scoringperiod" TargetMode="External"/><Relationship Id="rId9" Type="http://schemas.openxmlformats.org/officeDocument/2006/relationships/hyperlink" Target="https://fantasy.espn.com/football/boxscore?leagueId=11593953&amp;matchupPeriodId=2&amp;scoringPeriodId=2&amp;seasonId=2019&amp;teamId=2&amp;view=scoringperiod" TargetMode="External"/><Relationship Id="rId5" Type="http://schemas.openxmlformats.org/officeDocument/2006/relationships/hyperlink" Target="https://fantasy.espn.com/football/boxscore?leagueId=11593953&amp;matchupPeriodId=1&amp;scoringPeriodId=1&amp;seasonId=2019&amp;teamId=8&amp;view=scoringperiod" TargetMode="External"/><Relationship Id="rId6" Type="http://schemas.openxmlformats.org/officeDocument/2006/relationships/hyperlink" Target="https://fantasy.espn.com/football/boxscore?leagueId=11593953&amp;matchupPeriodId=1&amp;scoringPeriodId=1&amp;seasonId=2019&amp;teamId=8&amp;view=scoringperiod" TargetMode="External"/><Relationship Id="rId7" Type="http://schemas.openxmlformats.org/officeDocument/2006/relationships/hyperlink" Target="https://fantasy.espn.com/football/boxscore?leagueId=11593953&amp;matchupPeriodId=1&amp;scoringPeriodId=1&amp;seasonId=2019&amp;teamId=6&amp;view=scoringperiod" TargetMode="External"/><Relationship Id="rId8" Type="http://schemas.openxmlformats.org/officeDocument/2006/relationships/hyperlink" Target="https://fantasy.espn.com/football/boxscore?leagueId=11593953&amp;matchupPeriodId=1&amp;scoringPeriodId=1&amp;seasonId=2019&amp;teamId=6&amp;view=scoringperiod" TargetMode="External"/><Relationship Id="rId40" Type="http://schemas.openxmlformats.org/officeDocument/2006/relationships/hyperlink" Target="https://fantasy.espn.com/football/boxscore?leagueId=11593953&amp;matchupPeriodId=5&amp;scoringPeriodId=5&amp;seasonId=2019&amp;teamId=6&amp;view=scoringperiod" TargetMode="External"/><Relationship Id="rId42" Type="http://schemas.openxmlformats.org/officeDocument/2006/relationships/hyperlink" Target="https://fantasy.espn.com/football/boxscore?leagueId=11593953&amp;matchupPeriodId=6&amp;scoringPeriodId=6&amp;seasonId=2019&amp;teamId=8&amp;view=scoringperiod" TargetMode="External"/><Relationship Id="rId41" Type="http://schemas.openxmlformats.org/officeDocument/2006/relationships/hyperlink" Target="https://fantasy.espn.com/football/boxscore?leagueId=11593953&amp;matchupPeriodId=6&amp;scoringPeriodId=6&amp;seasonId=2019&amp;teamId=8&amp;view=scoringperiod" TargetMode="External"/><Relationship Id="rId44" Type="http://schemas.openxmlformats.org/officeDocument/2006/relationships/hyperlink" Target="https://fantasy.espn.com/football/boxscore?leagueId=11593953&amp;matchupPeriodId=6&amp;scoringPeriodId=6&amp;seasonId=2019&amp;teamId=2&amp;view=scoringperiod" TargetMode="External"/><Relationship Id="rId43" Type="http://schemas.openxmlformats.org/officeDocument/2006/relationships/hyperlink" Target="https://fantasy.espn.com/football/boxscore?leagueId=11593953&amp;matchupPeriodId=6&amp;scoringPeriodId=6&amp;seasonId=2019&amp;teamId=2&amp;view=scoringperiod" TargetMode="External"/><Relationship Id="rId46" Type="http://schemas.openxmlformats.org/officeDocument/2006/relationships/hyperlink" Target="https://fantasy.espn.com/football/boxscore?leagueId=11593953&amp;matchupPeriodId=6&amp;scoringPeriodId=6&amp;seasonId=2019&amp;teamId=5&amp;view=scoringperiod" TargetMode="External"/><Relationship Id="rId45" Type="http://schemas.openxmlformats.org/officeDocument/2006/relationships/hyperlink" Target="https://fantasy.espn.com/football/boxscore?leagueId=11593953&amp;matchupPeriodId=6&amp;scoringPeriodId=6&amp;seasonId=2019&amp;teamId=5&amp;view=scoringperiod" TargetMode="External"/><Relationship Id="rId48" Type="http://schemas.openxmlformats.org/officeDocument/2006/relationships/hyperlink" Target="https://fantasy.espn.com/football/boxscore?leagueId=11593953&amp;matchupPeriodId=6&amp;scoringPeriodId=6&amp;seasonId=2019&amp;teamId=9&amp;view=scoringperiod" TargetMode="External"/><Relationship Id="rId47" Type="http://schemas.openxmlformats.org/officeDocument/2006/relationships/hyperlink" Target="https://fantasy.espn.com/football/boxscore?leagueId=11593953&amp;matchupPeriodId=6&amp;scoringPeriodId=6&amp;seasonId=2019&amp;teamId=9&amp;view=scoringperiod" TargetMode="External"/><Relationship Id="rId49" Type="http://schemas.openxmlformats.org/officeDocument/2006/relationships/hyperlink" Target="https://fantasy.espn.com/football/boxscore?leagueId=11593953&amp;matchupPeriodId=7&amp;scoringPeriodId=7&amp;seasonId=2019&amp;teamId=1&amp;view=scoringperiod" TargetMode="External"/><Relationship Id="rId31" Type="http://schemas.openxmlformats.org/officeDocument/2006/relationships/hyperlink" Target="https://fantasy.espn.com/football/boxscore?leagueId=11593953&amp;matchupPeriodId=4&amp;scoringPeriodId=4&amp;seasonId=2019&amp;teamId=1&amp;view=scoringperiod" TargetMode="External"/><Relationship Id="rId30" Type="http://schemas.openxmlformats.org/officeDocument/2006/relationships/hyperlink" Target="https://fantasy.espn.com/football/boxscore?leagueId=11593953&amp;matchupPeriodId=4&amp;scoringPeriodId=4&amp;seasonId=2019&amp;teamId=4&amp;view=scoringperiod" TargetMode="External"/><Relationship Id="rId33" Type="http://schemas.openxmlformats.org/officeDocument/2006/relationships/hyperlink" Target="https://fantasy.espn.com/football/boxscore?leagueId=11593953&amp;matchupPeriodId=5&amp;scoringPeriodId=5&amp;seasonId=2019&amp;teamId=3&amp;view=scoringperiod" TargetMode="External"/><Relationship Id="rId32" Type="http://schemas.openxmlformats.org/officeDocument/2006/relationships/hyperlink" Target="https://fantasy.espn.com/football/boxscore?leagueId=11593953&amp;matchupPeriodId=4&amp;scoringPeriodId=4&amp;seasonId=2019&amp;teamId=1&amp;view=scoringperiod" TargetMode="External"/><Relationship Id="rId35" Type="http://schemas.openxmlformats.org/officeDocument/2006/relationships/hyperlink" Target="https://fantasy.espn.com/football/boxscore?leagueId=11593953&amp;matchupPeriodId=5&amp;scoringPeriodId=5&amp;seasonId=2019&amp;teamId=9&amp;view=scoringperiod" TargetMode="External"/><Relationship Id="rId34" Type="http://schemas.openxmlformats.org/officeDocument/2006/relationships/hyperlink" Target="https://fantasy.espn.com/football/boxscore?leagueId=11593953&amp;matchupPeriodId=5&amp;scoringPeriodId=5&amp;seasonId=2019&amp;teamId=3&amp;view=scoringperiod" TargetMode="External"/><Relationship Id="rId37" Type="http://schemas.openxmlformats.org/officeDocument/2006/relationships/hyperlink" Target="https://fantasy.espn.com/football/boxscore?leagueId=11593953&amp;matchupPeriodId=5&amp;scoringPeriodId=5&amp;seasonId=2019&amp;teamId=5&amp;view=scoringperiod" TargetMode="External"/><Relationship Id="rId36" Type="http://schemas.openxmlformats.org/officeDocument/2006/relationships/hyperlink" Target="https://fantasy.espn.com/football/boxscore?leagueId=11593953&amp;matchupPeriodId=5&amp;scoringPeriodId=5&amp;seasonId=2019&amp;teamId=9&amp;view=scoringperiod" TargetMode="External"/><Relationship Id="rId39" Type="http://schemas.openxmlformats.org/officeDocument/2006/relationships/hyperlink" Target="https://fantasy.espn.com/football/boxscore?leagueId=11593953&amp;matchupPeriodId=5&amp;scoringPeriodId=5&amp;seasonId=2019&amp;teamId=6&amp;view=scoringperiod" TargetMode="External"/><Relationship Id="rId38" Type="http://schemas.openxmlformats.org/officeDocument/2006/relationships/hyperlink" Target="https://fantasy.espn.com/football/boxscore?leagueId=11593953&amp;matchupPeriodId=5&amp;scoringPeriodId=5&amp;seasonId=2019&amp;teamId=5&amp;view=scoringperiod" TargetMode="External"/><Relationship Id="rId20" Type="http://schemas.openxmlformats.org/officeDocument/2006/relationships/hyperlink" Target="https://fantasy.espn.com/football/boxscore?leagueId=11593953&amp;matchupPeriodId=3&amp;scoringPeriodId=3&amp;seasonId=2019&amp;teamId=5&amp;view=scoringperiod" TargetMode="External"/><Relationship Id="rId22" Type="http://schemas.openxmlformats.org/officeDocument/2006/relationships/hyperlink" Target="https://fantasy.espn.com/football/boxscore?leagueId=11593953&amp;matchupPeriodId=3&amp;scoringPeriodId=3&amp;seasonId=2019&amp;teamId=9&amp;view=scoringperiod" TargetMode="External"/><Relationship Id="rId21" Type="http://schemas.openxmlformats.org/officeDocument/2006/relationships/hyperlink" Target="https://fantasy.espn.com/football/boxscore?leagueId=11593953&amp;matchupPeriodId=3&amp;scoringPeriodId=3&amp;seasonId=2019&amp;teamId=9&amp;view=scoringperiod" TargetMode="External"/><Relationship Id="rId24" Type="http://schemas.openxmlformats.org/officeDocument/2006/relationships/hyperlink" Target="https://fantasy.espn.com/football/boxscore?leagueId=11593953&amp;matchupPeriodId=3&amp;scoringPeriodId=3&amp;seasonId=2019&amp;teamId=4&amp;view=scoringperiod" TargetMode="External"/><Relationship Id="rId23" Type="http://schemas.openxmlformats.org/officeDocument/2006/relationships/hyperlink" Target="https://fantasy.espn.com/football/boxscore?leagueId=11593953&amp;matchupPeriodId=3&amp;scoringPeriodId=3&amp;seasonId=2019&amp;teamId=4&amp;view=scoringperiod" TargetMode="External"/><Relationship Id="rId26" Type="http://schemas.openxmlformats.org/officeDocument/2006/relationships/hyperlink" Target="https://fantasy.espn.com/football/boxscore?leagueId=11593953&amp;matchupPeriodId=4&amp;scoringPeriodId=4&amp;seasonId=2019&amp;teamId=6&amp;view=scoringperiod" TargetMode="External"/><Relationship Id="rId25" Type="http://schemas.openxmlformats.org/officeDocument/2006/relationships/hyperlink" Target="https://fantasy.espn.com/football/boxscore?leagueId=11593953&amp;matchupPeriodId=4&amp;scoringPeriodId=4&amp;seasonId=2019&amp;teamId=6&amp;view=scoringperiod" TargetMode="External"/><Relationship Id="rId28" Type="http://schemas.openxmlformats.org/officeDocument/2006/relationships/hyperlink" Target="https://fantasy.espn.com/football/boxscore?leagueId=11593953&amp;matchupPeriodId=4&amp;scoringPeriodId=4&amp;seasonId=2019&amp;teamId=2&amp;view=scoringperiod" TargetMode="External"/><Relationship Id="rId27" Type="http://schemas.openxmlformats.org/officeDocument/2006/relationships/hyperlink" Target="https://fantasy.espn.com/football/boxscore?leagueId=11593953&amp;matchupPeriodId=4&amp;scoringPeriodId=4&amp;seasonId=2019&amp;teamId=2&amp;view=scoringperiod" TargetMode="External"/><Relationship Id="rId29" Type="http://schemas.openxmlformats.org/officeDocument/2006/relationships/hyperlink" Target="https://fantasy.espn.com/football/boxscore?leagueId=11593953&amp;matchupPeriodId=4&amp;scoringPeriodId=4&amp;seasonId=2019&amp;teamId=4&amp;view=scoringperiod" TargetMode="External"/><Relationship Id="rId11" Type="http://schemas.openxmlformats.org/officeDocument/2006/relationships/hyperlink" Target="https://fantasy.espn.com/football/boxscore?leagueId=11593953&amp;matchupPeriodId=2&amp;scoringPeriodId=2&amp;seasonId=2019&amp;teamId=3&amp;view=scoringperiod" TargetMode="External"/><Relationship Id="rId10" Type="http://schemas.openxmlformats.org/officeDocument/2006/relationships/hyperlink" Target="https://fantasy.espn.com/football/boxscore?leagueId=11593953&amp;matchupPeriodId=2&amp;scoringPeriodId=2&amp;seasonId=2019&amp;teamId=2&amp;view=scoringperiod" TargetMode="External"/><Relationship Id="rId13" Type="http://schemas.openxmlformats.org/officeDocument/2006/relationships/hyperlink" Target="https://fantasy.espn.com/football/boxscore?leagueId=11593953&amp;matchupPeriodId=2&amp;scoringPeriodId=2&amp;seasonId=2019&amp;teamId=6&amp;view=scoringperiod" TargetMode="External"/><Relationship Id="rId12" Type="http://schemas.openxmlformats.org/officeDocument/2006/relationships/hyperlink" Target="https://fantasy.espn.com/football/boxscore?leagueId=11593953&amp;matchupPeriodId=2&amp;scoringPeriodId=2&amp;seasonId=2019&amp;teamId=3&amp;view=scoringperiod" TargetMode="External"/><Relationship Id="rId15" Type="http://schemas.openxmlformats.org/officeDocument/2006/relationships/hyperlink" Target="https://fantasy.espn.com/football/boxscore?leagueId=11593953&amp;matchupPeriodId=2&amp;scoringPeriodId=2&amp;seasonId=2019&amp;teamId=4&amp;view=scoringperiod" TargetMode="External"/><Relationship Id="rId14" Type="http://schemas.openxmlformats.org/officeDocument/2006/relationships/hyperlink" Target="https://fantasy.espn.com/football/boxscore?leagueId=11593953&amp;matchupPeriodId=2&amp;scoringPeriodId=2&amp;seasonId=2019&amp;teamId=6&amp;view=scoringperiod" TargetMode="External"/><Relationship Id="rId17" Type="http://schemas.openxmlformats.org/officeDocument/2006/relationships/hyperlink" Target="https://fantasy.espn.com/football/boxscore?leagueId=11593953&amp;matchupPeriodId=3&amp;scoringPeriodId=3&amp;seasonId=2019&amp;teamId=8&amp;view=scoringperiod" TargetMode="External"/><Relationship Id="rId16" Type="http://schemas.openxmlformats.org/officeDocument/2006/relationships/hyperlink" Target="https://fantasy.espn.com/football/boxscore?leagueId=11593953&amp;matchupPeriodId=2&amp;scoringPeriodId=2&amp;seasonId=2019&amp;teamId=4&amp;view=scoringperiod" TargetMode="External"/><Relationship Id="rId19" Type="http://schemas.openxmlformats.org/officeDocument/2006/relationships/hyperlink" Target="https://fantasy.espn.com/football/boxscore?leagueId=11593953&amp;matchupPeriodId=3&amp;scoringPeriodId=3&amp;seasonId=2019&amp;teamId=5&amp;view=scoringperiod" TargetMode="External"/><Relationship Id="rId18" Type="http://schemas.openxmlformats.org/officeDocument/2006/relationships/hyperlink" Target="https://fantasy.espn.com/football/boxscore?leagueId=11593953&amp;matchupPeriodId=3&amp;scoringPeriodId=3&amp;seasonId=2019&amp;teamId=8&amp;view=scoringperiod" TargetMode="External"/><Relationship Id="rId84" Type="http://schemas.openxmlformats.org/officeDocument/2006/relationships/hyperlink" Target="https://fantasy.espn.com/football/boxscore?leagueId=11593953&amp;matchupPeriodId=11&amp;scoringPeriodId=11&amp;seasonId=2019&amp;teamId=1&amp;view=scoringperiod" TargetMode="External"/><Relationship Id="rId83" Type="http://schemas.openxmlformats.org/officeDocument/2006/relationships/hyperlink" Target="https://fantasy.espn.com/football/boxscore?leagueId=11593953&amp;matchupPeriodId=11&amp;scoringPeriodId=11&amp;seasonId=2019&amp;teamId=1&amp;view=scoringperiod" TargetMode="External"/><Relationship Id="rId86" Type="http://schemas.openxmlformats.org/officeDocument/2006/relationships/hyperlink" Target="https://fantasy.espn.com/football/boxscore?leagueId=11593953&amp;matchupPeriodId=11&amp;scoringPeriodId=11&amp;seasonId=2019&amp;teamId=6&amp;view=scoringperiod" TargetMode="External"/><Relationship Id="rId85" Type="http://schemas.openxmlformats.org/officeDocument/2006/relationships/hyperlink" Target="https://fantasy.espn.com/football/boxscore?leagueId=11593953&amp;matchupPeriodId=11&amp;scoringPeriodId=11&amp;seasonId=2019&amp;teamId=6&amp;view=scoringperiod" TargetMode="External"/><Relationship Id="rId88" Type="http://schemas.openxmlformats.org/officeDocument/2006/relationships/hyperlink" Target="https://fantasy.espn.com/football/boxscore?leagueId=11593953&amp;matchupPeriodId=11&amp;scoringPeriodId=11&amp;seasonId=2019&amp;teamId=2&amp;view=scoringperiod" TargetMode="External"/><Relationship Id="rId87" Type="http://schemas.openxmlformats.org/officeDocument/2006/relationships/hyperlink" Target="https://fantasy.espn.com/football/boxscore?leagueId=11593953&amp;matchupPeriodId=11&amp;scoringPeriodId=11&amp;seasonId=2019&amp;teamId=2&amp;view=scoringperiod" TargetMode="External"/><Relationship Id="rId89" Type="http://schemas.openxmlformats.org/officeDocument/2006/relationships/hyperlink" Target="https://fantasy.espn.com/football/boxscore?leagueId=11593953&amp;matchupPeriodId=12&amp;scoringPeriodId=12&amp;seasonId=2019&amp;teamId=3&amp;view=scoringperiod" TargetMode="External"/><Relationship Id="rId80" Type="http://schemas.openxmlformats.org/officeDocument/2006/relationships/hyperlink" Target="https://fantasy.espn.com/football/boxscore?leagueId=11593953&amp;matchupPeriodId=10&amp;scoringPeriodId=10&amp;seasonId=2019&amp;teamId=9&amp;view=scoringperiod" TargetMode="External"/><Relationship Id="rId82" Type="http://schemas.openxmlformats.org/officeDocument/2006/relationships/hyperlink" Target="https://fantasy.espn.com/football/boxscore?leagueId=11593953&amp;matchupPeriodId=11&amp;scoringPeriodId=11&amp;seasonId=2019&amp;teamId=8&amp;view=scoringperiod" TargetMode="External"/><Relationship Id="rId81" Type="http://schemas.openxmlformats.org/officeDocument/2006/relationships/hyperlink" Target="https://fantasy.espn.com/football/boxscore?leagueId=11593953&amp;matchupPeriodId=11&amp;scoringPeriodId=11&amp;seasonId=2019&amp;teamId=8&amp;view=scoringperiod" TargetMode="External"/><Relationship Id="rId73" Type="http://schemas.openxmlformats.org/officeDocument/2006/relationships/hyperlink" Target="https://fantasy.espn.com/football/boxscore?leagueId=11593953&amp;matchupPeriodId=10&amp;scoringPeriodId=10&amp;seasonId=2019&amp;teamId=8&amp;view=scoringperiod" TargetMode="External"/><Relationship Id="rId72" Type="http://schemas.openxmlformats.org/officeDocument/2006/relationships/hyperlink" Target="https://fantasy.espn.com/football/boxscore?leagueId=11593953&amp;matchupPeriodId=9&amp;scoringPeriodId=9&amp;seasonId=2019&amp;teamId=4&amp;view=scoringperiod" TargetMode="External"/><Relationship Id="rId75" Type="http://schemas.openxmlformats.org/officeDocument/2006/relationships/hyperlink" Target="https://fantasy.espn.com/football/boxscore?leagueId=11593953&amp;matchupPeriodId=10&amp;scoringPeriodId=10&amp;seasonId=2019&amp;teamId=6&amp;view=scoringperiod" TargetMode="External"/><Relationship Id="rId74" Type="http://schemas.openxmlformats.org/officeDocument/2006/relationships/hyperlink" Target="https://fantasy.espn.com/football/boxscore?leagueId=11593953&amp;matchupPeriodId=10&amp;scoringPeriodId=10&amp;seasonId=2019&amp;teamId=8&amp;view=scoringperiod" TargetMode="External"/><Relationship Id="rId77" Type="http://schemas.openxmlformats.org/officeDocument/2006/relationships/hyperlink" Target="https://fantasy.espn.com/football/boxscore?leagueId=11593953&amp;matchupPeriodId=10&amp;scoringPeriodId=10&amp;seasonId=2019&amp;teamId=3&amp;view=scoringperiod" TargetMode="External"/><Relationship Id="rId76" Type="http://schemas.openxmlformats.org/officeDocument/2006/relationships/hyperlink" Target="https://fantasy.espn.com/football/boxscore?leagueId=11593953&amp;matchupPeriodId=10&amp;scoringPeriodId=10&amp;seasonId=2019&amp;teamId=6&amp;view=scoringperiod" TargetMode="External"/><Relationship Id="rId79" Type="http://schemas.openxmlformats.org/officeDocument/2006/relationships/hyperlink" Target="https://fantasy.espn.com/football/boxscore?leagueId=11593953&amp;matchupPeriodId=10&amp;scoringPeriodId=10&amp;seasonId=2019&amp;teamId=9&amp;view=scoringperiod" TargetMode="External"/><Relationship Id="rId78" Type="http://schemas.openxmlformats.org/officeDocument/2006/relationships/hyperlink" Target="https://fantasy.espn.com/football/boxscore?leagueId=11593953&amp;matchupPeriodId=10&amp;scoringPeriodId=10&amp;seasonId=2019&amp;teamId=3&amp;view=scoringperiod" TargetMode="External"/><Relationship Id="rId71" Type="http://schemas.openxmlformats.org/officeDocument/2006/relationships/hyperlink" Target="https://fantasy.espn.com/football/boxscore?leagueId=11593953&amp;matchupPeriodId=9&amp;scoringPeriodId=9&amp;seasonId=2019&amp;teamId=4&amp;view=scoringperiod" TargetMode="External"/><Relationship Id="rId70" Type="http://schemas.openxmlformats.org/officeDocument/2006/relationships/hyperlink" Target="https://fantasy.espn.com/football/boxscore?leagueId=11593953&amp;matchupPeriodId=9&amp;scoringPeriodId=9&amp;seasonId=2019&amp;teamId=2&amp;view=scoringperiod" TargetMode="External"/><Relationship Id="rId62" Type="http://schemas.openxmlformats.org/officeDocument/2006/relationships/hyperlink" Target="https://fantasy.espn.com/football/boxscore?leagueId=11593953&amp;matchupPeriodId=8&amp;scoringPeriodId=8&amp;seasonId=2019&amp;teamId=9&amp;view=scoringperiod" TargetMode="External"/><Relationship Id="rId61" Type="http://schemas.openxmlformats.org/officeDocument/2006/relationships/hyperlink" Target="https://fantasy.espn.com/football/boxscore?leagueId=11593953&amp;matchupPeriodId=8&amp;scoringPeriodId=8&amp;seasonId=2019&amp;teamId=9&amp;view=scoringperiod" TargetMode="External"/><Relationship Id="rId64" Type="http://schemas.openxmlformats.org/officeDocument/2006/relationships/hyperlink" Target="https://fantasy.espn.com/football/boxscore?leagueId=11593953&amp;matchupPeriodId=8&amp;scoringPeriodId=8&amp;seasonId=2019&amp;teamId=4&amp;view=scoringperiod" TargetMode="External"/><Relationship Id="rId63" Type="http://schemas.openxmlformats.org/officeDocument/2006/relationships/hyperlink" Target="https://fantasy.espn.com/football/boxscore?leagueId=11593953&amp;matchupPeriodId=8&amp;scoringPeriodId=8&amp;seasonId=2019&amp;teamId=4&amp;view=scoringperiod" TargetMode="External"/><Relationship Id="rId66" Type="http://schemas.openxmlformats.org/officeDocument/2006/relationships/hyperlink" Target="https://fantasy.espn.com/football/boxscore?leagueId=11593953&amp;matchupPeriodId=9&amp;scoringPeriodId=9&amp;seasonId=2019&amp;teamId=8&amp;view=scoringperiod" TargetMode="External"/><Relationship Id="rId65" Type="http://schemas.openxmlformats.org/officeDocument/2006/relationships/hyperlink" Target="https://fantasy.espn.com/football/boxscore?leagueId=11593953&amp;matchupPeriodId=9&amp;scoringPeriodId=9&amp;seasonId=2019&amp;teamId=8&amp;view=scoringperiod" TargetMode="External"/><Relationship Id="rId68" Type="http://schemas.openxmlformats.org/officeDocument/2006/relationships/hyperlink" Target="https://fantasy.espn.com/football/boxscore?leagueId=11593953&amp;matchupPeriodId=9&amp;scoringPeriodId=9&amp;seasonId=2019&amp;teamId=1&amp;view=scoringperiod" TargetMode="External"/><Relationship Id="rId67" Type="http://schemas.openxmlformats.org/officeDocument/2006/relationships/hyperlink" Target="https://fantasy.espn.com/football/boxscore?leagueId=11593953&amp;matchupPeriodId=9&amp;scoringPeriodId=9&amp;seasonId=2019&amp;teamId=1&amp;view=scoringperiod" TargetMode="External"/><Relationship Id="rId60" Type="http://schemas.openxmlformats.org/officeDocument/2006/relationships/hyperlink" Target="https://fantasy.espn.com/football/boxscore?leagueId=11593953&amp;matchupPeriodId=8&amp;scoringPeriodId=8&amp;seasonId=2019&amp;teamId=3&amp;view=scoringperiod" TargetMode="External"/><Relationship Id="rId69" Type="http://schemas.openxmlformats.org/officeDocument/2006/relationships/hyperlink" Target="https://fantasy.espn.com/football/boxscore?leagueId=11593953&amp;matchupPeriodId=9&amp;scoringPeriodId=9&amp;seasonId=2019&amp;teamId=2&amp;view=scoringperiod" TargetMode="External"/><Relationship Id="rId51" Type="http://schemas.openxmlformats.org/officeDocument/2006/relationships/hyperlink" Target="https://fantasy.espn.com/football/boxscore?leagueId=11593953&amp;matchupPeriodId=7&amp;scoringPeriodId=7&amp;seasonId=2019&amp;teamId=3&amp;view=scoringperiod" TargetMode="External"/><Relationship Id="rId50" Type="http://schemas.openxmlformats.org/officeDocument/2006/relationships/hyperlink" Target="https://fantasy.espn.com/football/boxscore?leagueId=11593953&amp;matchupPeriodId=7&amp;scoringPeriodId=7&amp;seasonId=2019&amp;teamId=1&amp;view=scoringperiod" TargetMode="External"/><Relationship Id="rId53" Type="http://schemas.openxmlformats.org/officeDocument/2006/relationships/hyperlink" Target="https://fantasy.espn.com/football/boxscore?leagueId=11593953&amp;matchupPeriodId=7&amp;scoringPeriodId=7&amp;seasonId=2019&amp;teamId=8&amp;view=scoringperiod" TargetMode="External"/><Relationship Id="rId52" Type="http://schemas.openxmlformats.org/officeDocument/2006/relationships/hyperlink" Target="https://fantasy.espn.com/football/boxscore?leagueId=11593953&amp;matchupPeriodId=7&amp;scoringPeriodId=7&amp;seasonId=2019&amp;teamId=3&amp;view=scoringperiod" TargetMode="External"/><Relationship Id="rId55" Type="http://schemas.openxmlformats.org/officeDocument/2006/relationships/hyperlink" Target="https://fantasy.espn.com/football/boxscore?leagueId=11593953&amp;matchupPeriodId=7&amp;scoringPeriodId=7&amp;seasonId=2019&amp;teamId=5&amp;view=scoringperiod" TargetMode="External"/><Relationship Id="rId54" Type="http://schemas.openxmlformats.org/officeDocument/2006/relationships/hyperlink" Target="https://fantasy.espn.com/football/boxscore?leagueId=11593953&amp;matchupPeriodId=7&amp;scoringPeriodId=7&amp;seasonId=2019&amp;teamId=8&amp;view=scoringperiod" TargetMode="External"/><Relationship Id="rId57" Type="http://schemas.openxmlformats.org/officeDocument/2006/relationships/hyperlink" Target="https://fantasy.espn.com/football/boxscore?leagueId=11593953&amp;matchupPeriodId=8&amp;scoringPeriodId=8&amp;seasonId=2019&amp;teamId=5&amp;view=scoringperiod" TargetMode="External"/><Relationship Id="rId56" Type="http://schemas.openxmlformats.org/officeDocument/2006/relationships/hyperlink" Target="https://fantasy.espn.com/football/boxscore?leagueId=11593953&amp;matchupPeriodId=7&amp;scoringPeriodId=7&amp;seasonId=2019&amp;teamId=5&amp;view=scoringperiod" TargetMode="External"/><Relationship Id="rId59" Type="http://schemas.openxmlformats.org/officeDocument/2006/relationships/hyperlink" Target="https://fantasy.espn.com/football/boxscore?leagueId=11593953&amp;matchupPeriodId=8&amp;scoringPeriodId=8&amp;seasonId=2019&amp;teamId=3&amp;view=scoringperiod" TargetMode="External"/><Relationship Id="rId58" Type="http://schemas.openxmlformats.org/officeDocument/2006/relationships/hyperlink" Target="https://fantasy.espn.com/football/boxscore?leagueId=11593953&amp;matchupPeriodId=8&amp;scoringPeriodId=8&amp;seasonId=2019&amp;teamId=5&amp;view=scoringperiod" TargetMode="External"/><Relationship Id="rId107" Type="http://schemas.openxmlformats.org/officeDocument/2006/relationships/hyperlink" Target="https://fantasy.espn.com/football/boxscore?leagueId=11593953&amp;matchupPeriodId=14&amp;scoringPeriodId=14&amp;seasonId=2019&amp;teamId=1&amp;view=scoringperiod" TargetMode="External"/><Relationship Id="rId106" Type="http://schemas.openxmlformats.org/officeDocument/2006/relationships/hyperlink" Target="https://fantasy.espn.com/football/boxscore?leagueId=11593953&amp;matchupPeriodId=14&amp;scoringPeriodId=14&amp;seasonId=2019&amp;teamId=9&amp;view=scoringperiod" TargetMode="External"/><Relationship Id="rId105" Type="http://schemas.openxmlformats.org/officeDocument/2006/relationships/hyperlink" Target="https://fantasy.espn.com/football/boxscore?leagueId=11593953&amp;matchupPeriodId=14&amp;scoringPeriodId=14&amp;seasonId=2019&amp;teamId=9&amp;view=scoringperiod" TargetMode="External"/><Relationship Id="rId104" Type="http://schemas.openxmlformats.org/officeDocument/2006/relationships/hyperlink" Target="https://fantasy.espn.com/football/boxscore?leagueId=11593953&amp;matchupPeriodId=13&amp;scoringPeriodId=13&amp;seasonId=2019&amp;teamId=9&amp;view=scoringperiod" TargetMode="External"/><Relationship Id="rId109" Type="http://schemas.openxmlformats.org/officeDocument/2006/relationships/hyperlink" Target="https://fantasy.espn.com/football/boxscore?leagueId=11593953&amp;matchupPeriodId=14&amp;scoringPeriodId=14&amp;seasonId=2019&amp;teamId=4&amp;view=scoringperiod" TargetMode="External"/><Relationship Id="rId108" Type="http://schemas.openxmlformats.org/officeDocument/2006/relationships/hyperlink" Target="https://fantasy.espn.com/football/boxscore?leagueId=11593953&amp;matchupPeriodId=14&amp;scoringPeriodId=14&amp;seasonId=2019&amp;teamId=1&amp;view=scoringperiod" TargetMode="External"/><Relationship Id="rId103" Type="http://schemas.openxmlformats.org/officeDocument/2006/relationships/hyperlink" Target="https://fantasy.espn.com/football/boxscore?leagueId=11593953&amp;matchupPeriodId=13&amp;scoringPeriodId=13&amp;seasonId=2019&amp;teamId=9&amp;view=scoringperiod" TargetMode="External"/><Relationship Id="rId102" Type="http://schemas.openxmlformats.org/officeDocument/2006/relationships/hyperlink" Target="https://fantasy.espn.com/football/boxscore?leagueId=11593953&amp;matchupPeriodId=13&amp;scoringPeriodId=13&amp;seasonId=2019&amp;teamId=6&amp;view=scoringperiod" TargetMode="External"/><Relationship Id="rId101" Type="http://schemas.openxmlformats.org/officeDocument/2006/relationships/hyperlink" Target="https://fantasy.espn.com/football/boxscore?leagueId=11593953&amp;matchupPeriodId=13&amp;scoringPeriodId=13&amp;seasonId=2019&amp;teamId=6&amp;view=scoringperiod" TargetMode="External"/><Relationship Id="rId100" Type="http://schemas.openxmlformats.org/officeDocument/2006/relationships/hyperlink" Target="https://fantasy.espn.com/football/boxscore?leagueId=11593953&amp;matchupPeriodId=13&amp;scoringPeriodId=13&amp;seasonId=2019&amp;teamId=1&amp;view=scoringperiod" TargetMode="External"/><Relationship Id="rId127" Type="http://schemas.openxmlformats.org/officeDocument/2006/relationships/drawing" Target="../drawings/drawing25.xml"/><Relationship Id="rId126" Type="http://schemas.openxmlformats.org/officeDocument/2006/relationships/hyperlink" Target="https://fantasy.espn.com/football/boxscore?leagueId=11593953&amp;matchupPeriodId=16&amp;scoringPeriodId=16&amp;seasonId=2019&amp;teamId=4&amp;view=scoringperiod" TargetMode="External"/><Relationship Id="rId121" Type="http://schemas.openxmlformats.org/officeDocument/2006/relationships/hyperlink" Target="https://fantasy.espn.com/football/boxscore?leagueId=11593953&amp;matchupPeriodId=16&amp;scoringPeriodId=16&amp;seasonId=2019&amp;teamId=1&amp;view=scoringperiod" TargetMode="External"/><Relationship Id="rId120" Type="http://schemas.openxmlformats.org/officeDocument/2006/relationships/hyperlink" Target="https://fantasy.espn.com/football/boxscore?leagueId=11593953&amp;matchupPeriodId=16&amp;scoringPeriodId=16&amp;seasonId=2019&amp;teamId=6&amp;view=scoringperiod" TargetMode="External"/><Relationship Id="rId125" Type="http://schemas.openxmlformats.org/officeDocument/2006/relationships/hyperlink" Target="https://fantasy.espn.com/football/boxscore?leagueId=11593953&amp;matchupPeriodId=16&amp;scoringPeriodId=16&amp;seasonId=2019&amp;teamId=4&amp;view=scoringperiod" TargetMode="External"/><Relationship Id="rId124" Type="http://schemas.openxmlformats.org/officeDocument/2006/relationships/hyperlink" Target="https://fantasy.espn.com/football/boxscore?leagueId=11593953&amp;matchupPeriodId=16&amp;scoringPeriodId=16&amp;seasonId=2019&amp;teamId=9&amp;view=scoringperiod" TargetMode="External"/><Relationship Id="rId123" Type="http://schemas.openxmlformats.org/officeDocument/2006/relationships/hyperlink" Target="https://fantasy.espn.com/football/boxscore?leagueId=11593953&amp;matchupPeriodId=16&amp;scoringPeriodId=16&amp;seasonId=2019&amp;teamId=9&amp;view=scoringperiod" TargetMode="External"/><Relationship Id="rId122" Type="http://schemas.openxmlformats.org/officeDocument/2006/relationships/hyperlink" Target="https://fantasy.espn.com/football/boxscore?leagueId=11593953&amp;matchupPeriodId=16&amp;scoringPeriodId=16&amp;seasonId=2019&amp;teamId=1&amp;view=scoringperiod" TargetMode="External"/><Relationship Id="rId95" Type="http://schemas.openxmlformats.org/officeDocument/2006/relationships/hyperlink" Target="https://fantasy.espn.com/football/boxscore?leagueId=11593953&amp;matchupPeriodId=12&amp;scoringPeriodId=12&amp;seasonId=2019&amp;teamId=1&amp;view=scoringperiod" TargetMode="External"/><Relationship Id="rId94" Type="http://schemas.openxmlformats.org/officeDocument/2006/relationships/hyperlink" Target="https://fantasy.espn.com/football/boxscore?leagueId=11593953&amp;matchupPeriodId=12&amp;scoringPeriodId=12&amp;seasonId=2019&amp;teamId=2&amp;view=scoringperiod" TargetMode="External"/><Relationship Id="rId97" Type="http://schemas.openxmlformats.org/officeDocument/2006/relationships/hyperlink" Target="https://fantasy.espn.com/football/boxscore?leagueId=11593953&amp;matchupPeriodId=13&amp;scoringPeriodId=13&amp;seasonId=2019&amp;teamId=4&amp;view=scoringperiod" TargetMode="External"/><Relationship Id="rId96" Type="http://schemas.openxmlformats.org/officeDocument/2006/relationships/hyperlink" Target="https://fantasy.espn.com/football/boxscore?leagueId=11593953&amp;matchupPeriodId=12&amp;scoringPeriodId=12&amp;seasonId=2019&amp;teamId=1&amp;view=scoringperiod" TargetMode="External"/><Relationship Id="rId99" Type="http://schemas.openxmlformats.org/officeDocument/2006/relationships/hyperlink" Target="https://fantasy.espn.com/football/boxscore?leagueId=11593953&amp;matchupPeriodId=13&amp;scoringPeriodId=13&amp;seasonId=2019&amp;teamId=1&amp;view=scoringperiod" TargetMode="External"/><Relationship Id="rId98" Type="http://schemas.openxmlformats.org/officeDocument/2006/relationships/hyperlink" Target="https://fantasy.espn.com/football/boxscore?leagueId=11593953&amp;matchupPeriodId=13&amp;scoringPeriodId=13&amp;seasonId=2019&amp;teamId=4&amp;view=scoringperiod" TargetMode="External"/><Relationship Id="rId91" Type="http://schemas.openxmlformats.org/officeDocument/2006/relationships/hyperlink" Target="https://fantasy.espn.com/football/boxscore?leagueId=11593953&amp;matchupPeriodId=12&amp;scoringPeriodId=12&amp;seasonId=2019&amp;teamId=5&amp;view=scoringperiod" TargetMode="External"/><Relationship Id="rId90" Type="http://schemas.openxmlformats.org/officeDocument/2006/relationships/hyperlink" Target="https://fantasy.espn.com/football/boxscore?leagueId=11593953&amp;matchupPeriodId=12&amp;scoringPeriodId=12&amp;seasonId=2019&amp;teamId=3&amp;view=scoringperiod" TargetMode="External"/><Relationship Id="rId93" Type="http://schemas.openxmlformats.org/officeDocument/2006/relationships/hyperlink" Target="https://fantasy.espn.com/football/boxscore?leagueId=11593953&amp;matchupPeriodId=12&amp;scoringPeriodId=12&amp;seasonId=2019&amp;teamId=2&amp;view=scoringperiod" TargetMode="External"/><Relationship Id="rId92" Type="http://schemas.openxmlformats.org/officeDocument/2006/relationships/hyperlink" Target="https://fantasy.espn.com/football/boxscore?leagueId=11593953&amp;matchupPeriodId=12&amp;scoringPeriodId=12&amp;seasonId=2019&amp;teamId=5&amp;view=scoringperiod" TargetMode="External"/><Relationship Id="rId118" Type="http://schemas.openxmlformats.org/officeDocument/2006/relationships/hyperlink" Target="https://fantasy.espn.com/football/boxscore?leagueId=11593953&amp;matchupPeriodId=15&amp;scoringPeriodId=15&amp;seasonId=2019&amp;teamId=4&amp;view=scoringperiod" TargetMode="External"/><Relationship Id="rId117" Type="http://schemas.openxmlformats.org/officeDocument/2006/relationships/hyperlink" Target="https://fantasy.espn.com/football/boxscore?leagueId=11593953&amp;matchupPeriodId=15&amp;scoringPeriodId=15&amp;seasonId=2019&amp;teamId=4&amp;view=scoringperiod" TargetMode="External"/><Relationship Id="rId116" Type="http://schemas.openxmlformats.org/officeDocument/2006/relationships/hyperlink" Target="https://fantasy.espn.com/football/boxscore?leagueId=11593953&amp;matchupPeriodId=15&amp;scoringPeriodId=15&amp;seasonId=2019&amp;teamId=9&amp;view=scoringperiod" TargetMode="External"/><Relationship Id="rId115" Type="http://schemas.openxmlformats.org/officeDocument/2006/relationships/hyperlink" Target="https://fantasy.espn.com/football/boxscore?leagueId=11593953&amp;matchupPeriodId=15&amp;scoringPeriodId=15&amp;seasonId=2019&amp;teamId=9&amp;view=scoringperiod" TargetMode="External"/><Relationship Id="rId119" Type="http://schemas.openxmlformats.org/officeDocument/2006/relationships/hyperlink" Target="https://fantasy.espn.com/football/boxscore?leagueId=11593953&amp;matchupPeriodId=16&amp;scoringPeriodId=16&amp;seasonId=2019&amp;teamId=6&amp;view=scoringperiod" TargetMode="External"/><Relationship Id="rId110" Type="http://schemas.openxmlformats.org/officeDocument/2006/relationships/hyperlink" Target="https://fantasy.espn.com/football/boxscore?leagueId=11593953&amp;matchupPeriodId=14&amp;scoringPeriodId=14&amp;seasonId=2019&amp;teamId=4&amp;view=scoringperiod" TargetMode="External"/><Relationship Id="rId114" Type="http://schemas.openxmlformats.org/officeDocument/2006/relationships/hyperlink" Target="https://fantasy.espn.com/football/boxscore?leagueId=11593953&amp;matchupPeriodId=15&amp;scoringPeriodId=15&amp;seasonId=2019&amp;teamId=5&amp;view=scoringperiod" TargetMode="External"/><Relationship Id="rId113" Type="http://schemas.openxmlformats.org/officeDocument/2006/relationships/hyperlink" Target="https://fantasy.espn.com/football/boxscore?leagueId=11593953&amp;matchupPeriodId=15&amp;scoringPeriodId=15&amp;seasonId=2019&amp;teamId=5&amp;view=scoringperiod" TargetMode="External"/><Relationship Id="rId112" Type="http://schemas.openxmlformats.org/officeDocument/2006/relationships/hyperlink" Target="https://fantasy.espn.com/football/boxscore?leagueId=11593953&amp;matchupPeriodId=15&amp;scoringPeriodId=15&amp;seasonId=2019&amp;teamId=1&amp;view=scoringperiod" TargetMode="External"/><Relationship Id="rId111" Type="http://schemas.openxmlformats.org/officeDocument/2006/relationships/hyperlink" Target="https://fantasy.espn.com/football/boxscore?leagueId=11593953&amp;matchupPeriodId=15&amp;scoringPeriodId=15&amp;seasonId=2019&amp;teamId=1&amp;view=scoringperiod"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amp;scoringPeriodId=1&amp;seasonId=2023&amp;teamId=9&amp;view=scoringperiod" TargetMode="External"/><Relationship Id="rId2" Type="http://schemas.openxmlformats.org/officeDocument/2006/relationships/hyperlink" Target="https://fantasy.espn.com/football/boxscore?leagueId=11593953&amp;matchupPeriodId=1&amp;scoringPeriodId=1&amp;seasonId=2023&amp;teamId=9&amp;view=scoringperiod" TargetMode="External"/><Relationship Id="rId3" Type="http://schemas.openxmlformats.org/officeDocument/2006/relationships/hyperlink" Target="https://fantasy.espn.com/football/boxscore?leagueId=11593953&amp;matchupPeriodId=1&amp;scoringPeriodId=1&amp;seasonId=2023&amp;teamId=4&amp;view=scoringperiod" TargetMode="External"/><Relationship Id="rId4" Type="http://schemas.openxmlformats.org/officeDocument/2006/relationships/hyperlink" Target="https://fantasy.espn.com/football/boxscore?leagueId=11593953&amp;matchupPeriodId=1&amp;scoringPeriodId=1&amp;seasonId=2023&amp;teamId=4&amp;view=scoringperiod" TargetMode="External"/><Relationship Id="rId9" Type="http://schemas.openxmlformats.org/officeDocument/2006/relationships/hyperlink" Target="https://fantasy.espn.com/football/boxscore?leagueId=11593953&amp;matchupPeriodId=2&amp;scoringPeriodId=2&amp;seasonId=2023&amp;teamId=9&amp;view=scoringperiod" TargetMode="External"/><Relationship Id="rId5" Type="http://schemas.openxmlformats.org/officeDocument/2006/relationships/hyperlink" Target="https://fantasy.espn.com/football/boxscore?leagueId=11593953&amp;matchupPeriodId=1&amp;scoringPeriodId=1&amp;seasonId=2023&amp;teamId=11&amp;view=scoringperiod" TargetMode="External"/><Relationship Id="rId6" Type="http://schemas.openxmlformats.org/officeDocument/2006/relationships/hyperlink" Target="https://fantasy.espn.com/football/boxscore?leagueId=11593953&amp;matchupPeriodId=1&amp;scoringPeriodId=1&amp;seasonId=2023&amp;teamId=11&amp;view=scoringperiod" TargetMode="External"/><Relationship Id="rId7" Type="http://schemas.openxmlformats.org/officeDocument/2006/relationships/hyperlink" Target="https://fantasy.espn.com/football/boxscore?leagueId=11593953&amp;matchupPeriodId=1&amp;scoringPeriodId=1&amp;seasonId=2023&amp;teamId=8&amp;view=scoringperiod" TargetMode="External"/><Relationship Id="rId8" Type="http://schemas.openxmlformats.org/officeDocument/2006/relationships/hyperlink" Target="https://fantasy.espn.com/football/boxscore?leagueId=11593953&amp;matchupPeriodId=1&amp;scoringPeriodId=1&amp;seasonId=2023&amp;teamId=8&amp;view=scoringperiod" TargetMode="External"/><Relationship Id="rId137" Type="http://schemas.openxmlformats.org/officeDocument/2006/relationships/drawing" Target="../drawings/drawing26.xml"/><Relationship Id="rId132" Type="http://schemas.openxmlformats.org/officeDocument/2006/relationships/hyperlink" Target="https://fantasy.espn.com/football/boxscore?leagueId=11593953&amp;matchupPeriodId=17&amp;scoringPeriodId=17&amp;seasonId=2023&amp;teamId=9&amp;view=scoringperiod" TargetMode="External"/><Relationship Id="rId131" Type="http://schemas.openxmlformats.org/officeDocument/2006/relationships/hyperlink" Target="https://fantasy.espn.com/football/boxscore?leagueId=11593953&amp;matchupPeriodId=17&amp;scoringPeriodId=17&amp;seasonId=2023&amp;teamId=9&amp;view=scoringperiod" TargetMode="External"/><Relationship Id="rId130" Type="http://schemas.openxmlformats.org/officeDocument/2006/relationships/hyperlink" Target="https://fantasy.espn.com/football/boxscore?leagueId=11593953&amp;matchupPeriodId=17&amp;scoringPeriodId=17&amp;seasonId=2023&amp;teamId=1&amp;view=scoringperiod" TargetMode="External"/><Relationship Id="rId136" Type="http://schemas.openxmlformats.org/officeDocument/2006/relationships/hyperlink" Target="https://fantasy.espn.com/football/boxscore?leagueId=11593953&amp;matchupPeriodId=1&amp;scoringPeriodId=1&amp;seasonId=2023&amp;teamId=11&amp;view=scoringperiod" TargetMode="External"/><Relationship Id="rId135" Type="http://schemas.openxmlformats.org/officeDocument/2006/relationships/hyperlink" Target="https://fantasy.espn.com/football/boxscore?leagueId=11593953&amp;matchupPeriodId=1&amp;scoringPeriodId=1&amp;seasonId=2023&amp;teamId=11&amp;view=scoringperiod" TargetMode="External"/><Relationship Id="rId134" Type="http://schemas.openxmlformats.org/officeDocument/2006/relationships/hyperlink" Target="https://fantasy.espn.com/football/boxscore?leagueId=11593953&amp;matchupPeriodId=17&amp;scoringPeriodId=17&amp;seasonId=2023&amp;teamId=8&amp;view=scoringperiod" TargetMode="External"/><Relationship Id="rId133" Type="http://schemas.openxmlformats.org/officeDocument/2006/relationships/hyperlink" Target="https://fantasy.espn.com/football/boxscore?leagueId=11593953&amp;matchupPeriodId=17&amp;scoringPeriodId=17&amp;seasonId=2023&amp;teamId=8&amp;view=scoringperiod" TargetMode="External"/><Relationship Id="rId40" Type="http://schemas.openxmlformats.org/officeDocument/2006/relationships/hyperlink" Target="https://fantasy.espn.com/football/boxscore?leagueId=11593953&amp;matchupPeriodId=5&amp;scoringPeriodId=5&amp;seasonId=2023&amp;teamId=3&amp;view=scoringperiod" TargetMode="External"/><Relationship Id="rId42" Type="http://schemas.openxmlformats.org/officeDocument/2006/relationships/hyperlink" Target="https://fantasy.espn.com/football/boxscore?leagueId=11593953&amp;matchupPeriodId=6&amp;scoringPeriodId=6&amp;seasonId=2023&amp;teamId=9&amp;view=scoringperiod" TargetMode="External"/><Relationship Id="rId41" Type="http://schemas.openxmlformats.org/officeDocument/2006/relationships/hyperlink" Target="https://fantasy.espn.com/football/boxscore?leagueId=11593953&amp;matchupPeriodId=6&amp;scoringPeriodId=6&amp;seasonId=2023&amp;teamId=9&amp;view=scoringperiod" TargetMode="External"/><Relationship Id="rId44" Type="http://schemas.openxmlformats.org/officeDocument/2006/relationships/hyperlink" Target="https://fantasy.espn.com/football/boxscore?leagueId=11593953&amp;matchupPeriodId=6&amp;scoringPeriodId=6&amp;seasonId=2023&amp;teamId=2&amp;view=scoringperiod" TargetMode="External"/><Relationship Id="rId43" Type="http://schemas.openxmlformats.org/officeDocument/2006/relationships/hyperlink" Target="https://fantasy.espn.com/football/boxscore?leagueId=11593953&amp;matchupPeriodId=6&amp;scoringPeriodId=6&amp;seasonId=2023&amp;teamId=2&amp;view=scoringperiod" TargetMode="External"/><Relationship Id="rId46" Type="http://schemas.openxmlformats.org/officeDocument/2006/relationships/hyperlink" Target="https://fantasy.espn.com/football/boxscore?leagueId=11593953&amp;matchupPeriodId=6&amp;scoringPeriodId=6&amp;seasonId=2023&amp;teamId=3&amp;view=scoringperiod" TargetMode="External"/><Relationship Id="rId45" Type="http://schemas.openxmlformats.org/officeDocument/2006/relationships/hyperlink" Target="https://fantasy.espn.com/football/boxscore?leagueId=11593953&amp;matchupPeriodId=6&amp;scoringPeriodId=6&amp;seasonId=2023&amp;teamId=3&amp;view=scoringperiod" TargetMode="External"/><Relationship Id="rId48" Type="http://schemas.openxmlformats.org/officeDocument/2006/relationships/hyperlink" Target="https://fantasy.espn.com/football/boxscore?leagueId=11593953&amp;matchupPeriodId=6&amp;scoringPeriodId=6&amp;seasonId=2023&amp;teamId=11&amp;view=scoringperiod" TargetMode="External"/><Relationship Id="rId47" Type="http://schemas.openxmlformats.org/officeDocument/2006/relationships/hyperlink" Target="https://fantasy.espn.com/football/boxscore?leagueId=11593953&amp;matchupPeriodId=6&amp;scoringPeriodId=6&amp;seasonId=2023&amp;teamId=11&amp;view=scoringperiod" TargetMode="External"/><Relationship Id="rId49" Type="http://schemas.openxmlformats.org/officeDocument/2006/relationships/hyperlink" Target="https://fantasy.espn.com/football/boxscore?leagueId=11593953&amp;matchupPeriodId=7&amp;scoringPeriodId=7&amp;seasonId=2023&amp;teamId=9&amp;view=scoringperiod" TargetMode="External"/><Relationship Id="rId31" Type="http://schemas.openxmlformats.org/officeDocument/2006/relationships/hyperlink" Target="https://fantasy.espn.com/football/boxscore?leagueId=11593953&amp;matchupPeriodId=4&amp;scoringPeriodId=4&amp;seasonId=2023&amp;teamId=3&amp;view=scoringperiod" TargetMode="External"/><Relationship Id="rId30" Type="http://schemas.openxmlformats.org/officeDocument/2006/relationships/hyperlink" Target="https://fantasy.espn.com/football/boxscore?leagueId=11593953&amp;matchupPeriodId=4&amp;scoringPeriodId=4&amp;seasonId=2023&amp;teamId=4&amp;view=scoringperiod" TargetMode="External"/><Relationship Id="rId33" Type="http://schemas.openxmlformats.org/officeDocument/2006/relationships/hyperlink" Target="https://fantasy.espn.com/football/boxscore?leagueId=11593953&amp;matchupPeriodId=5&amp;scoringPeriodId=5&amp;seasonId=2023&amp;teamId=9&amp;view=scoringperiod" TargetMode="External"/><Relationship Id="rId32" Type="http://schemas.openxmlformats.org/officeDocument/2006/relationships/hyperlink" Target="https://fantasy.espn.com/football/boxscore?leagueId=11593953&amp;matchupPeriodId=4&amp;scoringPeriodId=4&amp;seasonId=2023&amp;teamId=3&amp;view=scoringperiod" TargetMode="External"/><Relationship Id="rId35" Type="http://schemas.openxmlformats.org/officeDocument/2006/relationships/hyperlink" Target="https://fantasy.espn.com/football/boxscore?leagueId=11593953&amp;matchupPeriodId=5&amp;scoringPeriodId=5&amp;seasonId=2023&amp;teamId=2&amp;view=scoringperiod" TargetMode="External"/><Relationship Id="rId34" Type="http://schemas.openxmlformats.org/officeDocument/2006/relationships/hyperlink" Target="https://fantasy.espn.com/football/boxscore?leagueId=11593953&amp;matchupPeriodId=5&amp;scoringPeriodId=5&amp;seasonId=2023&amp;teamId=9&amp;view=scoringperiod" TargetMode="External"/><Relationship Id="rId37" Type="http://schemas.openxmlformats.org/officeDocument/2006/relationships/hyperlink" Target="https://fantasy.espn.com/football/boxscore?leagueId=11593953&amp;matchupPeriodId=5&amp;scoringPeriodId=5&amp;seasonId=2023&amp;teamId=4&amp;view=scoringperiod" TargetMode="External"/><Relationship Id="rId36" Type="http://schemas.openxmlformats.org/officeDocument/2006/relationships/hyperlink" Target="https://fantasy.espn.com/football/boxscore?leagueId=11593953&amp;matchupPeriodId=5&amp;scoringPeriodId=5&amp;seasonId=2023&amp;teamId=2&amp;view=scoringperiod" TargetMode="External"/><Relationship Id="rId39" Type="http://schemas.openxmlformats.org/officeDocument/2006/relationships/hyperlink" Target="https://fantasy.espn.com/football/boxscore?leagueId=11593953&amp;matchupPeriodId=5&amp;scoringPeriodId=5&amp;seasonId=2023&amp;teamId=3&amp;view=scoringperiod" TargetMode="External"/><Relationship Id="rId38" Type="http://schemas.openxmlformats.org/officeDocument/2006/relationships/hyperlink" Target="https://fantasy.espn.com/football/boxscore?leagueId=11593953&amp;matchupPeriodId=5&amp;scoringPeriodId=5&amp;seasonId=2023&amp;teamId=4&amp;view=scoringperiod" TargetMode="External"/><Relationship Id="rId20" Type="http://schemas.openxmlformats.org/officeDocument/2006/relationships/hyperlink" Target="https://fantasy.espn.com/football/boxscore?leagueId=11593953&amp;matchupPeriodId=3&amp;scoringPeriodId=3&amp;seasonId=2023&amp;teamId=2&amp;view=scoringperiod" TargetMode="External"/><Relationship Id="rId22" Type="http://schemas.openxmlformats.org/officeDocument/2006/relationships/hyperlink" Target="https://fantasy.espn.com/football/boxscore?leagueId=11593953&amp;matchupPeriodId=3&amp;scoringPeriodId=3&amp;seasonId=2023&amp;teamId=4&amp;view=scoringperiod" TargetMode="External"/><Relationship Id="rId21" Type="http://schemas.openxmlformats.org/officeDocument/2006/relationships/hyperlink" Target="https://fantasy.espn.com/football/boxscore?leagueId=11593953&amp;matchupPeriodId=3&amp;scoringPeriodId=3&amp;seasonId=2023&amp;teamId=4&amp;view=scoringperiod" TargetMode="External"/><Relationship Id="rId24" Type="http://schemas.openxmlformats.org/officeDocument/2006/relationships/hyperlink" Target="https://fantasy.espn.com/football/boxscore?leagueId=11593953&amp;matchupPeriodId=3&amp;scoringPeriodId=3&amp;seasonId=2023&amp;teamId=3&amp;view=scoringperiod" TargetMode="External"/><Relationship Id="rId23" Type="http://schemas.openxmlformats.org/officeDocument/2006/relationships/hyperlink" Target="https://fantasy.espn.com/football/boxscore?leagueId=11593953&amp;matchupPeriodId=3&amp;scoringPeriodId=3&amp;seasonId=2023&amp;teamId=3&amp;view=scoringperiod" TargetMode="External"/><Relationship Id="rId26" Type="http://schemas.openxmlformats.org/officeDocument/2006/relationships/hyperlink" Target="https://fantasy.espn.com/football/boxscore?leagueId=11593953&amp;matchupPeriodId=4&amp;scoringPeriodId=4&amp;seasonId=2023&amp;teamId=9&amp;view=scoringperiod" TargetMode="External"/><Relationship Id="rId25" Type="http://schemas.openxmlformats.org/officeDocument/2006/relationships/hyperlink" Target="https://fantasy.espn.com/football/boxscore?leagueId=11593953&amp;matchupPeriodId=4&amp;scoringPeriodId=4&amp;seasonId=2023&amp;teamId=9&amp;view=scoringperiod" TargetMode="External"/><Relationship Id="rId28" Type="http://schemas.openxmlformats.org/officeDocument/2006/relationships/hyperlink" Target="https://fantasy.espn.com/football/boxscore?leagueId=11593953&amp;matchupPeriodId=4&amp;scoringPeriodId=4&amp;seasonId=2023&amp;teamId=2&amp;view=scoringperiod" TargetMode="External"/><Relationship Id="rId27" Type="http://schemas.openxmlformats.org/officeDocument/2006/relationships/hyperlink" Target="https://fantasy.espn.com/football/boxscore?leagueId=11593953&amp;matchupPeriodId=4&amp;scoringPeriodId=4&amp;seasonId=2023&amp;teamId=2&amp;view=scoringperiod" TargetMode="External"/><Relationship Id="rId29" Type="http://schemas.openxmlformats.org/officeDocument/2006/relationships/hyperlink" Target="https://fantasy.espn.com/football/boxscore?leagueId=11593953&amp;matchupPeriodId=4&amp;scoringPeriodId=4&amp;seasonId=2023&amp;teamId=4&amp;view=scoringperiod" TargetMode="External"/><Relationship Id="rId11" Type="http://schemas.openxmlformats.org/officeDocument/2006/relationships/hyperlink" Target="https://fantasy.espn.com/football/boxscore?leagueId=11593953&amp;matchupPeriodId=2&amp;scoringPeriodId=2&amp;seasonId=2023&amp;teamId=2&amp;view=scoringperiod" TargetMode="External"/><Relationship Id="rId10" Type="http://schemas.openxmlformats.org/officeDocument/2006/relationships/hyperlink" Target="https://fantasy.espn.com/football/boxscore?leagueId=11593953&amp;matchupPeriodId=2&amp;scoringPeriodId=2&amp;seasonId=2023&amp;teamId=9&amp;view=scoringperiod" TargetMode="External"/><Relationship Id="rId13" Type="http://schemas.openxmlformats.org/officeDocument/2006/relationships/hyperlink" Target="https://fantasy.espn.com/football/boxscore?leagueId=11593953&amp;matchupPeriodId=2&amp;scoringPeriodId=2&amp;seasonId=2023&amp;teamId=11&amp;view=scoringperiod" TargetMode="External"/><Relationship Id="rId12" Type="http://schemas.openxmlformats.org/officeDocument/2006/relationships/hyperlink" Target="https://fantasy.espn.com/football/boxscore?leagueId=11593953&amp;matchupPeriodId=2&amp;scoringPeriodId=2&amp;seasonId=2023&amp;teamId=2&amp;view=scoringperiod" TargetMode="External"/><Relationship Id="rId15" Type="http://schemas.openxmlformats.org/officeDocument/2006/relationships/hyperlink" Target="https://fantasy.espn.com/football/boxscore?leagueId=11593953&amp;matchupPeriodId=2&amp;scoringPeriodId=2&amp;seasonId=2023&amp;teamId=1&amp;view=scoringperiod" TargetMode="External"/><Relationship Id="rId14" Type="http://schemas.openxmlformats.org/officeDocument/2006/relationships/hyperlink" Target="https://fantasy.espn.com/football/boxscore?leagueId=11593953&amp;matchupPeriodId=2&amp;scoringPeriodId=2&amp;seasonId=2023&amp;teamId=11&amp;view=scoringperiod" TargetMode="External"/><Relationship Id="rId17" Type="http://schemas.openxmlformats.org/officeDocument/2006/relationships/hyperlink" Target="https://fantasy.espn.com/football/boxscore?leagueId=11593953&amp;matchupPeriodId=3&amp;scoringPeriodId=3&amp;seasonId=2023&amp;teamId=9&amp;view=scoringperiod" TargetMode="External"/><Relationship Id="rId16" Type="http://schemas.openxmlformats.org/officeDocument/2006/relationships/hyperlink" Target="https://fantasy.espn.com/football/boxscore?leagueId=11593953&amp;matchupPeriodId=2&amp;scoringPeriodId=2&amp;seasonId=2023&amp;teamId=1&amp;view=scoringperiod" TargetMode="External"/><Relationship Id="rId19" Type="http://schemas.openxmlformats.org/officeDocument/2006/relationships/hyperlink" Target="https://fantasy.espn.com/football/boxscore?leagueId=11593953&amp;matchupPeriodId=3&amp;scoringPeriodId=3&amp;seasonId=2023&amp;teamId=2&amp;view=scoringperiod" TargetMode="External"/><Relationship Id="rId18" Type="http://schemas.openxmlformats.org/officeDocument/2006/relationships/hyperlink" Target="https://fantasy.espn.com/football/boxscore?leagueId=11593953&amp;matchupPeriodId=3&amp;scoringPeriodId=3&amp;seasonId=2023&amp;teamId=9&amp;view=scoringperiod" TargetMode="External"/><Relationship Id="rId84" Type="http://schemas.openxmlformats.org/officeDocument/2006/relationships/hyperlink" Target="https://fantasy.espn.com/football/boxscore?leagueId=11593953&amp;matchupPeriodId=11&amp;scoringPeriodId=11&amp;seasonId=2023&amp;teamId=4&amp;view=scoringperiod" TargetMode="External"/><Relationship Id="rId83" Type="http://schemas.openxmlformats.org/officeDocument/2006/relationships/hyperlink" Target="https://fantasy.espn.com/football/boxscore?leagueId=11593953&amp;matchupPeriodId=11&amp;scoringPeriodId=11&amp;seasonId=2023&amp;teamId=4&amp;view=scoringperiod" TargetMode="External"/><Relationship Id="rId86" Type="http://schemas.openxmlformats.org/officeDocument/2006/relationships/hyperlink" Target="https://fantasy.espn.com/football/boxscore?leagueId=11593953&amp;matchupPeriodId=11&amp;scoringPeriodId=11&amp;seasonId=2023&amp;teamId=11&amp;view=scoringperiod" TargetMode="External"/><Relationship Id="rId85" Type="http://schemas.openxmlformats.org/officeDocument/2006/relationships/hyperlink" Target="https://fantasy.espn.com/football/boxscore?leagueId=11593953&amp;matchupPeriodId=11&amp;scoringPeriodId=11&amp;seasonId=2023&amp;teamId=11&amp;view=scoringperiod" TargetMode="External"/><Relationship Id="rId88" Type="http://schemas.openxmlformats.org/officeDocument/2006/relationships/hyperlink" Target="https://fantasy.espn.com/football/boxscore?leagueId=11593953&amp;matchupPeriodId=11&amp;scoringPeriodId=11&amp;seasonId=2023&amp;teamId=8&amp;view=scoringperiod" TargetMode="External"/><Relationship Id="rId87" Type="http://schemas.openxmlformats.org/officeDocument/2006/relationships/hyperlink" Target="https://fantasy.espn.com/football/boxscore?leagueId=11593953&amp;matchupPeriodId=11&amp;scoringPeriodId=11&amp;seasonId=2023&amp;teamId=8&amp;view=scoringperiod" TargetMode="External"/><Relationship Id="rId89" Type="http://schemas.openxmlformats.org/officeDocument/2006/relationships/hyperlink" Target="https://fantasy.espn.com/football/boxscore?leagueId=11593953&amp;matchupPeriodId=12&amp;scoringPeriodId=12&amp;seasonId=2023&amp;teamId=9&amp;view=scoringperiod" TargetMode="External"/><Relationship Id="rId80" Type="http://schemas.openxmlformats.org/officeDocument/2006/relationships/hyperlink" Target="https://fantasy.espn.com/football/boxscore?leagueId=11593953&amp;matchupPeriodId=10&amp;scoringPeriodId=10&amp;seasonId=2023&amp;teamId=1&amp;view=scoringperiod" TargetMode="External"/><Relationship Id="rId82" Type="http://schemas.openxmlformats.org/officeDocument/2006/relationships/hyperlink" Target="https://fantasy.espn.com/football/boxscore?leagueId=11593953&amp;matchupPeriodId=11&amp;scoringPeriodId=11&amp;seasonId=2023&amp;teamId=9&amp;view=scoringperiod" TargetMode="External"/><Relationship Id="rId81" Type="http://schemas.openxmlformats.org/officeDocument/2006/relationships/hyperlink" Target="https://fantasy.espn.com/football/boxscore?leagueId=11593953&amp;matchupPeriodId=11&amp;scoringPeriodId=11&amp;seasonId=2023&amp;teamId=9&amp;view=scoringperiod" TargetMode="External"/><Relationship Id="rId73" Type="http://schemas.openxmlformats.org/officeDocument/2006/relationships/hyperlink" Target="https://fantasy.espn.com/football/boxscore?leagueId=11593953&amp;matchupPeriodId=10&amp;scoringPeriodId=10&amp;seasonId=2023&amp;teamId=9&amp;view=scoringperiod" TargetMode="External"/><Relationship Id="rId72" Type="http://schemas.openxmlformats.org/officeDocument/2006/relationships/hyperlink" Target="https://fantasy.espn.com/football/boxscore?leagueId=11593953&amp;matchupPeriodId=9&amp;scoringPeriodId=9&amp;seasonId=2023&amp;teamId=1&amp;view=scoringperiod" TargetMode="External"/><Relationship Id="rId75" Type="http://schemas.openxmlformats.org/officeDocument/2006/relationships/hyperlink" Target="https://fantasy.espn.com/football/boxscore?leagueId=11593953&amp;matchupPeriodId=10&amp;scoringPeriodId=10&amp;seasonId=2023&amp;teamId=2&amp;view=scoringperiod" TargetMode="External"/><Relationship Id="rId74" Type="http://schemas.openxmlformats.org/officeDocument/2006/relationships/hyperlink" Target="https://fantasy.espn.com/football/boxscore?leagueId=11593953&amp;matchupPeriodId=10&amp;scoringPeriodId=10&amp;seasonId=2023&amp;teamId=9&amp;view=scoringperiod" TargetMode="External"/><Relationship Id="rId77" Type="http://schemas.openxmlformats.org/officeDocument/2006/relationships/hyperlink" Target="https://fantasy.espn.com/football/boxscore?leagueId=11593953&amp;matchupPeriodId=10&amp;scoringPeriodId=10&amp;seasonId=2023&amp;teamId=11&amp;view=scoringperiod" TargetMode="External"/><Relationship Id="rId76" Type="http://schemas.openxmlformats.org/officeDocument/2006/relationships/hyperlink" Target="https://fantasy.espn.com/football/boxscore?leagueId=11593953&amp;matchupPeriodId=10&amp;scoringPeriodId=10&amp;seasonId=2023&amp;teamId=2&amp;view=scoringperiod" TargetMode="External"/><Relationship Id="rId79" Type="http://schemas.openxmlformats.org/officeDocument/2006/relationships/hyperlink" Target="https://fantasy.espn.com/football/boxscore?leagueId=11593953&amp;matchupPeriodId=10&amp;scoringPeriodId=10&amp;seasonId=2023&amp;teamId=1&amp;view=scoringperiod" TargetMode="External"/><Relationship Id="rId78" Type="http://schemas.openxmlformats.org/officeDocument/2006/relationships/hyperlink" Target="https://fantasy.espn.com/football/boxscore?leagueId=11593953&amp;matchupPeriodId=10&amp;scoringPeriodId=10&amp;seasonId=2023&amp;teamId=11&amp;view=scoringperiod" TargetMode="External"/><Relationship Id="rId71" Type="http://schemas.openxmlformats.org/officeDocument/2006/relationships/hyperlink" Target="https://fantasy.espn.com/football/boxscore?leagueId=11593953&amp;matchupPeriodId=9&amp;scoringPeriodId=9&amp;seasonId=2023&amp;teamId=1&amp;view=scoringperiod" TargetMode="External"/><Relationship Id="rId70" Type="http://schemas.openxmlformats.org/officeDocument/2006/relationships/hyperlink" Target="https://fantasy.espn.com/football/boxscore?leagueId=11593953&amp;matchupPeriodId=9&amp;scoringPeriodId=9&amp;seasonId=2023&amp;teamId=4&amp;view=scoringperiod" TargetMode="External"/><Relationship Id="rId62" Type="http://schemas.openxmlformats.org/officeDocument/2006/relationships/hyperlink" Target="https://fantasy.espn.com/football/boxscore?leagueId=11593953&amp;matchupPeriodId=8&amp;scoringPeriodId=8&amp;seasonId=2023&amp;teamId=4&amp;view=scoringperiod" TargetMode="External"/><Relationship Id="rId61" Type="http://schemas.openxmlformats.org/officeDocument/2006/relationships/hyperlink" Target="https://fantasy.espn.com/football/boxscore?leagueId=11593953&amp;matchupPeriodId=8&amp;scoringPeriodId=8&amp;seasonId=2023&amp;teamId=4&amp;view=scoringperiod" TargetMode="External"/><Relationship Id="rId64" Type="http://schemas.openxmlformats.org/officeDocument/2006/relationships/hyperlink" Target="https://fantasy.espn.com/football/boxscore?leagueId=11593953&amp;matchupPeriodId=8&amp;scoringPeriodId=8&amp;seasonId=2023&amp;teamId=3&amp;view=scoringperiod" TargetMode="External"/><Relationship Id="rId63" Type="http://schemas.openxmlformats.org/officeDocument/2006/relationships/hyperlink" Target="https://fantasy.espn.com/football/boxscore?leagueId=11593953&amp;matchupPeriodId=8&amp;scoringPeriodId=8&amp;seasonId=2023&amp;teamId=3&amp;view=scoringperiod" TargetMode="External"/><Relationship Id="rId66" Type="http://schemas.openxmlformats.org/officeDocument/2006/relationships/hyperlink" Target="https://fantasy.espn.com/football/boxscore?leagueId=11593953&amp;matchupPeriodId=9&amp;scoringPeriodId=9&amp;seasonId=2023&amp;teamId=9&amp;view=scoringperiod" TargetMode="External"/><Relationship Id="rId65" Type="http://schemas.openxmlformats.org/officeDocument/2006/relationships/hyperlink" Target="https://fantasy.espn.com/football/boxscore?leagueId=11593953&amp;matchupPeriodId=9&amp;scoringPeriodId=9&amp;seasonId=2023&amp;teamId=9&amp;view=scoringperiod" TargetMode="External"/><Relationship Id="rId68" Type="http://schemas.openxmlformats.org/officeDocument/2006/relationships/hyperlink" Target="https://fantasy.espn.com/football/boxscore?leagueId=11593953&amp;matchupPeriodId=9&amp;scoringPeriodId=9&amp;seasonId=2023&amp;teamId=2&amp;view=scoringperiod" TargetMode="External"/><Relationship Id="rId67" Type="http://schemas.openxmlformats.org/officeDocument/2006/relationships/hyperlink" Target="https://fantasy.espn.com/football/boxscore?leagueId=11593953&amp;matchupPeriodId=9&amp;scoringPeriodId=9&amp;seasonId=2023&amp;teamId=2&amp;view=scoringperiod" TargetMode="External"/><Relationship Id="rId60" Type="http://schemas.openxmlformats.org/officeDocument/2006/relationships/hyperlink" Target="https://fantasy.espn.com/football/boxscore?leagueId=11593953&amp;matchupPeriodId=8&amp;scoringPeriodId=8&amp;seasonId=2023&amp;teamId=2&amp;view=scoringperiod" TargetMode="External"/><Relationship Id="rId69" Type="http://schemas.openxmlformats.org/officeDocument/2006/relationships/hyperlink" Target="https://fantasy.espn.com/football/boxscore?leagueId=11593953&amp;matchupPeriodId=9&amp;scoringPeriodId=9&amp;seasonId=2023&amp;teamId=4&amp;view=scoringperiod" TargetMode="External"/><Relationship Id="rId51" Type="http://schemas.openxmlformats.org/officeDocument/2006/relationships/hyperlink" Target="https://fantasy.espn.com/football/boxscore?leagueId=11593953&amp;matchupPeriodId=7&amp;scoringPeriodId=7&amp;seasonId=2023&amp;teamId=2&amp;view=scoringperiod" TargetMode="External"/><Relationship Id="rId50" Type="http://schemas.openxmlformats.org/officeDocument/2006/relationships/hyperlink" Target="https://fantasy.espn.com/football/boxscore?leagueId=11593953&amp;matchupPeriodId=7&amp;scoringPeriodId=7&amp;seasonId=2023&amp;teamId=9&amp;view=scoringperiod" TargetMode="External"/><Relationship Id="rId53" Type="http://schemas.openxmlformats.org/officeDocument/2006/relationships/hyperlink" Target="https://fantasy.espn.com/football/boxscore?leagueId=11593953&amp;matchupPeriodId=7&amp;scoringPeriodId=7&amp;seasonId=2023&amp;teamId=4&amp;view=scoringperiod" TargetMode="External"/><Relationship Id="rId52" Type="http://schemas.openxmlformats.org/officeDocument/2006/relationships/hyperlink" Target="https://fantasy.espn.com/football/boxscore?leagueId=11593953&amp;matchupPeriodId=7&amp;scoringPeriodId=7&amp;seasonId=2023&amp;teamId=2&amp;view=scoringperiod" TargetMode="External"/><Relationship Id="rId55" Type="http://schemas.openxmlformats.org/officeDocument/2006/relationships/hyperlink" Target="https://fantasy.espn.com/football/boxscore?leagueId=11593953&amp;matchupPeriodId=7&amp;scoringPeriodId=7&amp;seasonId=2023&amp;teamId=3&amp;view=scoringperiod" TargetMode="External"/><Relationship Id="rId54" Type="http://schemas.openxmlformats.org/officeDocument/2006/relationships/hyperlink" Target="https://fantasy.espn.com/football/boxscore?leagueId=11593953&amp;matchupPeriodId=7&amp;scoringPeriodId=7&amp;seasonId=2023&amp;teamId=4&amp;view=scoringperiod" TargetMode="External"/><Relationship Id="rId57" Type="http://schemas.openxmlformats.org/officeDocument/2006/relationships/hyperlink" Target="https://fantasy.espn.com/football/boxscore?leagueId=11593953&amp;matchupPeriodId=8&amp;scoringPeriodId=8&amp;seasonId=2023&amp;teamId=9&amp;view=scoringperiod" TargetMode="External"/><Relationship Id="rId56" Type="http://schemas.openxmlformats.org/officeDocument/2006/relationships/hyperlink" Target="https://fantasy.espn.com/football/boxscore?leagueId=11593953&amp;matchupPeriodId=7&amp;scoringPeriodId=7&amp;seasonId=2023&amp;teamId=3&amp;view=scoringperiod" TargetMode="External"/><Relationship Id="rId59" Type="http://schemas.openxmlformats.org/officeDocument/2006/relationships/hyperlink" Target="https://fantasy.espn.com/football/boxscore?leagueId=11593953&amp;matchupPeriodId=8&amp;scoringPeriodId=8&amp;seasonId=2023&amp;teamId=2&amp;view=scoringperiod" TargetMode="External"/><Relationship Id="rId58" Type="http://schemas.openxmlformats.org/officeDocument/2006/relationships/hyperlink" Target="https://fantasy.espn.com/football/boxscore?leagueId=11593953&amp;matchupPeriodId=8&amp;scoringPeriodId=8&amp;seasonId=2023&amp;teamId=9&amp;view=scoringperiod" TargetMode="External"/><Relationship Id="rId107" Type="http://schemas.openxmlformats.org/officeDocument/2006/relationships/hyperlink" Target="https://fantasy.espn.com/football/boxscore?leagueId=11593953&amp;matchupPeriodId=14&amp;scoringPeriodId=14&amp;seasonId=2023&amp;teamId=2&amp;view=scoringperiod" TargetMode="External"/><Relationship Id="rId106" Type="http://schemas.openxmlformats.org/officeDocument/2006/relationships/hyperlink" Target="https://fantasy.espn.com/football/boxscore?leagueId=11593953&amp;matchupPeriodId=14&amp;scoringPeriodId=14&amp;seasonId=2023&amp;teamId=9&amp;view=scoringperiod" TargetMode="External"/><Relationship Id="rId105" Type="http://schemas.openxmlformats.org/officeDocument/2006/relationships/hyperlink" Target="https://fantasy.espn.com/football/boxscore?leagueId=11593953&amp;matchupPeriodId=14&amp;scoringPeriodId=14&amp;seasonId=2023&amp;teamId=9&amp;view=scoringperiod" TargetMode="External"/><Relationship Id="rId104" Type="http://schemas.openxmlformats.org/officeDocument/2006/relationships/hyperlink" Target="https://fantasy.espn.com/football/boxscore?leagueId=11593953&amp;matchupPeriodId=13&amp;scoringPeriodId=13&amp;seasonId=2023&amp;teamId=3&amp;view=scoringperiod" TargetMode="External"/><Relationship Id="rId109" Type="http://schemas.openxmlformats.org/officeDocument/2006/relationships/hyperlink" Target="https://fantasy.espn.com/football/boxscore?leagueId=11593953&amp;matchupPeriodId=14&amp;scoringPeriodId=14&amp;seasonId=2023&amp;teamId=11&amp;view=scoringperiod" TargetMode="External"/><Relationship Id="rId108" Type="http://schemas.openxmlformats.org/officeDocument/2006/relationships/hyperlink" Target="https://fantasy.espn.com/football/boxscore?leagueId=11593953&amp;matchupPeriodId=14&amp;scoringPeriodId=14&amp;seasonId=2023&amp;teamId=2&amp;view=scoringperiod" TargetMode="External"/><Relationship Id="rId103" Type="http://schemas.openxmlformats.org/officeDocument/2006/relationships/hyperlink" Target="https://fantasy.espn.com/football/boxscore?leagueId=11593953&amp;matchupPeriodId=13&amp;scoringPeriodId=13&amp;seasonId=2023&amp;teamId=3&amp;view=scoringperiod" TargetMode="External"/><Relationship Id="rId102" Type="http://schemas.openxmlformats.org/officeDocument/2006/relationships/hyperlink" Target="https://fantasy.espn.com/football/boxscore?leagueId=11593953&amp;matchupPeriodId=13&amp;scoringPeriodId=13&amp;seasonId=2023&amp;teamId=4&amp;view=scoringperiod" TargetMode="External"/><Relationship Id="rId101" Type="http://schemas.openxmlformats.org/officeDocument/2006/relationships/hyperlink" Target="https://fantasy.espn.com/football/boxscore?leagueId=11593953&amp;matchupPeriodId=13&amp;scoringPeriodId=13&amp;seasonId=2023&amp;teamId=4&amp;view=scoringperiod" TargetMode="External"/><Relationship Id="rId100" Type="http://schemas.openxmlformats.org/officeDocument/2006/relationships/hyperlink" Target="https://fantasy.espn.com/football/boxscore?leagueId=11593953&amp;matchupPeriodId=13&amp;scoringPeriodId=13&amp;seasonId=2023&amp;teamId=2&amp;view=scoringperiod" TargetMode="External"/><Relationship Id="rId129" Type="http://schemas.openxmlformats.org/officeDocument/2006/relationships/hyperlink" Target="https://fantasy.espn.com/football/boxscore?leagueId=11593953&amp;matchupPeriodId=17&amp;scoringPeriodId=17&amp;seasonId=2023&amp;teamId=1&amp;view=scoringperiod" TargetMode="External"/><Relationship Id="rId128" Type="http://schemas.openxmlformats.org/officeDocument/2006/relationships/hyperlink" Target="https://fantasy.espn.com/football/boxscore?leagueId=11593953&amp;matchupPeriodId=17&amp;scoringPeriodId=17&amp;seasonId=2023&amp;teamId=11&amp;view=scoringperiod" TargetMode="External"/><Relationship Id="rId127" Type="http://schemas.openxmlformats.org/officeDocument/2006/relationships/hyperlink" Target="https://fantasy.espn.com/football/boxscore?leagueId=11593953&amp;matchupPeriodId=17&amp;scoringPeriodId=17&amp;seasonId=2023&amp;teamId=11&amp;view=scoringperiod" TargetMode="External"/><Relationship Id="rId126" Type="http://schemas.openxmlformats.org/officeDocument/2006/relationships/hyperlink" Target="https://fantasy.espn.com/football/boxscore?leagueId=11593953&amp;matchupPeriodId=16&amp;scoringPeriodId=16&amp;seasonId=2023&amp;teamId=8&amp;view=scoringperiod" TargetMode="External"/><Relationship Id="rId121" Type="http://schemas.openxmlformats.org/officeDocument/2006/relationships/hyperlink" Target="https://fantasy.espn.com/football/boxscore?leagueId=11593953&amp;matchupPeriodId=16&amp;scoringPeriodId=16&amp;seasonId=2023&amp;teamId=3&amp;view=scoringperiod" TargetMode="External"/><Relationship Id="rId120" Type="http://schemas.openxmlformats.org/officeDocument/2006/relationships/hyperlink" Target="https://fantasy.espn.com/football/boxscore?leagueId=11593953&amp;matchupPeriodId=16&amp;scoringPeriodId=16&amp;seasonId=2023&amp;teamId=11&amp;view=scoringperiod" TargetMode="External"/><Relationship Id="rId125" Type="http://schemas.openxmlformats.org/officeDocument/2006/relationships/hyperlink" Target="https://fantasy.espn.com/football/boxscore?leagueId=11593953&amp;matchupPeriodId=16&amp;scoringPeriodId=16&amp;seasonId=2023&amp;teamId=8&amp;view=scoringperiod" TargetMode="External"/><Relationship Id="rId124" Type="http://schemas.openxmlformats.org/officeDocument/2006/relationships/hyperlink" Target="https://fantasy.espn.com/football/boxscore?leagueId=11593953&amp;matchupPeriodId=16&amp;scoringPeriodId=16&amp;seasonId=2023&amp;teamId=9&amp;view=scoringperiod" TargetMode="External"/><Relationship Id="rId123" Type="http://schemas.openxmlformats.org/officeDocument/2006/relationships/hyperlink" Target="https://fantasy.espn.com/football/boxscore?leagueId=11593953&amp;matchupPeriodId=16&amp;scoringPeriodId=16&amp;seasonId=2023&amp;teamId=9&amp;view=scoringperiod" TargetMode="External"/><Relationship Id="rId122" Type="http://schemas.openxmlformats.org/officeDocument/2006/relationships/hyperlink" Target="https://fantasy.espn.com/football/boxscore?leagueId=11593953&amp;matchupPeriodId=16&amp;scoringPeriodId=16&amp;seasonId=2023&amp;teamId=3&amp;view=scoringperiod" TargetMode="External"/><Relationship Id="rId95" Type="http://schemas.openxmlformats.org/officeDocument/2006/relationships/hyperlink" Target="https://fantasy.espn.com/football/boxscore?leagueId=11593953&amp;matchupPeriodId=12&amp;scoringPeriodId=12&amp;seasonId=2023&amp;teamId=3&amp;view=scoringperiod" TargetMode="External"/><Relationship Id="rId94" Type="http://schemas.openxmlformats.org/officeDocument/2006/relationships/hyperlink" Target="https://fantasy.espn.com/football/boxscore?leagueId=11593953&amp;matchupPeriodId=12&amp;scoringPeriodId=12&amp;seasonId=2023&amp;teamId=4&amp;view=scoringperiod" TargetMode="External"/><Relationship Id="rId97" Type="http://schemas.openxmlformats.org/officeDocument/2006/relationships/hyperlink" Target="https://fantasy.espn.com/football/boxscore?leagueId=11593953&amp;matchupPeriodId=13&amp;scoringPeriodId=13&amp;seasonId=2023&amp;teamId=9&amp;view=scoringperiod" TargetMode="External"/><Relationship Id="rId96" Type="http://schemas.openxmlformats.org/officeDocument/2006/relationships/hyperlink" Target="https://fantasy.espn.com/football/boxscore?leagueId=11593953&amp;matchupPeriodId=12&amp;scoringPeriodId=12&amp;seasonId=2023&amp;teamId=3&amp;view=scoringperiod" TargetMode="External"/><Relationship Id="rId99" Type="http://schemas.openxmlformats.org/officeDocument/2006/relationships/hyperlink" Target="https://fantasy.espn.com/football/boxscore?leagueId=11593953&amp;matchupPeriodId=13&amp;scoringPeriodId=13&amp;seasonId=2023&amp;teamId=2&amp;view=scoringperiod" TargetMode="External"/><Relationship Id="rId98" Type="http://schemas.openxmlformats.org/officeDocument/2006/relationships/hyperlink" Target="https://fantasy.espn.com/football/boxscore?leagueId=11593953&amp;matchupPeriodId=13&amp;scoringPeriodId=13&amp;seasonId=2023&amp;teamId=9&amp;view=scoringperiod" TargetMode="External"/><Relationship Id="rId91" Type="http://schemas.openxmlformats.org/officeDocument/2006/relationships/hyperlink" Target="https://fantasy.espn.com/football/boxscore?leagueId=11593953&amp;matchupPeriodId=12&amp;scoringPeriodId=12&amp;seasonId=2023&amp;teamId=2&amp;view=scoringperiod" TargetMode="External"/><Relationship Id="rId90" Type="http://schemas.openxmlformats.org/officeDocument/2006/relationships/hyperlink" Target="https://fantasy.espn.com/football/boxscore?leagueId=11593953&amp;matchupPeriodId=12&amp;scoringPeriodId=12&amp;seasonId=2023&amp;teamId=9&amp;view=scoringperiod" TargetMode="External"/><Relationship Id="rId93" Type="http://schemas.openxmlformats.org/officeDocument/2006/relationships/hyperlink" Target="https://fantasy.espn.com/football/boxscore?leagueId=11593953&amp;matchupPeriodId=12&amp;scoringPeriodId=12&amp;seasonId=2023&amp;teamId=4&amp;view=scoringperiod" TargetMode="External"/><Relationship Id="rId92" Type="http://schemas.openxmlformats.org/officeDocument/2006/relationships/hyperlink" Target="https://fantasy.espn.com/football/boxscore?leagueId=11593953&amp;matchupPeriodId=12&amp;scoringPeriodId=12&amp;seasonId=2023&amp;teamId=2&amp;view=scoringperiod" TargetMode="External"/><Relationship Id="rId118" Type="http://schemas.openxmlformats.org/officeDocument/2006/relationships/hyperlink" Target="https://fantasy.espn.com/football/boxscore?leagueId=11593953&amp;matchupPeriodId=15&amp;scoringPeriodId=15&amp;seasonId=2023&amp;teamId=8&amp;view=scoringperiod" TargetMode="External"/><Relationship Id="rId117" Type="http://schemas.openxmlformats.org/officeDocument/2006/relationships/hyperlink" Target="https://fantasy.espn.com/football/boxscore?leagueId=11593953&amp;matchupPeriodId=15&amp;scoringPeriodId=15&amp;seasonId=2023&amp;teamId=8&amp;view=scoringperiod" TargetMode="External"/><Relationship Id="rId116" Type="http://schemas.openxmlformats.org/officeDocument/2006/relationships/hyperlink" Target="https://fantasy.espn.com/football/boxscore?leagueId=11593953&amp;matchupPeriodId=15&amp;scoringPeriodId=15&amp;seasonId=2023&amp;teamId=11&amp;view=scoringperiod" TargetMode="External"/><Relationship Id="rId115" Type="http://schemas.openxmlformats.org/officeDocument/2006/relationships/hyperlink" Target="https://fantasy.espn.com/football/boxscore?leagueId=11593953&amp;matchupPeriodId=15&amp;scoringPeriodId=15&amp;seasonId=2023&amp;teamId=11&amp;view=scoringperiod" TargetMode="External"/><Relationship Id="rId119" Type="http://schemas.openxmlformats.org/officeDocument/2006/relationships/hyperlink" Target="https://fantasy.espn.com/football/boxscore?leagueId=11593953&amp;matchupPeriodId=16&amp;scoringPeriodId=16&amp;seasonId=2023&amp;teamId=11&amp;view=scoringperiod" TargetMode="External"/><Relationship Id="rId110" Type="http://schemas.openxmlformats.org/officeDocument/2006/relationships/hyperlink" Target="https://fantasy.espn.com/football/boxscore?leagueId=11593953&amp;matchupPeriodId=14&amp;scoringPeriodId=14&amp;seasonId=2023&amp;teamId=11&amp;view=scoringperiod" TargetMode="External"/><Relationship Id="rId114" Type="http://schemas.openxmlformats.org/officeDocument/2006/relationships/hyperlink" Target="https://fantasy.espn.com/football/boxscore?leagueId=11593953&amp;matchupPeriodId=15&amp;scoringPeriodId=15&amp;seasonId=2023&amp;teamId=3&amp;view=scoringperiod" TargetMode="External"/><Relationship Id="rId113" Type="http://schemas.openxmlformats.org/officeDocument/2006/relationships/hyperlink" Target="https://fantasy.espn.com/football/boxscore?leagueId=11593953&amp;matchupPeriodId=15&amp;scoringPeriodId=15&amp;seasonId=2023&amp;teamId=3&amp;view=scoringperiod" TargetMode="External"/><Relationship Id="rId112" Type="http://schemas.openxmlformats.org/officeDocument/2006/relationships/hyperlink" Target="https://fantasy.espn.com/football/boxscore?leagueId=11593953&amp;matchupPeriodId=14&amp;scoringPeriodId=14&amp;seasonId=2023&amp;teamId=1&amp;view=scoringperiod" TargetMode="External"/><Relationship Id="rId111" Type="http://schemas.openxmlformats.org/officeDocument/2006/relationships/hyperlink" Target="https://fantasy.espn.com/football/boxscore?leagueId=11593953&amp;matchupPeriodId=14&amp;scoringPeriodId=14&amp;seasonId=2023&amp;teamId=1&amp;view=scoringperiod"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amp;scoringPeriodId=1&amp;seasonId=2022&amp;teamId=1&amp;view=scoringperiod" TargetMode="External"/><Relationship Id="rId2" Type="http://schemas.openxmlformats.org/officeDocument/2006/relationships/hyperlink" Target="https://fantasy.espn.com/football/boxscore?leagueId=11593953&amp;matchupPeriodId=1&amp;scoringPeriodId=1&amp;seasonId=2022&amp;teamId=1&amp;view=scoringperiod" TargetMode="External"/><Relationship Id="rId3" Type="http://schemas.openxmlformats.org/officeDocument/2006/relationships/hyperlink" Target="https://fantasy.espn.com/football/boxscore?leagueId=11593953&amp;matchupPeriodId=1&amp;scoringPeriodId=1&amp;seasonId=2022&amp;teamId=3&amp;view=scoringperiod" TargetMode="External"/><Relationship Id="rId4" Type="http://schemas.openxmlformats.org/officeDocument/2006/relationships/hyperlink" Target="https://fantasy.espn.com/football/boxscore?leagueId=11593953&amp;matchupPeriodId=1&amp;scoringPeriodId=1&amp;seasonId=2022&amp;teamId=3&amp;view=scoringperiod" TargetMode="External"/><Relationship Id="rId9" Type="http://schemas.openxmlformats.org/officeDocument/2006/relationships/hyperlink" Target="https://fantasy.espn.com/football/boxscore?leagueId=11593953&amp;matchupPeriodId=2&amp;scoringPeriodId=2&amp;seasonId=2022&amp;teamId=1&amp;view=scoringperiod" TargetMode="External"/><Relationship Id="rId5" Type="http://schemas.openxmlformats.org/officeDocument/2006/relationships/hyperlink" Target="https://fantasy.espn.com/football/boxscore?leagueId=11593953&amp;matchupPeriodId=1&amp;scoringPeriodId=1&amp;seasonId=2022&amp;teamId=9&amp;view=scoringperiod" TargetMode="External"/><Relationship Id="rId6" Type="http://schemas.openxmlformats.org/officeDocument/2006/relationships/hyperlink" Target="https://fantasy.espn.com/football/boxscore?leagueId=11593953&amp;matchupPeriodId=1&amp;scoringPeriodId=1&amp;seasonId=2022&amp;teamId=9&amp;view=scoringperiod" TargetMode="External"/><Relationship Id="rId7" Type="http://schemas.openxmlformats.org/officeDocument/2006/relationships/hyperlink" Target="https://fantasy.espn.com/football/boxscore?leagueId=11593953&amp;matchupPeriodId=1&amp;scoringPeriodId=1&amp;seasonId=2022&amp;teamId=8&amp;view=scoringperiod" TargetMode="External"/><Relationship Id="rId8" Type="http://schemas.openxmlformats.org/officeDocument/2006/relationships/hyperlink" Target="https://fantasy.espn.com/football/boxscore?leagueId=11593953&amp;matchupPeriodId=1&amp;scoringPeriodId=1&amp;seasonId=2022&amp;teamId=8&amp;view=scoringperiod" TargetMode="External"/><Relationship Id="rId132" Type="http://schemas.openxmlformats.org/officeDocument/2006/relationships/hyperlink" Target="https://fantasy.espn.com/football/boxscore?leagueId=11593953&amp;matchupPeriodId=17&amp;scoringPeriodId=17&amp;seasonId=2022&amp;teamId=11&amp;view=scoringperiod" TargetMode="External"/><Relationship Id="rId131" Type="http://schemas.openxmlformats.org/officeDocument/2006/relationships/hyperlink" Target="https://fantasy.espn.com/football/boxscore?leagueId=11593953&amp;matchupPeriodId=17&amp;scoringPeriodId=17&amp;seasonId=2022&amp;teamId=11&amp;view=scoringperiod" TargetMode="External"/><Relationship Id="rId130" Type="http://schemas.openxmlformats.org/officeDocument/2006/relationships/hyperlink" Target="https://fantasy.espn.com/football/boxscore?leagueId=11593953&amp;matchupPeriodId=17&amp;scoringPeriodId=17&amp;seasonId=2022&amp;teamId=3&amp;view=scoringperiod" TargetMode="External"/><Relationship Id="rId135" Type="http://schemas.openxmlformats.org/officeDocument/2006/relationships/drawing" Target="../drawings/drawing27.xml"/><Relationship Id="rId134" Type="http://schemas.openxmlformats.org/officeDocument/2006/relationships/hyperlink" Target="https://fantasy.espn.com/football/boxscore?leagueId=11593953&amp;matchupPeriodId=17&amp;scoringPeriodId=17&amp;seasonId=2022&amp;teamId=6&amp;view=scoringperiod" TargetMode="External"/><Relationship Id="rId133" Type="http://schemas.openxmlformats.org/officeDocument/2006/relationships/hyperlink" Target="https://fantasy.espn.com/football/boxscore?leagueId=11593953&amp;matchupPeriodId=17&amp;scoringPeriodId=17&amp;seasonId=2022&amp;teamId=6&amp;view=scoringperiod" TargetMode="External"/><Relationship Id="rId40" Type="http://schemas.openxmlformats.org/officeDocument/2006/relationships/hyperlink" Target="https://fantasy.espn.com/football/boxscore?leagueId=11593953&amp;matchupPeriodId=5&amp;scoringPeriodId=5&amp;seasonId=2022&amp;teamId=6&amp;view=scoringperiod" TargetMode="External"/><Relationship Id="rId42" Type="http://schemas.openxmlformats.org/officeDocument/2006/relationships/hyperlink" Target="https://fantasy.espn.com/football/boxscore?leagueId=11593953&amp;matchupPeriodId=6&amp;scoringPeriodId=6&amp;seasonId=2022&amp;teamId=1&amp;view=scoringperiod" TargetMode="External"/><Relationship Id="rId41" Type="http://schemas.openxmlformats.org/officeDocument/2006/relationships/hyperlink" Target="https://fantasy.espn.com/football/boxscore?leagueId=11593953&amp;matchupPeriodId=6&amp;scoringPeriodId=6&amp;seasonId=2022&amp;teamId=1&amp;view=scoringperiod" TargetMode="External"/><Relationship Id="rId44" Type="http://schemas.openxmlformats.org/officeDocument/2006/relationships/hyperlink" Target="https://fantasy.espn.com/football/boxscore?leagueId=11593953&amp;matchupPeriodId=6&amp;scoringPeriodId=6&amp;seasonId=2022&amp;teamId=3&amp;view=scoringperiod" TargetMode="External"/><Relationship Id="rId43" Type="http://schemas.openxmlformats.org/officeDocument/2006/relationships/hyperlink" Target="https://fantasy.espn.com/football/boxscore?leagueId=11593953&amp;matchupPeriodId=6&amp;scoringPeriodId=6&amp;seasonId=2022&amp;teamId=3&amp;view=scoringperiod" TargetMode="External"/><Relationship Id="rId46" Type="http://schemas.openxmlformats.org/officeDocument/2006/relationships/hyperlink" Target="https://fantasy.espn.com/football/boxscore?leagueId=11593953&amp;matchupPeriodId=6&amp;scoringPeriodId=6&amp;seasonId=2022&amp;teamId=9&amp;view=scoringperiod" TargetMode="External"/><Relationship Id="rId45" Type="http://schemas.openxmlformats.org/officeDocument/2006/relationships/hyperlink" Target="https://fantasy.espn.com/football/boxscore?leagueId=11593953&amp;matchupPeriodId=6&amp;scoringPeriodId=6&amp;seasonId=2022&amp;teamId=9&amp;view=scoringperiod" TargetMode="External"/><Relationship Id="rId48" Type="http://schemas.openxmlformats.org/officeDocument/2006/relationships/hyperlink" Target="https://fantasy.espn.com/football/boxscore?leagueId=11593953&amp;matchupPeriodId=6&amp;scoringPeriodId=6&amp;seasonId=2022&amp;teamId=8&amp;view=scoringperiod" TargetMode="External"/><Relationship Id="rId47" Type="http://schemas.openxmlformats.org/officeDocument/2006/relationships/hyperlink" Target="https://fantasy.espn.com/football/boxscore?leagueId=11593953&amp;matchupPeriodId=6&amp;scoringPeriodId=6&amp;seasonId=2022&amp;teamId=8&amp;view=scoringperiod" TargetMode="External"/><Relationship Id="rId49" Type="http://schemas.openxmlformats.org/officeDocument/2006/relationships/hyperlink" Target="https://fantasy.espn.com/football/boxscore?leagueId=11593953&amp;matchupPeriodId=7&amp;scoringPeriodId=7&amp;seasonId=2022&amp;teamId=1&amp;view=scoringperiod" TargetMode="External"/><Relationship Id="rId31" Type="http://schemas.openxmlformats.org/officeDocument/2006/relationships/hyperlink" Target="https://fantasy.espn.com/football/boxscore?leagueId=11593953&amp;matchupPeriodId=4&amp;scoringPeriodId=4&amp;seasonId=2022&amp;teamId=6&amp;view=scoringperiod" TargetMode="External"/><Relationship Id="rId30" Type="http://schemas.openxmlformats.org/officeDocument/2006/relationships/hyperlink" Target="https://fantasy.espn.com/football/boxscore?leagueId=11593953&amp;matchupPeriodId=4&amp;scoringPeriodId=4&amp;seasonId=2022&amp;teamId=3&amp;view=scoringperiod" TargetMode="External"/><Relationship Id="rId33" Type="http://schemas.openxmlformats.org/officeDocument/2006/relationships/hyperlink" Target="https://fantasy.espn.com/football/boxscore?leagueId=11593953&amp;matchupPeriodId=5&amp;scoringPeriodId=5&amp;seasonId=2022&amp;teamId=1&amp;view=scoringperiod" TargetMode="External"/><Relationship Id="rId32" Type="http://schemas.openxmlformats.org/officeDocument/2006/relationships/hyperlink" Target="https://fantasy.espn.com/football/boxscore?leagueId=11593953&amp;matchupPeriodId=4&amp;scoringPeriodId=4&amp;seasonId=2022&amp;teamId=6&amp;view=scoringperiod" TargetMode="External"/><Relationship Id="rId35" Type="http://schemas.openxmlformats.org/officeDocument/2006/relationships/hyperlink" Target="https://fantasy.espn.com/football/boxscore?leagueId=11593953&amp;matchupPeriodId=5&amp;scoringPeriodId=5&amp;seasonId=2022&amp;teamId=11&amp;view=scoringperiod" TargetMode="External"/><Relationship Id="rId34" Type="http://schemas.openxmlformats.org/officeDocument/2006/relationships/hyperlink" Target="https://fantasy.espn.com/football/boxscore?leagueId=11593953&amp;matchupPeriodId=5&amp;scoringPeriodId=5&amp;seasonId=2022&amp;teamId=1&amp;view=scoringperiod" TargetMode="External"/><Relationship Id="rId37" Type="http://schemas.openxmlformats.org/officeDocument/2006/relationships/hyperlink" Target="https://fantasy.espn.com/football/boxscore?leagueId=11593953&amp;matchupPeriodId=5&amp;scoringPeriodId=5&amp;seasonId=2022&amp;teamId=3&amp;view=scoringperiod" TargetMode="External"/><Relationship Id="rId36" Type="http://schemas.openxmlformats.org/officeDocument/2006/relationships/hyperlink" Target="https://fantasy.espn.com/football/boxscore?leagueId=11593953&amp;matchupPeriodId=5&amp;scoringPeriodId=5&amp;seasonId=2022&amp;teamId=11&amp;view=scoringperiod" TargetMode="External"/><Relationship Id="rId39" Type="http://schemas.openxmlformats.org/officeDocument/2006/relationships/hyperlink" Target="https://fantasy.espn.com/football/boxscore?leagueId=11593953&amp;matchupPeriodId=5&amp;scoringPeriodId=5&amp;seasonId=2022&amp;teamId=6&amp;view=scoringperiod" TargetMode="External"/><Relationship Id="rId38" Type="http://schemas.openxmlformats.org/officeDocument/2006/relationships/hyperlink" Target="https://fantasy.espn.com/football/boxscore?leagueId=11593953&amp;matchupPeriodId=5&amp;scoringPeriodId=5&amp;seasonId=2022&amp;teamId=3&amp;view=scoringperiod" TargetMode="External"/><Relationship Id="rId20" Type="http://schemas.openxmlformats.org/officeDocument/2006/relationships/hyperlink" Target="https://fantasy.espn.com/football/boxscore?leagueId=11593953&amp;matchupPeriodId=3&amp;scoringPeriodId=3&amp;seasonId=2022&amp;teamId=3&amp;view=scoringperiod" TargetMode="External"/><Relationship Id="rId22" Type="http://schemas.openxmlformats.org/officeDocument/2006/relationships/hyperlink" Target="https://fantasy.espn.com/football/boxscore?leagueId=11593953&amp;matchupPeriodId=3&amp;scoringPeriodId=3&amp;seasonId=2022&amp;teamId=9&amp;view=scoringperiod" TargetMode="External"/><Relationship Id="rId21" Type="http://schemas.openxmlformats.org/officeDocument/2006/relationships/hyperlink" Target="https://fantasy.espn.com/football/boxscore?leagueId=11593953&amp;matchupPeriodId=3&amp;scoringPeriodId=3&amp;seasonId=2022&amp;teamId=9&amp;view=scoringperiod" TargetMode="External"/><Relationship Id="rId24" Type="http://schemas.openxmlformats.org/officeDocument/2006/relationships/hyperlink" Target="https://fantasy.espn.com/football/boxscore?leagueId=11593953&amp;matchupPeriodId=3&amp;scoringPeriodId=3&amp;seasonId=2022&amp;teamId=8&amp;view=scoringperiod" TargetMode="External"/><Relationship Id="rId23" Type="http://schemas.openxmlformats.org/officeDocument/2006/relationships/hyperlink" Target="https://fantasy.espn.com/football/boxscore?leagueId=11593953&amp;matchupPeriodId=3&amp;scoringPeriodId=3&amp;seasonId=2022&amp;teamId=8&amp;view=scoringperiod" TargetMode="External"/><Relationship Id="rId26" Type="http://schemas.openxmlformats.org/officeDocument/2006/relationships/hyperlink" Target="https://fantasy.espn.com/football/boxscore?leagueId=11593953&amp;matchupPeriodId=4&amp;scoringPeriodId=4&amp;seasonId=2022&amp;teamId=1&amp;view=scoringperiod" TargetMode="External"/><Relationship Id="rId25" Type="http://schemas.openxmlformats.org/officeDocument/2006/relationships/hyperlink" Target="https://fantasy.espn.com/football/boxscore?leagueId=11593953&amp;matchupPeriodId=4&amp;scoringPeriodId=4&amp;seasonId=2022&amp;teamId=1&amp;view=scoringperiod" TargetMode="External"/><Relationship Id="rId28" Type="http://schemas.openxmlformats.org/officeDocument/2006/relationships/hyperlink" Target="https://fantasy.espn.com/football/boxscore?leagueId=11593953&amp;matchupPeriodId=4&amp;scoringPeriodId=4&amp;seasonId=2022&amp;teamId=11&amp;view=scoringperiod" TargetMode="External"/><Relationship Id="rId27" Type="http://schemas.openxmlformats.org/officeDocument/2006/relationships/hyperlink" Target="https://fantasy.espn.com/football/boxscore?leagueId=11593953&amp;matchupPeriodId=4&amp;scoringPeriodId=4&amp;seasonId=2022&amp;teamId=11&amp;view=scoringperiod" TargetMode="External"/><Relationship Id="rId29" Type="http://schemas.openxmlformats.org/officeDocument/2006/relationships/hyperlink" Target="https://fantasy.espn.com/football/boxscore?leagueId=11593953&amp;matchupPeriodId=4&amp;scoringPeriodId=4&amp;seasonId=2022&amp;teamId=3&amp;view=scoringperiod" TargetMode="External"/><Relationship Id="rId11" Type="http://schemas.openxmlformats.org/officeDocument/2006/relationships/hyperlink" Target="https://fantasy.espn.com/football/boxscore?leagueId=11593953&amp;matchupPeriodId=2&amp;scoringPeriodId=2&amp;seasonId=2022&amp;teamId=11&amp;view=scoringperiod" TargetMode="External"/><Relationship Id="rId10" Type="http://schemas.openxmlformats.org/officeDocument/2006/relationships/hyperlink" Target="https://fantasy.espn.com/football/boxscore?leagueId=11593953&amp;matchupPeriodId=2&amp;scoringPeriodId=2&amp;seasonId=2022&amp;teamId=1&amp;view=scoringperiod" TargetMode="External"/><Relationship Id="rId13" Type="http://schemas.openxmlformats.org/officeDocument/2006/relationships/hyperlink" Target="https://fantasy.espn.com/football/boxscore?leagueId=11593953&amp;matchupPeriodId=2&amp;scoringPeriodId=2&amp;seasonId=2022&amp;teamId=9&amp;view=scoringperiod" TargetMode="External"/><Relationship Id="rId12" Type="http://schemas.openxmlformats.org/officeDocument/2006/relationships/hyperlink" Target="https://fantasy.espn.com/football/boxscore?leagueId=11593953&amp;matchupPeriodId=2&amp;scoringPeriodId=2&amp;seasonId=2022&amp;teamId=11&amp;view=scoringperiod" TargetMode="External"/><Relationship Id="rId15" Type="http://schemas.openxmlformats.org/officeDocument/2006/relationships/hyperlink" Target="https://fantasy.espn.com/football/boxscore?leagueId=11593953&amp;matchupPeriodId=2&amp;scoringPeriodId=2&amp;seasonId=2022&amp;teamId=4&amp;view=scoringperiod" TargetMode="External"/><Relationship Id="rId14" Type="http://schemas.openxmlformats.org/officeDocument/2006/relationships/hyperlink" Target="https://fantasy.espn.com/football/boxscore?leagueId=11593953&amp;matchupPeriodId=2&amp;scoringPeriodId=2&amp;seasonId=2022&amp;teamId=9&amp;view=scoringperiod" TargetMode="External"/><Relationship Id="rId17" Type="http://schemas.openxmlformats.org/officeDocument/2006/relationships/hyperlink" Target="https://fantasy.espn.com/football/boxscore?leagueId=11593953&amp;matchupPeriodId=3&amp;scoringPeriodId=3&amp;seasonId=2022&amp;teamId=1&amp;view=scoringperiod" TargetMode="External"/><Relationship Id="rId16" Type="http://schemas.openxmlformats.org/officeDocument/2006/relationships/hyperlink" Target="https://fantasy.espn.com/football/boxscore?leagueId=11593953&amp;matchupPeriodId=2&amp;scoringPeriodId=2&amp;seasonId=2022&amp;teamId=4&amp;view=scoringperiod" TargetMode="External"/><Relationship Id="rId19" Type="http://schemas.openxmlformats.org/officeDocument/2006/relationships/hyperlink" Target="https://fantasy.espn.com/football/boxscore?leagueId=11593953&amp;matchupPeriodId=3&amp;scoringPeriodId=3&amp;seasonId=2022&amp;teamId=3&amp;view=scoringperiod" TargetMode="External"/><Relationship Id="rId18" Type="http://schemas.openxmlformats.org/officeDocument/2006/relationships/hyperlink" Target="https://fantasy.espn.com/football/boxscore?leagueId=11593953&amp;matchupPeriodId=3&amp;scoringPeriodId=3&amp;seasonId=2022&amp;teamId=1&amp;view=scoringperiod" TargetMode="External"/><Relationship Id="rId84" Type="http://schemas.openxmlformats.org/officeDocument/2006/relationships/hyperlink" Target="https://fantasy.espn.com/football/boxscore?leagueId=11593953&amp;matchupPeriodId=11&amp;scoringPeriodId=11&amp;seasonId=2022&amp;teamId=3&amp;view=scoringperiod" TargetMode="External"/><Relationship Id="rId83" Type="http://schemas.openxmlformats.org/officeDocument/2006/relationships/hyperlink" Target="https://fantasy.espn.com/football/boxscore?leagueId=11593953&amp;matchupPeriodId=11&amp;scoringPeriodId=11&amp;seasonId=2022&amp;teamId=3&amp;view=scoringperiod" TargetMode="External"/><Relationship Id="rId86" Type="http://schemas.openxmlformats.org/officeDocument/2006/relationships/hyperlink" Target="https://fantasy.espn.com/football/boxscore?leagueId=11593953&amp;matchupPeriodId=11&amp;scoringPeriodId=11&amp;seasonId=2022&amp;teamId=9&amp;view=scoringperiod" TargetMode="External"/><Relationship Id="rId85" Type="http://schemas.openxmlformats.org/officeDocument/2006/relationships/hyperlink" Target="https://fantasy.espn.com/football/boxscore?leagueId=11593953&amp;matchupPeriodId=11&amp;scoringPeriodId=11&amp;seasonId=2022&amp;teamId=9&amp;view=scoringperiod" TargetMode="External"/><Relationship Id="rId88" Type="http://schemas.openxmlformats.org/officeDocument/2006/relationships/hyperlink" Target="https://fantasy.espn.com/football/boxscore?leagueId=11593953&amp;matchupPeriodId=11&amp;scoringPeriodId=11&amp;seasonId=2022&amp;teamId=8&amp;view=scoringperiod" TargetMode="External"/><Relationship Id="rId87" Type="http://schemas.openxmlformats.org/officeDocument/2006/relationships/hyperlink" Target="https://fantasy.espn.com/football/boxscore?leagueId=11593953&amp;matchupPeriodId=11&amp;scoringPeriodId=11&amp;seasonId=2022&amp;teamId=8&amp;view=scoringperiod" TargetMode="External"/><Relationship Id="rId89" Type="http://schemas.openxmlformats.org/officeDocument/2006/relationships/hyperlink" Target="https://fantasy.espn.com/football/boxscore?leagueId=11593953&amp;matchupPeriodId=12&amp;scoringPeriodId=12&amp;seasonId=2022&amp;teamId=1&amp;view=scoringperiod" TargetMode="External"/><Relationship Id="rId80" Type="http://schemas.openxmlformats.org/officeDocument/2006/relationships/hyperlink" Target="https://fantasy.espn.com/football/boxscore?leagueId=11593953&amp;matchupPeriodId=10&amp;scoringPeriodId=10&amp;seasonId=2022&amp;teamId=4&amp;view=scoringperiod" TargetMode="External"/><Relationship Id="rId82" Type="http://schemas.openxmlformats.org/officeDocument/2006/relationships/hyperlink" Target="https://fantasy.espn.com/football/boxscore?leagueId=11593953&amp;matchupPeriodId=11&amp;scoringPeriodId=11&amp;seasonId=2022&amp;teamId=1&amp;view=scoringperiod" TargetMode="External"/><Relationship Id="rId81" Type="http://schemas.openxmlformats.org/officeDocument/2006/relationships/hyperlink" Target="https://fantasy.espn.com/football/boxscore?leagueId=11593953&amp;matchupPeriodId=11&amp;scoringPeriodId=11&amp;seasonId=2022&amp;teamId=1&amp;view=scoringperiod" TargetMode="External"/><Relationship Id="rId73" Type="http://schemas.openxmlformats.org/officeDocument/2006/relationships/hyperlink" Target="https://fantasy.espn.com/football/boxscore?leagueId=11593953&amp;matchupPeriodId=10&amp;scoringPeriodId=10&amp;seasonId=2022&amp;teamId=1&amp;view=scoringperiod" TargetMode="External"/><Relationship Id="rId72" Type="http://schemas.openxmlformats.org/officeDocument/2006/relationships/hyperlink" Target="https://fantasy.espn.com/football/boxscore?leagueId=11593953&amp;matchupPeriodId=9&amp;scoringPeriodId=9&amp;seasonId=2022&amp;teamId=8&amp;view=scoringperiod" TargetMode="External"/><Relationship Id="rId75" Type="http://schemas.openxmlformats.org/officeDocument/2006/relationships/hyperlink" Target="https://fantasy.espn.com/football/boxscore?leagueId=11593953&amp;matchupPeriodId=10&amp;scoringPeriodId=10&amp;seasonId=2022&amp;teamId=11&amp;view=scoringperiod" TargetMode="External"/><Relationship Id="rId74" Type="http://schemas.openxmlformats.org/officeDocument/2006/relationships/hyperlink" Target="https://fantasy.espn.com/football/boxscore?leagueId=11593953&amp;matchupPeriodId=10&amp;scoringPeriodId=10&amp;seasonId=2022&amp;teamId=1&amp;view=scoringperiod" TargetMode="External"/><Relationship Id="rId77" Type="http://schemas.openxmlformats.org/officeDocument/2006/relationships/hyperlink" Target="https://fantasy.espn.com/football/boxscore?leagueId=11593953&amp;matchupPeriodId=10&amp;scoringPeriodId=10&amp;seasonId=2022&amp;teamId=9&amp;view=scoringperiod" TargetMode="External"/><Relationship Id="rId76" Type="http://schemas.openxmlformats.org/officeDocument/2006/relationships/hyperlink" Target="https://fantasy.espn.com/football/boxscore?leagueId=11593953&amp;matchupPeriodId=10&amp;scoringPeriodId=10&amp;seasonId=2022&amp;teamId=11&amp;view=scoringperiod" TargetMode="External"/><Relationship Id="rId79" Type="http://schemas.openxmlformats.org/officeDocument/2006/relationships/hyperlink" Target="https://fantasy.espn.com/football/boxscore?leagueId=11593953&amp;matchupPeriodId=10&amp;scoringPeriodId=10&amp;seasonId=2022&amp;teamId=4&amp;view=scoringperiod" TargetMode="External"/><Relationship Id="rId78" Type="http://schemas.openxmlformats.org/officeDocument/2006/relationships/hyperlink" Target="https://fantasy.espn.com/football/boxscore?leagueId=11593953&amp;matchupPeriodId=10&amp;scoringPeriodId=10&amp;seasonId=2022&amp;teamId=9&amp;view=scoringperiod" TargetMode="External"/><Relationship Id="rId71" Type="http://schemas.openxmlformats.org/officeDocument/2006/relationships/hyperlink" Target="https://fantasy.espn.com/football/boxscore?leagueId=11593953&amp;matchupPeriodId=9&amp;scoringPeriodId=9&amp;seasonId=2022&amp;teamId=8&amp;view=scoringperiod" TargetMode="External"/><Relationship Id="rId70" Type="http://schemas.openxmlformats.org/officeDocument/2006/relationships/hyperlink" Target="https://fantasy.espn.com/football/boxscore?leagueId=11593953&amp;matchupPeriodId=9&amp;scoringPeriodId=9&amp;seasonId=2022&amp;teamId=9&amp;view=scoringperiod" TargetMode="External"/><Relationship Id="rId62" Type="http://schemas.openxmlformats.org/officeDocument/2006/relationships/hyperlink" Target="https://fantasy.espn.com/football/boxscore?leagueId=11593953&amp;matchupPeriodId=8&amp;scoringPeriodId=8&amp;seasonId=2022&amp;teamId=3&amp;view=scoringperiod" TargetMode="External"/><Relationship Id="rId61" Type="http://schemas.openxmlformats.org/officeDocument/2006/relationships/hyperlink" Target="https://fantasy.espn.com/football/boxscore?leagueId=11593953&amp;matchupPeriodId=8&amp;scoringPeriodId=8&amp;seasonId=2022&amp;teamId=3&amp;view=scoringperiod" TargetMode="External"/><Relationship Id="rId64" Type="http://schemas.openxmlformats.org/officeDocument/2006/relationships/hyperlink" Target="https://fantasy.espn.com/football/boxscore?leagueId=11593953&amp;matchupPeriodId=8&amp;scoringPeriodId=8&amp;seasonId=2022&amp;teamId=6&amp;view=scoringperiod" TargetMode="External"/><Relationship Id="rId63" Type="http://schemas.openxmlformats.org/officeDocument/2006/relationships/hyperlink" Target="https://fantasy.espn.com/football/boxscore?leagueId=11593953&amp;matchupPeriodId=8&amp;scoringPeriodId=8&amp;seasonId=2022&amp;teamId=6&amp;view=scoringperiod" TargetMode="External"/><Relationship Id="rId66" Type="http://schemas.openxmlformats.org/officeDocument/2006/relationships/hyperlink" Target="https://fantasy.espn.com/football/boxscore?leagueId=11593953&amp;matchupPeriodId=9&amp;scoringPeriodId=9&amp;seasonId=2022&amp;teamId=1&amp;view=scoringperiod" TargetMode="External"/><Relationship Id="rId65" Type="http://schemas.openxmlformats.org/officeDocument/2006/relationships/hyperlink" Target="https://fantasy.espn.com/football/boxscore?leagueId=11593953&amp;matchupPeriodId=9&amp;scoringPeriodId=9&amp;seasonId=2022&amp;teamId=1&amp;view=scoringperiod" TargetMode="External"/><Relationship Id="rId68" Type="http://schemas.openxmlformats.org/officeDocument/2006/relationships/hyperlink" Target="https://fantasy.espn.com/football/boxscore?leagueId=11593953&amp;matchupPeriodId=9&amp;scoringPeriodId=9&amp;seasonId=2022&amp;teamId=3&amp;view=scoringperiod" TargetMode="External"/><Relationship Id="rId67" Type="http://schemas.openxmlformats.org/officeDocument/2006/relationships/hyperlink" Target="https://fantasy.espn.com/football/boxscore?leagueId=11593953&amp;matchupPeriodId=9&amp;scoringPeriodId=9&amp;seasonId=2022&amp;teamId=3&amp;view=scoringperiod" TargetMode="External"/><Relationship Id="rId60" Type="http://schemas.openxmlformats.org/officeDocument/2006/relationships/hyperlink" Target="https://fantasy.espn.com/football/boxscore?leagueId=11593953&amp;matchupPeriodId=8&amp;scoringPeriodId=8&amp;seasonId=2022&amp;teamId=11&amp;view=scoringperiod" TargetMode="External"/><Relationship Id="rId69" Type="http://schemas.openxmlformats.org/officeDocument/2006/relationships/hyperlink" Target="https://fantasy.espn.com/football/boxscore?leagueId=11593953&amp;matchupPeriodId=9&amp;scoringPeriodId=9&amp;seasonId=2022&amp;teamId=9&amp;view=scoringperiod" TargetMode="External"/><Relationship Id="rId51" Type="http://schemas.openxmlformats.org/officeDocument/2006/relationships/hyperlink" Target="https://fantasy.espn.com/football/boxscore?leagueId=11593953&amp;matchupPeriodId=7&amp;scoringPeriodId=7&amp;seasonId=2022&amp;teamId=11&amp;view=scoringperiod" TargetMode="External"/><Relationship Id="rId50" Type="http://schemas.openxmlformats.org/officeDocument/2006/relationships/hyperlink" Target="https://fantasy.espn.com/football/boxscore?leagueId=11593953&amp;matchupPeriodId=7&amp;scoringPeriodId=7&amp;seasonId=2022&amp;teamId=1&amp;view=scoringperiod" TargetMode="External"/><Relationship Id="rId53" Type="http://schemas.openxmlformats.org/officeDocument/2006/relationships/hyperlink" Target="https://fantasy.espn.com/football/boxscore?leagueId=11593953&amp;matchupPeriodId=7&amp;scoringPeriodId=7&amp;seasonId=2022&amp;teamId=3&amp;view=scoringperiod" TargetMode="External"/><Relationship Id="rId52" Type="http://schemas.openxmlformats.org/officeDocument/2006/relationships/hyperlink" Target="https://fantasy.espn.com/football/boxscore?leagueId=11593953&amp;matchupPeriodId=7&amp;scoringPeriodId=7&amp;seasonId=2022&amp;teamId=11&amp;view=scoringperiod" TargetMode="External"/><Relationship Id="rId55" Type="http://schemas.openxmlformats.org/officeDocument/2006/relationships/hyperlink" Target="https://fantasy.espn.com/football/boxscore?leagueId=11593953&amp;matchupPeriodId=7&amp;scoringPeriodId=7&amp;seasonId=2022&amp;teamId=6&amp;view=scoringperiod" TargetMode="External"/><Relationship Id="rId54" Type="http://schemas.openxmlformats.org/officeDocument/2006/relationships/hyperlink" Target="https://fantasy.espn.com/football/boxscore?leagueId=11593953&amp;matchupPeriodId=7&amp;scoringPeriodId=7&amp;seasonId=2022&amp;teamId=3&amp;view=scoringperiod" TargetMode="External"/><Relationship Id="rId57" Type="http://schemas.openxmlformats.org/officeDocument/2006/relationships/hyperlink" Target="https://fantasy.espn.com/football/boxscore?leagueId=11593953&amp;matchupPeriodId=8&amp;scoringPeriodId=8&amp;seasonId=2022&amp;teamId=1&amp;view=scoringperiod" TargetMode="External"/><Relationship Id="rId56" Type="http://schemas.openxmlformats.org/officeDocument/2006/relationships/hyperlink" Target="https://fantasy.espn.com/football/boxscore?leagueId=11593953&amp;matchupPeriodId=7&amp;scoringPeriodId=7&amp;seasonId=2022&amp;teamId=6&amp;view=scoringperiod" TargetMode="External"/><Relationship Id="rId59" Type="http://schemas.openxmlformats.org/officeDocument/2006/relationships/hyperlink" Target="https://fantasy.espn.com/football/boxscore?leagueId=11593953&amp;matchupPeriodId=8&amp;scoringPeriodId=8&amp;seasonId=2022&amp;teamId=11&amp;view=scoringperiod" TargetMode="External"/><Relationship Id="rId58" Type="http://schemas.openxmlformats.org/officeDocument/2006/relationships/hyperlink" Target="https://fantasy.espn.com/football/boxscore?leagueId=11593953&amp;matchupPeriodId=8&amp;scoringPeriodId=8&amp;seasonId=2022&amp;teamId=1&amp;view=scoringperiod" TargetMode="External"/><Relationship Id="rId107" Type="http://schemas.openxmlformats.org/officeDocument/2006/relationships/hyperlink" Target="https://fantasy.espn.com/football/boxscore?leagueId=11593953&amp;matchupPeriodId=14&amp;scoringPeriodId=14&amp;seasonId=2022&amp;teamId=11&amp;view=scoringperiod" TargetMode="External"/><Relationship Id="rId106" Type="http://schemas.openxmlformats.org/officeDocument/2006/relationships/hyperlink" Target="https://fantasy.espn.com/football/boxscore?leagueId=11593953&amp;matchupPeriodId=14&amp;scoringPeriodId=14&amp;seasonId=2022&amp;teamId=1&amp;view=scoringperiod" TargetMode="External"/><Relationship Id="rId105" Type="http://schemas.openxmlformats.org/officeDocument/2006/relationships/hyperlink" Target="https://fantasy.espn.com/football/boxscore?leagueId=11593953&amp;matchupPeriodId=14&amp;scoringPeriodId=14&amp;seasonId=2022&amp;teamId=1&amp;view=scoringperiod" TargetMode="External"/><Relationship Id="rId104" Type="http://schemas.openxmlformats.org/officeDocument/2006/relationships/hyperlink" Target="https://fantasy.espn.com/football/boxscore?leagueId=11593953&amp;matchupPeriodId=13&amp;scoringPeriodId=13&amp;seasonId=2022&amp;teamId=6&amp;view=scoringperiod" TargetMode="External"/><Relationship Id="rId109" Type="http://schemas.openxmlformats.org/officeDocument/2006/relationships/hyperlink" Target="https://fantasy.espn.com/football/boxscore?leagueId=11593953&amp;matchupPeriodId=14&amp;scoringPeriodId=14&amp;seasonId=2022&amp;teamId=9&amp;view=scoringperiod" TargetMode="External"/><Relationship Id="rId108" Type="http://schemas.openxmlformats.org/officeDocument/2006/relationships/hyperlink" Target="https://fantasy.espn.com/football/boxscore?leagueId=11593953&amp;matchupPeriodId=14&amp;scoringPeriodId=14&amp;seasonId=2022&amp;teamId=11&amp;view=scoringperiod" TargetMode="External"/><Relationship Id="rId103" Type="http://schemas.openxmlformats.org/officeDocument/2006/relationships/hyperlink" Target="https://fantasy.espn.com/football/boxscore?leagueId=11593953&amp;matchupPeriodId=13&amp;scoringPeriodId=13&amp;seasonId=2022&amp;teamId=6&amp;view=scoringperiod" TargetMode="External"/><Relationship Id="rId102" Type="http://schemas.openxmlformats.org/officeDocument/2006/relationships/hyperlink" Target="https://fantasy.espn.com/football/boxscore?leagueId=11593953&amp;matchupPeriodId=13&amp;scoringPeriodId=13&amp;seasonId=2022&amp;teamId=3&amp;view=scoringperiod" TargetMode="External"/><Relationship Id="rId101" Type="http://schemas.openxmlformats.org/officeDocument/2006/relationships/hyperlink" Target="https://fantasy.espn.com/football/boxscore?leagueId=11593953&amp;matchupPeriodId=13&amp;scoringPeriodId=13&amp;seasonId=2022&amp;teamId=3&amp;view=scoringperiod" TargetMode="External"/><Relationship Id="rId100" Type="http://schemas.openxmlformats.org/officeDocument/2006/relationships/hyperlink" Target="https://fantasy.espn.com/football/boxscore?leagueId=11593953&amp;matchupPeriodId=13&amp;scoringPeriodId=13&amp;seasonId=2022&amp;teamId=11&amp;view=scoringperiod" TargetMode="External"/><Relationship Id="rId129" Type="http://schemas.openxmlformats.org/officeDocument/2006/relationships/hyperlink" Target="https://fantasy.espn.com/football/boxscore?leagueId=11593953&amp;matchupPeriodId=17&amp;scoringPeriodId=17&amp;seasonId=2022&amp;teamId=3&amp;view=scoringperiod" TargetMode="External"/><Relationship Id="rId128" Type="http://schemas.openxmlformats.org/officeDocument/2006/relationships/hyperlink" Target="https://fantasy.espn.com/football/boxscore?leagueId=11593953&amp;matchupPeriodId=17&amp;scoringPeriodId=17&amp;seasonId=2022&amp;teamId=2&amp;view=scoringperiod" TargetMode="External"/><Relationship Id="rId127" Type="http://schemas.openxmlformats.org/officeDocument/2006/relationships/hyperlink" Target="https://fantasy.espn.com/football/boxscore?leagueId=11593953&amp;matchupPeriodId=17&amp;scoringPeriodId=17&amp;seasonId=2022&amp;teamId=2&amp;view=scoringperiod" TargetMode="External"/><Relationship Id="rId126" Type="http://schemas.openxmlformats.org/officeDocument/2006/relationships/hyperlink" Target="https://fantasy.espn.com/football/boxscore?leagueId=11593953&amp;matchupPeriodId=16&amp;scoringPeriodId=16&amp;seasonId=2022&amp;teamId=6&amp;view=scoringperiod" TargetMode="External"/><Relationship Id="rId121" Type="http://schemas.openxmlformats.org/officeDocument/2006/relationships/hyperlink" Target="https://fantasy.espn.com/football/boxscore?leagueId=11593953&amp;matchupPeriodId=16&amp;scoringPeriodId=16&amp;seasonId=2022&amp;teamId=3&amp;view=scoringperiod" TargetMode="External"/><Relationship Id="rId120" Type="http://schemas.openxmlformats.org/officeDocument/2006/relationships/hyperlink" Target="https://fantasy.espn.com/football/boxscore?leagueId=11593953&amp;matchupPeriodId=16&amp;scoringPeriodId=16&amp;seasonId=2022&amp;teamId=2&amp;view=scoringperiod" TargetMode="External"/><Relationship Id="rId125" Type="http://schemas.openxmlformats.org/officeDocument/2006/relationships/hyperlink" Target="https://fantasy.espn.com/football/boxscore?leagueId=11593953&amp;matchupPeriodId=16&amp;scoringPeriodId=16&amp;seasonId=2022&amp;teamId=6&amp;view=scoringperiod" TargetMode="External"/><Relationship Id="rId124" Type="http://schemas.openxmlformats.org/officeDocument/2006/relationships/hyperlink" Target="https://fantasy.espn.com/football/boxscore?leagueId=11593953&amp;matchupPeriodId=16&amp;scoringPeriodId=16&amp;seasonId=2022&amp;teamId=11&amp;view=scoringperiod" TargetMode="External"/><Relationship Id="rId123" Type="http://schemas.openxmlformats.org/officeDocument/2006/relationships/hyperlink" Target="https://fantasy.espn.com/football/boxscore?leagueId=11593953&amp;matchupPeriodId=16&amp;scoringPeriodId=16&amp;seasonId=2022&amp;teamId=11&amp;view=scoringperiod" TargetMode="External"/><Relationship Id="rId122" Type="http://schemas.openxmlformats.org/officeDocument/2006/relationships/hyperlink" Target="https://fantasy.espn.com/football/boxscore?leagueId=11593953&amp;matchupPeriodId=16&amp;scoringPeriodId=16&amp;seasonId=2022&amp;teamId=3&amp;view=scoringperiod" TargetMode="External"/><Relationship Id="rId95" Type="http://schemas.openxmlformats.org/officeDocument/2006/relationships/hyperlink" Target="https://fantasy.espn.com/football/boxscore?leagueId=11593953&amp;matchupPeriodId=12&amp;scoringPeriodId=12&amp;seasonId=2022&amp;teamId=6&amp;view=scoringperiod" TargetMode="External"/><Relationship Id="rId94" Type="http://schemas.openxmlformats.org/officeDocument/2006/relationships/hyperlink" Target="https://fantasy.espn.com/football/boxscore?leagueId=11593953&amp;matchupPeriodId=12&amp;scoringPeriodId=12&amp;seasonId=2022&amp;teamId=3&amp;view=scoringperiod" TargetMode="External"/><Relationship Id="rId97" Type="http://schemas.openxmlformats.org/officeDocument/2006/relationships/hyperlink" Target="https://fantasy.espn.com/football/boxscore?leagueId=11593953&amp;matchupPeriodId=13&amp;scoringPeriodId=13&amp;seasonId=2022&amp;teamId=1&amp;view=scoringperiod" TargetMode="External"/><Relationship Id="rId96" Type="http://schemas.openxmlformats.org/officeDocument/2006/relationships/hyperlink" Target="https://fantasy.espn.com/football/boxscore?leagueId=11593953&amp;matchupPeriodId=12&amp;scoringPeriodId=12&amp;seasonId=2022&amp;teamId=6&amp;view=scoringperiod" TargetMode="External"/><Relationship Id="rId99" Type="http://schemas.openxmlformats.org/officeDocument/2006/relationships/hyperlink" Target="https://fantasy.espn.com/football/boxscore?leagueId=11593953&amp;matchupPeriodId=13&amp;scoringPeriodId=13&amp;seasonId=2022&amp;teamId=11&amp;view=scoringperiod" TargetMode="External"/><Relationship Id="rId98" Type="http://schemas.openxmlformats.org/officeDocument/2006/relationships/hyperlink" Target="https://fantasy.espn.com/football/boxscore?leagueId=11593953&amp;matchupPeriodId=13&amp;scoringPeriodId=13&amp;seasonId=2022&amp;teamId=1&amp;view=scoringperiod" TargetMode="External"/><Relationship Id="rId91" Type="http://schemas.openxmlformats.org/officeDocument/2006/relationships/hyperlink" Target="https://fantasy.espn.com/football/boxscore?leagueId=11593953&amp;matchupPeriodId=12&amp;scoringPeriodId=12&amp;seasonId=2022&amp;teamId=11&amp;view=scoringperiod" TargetMode="External"/><Relationship Id="rId90" Type="http://schemas.openxmlformats.org/officeDocument/2006/relationships/hyperlink" Target="https://fantasy.espn.com/football/boxscore?leagueId=11593953&amp;matchupPeriodId=12&amp;scoringPeriodId=12&amp;seasonId=2022&amp;teamId=1&amp;view=scoringperiod" TargetMode="External"/><Relationship Id="rId93" Type="http://schemas.openxmlformats.org/officeDocument/2006/relationships/hyperlink" Target="https://fantasy.espn.com/football/boxscore?leagueId=11593953&amp;matchupPeriodId=12&amp;scoringPeriodId=12&amp;seasonId=2022&amp;teamId=3&amp;view=scoringperiod" TargetMode="External"/><Relationship Id="rId92" Type="http://schemas.openxmlformats.org/officeDocument/2006/relationships/hyperlink" Target="https://fantasy.espn.com/football/boxscore?leagueId=11593953&amp;matchupPeriodId=12&amp;scoringPeriodId=12&amp;seasonId=2022&amp;teamId=11&amp;view=scoringperiod" TargetMode="External"/><Relationship Id="rId118" Type="http://schemas.openxmlformats.org/officeDocument/2006/relationships/hyperlink" Target="https://fantasy.espn.com/football/boxscore?leagueId=11593953&amp;matchupPeriodId=15&amp;scoringPeriodId=15&amp;seasonId=2022&amp;teamId=6&amp;view=scoringperiod" TargetMode="External"/><Relationship Id="rId117" Type="http://schemas.openxmlformats.org/officeDocument/2006/relationships/hyperlink" Target="https://fantasy.espn.com/football/boxscore?leagueId=11593953&amp;matchupPeriodId=15&amp;scoringPeriodId=15&amp;seasonId=2022&amp;teamId=6&amp;view=scoringperiod" TargetMode="External"/><Relationship Id="rId116" Type="http://schemas.openxmlformats.org/officeDocument/2006/relationships/hyperlink" Target="https://fantasy.espn.com/football/boxscore?leagueId=11593953&amp;matchupPeriodId=15&amp;scoringPeriodId=15&amp;seasonId=2022&amp;teamId=3&amp;view=scoringperiod" TargetMode="External"/><Relationship Id="rId115" Type="http://schemas.openxmlformats.org/officeDocument/2006/relationships/hyperlink" Target="https://fantasy.espn.com/football/boxscore?leagueId=11593953&amp;matchupPeriodId=15&amp;scoringPeriodId=15&amp;seasonId=2022&amp;teamId=3&amp;view=scoringperiod" TargetMode="External"/><Relationship Id="rId119" Type="http://schemas.openxmlformats.org/officeDocument/2006/relationships/hyperlink" Target="https://fantasy.espn.com/football/boxscore?leagueId=11593953&amp;matchupPeriodId=16&amp;scoringPeriodId=16&amp;seasonId=2022&amp;teamId=2&amp;view=scoringperiod" TargetMode="External"/><Relationship Id="rId110" Type="http://schemas.openxmlformats.org/officeDocument/2006/relationships/hyperlink" Target="https://fantasy.espn.com/football/boxscore?leagueId=11593953&amp;matchupPeriodId=14&amp;scoringPeriodId=14&amp;seasonId=2022&amp;teamId=9&amp;view=scoringperiod" TargetMode="External"/><Relationship Id="rId114" Type="http://schemas.openxmlformats.org/officeDocument/2006/relationships/hyperlink" Target="https://fantasy.espn.com/football/boxscore?leagueId=11593953&amp;matchupPeriodId=15&amp;scoringPeriodId=15&amp;seasonId=2022&amp;teamId=11&amp;view=scoringperiod" TargetMode="External"/><Relationship Id="rId113" Type="http://schemas.openxmlformats.org/officeDocument/2006/relationships/hyperlink" Target="https://fantasy.espn.com/football/boxscore?leagueId=11593953&amp;matchupPeriodId=15&amp;scoringPeriodId=15&amp;seasonId=2022&amp;teamId=11&amp;view=scoringperiod" TargetMode="External"/><Relationship Id="rId112" Type="http://schemas.openxmlformats.org/officeDocument/2006/relationships/hyperlink" Target="https://fantasy.espn.com/football/boxscore?leagueId=11593953&amp;matchupPeriodId=14&amp;scoringPeriodId=14&amp;seasonId=2022&amp;teamId=4&amp;view=scoringperiod" TargetMode="External"/><Relationship Id="rId111" Type="http://schemas.openxmlformats.org/officeDocument/2006/relationships/hyperlink" Target="https://fantasy.espn.com/football/boxscore?leagueId=11593953&amp;matchupPeriodId=14&amp;scoringPeriodId=14&amp;seasonId=2022&amp;teamId=4&amp;view=scoringperiod"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23.67"/>
    <col customWidth="1" min="2" max="2" width="17.67"/>
    <col customWidth="1" min="3" max="3" width="6.11"/>
    <col customWidth="1" min="4" max="4" width="17.67"/>
    <col customWidth="1" min="5" max="5" width="6.78"/>
    <col customWidth="1" min="6" max="6" width="17.67"/>
    <col customWidth="1" min="7" max="7" width="6.44"/>
    <col customWidth="1" min="8" max="8" width="17.67"/>
    <col customWidth="1" min="9" max="9" width="6.11"/>
    <col customWidth="1" min="10" max="10" width="19.33"/>
    <col customWidth="1" min="11" max="11" width="6.11"/>
    <col customWidth="1" min="12" max="12" width="19.33"/>
    <col customWidth="1" min="13" max="13" width="6.11"/>
    <col customWidth="1" min="14" max="14" width="19.33"/>
    <col customWidth="1" min="15" max="15" width="6.11"/>
    <col customWidth="1" min="16" max="16" width="16.33"/>
    <col customWidth="1" min="17" max="17" width="6.11"/>
    <col customWidth="1" min="18" max="18" width="17.67"/>
    <col customWidth="1" min="19" max="19" width="6.11"/>
    <col customWidth="1" min="20" max="20" width="17.67"/>
    <col customWidth="1" min="21" max="21" width="6.11"/>
    <col customWidth="1" min="22" max="22" width="16.33"/>
    <col customWidth="1" min="23" max="23" width="6.11"/>
    <col customWidth="1" min="24" max="24" width="17.67"/>
    <col customWidth="1" min="25" max="25" width="6.11"/>
    <col customWidth="1" min="26" max="26" width="17.67"/>
    <col customWidth="1" min="27" max="27" width="6.11"/>
    <col customWidth="1" min="28" max="28" width="17.67"/>
    <col customWidth="1" min="29" max="29" width="6.11"/>
    <col customWidth="1" min="30" max="31" width="7.11"/>
  </cols>
  <sheetData>
    <row r="1" ht="15.75" customHeight="1">
      <c r="A1" s="18" t="s">
        <v>38</v>
      </c>
    </row>
    <row r="2" ht="15.75" customHeight="1">
      <c r="A2" s="22" t="str">
        <f>Settings!A3</f>
        <v>DECOUPES</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9"/>
    </row>
    <row r="3" ht="15.75" customHeight="1">
      <c r="A3" s="31"/>
      <c r="B3" s="33" t="s">
        <v>48</v>
      </c>
      <c r="C3" s="24"/>
      <c r="D3" s="34" t="s">
        <v>51</v>
      </c>
      <c r="E3" s="24"/>
      <c r="F3" s="33" t="s">
        <v>55</v>
      </c>
      <c r="G3" s="24"/>
      <c r="H3" s="34" t="s">
        <v>58</v>
      </c>
      <c r="I3" s="24"/>
      <c r="J3" s="33" t="s">
        <v>60</v>
      </c>
      <c r="K3" s="24"/>
      <c r="L3" s="34" t="s">
        <v>62</v>
      </c>
      <c r="M3" s="24"/>
      <c r="N3" s="33" t="s">
        <v>64</v>
      </c>
      <c r="O3" s="24"/>
      <c r="P3" s="34" t="s">
        <v>66</v>
      </c>
      <c r="Q3" s="24"/>
      <c r="R3" s="33" t="s">
        <v>68</v>
      </c>
      <c r="S3" s="24"/>
      <c r="T3" s="34" t="s">
        <v>70</v>
      </c>
      <c r="U3" s="24"/>
      <c r="V3" s="33" t="s">
        <v>73</v>
      </c>
      <c r="W3" s="24"/>
      <c r="X3" s="34" t="s">
        <v>76</v>
      </c>
      <c r="Y3" s="24"/>
      <c r="Z3" s="33" t="s">
        <v>78</v>
      </c>
      <c r="AA3" s="24"/>
      <c r="AB3" s="34" t="s">
        <v>79</v>
      </c>
      <c r="AC3" s="24"/>
      <c r="AD3" s="49" t="s">
        <v>83</v>
      </c>
      <c r="AE3" s="50"/>
    </row>
    <row r="4" ht="15.75" customHeight="1">
      <c r="A4" s="53" t="s">
        <v>85</v>
      </c>
      <c r="B4" s="54">
        <v>5.0</v>
      </c>
      <c r="C4" s="24"/>
      <c r="D4" s="55">
        <v>3.0</v>
      </c>
      <c r="E4" s="24"/>
      <c r="F4" s="54">
        <v>2.0</v>
      </c>
      <c r="G4" s="24"/>
      <c r="H4" s="55">
        <v>3.0</v>
      </c>
      <c r="I4" s="24"/>
      <c r="J4" s="54">
        <v>4.0</v>
      </c>
      <c r="K4" s="24"/>
      <c r="L4" s="55">
        <v>5.0</v>
      </c>
      <c r="M4" s="24"/>
      <c r="N4" s="54">
        <v>5.0</v>
      </c>
      <c r="O4" s="24"/>
      <c r="P4" s="55">
        <v>4.0</v>
      </c>
      <c r="Q4" s="24"/>
      <c r="R4" s="54">
        <v>5.0</v>
      </c>
      <c r="S4" s="24"/>
      <c r="T4" s="55">
        <v>6.0</v>
      </c>
      <c r="U4" s="24"/>
      <c r="V4" s="54">
        <v>6.0</v>
      </c>
      <c r="W4" s="24"/>
      <c r="X4" s="55">
        <v>5.0</v>
      </c>
      <c r="Y4" s="24"/>
      <c r="Z4" s="54">
        <v>4.0</v>
      </c>
      <c r="AA4" s="24"/>
      <c r="AB4" s="55">
        <v>3.0</v>
      </c>
      <c r="AC4" s="24"/>
      <c r="AD4" s="66"/>
      <c r="AE4" s="50"/>
    </row>
    <row r="5" ht="15.75" customHeight="1">
      <c r="A5" s="53" t="s">
        <v>100</v>
      </c>
      <c r="B5" s="67" t="s">
        <v>101</v>
      </c>
      <c r="C5" s="68">
        <v>24.82</v>
      </c>
      <c r="D5" s="70" t="s">
        <v>101</v>
      </c>
      <c r="E5" s="71">
        <v>25.6</v>
      </c>
      <c r="F5" s="67" t="s">
        <v>102</v>
      </c>
      <c r="G5" s="67">
        <v>20.42</v>
      </c>
      <c r="H5" s="70" t="s">
        <v>103</v>
      </c>
      <c r="I5" s="70">
        <v>32.44</v>
      </c>
      <c r="J5" s="67" t="s">
        <v>103</v>
      </c>
      <c r="K5" s="67">
        <v>34.22</v>
      </c>
      <c r="L5" s="70" t="s">
        <v>104</v>
      </c>
      <c r="M5" s="70">
        <v>31.74</v>
      </c>
      <c r="N5" s="67" t="s">
        <v>104</v>
      </c>
      <c r="O5" s="67">
        <v>32.16</v>
      </c>
      <c r="P5" s="70" t="s">
        <v>104</v>
      </c>
      <c r="Q5" s="70">
        <v>7.02</v>
      </c>
      <c r="R5" s="67" t="s">
        <v>104</v>
      </c>
      <c r="S5" s="67">
        <v>18.8</v>
      </c>
      <c r="T5" s="70" t="s">
        <v>105</v>
      </c>
      <c r="U5" s="70">
        <v>28.68</v>
      </c>
      <c r="V5" s="67" t="s">
        <v>104</v>
      </c>
      <c r="W5" s="67">
        <v>36.12</v>
      </c>
      <c r="X5" s="70" t="s">
        <v>104</v>
      </c>
      <c r="Y5" s="70">
        <v>33.76</v>
      </c>
      <c r="Z5" s="67" t="s">
        <v>104</v>
      </c>
      <c r="AA5" s="67">
        <v>28.1</v>
      </c>
      <c r="AB5" s="70" t="s">
        <v>104</v>
      </c>
      <c r="AC5" s="70">
        <v>23.14</v>
      </c>
      <c r="AD5" s="77"/>
      <c r="AE5" s="80"/>
    </row>
    <row r="6" ht="15.75" customHeight="1">
      <c r="A6" s="53" t="s">
        <v>106</v>
      </c>
      <c r="B6" s="67" t="s">
        <v>107</v>
      </c>
      <c r="C6" s="68">
        <v>15.2</v>
      </c>
      <c r="D6" s="70" t="s">
        <v>107</v>
      </c>
      <c r="E6" s="71">
        <v>10.1</v>
      </c>
      <c r="F6" s="67" t="s">
        <v>107</v>
      </c>
      <c r="G6" s="67">
        <v>7.0</v>
      </c>
      <c r="H6" s="70" t="s">
        <v>108</v>
      </c>
      <c r="I6" s="70">
        <v>28.0</v>
      </c>
      <c r="J6" s="67" t="s">
        <v>109</v>
      </c>
      <c r="K6" s="67">
        <v>3.1</v>
      </c>
      <c r="L6" s="70" t="s">
        <v>110</v>
      </c>
      <c r="M6" s="70">
        <v>19.3</v>
      </c>
      <c r="N6" s="67" t="s">
        <v>111</v>
      </c>
      <c r="O6" s="67">
        <v>39.5</v>
      </c>
      <c r="P6" s="70" t="s">
        <v>110</v>
      </c>
      <c r="Q6" s="70">
        <v>9.4</v>
      </c>
      <c r="R6" s="67" t="s">
        <v>111</v>
      </c>
      <c r="S6" s="67">
        <v>6.7</v>
      </c>
      <c r="T6" s="70" t="s">
        <v>111</v>
      </c>
      <c r="U6" s="70">
        <v>40.7</v>
      </c>
      <c r="V6" s="67" t="s">
        <v>113</v>
      </c>
      <c r="W6" s="67">
        <v>9.7</v>
      </c>
      <c r="X6" s="70" t="s">
        <v>111</v>
      </c>
      <c r="Y6" s="70">
        <v>58.9</v>
      </c>
      <c r="Z6" s="67" t="s">
        <v>111</v>
      </c>
      <c r="AA6" s="67">
        <v>13.6</v>
      </c>
      <c r="AB6" s="70" t="s">
        <v>108</v>
      </c>
      <c r="AC6" s="70">
        <v>17.6</v>
      </c>
      <c r="AD6" s="77"/>
      <c r="AE6" s="80"/>
    </row>
    <row r="7" ht="15.75" customHeight="1">
      <c r="A7" s="53" t="s">
        <v>106</v>
      </c>
      <c r="B7" s="67" t="s">
        <v>108</v>
      </c>
      <c r="C7" s="68">
        <v>15.9</v>
      </c>
      <c r="D7" s="70" t="s">
        <v>108</v>
      </c>
      <c r="E7" s="71">
        <v>19.8</v>
      </c>
      <c r="F7" s="67" t="s">
        <v>108</v>
      </c>
      <c r="G7" s="67">
        <v>16.4</v>
      </c>
      <c r="H7" s="70" t="s">
        <v>115</v>
      </c>
      <c r="I7" s="70">
        <v>11.2</v>
      </c>
      <c r="J7" s="67" t="s">
        <v>110</v>
      </c>
      <c r="K7" s="67">
        <v>24.5</v>
      </c>
      <c r="L7" s="70" t="s">
        <v>113</v>
      </c>
      <c r="M7" s="70">
        <v>9.4</v>
      </c>
      <c r="N7" s="67" t="s">
        <v>113</v>
      </c>
      <c r="O7" s="67">
        <v>22.4</v>
      </c>
      <c r="P7" s="70" t="s">
        <v>113</v>
      </c>
      <c r="Q7" s="70">
        <v>10.6</v>
      </c>
      <c r="R7" s="67" t="s">
        <v>113</v>
      </c>
      <c r="S7" s="67">
        <v>18.5</v>
      </c>
      <c r="T7" s="70" t="s">
        <v>116</v>
      </c>
      <c r="U7" s="70">
        <v>9.5</v>
      </c>
      <c r="V7" s="67" t="s">
        <v>110</v>
      </c>
      <c r="W7" s="67">
        <v>9.2</v>
      </c>
      <c r="X7" s="70" t="s">
        <v>113</v>
      </c>
      <c r="Y7" s="70">
        <v>14.6</v>
      </c>
      <c r="Z7" s="67" t="s">
        <v>113</v>
      </c>
      <c r="AA7" s="67">
        <v>13.4</v>
      </c>
      <c r="AB7" s="70" t="s">
        <v>111</v>
      </c>
      <c r="AC7" s="70">
        <v>38.2</v>
      </c>
      <c r="AD7" s="77"/>
      <c r="AE7" s="80"/>
    </row>
    <row r="8" ht="15.75" hidden="1" customHeight="1">
      <c r="A8" s="31" t="s">
        <v>106</v>
      </c>
      <c r="B8" s="77"/>
      <c r="C8" s="96"/>
      <c r="D8" s="77"/>
      <c r="E8" s="96"/>
      <c r="F8" s="77"/>
      <c r="G8" s="77"/>
      <c r="H8" s="77"/>
      <c r="I8" s="77"/>
      <c r="J8" s="77"/>
      <c r="K8" s="77"/>
      <c r="L8" s="77"/>
      <c r="M8" s="77"/>
      <c r="N8" s="77"/>
      <c r="O8" s="77"/>
      <c r="P8" s="77"/>
      <c r="Q8" s="77"/>
      <c r="R8" s="77"/>
      <c r="S8" s="77"/>
      <c r="T8" s="77"/>
      <c r="U8" s="77"/>
      <c r="V8" s="77"/>
      <c r="W8" s="77"/>
      <c r="X8" s="77"/>
      <c r="Y8" s="77"/>
      <c r="Z8" s="77"/>
      <c r="AA8" s="77"/>
      <c r="AB8" s="77"/>
      <c r="AC8" s="77"/>
      <c r="AD8" s="77"/>
      <c r="AE8" s="80"/>
    </row>
    <row r="9" ht="15.75" customHeight="1">
      <c r="A9" s="53" t="s">
        <v>117</v>
      </c>
      <c r="B9" s="67" t="s">
        <v>118</v>
      </c>
      <c r="C9" s="68">
        <v>19.0</v>
      </c>
      <c r="D9" s="70" t="s">
        <v>118</v>
      </c>
      <c r="E9" s="71">
        <v>21.2</v>
      </c>
      <c r="F9" s="67" t="s">
        <v>118</v>
      </c>
      <c r="G9" s="67">
        <v>0.0</v>
      </c>
      <c r="H9" s="70" t="s">
        <v>119</v>
      </c>
      <c r="I9" s="70">
        <v>7.0</v>
      </c>
      <c r="J9" s="67" t="s">
        <v>119</v>
      </c>
      <c r="K9" s="67">
        <v>7.2</v>
      </c>
      <c r="L9" s="70" t="s">
        <v>119</v>
      </c>
      <c r="M9" s="70">
        <v>7.9</v>
      </c>
      <c r="N9" s="67" t="s">
        <v>118</v>
      </c>
      <c r="O9" s="67">
        <v>23.0</v>
      </c>
      <c r="P9" s="70" t="s">
        <v>118</v>
      </c>
      <c r="Q9" s="70">
        <v>14.7</v>
      </c>
      <c r="R9" s="67" t="s">
        <v>118</v>
      </c>
      <c r="S9" s="67">
        <v>15.5</v>
      </c>
      <c r="T9" s="70" t="s">
        <v>120</v>
      </c>
      <c r="U9" s="70">
        <v>12.2</v>
      </c>
      <c r="V9" s="67" t="s">
        <v>118</v>
      </c>
      <c r="W9" s="67">
        <v>17.6</v>
      </c>
      <c r="X9" s="70" t="s">
        <v>118</v>
      </c>
      <c r="Y9" s="70">
        <v>11.5</v>
      </c>
      <c r="Z9" s="67" t="s">
        <v>118</v>
      </c>
      <c r="AA9" s="67">
        <v>25.2</v>
      </c>
      <c r="AB9" s="70" t="s">
        <v>118</v>
      </c>
      <c r="AC9" s="70">
        <v>19.1</v>
      </c>
      <c r="AD9" s="77"/>
      <c r="AE9" s="80"/>
    </row>
    <row r="10" ht="15.75" customHeight="1">
      <c r="A10" s="53" t="s">
        <v>117</v>
      </c>
      <c r="B10" s="67" t="s">
        <v>119</v>
      </c>
      <c r="C10" s="68">
        <v>17.7</v>
      </c>
      <c r="D10" s="70" t="s">
        <v>119</v>
      </c>
      <c r="E10" s="71">
        <v>12.8</v>
      </c>
      <c r="F10" s="67" t="s">
        <v>119</v>
      </c>
      <c r="G10" s="67">
        <v>9.3</v>
      </c>
      <c r="H10" s="70" t="s">
        <v>121</v>
      </c>
      <c r="I10" s="70">
        <v>5.6</v>
      </c>
      <c r="J10" s="67" t="s">
        <v>121</v>
      </c>
      <c r="K10" s="67">
        <v>5.6</v>
      </c>
      <c r="L10" s="70" t="s">
        <v>122</v>
      </c>
      <c r="M10" s="70">
        <v>7.85</v>
      </c>
      <c r="N10" s="67" t="s">
        <v>123</v>
      </c>
      <c r="O10" s="67">
        <v>23.2</v>
      </c>
      <c r="P10" s="70" t="s">
        <v>123</v>
      </c>
      <c r="Q10" s="70">
        <v>25.7</v>
      </c>
      <c r="R10" s="67" t="s">
        <v>123</v>
      </c>
      <c r="S10" s="67">
        <v>18.8</v>
      </c>
      <c r="T10" s="70" t="s">
        <v>124</v>
      </c>
      <c r="U10" s="70">
        <v>0.0</v>
      </c>
      <c r="V10" s="67" t="s">
        <v>123</v>
      </c>
      <c r="W10" s="67">
        <v>9.8</v>
      </c>
      <c r="X10" s="70" t="s">
        <v>123</v>
      </c>
      <c r="Y10" s="70">
        <v>25.1</v>
      </c>
      <c r="Z10" s="67" t="s">
        <v>123</v>
      </c>
      <c r="AA10" s="67">
        <v>29.5</v>
      </c>
      <c r="AB10" s="70" t="s">
        <v>123</v>
      </c>
      <c r="AC10" s="70">
        <v>7.4</v>
      </c>
      <c r="AD10" s="77"/>
      <c r="AE10" s="80"/>
    </row>
    <row r="11" ht="15.75" customHeight="1">
      <c r="A11" s="53" t="s">
        <v>117</v>
      </c>
      <c r="B11" s="67" t="s">
        <v>125</v>
      </c>
      <c r="C11" s="68">
        <v>4.7</v>
      </c>
      <c r="D11" s="70" t="s">
        <v>125</v>
      </c>
      <c r="E11" s="71">
        <v>9.8</v>
      </c>
      <c r="F11" s="67" t="s">
        <v>120</v>
      </c>
      <c r="G11" s="67">
        <v>3.6</v>
      </c>
      <c r="H11" s="70" t="s">
        <v>127</v>
      </c>
      <c r="I11" s="70">
        <v>2.5</v>
      </c>
      <c r="J11" s="67" t="s">
        <v>128</v>
      </c>
      <c r="K11" s="67">
        <v>0.0</v>
      </c>
      <c r="L11" s="70" t="s">
        <v>129</v>
      </c>
      <c r="M11" s="70">
        <v>16.65</v>
      </c>
      <c r="N11" s="67" t="s">
        <v>129</v>
      </c>
      <c r="O11" s="67">
        <v>10.45</v>
      </c>
      <c r="P11" s="70" t="s">
        <v>127</v>
      </c>
      <c r="Q11" s="70">
        <v>2.1</v>
      </c>
      <c r="R11" s="67" t="s">
        <v>130</v>
      </c>
      <c r="S11" s="67">
        <v>0.0</v>
      </c>
      <c r="T11" s="70" t="s">
        <v>131</v>
      </c>
      <c r="U11" s="70">
        <v>2.6</v>
      </c>
      <c r="V11" s="67" t="s">
        <v>120</v>
      </c>
      <c r="W11" s="67">
        <v>7.6</v>
      </c>
      <c r="X11" s="70" t="s">
        <v>120</v>
      </c>
      <c r="Y11" s="70">
        <v>31.7</v>
      </c>
      <c r="Z11" s="67" t="s">
        <v>120</v>
      </c>
      <c r="AA11" s="67">
        <v>10.4</v>
      </c>
      <c r="AB11" s="70" t="s">
        <v>119</v>
      </c>
      <c r="AC11" s="70">
        <v>15.1</v>
      </c>
      <c r="AD11" s="77"/>
      <c r="AE11" s="80"/>
    </row>
    <row r="12" ht="15.75" hidden="1" customHeight="1">
      <c r="A12" s="31" t="s">
        <v>117</v>
      </c>
      <c r="B12" s="77"/>
      <c r="C12" s="96"/>
      <c r="D12" s="77"/>
      <c r="E12" s="96"/>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80"/>
    </row>
    <row r="13" ht="15.75" customHeight="1">
      <c r="A13" s="53" t="s">
        <v>132</v>
      </c>
      <c r="B13" s="67" t="s">
        <v>133</v>
      </c>
      <c r="C13" s="68">
        <v>12.7</v>
      </c>
      <c r="D13" s="70" t="s">
        <v>133</v>
      </c>
      <c r="E13" s="71">
        <v>10.1</v>
      </c>
      <c r="F13" s="67" t="s">
        <v>133</v>
      </c>
      <c r="G13" s="67">
        <v>6.6</v>
      </c>
      <c r="H13" s="70" t="s">
        <v>134</v>
      </c>
      <c r="I13" s="70">
        <v>10.6</v>
      </c>
      <c r="J13" s="67" t="s">
        <v>133</v>
      </c>
      <c r="K13" s="67">
        <v>19.1</v>
      </c>
      <c r="L13" s="70" t="s">
        <v>133</v>
      </c>
      <c r="M13" s="70">
        <v>13.8</v>
      </c>
      <c r="N13" s="67" t="s">
        <v>134</v>
      </c>
      <c r="O13" s="67">
        <v>16.8</v>
      </c>
      <c r="P13" s="70" t="s">
        <v>134</v>
      </c>
      <c r="Q13" s="70">
        <v>34.3</v>
      </c>
      <c r="R13" s="67" t="s">
        <v>134</v>
      </c>
      <c r="S13" s="67">
        <v>4.0</v>
      </c>
      <c r="T13" s="70" t="s">
        <v>135</v>
      </c>
      <c r="U13" s="70">
        <v>5.7</v>
      </c>
      <c r="V13" s="67" t="s">
        <v>133</v>
      </c>
      <c r="W13" s="67">
        <v>24.1</v>
      </c>
      <c r="X13" s="70" t="s">
        <v>133</v>
      </c>
      <c r="Y13" s="70">
        <v>8.5</v>
      </c>
      <c r="Z13" s="67" t="s">
        <v>133</v>
      </c>
      <c r="AA13" s="67">
        <v>15.5</v>
      </c>
      <c r="AB13" s="70" t="s">
        <v>133</v>
      </c>
      <c r="AC13" s="70">
        <v>1.8</v>
      </c>
      <c r="AD13" s="77"/>
      <c r="AE13" s="80"/>
    </row>
    <row r="14" ht="15.75" customHeight="1">
      <c r="A14" s="53" t="s">
        <v>136</v>
      </c>
      <c r="B14" s="67" t="s">
        <v>137</v>
      </c>
      <c r="C14" s="68">
        <v>11.7</v>
      </c>
      <c r="D14" s="70" t="s">
        <v>137</v>
      </c>
      <c r="E14" s="71">
        <v>7.2</v>
      </c>
      <c r="F14" s="67" t="s">
        <v>134</v>
      </c>
      <c r="G14" s="67">
        <v>5.9</v>
      </c>
      <c r="H14" s="70" t="s">
        <v>107</v>
      </c>
      <c r="I14" s="70">
        <v>11.1</v>
      </c>
      <c r="J14" s="67" t="s">
        <v>107</v>
      </c>
      <c r="K14" s="67">
        <v>12.6</v>
      </c>
      <c r="L14" s="70" t="s">
        <v>111</v>
      </c>
      <c r="M14" s="70">
        <v>9.2</v>
      </c>
      <c r="N14" s="67" t="s">
        <v>110</v>
      </c>
      <c r="O14" s="67">
        <v>9.4</v>
      </c>
      <c r="P14" s="70" t="s">
        <v>138</v>
      </c>
      <c r="Q14" s="70">
        <v>7.1</v>
      </c>
      <c r="R14" s="67" t="s">
        <v>116</v>
      </c>
      <c r="S14" s="67">
        <v>7.2</v>
      </c>
      <c r="T14" s="70" t="s">
        <v>113</v>
      </c>
      <c r="U14" s="70">
        <v>12.5</v>
      </c>
      <c r="V14" s="67" t="s">
        <v>111</v>
      </c>
      <c r="W14" s="67">
        <v>21.8</v>
      </c>
      <c r="X14" s="70" t="s">
        <v>119</v>
      </c>
      <c r="Y14" s="70">
        <v>15.0</v>
      </c>
      <c r="Z14" s="67" t="s">
        <v>119</v>
      </c>
      <c r="AA14" s="67">
        <v>21.4</v>
      </c>
      <c r="AB14" s="70" t="s">
        <v>113</v>
      </c>
      <c r="AC14" s="70">
        <v>16.95</v>
      </c>
      <c r="AD14" s="77"/>
      <c r="AE14" s="80"/>
    </row>
    <row r="15" ht="15.75" customHeight="1">
      <c r="A15" s="53" t="s">
        <v>139</v>
      </c>
      <c r="B15" s="67" t="s">
        <v>140</v>
      </c>
      <c r="C15" s="68">
        <v>21.68</v>
      </c>
      <c r="D15" s="70" t="s">
        <v>141</v>
      </c>
      <c r="E15" s="71">
        <v>25.11</v>
      </c>
      <c r="F15" s="67" t="s">
        <v>141</v>
      </c>
      <c r="G15" s="67">
        <v>10.95</v>
      </c>
      <c r="H15" s="70" t="s">
        <v>141</v>
      </c>
      <c r="I15" s="70">
        <v>18.23</v>
      </c>
      <c r="J15" s="67" t="s">
        <v>140</v>
      </c>
      <c r="K15" s="67">
        <v>4.78</v>
      </c>
      <c r="L15" s="70" t="s">
        <v>140</v>
      </c>
      <c r="M15" s="70">
        <v>24.25</v>
      </c>
      <c r="N15" s="67" t="s">
        <v>142</v>
      </c>
      <c r="O15" s="67">
        <v>15.2</v>
      </c>
      <c r="P15" s="70" t="s">
        <v>142</v>
      </c>
      <c r="Q15" s="70">
        <v>20.34</v>
      </c>
      <c r="R15" s="67" t="s">
        <v>140</v>
      </c>
      <c r="S15" s="67">
        <v>13.88</v>
      </c>
      <c r="T15" s="70" t="s">
        <v>143</v>
      </c>
      <c r="U15" s="70">
        <v>18.5</v>
      </c>
      <c r="V15" s="67" t="s">
        <v>144</v>
      </c>
      <c r="W15" s="67">
        <v>8.29</v>
      </c>
      <c r="X15" s="70" t="s">
        <v>145</v>
      </c>
      <c r="Y15" s="70">
        <v>19.39</v>
      </c>
      <c r="Z15" s="67" t="s">
        <v>145</v>
      </c>
      <c r="AA15" s="67">
        <v>25.02</v>
      </c>
      <c r="AB15" s="70" t="s">
        <v>140</v>
      </c>
      <c r="AC15" s="70">
        <v>17.88</v>
      </c>
      <c r="AD15" s="77"/>
      <c r="AE15" s="80"/>
    </row>
    <row r="16" ht="15.75" customHeight="1">
      <c r="A16" s="53" t="s">
        <v>146</v>
      </c>
      <c r="B16" s="67" t="s">
        <v>147</v>
      </c>
      <c r="C16" s="68">
        <v>9.0</v>
      </c>
      <c r="D16" s="70" t="s">
        <v>147</v>
      </c>
      <c r="E16" s="71">
        <v>14.0</v>
      </c>
      <c r="F16" s="67" t="s">
        <v>147</v>
      </c>
      <c r="G16" s="67">
        <v>3.0</v>
      </c>
      <c r="H16" s="70" t="s">
        <v>147</v>
      </c>
      <c r="I16" s="70">
        <v>7.0</v>
      </c>
      <c r="J16" s="67" t="s">
        <v>149</v>
      </c>
      <c r="K16" s="67">
        <v>2.0</v>
      </c>
      <c r="L16" s="70" t="s">
        <v>150</v>
      </c>
      <c r="M16" s="70">
        <v>2.0</v>
      </c>
      <c r="N16" s="67" t="s">
        <v>152</v>
      </c>
      <c r="O16" s="67">
        <v>8.0</v>
      </c>
      <c r="P16" s="70" t="s">
        <v>154</v>
      </c>
      <c r="Q16" s="70">
        <v>14.0</v>
      </c>
      <c r="R16" s="67" t="s">
        <v>154</v>
      </c>
      <c r="S16" s="67">
        <v>17.0</v>
      </c>
      <c r="T16" s="70" t="s">
        <v>158</v>
      </c>
      <c r="U16" s="70">
        <v>9.0</v>
      </c>
      <c r="V16" s="67" t="s">
        <v>160</v>
      </c>
      <c r="W16" s="67">
        <v>13.0</v>
      </c>
      <c r="X16" s="70" t="s">
        <v>160</v>
      </c>
      <c r="Y16" s="70">
        <v>17.0</v>
      </c>
      <c r="Z16" s="67" t="s">
        <v>160</v>
      </c>
      <c r="AA16" s="67">
        <v>8.0</v>
      </c>
      <c r="AB16" s="70" t="s">
        <v>160</v>
      </c>
      <c r="AC16" s="70">
        <v>9.0</v>
      </c>
      <c r="AD16" s="77"/>
      <c r="AE16" s="80"/>
    </row>
    <row r="17" ht="15.75" customHeight="1">
      <c r="A17" s="136" t="s">
        <v>162</v>
      </c>
      <c r="B17" s="137" t="s">
        <v>163</v>
      </c>
      <c r="C17" s="139">
        <v>9.2</v>
      </c>
      <c r="D17" s="140" t="s">
        <v>164</v>
      </c>
      <c r="E17" s="141">
        <v>10.0</v>
      </c>
      <c r="F17" s="137" t="s">
        <v>163</v>
      </c>
      <c r="G17" s="137">
        <v>12.9</v>
      </c>
      <c r="H17" s="140" t="s">
        <v>164</v>
      </c>
      <c r="I17" s="140">
        <v>3.4</v>
      </c>
      <c r="J17" s="137" t="s">
        <v>163</v>
      </c>
      <c r="K17" s="137">
        <v>3.1</v>
      </c>
      <c r="L17" s="140" t="s">
        <v>163</v>
      </c>
      <c r="M17" s="140">
        <v>-0.9</v>
      </c>
      <c r="N17" s="137" t="s">
        <v>165</v>
      </c>
      <c r="O17" s="137">
        <v>15.3</v>
      </c>
      <c r="P17" s="140" t="s">
        <v>165</v>
      </c>
      <c r="Q17" s="140">
        <v>15.6</v>
      </c>
      <c r="R17" s="137" t="s">
        <v>164</v>
      </c>
      <c r="S17" s="137">
        <v>11.1</v>
      </c>
      <c r="T17" s="140" t="s">
        <v>166</v>
      </c>
      <c r="U17" s="140">
        <v>21.2</v>
      </c>
      <c r="V17" s="137" t="s">
        <v>165</v>
      </c>
      <c r="W17" s="137">
        <v>12.1</v>
      </c>
      <c r="X17" s="140" t="s">
        <v>166</v>
      </c>
      <c r="Y17" s="140">
        <v>12.0</v>
      </c>
      <c r="Z17" s="137" t="s">
        <v>166</v>
      </c>
      <c r="AA17" s="137">
        <v>19.8</v>
      </c>
      <c r="AB17" s="140" t="s">
        <v>166</v>
      </c>
      <c r="AC17" s="140">
        <v>23.1</v>
      </c>
      <c r="AD17" s="145"/>
      <c r="AE17" s="146"/>
    </row>
    <row r="18" ht="15.75" customHeight="1">
      <c r="A18" s="148" t="s">
        <v>167</v>
      </c>
      <c r="B18" s="149">
        <f>SUM(C5:C17)</f>
        <v>161.6</v>
      </c>
      <c r="C18" s="24"/>
      <c r="D18" s="149">
        <f>SUM(E5:E17)</f>
        <v>165.71</v>
      </c>
      <c r="E18" s="24"/>
      <c r="F18" s="151">
        <f>SUM(G5:G17)</f>
        <v>96.07</v>
      </c>
      <c r="G18" s="24"/>
      <c r="H18" s="151">
        <f>SUM(I5:I17)</f>
        <v>137.07</v>
      </c>
      <c r="I18" s="24"/>
      <c r="J18" s="151">
        <f>SUM(K5:K17)</f>
        <v>116.2</v>
      </c>
      <c r="K18" s="24"/>
      <c r="L18" s="151">
        <f>SUM(M5:M17)</f>
        <v>141.19</v>
      </c>
      <c r="M18" s="24"/>
      <c r="N18" s="151">
        <f>SUM(O5:O17)</f>
        <v>215.41</v>
      </c>
      <c r="O18" s="24"/>
      <c r="P18" s="151">
        <f>SUM(Q5:Q17)</f>
        <v>160.86</v>
      </c>
      <c r="Q18" s="24"/>
      <c r="R18" s="151">
        <f>SUM(S5:S17)</f>
        <v>131.48</v>
      </c>
      <c r="S18" s="24"/>
      <c r="T18" s="151">
        <f>SUM(U5:U17)</f>
        <v>160.58</v>
      </c>
      <c r="U18" s="24"/>
      <c r="V18" s="151">
        <f>SUM(W5:W17)</f>
        <v>169.31</v>
      </c>
      <c r="W18" s="24"/>
      <c r="X18" s="151">
        <f>SUM(Y5:Y17)</f>
        <v>247.45</v>
      </c>
      <c r="Y18" s="24"/>
      <c r="Z18" s="151">
        <f>SUM(AA5:AA17)</f>
        <v>209.92</v>
      </c>
      <c r="AA18" s="24"/>
      <c r="AB18" s="151">
        <f>SUM(AC5:AC17)</f>
        <v>189.27</v>
      </c>
      <c r="AC18" s="24"/>
      <c r="AD18" s="158">
        <f>SUM(AE5:AE17)</f>
        <v>0</v>
      </c>
      <c r="AE18" s="24"/>
    </row>
    <row r="19" ht="15.75" customHeight="1">
      <c r="A19" s="159" t="s">
        <v>168</v>
      </c>
      <c r="B19" s="159" t="str">
        <f t="array" ref="B19">IFERROR(INDEX(B5:B17,MATCH(LARGE(C5:C17,1),C5:C17,0)),"N/A")</f>
        <v>J. DANIELS</v>
      </c>
      <c r="C19" s="162">
        <f>IFERROR(LARGE(C5:C17,1),0)</f>
        <v>24.82</v>
      </c>
      <c r="D19" s="159" t="str">
        <f t="array" ref="D19">IFERROR(INDEX(D5:D17,MATCH(LARGE(E5:E17,1),E5:E17,0)),"N/A")</f>
        <v>J. DANIELS</v>
      </c>
      <c r="E19" s="159">
        <f>IFERROR(LARGE(E5:E17,1),0)</f>
        <v>25.6</v>
      </c>
      <c r="F19" s="159" t="str">
        <f t="array" ref="F19">IFERROR(INDEX(F5:F17,MATCH(LARGE(G5:G17,1),G5:G17,0)),"N/A")</f>
        <v>D. JONES</v>
      </c>
      <c r="G19" s="159">
        <f>IFERROR(LARGE(G5:G17,1),0)</f>
        <v>20.42</v>
      </c>
      <c r="H19" s="159" t="str">
        <f t="array" ref="H19">IFERROR(INDEX(H5:H17,MATCH(LARGE(I5:I17,1),I5:I17,0)),"N/A")</f>
        <v>J. FIELDS</v>
      </c>
      <c r="I19" s="159">
        <f>IFERROR(LARGE(I5:I17,1),0)</f>
        <v>32.44</v>
      </c>
      <c r="J19" s="159" t="str">
        <f t="array" ref="J19">IFERROR(INDEX(J5:J17,MATCH(LARGE(K5:K17,1),K5:K17,0)),"N/A")</f>
        <v>J. FIELDS</v>
      </c>
      <c r="K19" s="159">
        <f>IFERROR(LARGE(K5:K17,1),0)</f>
        <v>34.22</v>
      </c>
      <c r="L19" s="159" t="str">
        <f t="array" ref="L19">IFERROR(INDEX(L5:L17,MATCH(LARGE(M5:M17,1),M5:M17,0)),"N/A")</f>
        <v>D. PRESCOTT</v>
      </c>
      <c r="M19" s="159">
        <f>IFERROR(LARGE(M5:M17,1),0)</f>
        <v>31.74</v>
      </c>
      <c r="N19" s="159" t="str">
        <f t="array" ref="N19">IFERROR(INDEX(N5:N17,MATCH(LARGE(O5:O17,1),O5:O17,0)),"N/A")</f>
        <v>J. GIBBS</v>
      </c>
      <c r="O19" s="159">
        <f>IFERROR(LARGE(O5:O17,1),0)</f>
        <v>39.5</v>
      </c>
      <c r="P19" s="159" t="str">
        <f t="array" ref="P19">IFERROR(INDEX(P5:P17,MATCH(LARGE(Q5:Q17,1),Q5:Q17,0)),"N/A")</f>
        <v>T. KRAFT</v>
      </c>
      <c r="Q19" s="159">
        <f>IFERROR(LARGE(Q5:Q17,1),0)</f>
        <v>34.3</v>
      </c>
      <c r="R19" s="159" t="str">
        <f t="array" ref="R19">IFERROR(INDEX(R5:R17,MATCH(LARGE(S5:S17,1),S5:S17,0)),"N/A")</f>
        <v>D. PRESCOTT</v>
      </c>
      <c r="S19" s="159">
        <f>IFERROR(LARGE(S5:S17,1),0)</f>
        <v>18.8</v>
      </c>
      <c r="T19" s="159" t="str">
        <f t="array" ref="T19">IFERROR(INDEX(T5:T17,MATCH(LARGE(U5:U17,1),U5:U17,0)),"N/A")</f>
        <v>J. GIBBS</v>
      </c>
      <c r="U19" s="159">
        <f>IFERROR(LARGE(U5:U17,1),0)</f>
        <v>40.7</v>
      </c>
      <c r="V19" s="159" t="str">
        <f t="array" ref="V19">IFERROR(INDEX(V5:V17,MATCH(LARGE(W5:W17,1),W5:W17,0)),"N/A")</f>
        <v>D. PRESCOTT</v>
      </c>
      <c r="W19" s="159">
        <f>IFERROR(LARGE(W5:W17,1),0)</f>
        <v>36.12</v>
      </c>
      <c r="X19" s="159" t="str">
        <f t="array" ref="X19">IFERROR(INDEX(X5:X17,MATCH(LARGE(Y5:Y17,1),Y5:Y17,0)),"N/A")</f>
        <v>J. GIBBS</v>
      </c>
      <c r="Y19" s="159">
        <f>IFERROR(LARGE(Y5:Y17,1),0)</f>
        <v>58.9</v>
      </c>
      <c r="Z19" s="159" t="str">
        <f t="array" ref="Z19">IFERROR(INDEX(Z5:Z17,MATCH(LARGE(AA5:AA17,1),AA5:AA17,0)),"N/A")</f>
        <v>R. RICE</v>
      </c>
      <c r="AA19" s="159">
        <f>IFERROR(LARGE(AA5:AA17,1),0)</f>
        <v>29.5</v>
      </c>
      <c r="AB19" s="159" t="str">
        <f t="array" ref="AB19">IFERROR(INDEX(AB5:AB17,MATCH(LARGE(AC5:AC17,1),AC5:AC17,0)),"N/A")</f>
        <v>J. GIBBS</v>
      </c>
      <c r="AC19" s="159">
        <f>IFERROR(LARGE(AC5:AC17,1),0)</f>
        <v>38.2</v>
      </c>
      <c r="AD19" s="185" t="str">
        <f t="array" ref="AD19">INDEX(AD5:AD17,MATCH(LARGE(AE5:AE17,1),AE5:AE17,0))</f>
        <v>#NUM!</v>
      </c>
      <c r="AE19" s="77" t="str">
        <f>LARGE(AE5:AE17,1)</f>
        <v>#NUM!</v>
      </c>
    </row>
    <row r="20" ht="15.75" customHeight="1">
      <c r="A20" s="186" t="s">
        <v>171</v>
      </c>
      <c r="B20" s="186" t="str">
        <f t="array" ref="B20">IFERROR(INDEX(B5:B17,MATCH(LARGE(C5:C17,2),C5:C17,0)),"N/A")</f>
        <v>LAR D/ST</v>
      </c>
      <c r="C20" s="188">
        <f>IFERROR(LARGE(C5:C17,2),0)</f>
        <v>21.68</v>
      </c>
      <c r="D20" s="186" t="str">
        <f t="array" ref="D20">IFERROR(INDEX(D5:D17,MATCH(LARGE(E5:E17,2),E5:E17,0)),"N/A")</f>
        <v>BUF D/ST</v>
      </c>
      <c r="E20" s="188">
        <f>IFERROR(LARGE(E5:E17,2),0)</f>
        <v>25.11</v>
      </c>
      <c r="F20" s="186" t="str">
        <f t="array" ref="F20">IFERROR(INDEX(F5:F17,MATCH(LARGE(G5:G17,2),G5:G17,0)),"N/A")</f>
        <v>B. IRVING</v>
      </c>
      <c r="G20" s="188">
        <f>IFERROR(LARGE(G5:G17,2),0)</f>
        <v>16.4</v>
      </c>
      <c r="H20" s="186" t="str">
        <f t="array" ref="H20">IFERROR(INDEX(H5:H17,MATCH(LARGE(I5:I17,2),I5:I17,0)),"N/A")</f>
        <v>B. IRVING</v>
      </c>
      <c r="I20" s="188">
        <f>IFERROR(LARGE(I5:I17,2),0)</f>
        <v>28</v>
      </c>
      <c r="J20" s="186" t="str">
        <f t="array" ref="J20">IFERROR(INDEX(J5:J17,MATCH(LARGE(K5:K17,2),K5:K17,0)),"N/A")</f>
        <v>R. WHITE</v>
      </c>
      <c r="K20" s="188">
        <f>IFERROR(LARGE(K5:K17,2),0)</f>
        <v>24.5</v>
      </c>
      <c r="L20" s="186" t="str">
        <f t="array" ref="L20">IFERROR(INDEX(L5:L17,MATCH(LARGE(M5:M17,2),M5:M17,0)),"N/A")</f>
        <v>LAR D/ST</v>
      </c>
      <c r="M20" s="188">
        <f>IFERROR(LARGE(M5:M17,2),0)</f>
        <v>24.25</v>
      </c>
      <c r="N20" s="186" t="str">
        <f t="array" ref="N20">IFERROR(INDEX(N5:N17,MATCH(LARGE(O5:O17,2),O5:O17,0)),"N/A")</f>
        <v>D. PRESCOTT</v>
      </c>
      <c r="O20" s="188">
        <f>IFERROR(LARGE(O5:O17,2),0)</f>
        <v>32.16</v>
      </c>
      <c r="P20" s="186" t="str">
        <f t="array" ref="P20">IFERROR(INDEX(P5:P17,MATCH(LARGE(Q5:Q17,2),Q5:Q17,0)),"N/A")</f>
        <v>R. RICE</v>
      </c>
      <c r="Q20" s="188">
        <f>IFERROR(LARGE(Q5:Q17,2),0)</f>
        <v>25.7</v>
      </c>
      <c r="R20" s="186" t="str">
        <f t="array" ref="R20">IFERROR(INDEX(R5:R17,MATCH(LARGE(S5:S17,2),S5:S17,0)),"N/A")</f>
        <v>D. PRESCOTT</v>
      </c>
      <c r="S20" s="188">
        <f>IFERROR(LARGE(S5:S17,2),0)</f>
        <v>18.8</v>
      </c>
      <c r="T20" s="186" t="str">
        <f t="array" ref="T20">IFERROR(INDEX(T5:T17,MATCH(LARGE(U5:U17,2),U5:U17,0)),"N/A")</f>
        <v>J. DART</v>
      </c>
      <c r="U20" s="188">
        <f>IFERROR(LARGE(U5:U17,2),0)</f>
        <v>28.68</v>
      </c>
      <c r="V20" s="186" t="str">
        <f t="array" ref="V20">IFERROR(INDEX(V5:V17,MATCH(LARGE(W5:W17,2),W5:W17,0)),"N/A")</f>
        <v>T. KELCE</v>
      </c>
      <c r="W20" s="188">
        <f>IFERROR(LARGE(W5:W17,2),0)</f>
        <v>24.1</v>
      </c>
      <c r="X20" s="186" t="str">
        <f t="array" ref="X20">IFERROR(INDEX(X5:X17,MATCH(LARGE(Y5:Y17,2),Y5:Y17,0)),"N/A")</f>
        <v>D. PRESCOTT</v>
      </c>
      <c r="Y20" s="188">
        <f>IFERROR(LARGE(Y5:Y17,2),0)</f>
        <v>33.76</v>
      </c>
      <c r="Z20" s="186" t="str">
        <f t="array" ref="Z20">IFERROR(INDEX(Z5:Z17,MATCH(LARGE(AA5:AA17,2),AA5:AA17,0)),"N/A")</f>
        <v>D. PRESCOTT</v>
      </c>
      <c r="AA20" s="188">
        <f>IFERROR(LARGE(AA5:AA17,2),0)</f>
        <v>28.1</v>
      </c>
      <c r="AB20" s="186" t="str">
        <f t="array" ref="AB20">IFERROR(INDEX(AB5:AB17,MATCH(LARGE(AC5:AC17,2),AC5:AC17,0)),"N/A")</f>
        <v>D. PRESCOTT</v>
      </c>
      <c r="AC20" s="188">
        <f>IFERROR(LARGE(AC5:AC17,2),0)</f>
        <v>23.14</v>
      </c>
      <c r="AD20" s="201"/>
      <c r="AE20" s="201"/>
    </row>
    <row r="21" ht="15.75" customHeight="1">
      <c r="A21" s="202" t="s">
        <v>173</v>
      </c>
      <c r="B21" s="202" t="str">
        <f t="array" ref="B21">IFERROR(INDEX(B5:B17,MATCH(LARGE(C5:C17,3),C5:C17,0)),"N/A")</f>
        <v>C. LAMB</v>
      </c>
      <c r="C21" s="204">
        <f>IFERROR(LARGE(C5:C17,3),0)</f>
        <v>19</v>
      </c>
      <c r="D21" s="202" t="str">
        <f t="array" ref="D21">IFERROR(INDEX(D5:D17,MATCH(LARGE(E5:E17,3),E5:E17,0)),"N/A")</f>
        <v>C. LAMB</v>
      </c>
      <c r="E21" s="204">
        <f>IFERROR(LARGE(E5:E17,3),0)</f>
        <v>21.2</v>
      </c>
      <c r="F21" s="202" t="str">
        <f t="array" ref="F21">IFERROR(INDEX(F5:F17,MATCH(LARGE(G5:G17,3),G5:G17,0)),"N/A")</f>
        <v>PHI HC</v>
      </c>
      <c r="G21" s="204">
        <f>IFERROR(LARGE(G5:G17,3),0)</f>
        <v>12.9</v>
      </c>
      <c r="H21" s="202" t="str">
        <f t="array" ref="H21">IFERROR(INDEX(H5:H17,MATCH(LARGE(I5:I17,3),I5:I17,0)),"N/A")</f>
        <v>BUF D/ST</v>
      </c>
      <c r="I21" s="204">
        <f>IFERROR(LARGE(I5:I17,3),0)</f>
        <v>18.23</v>
      </c>
      <c r="J21" s="202" t="str">
        <f t="array" ref="J21">IFERROR(INDEX(J5:J17,MATCH(LARGE(K5:K17,3),K5:K17,0)),"N/A")</f>
        <v>T. KELCE</v>
      </c>
      <c r="K21" s="204">
        <f>IFERROR(LARGE(K5:K17,3),0)</f>
        <v>19.1</v>
      </c>
      <c r="L21" s="202" t="str">
        <f t="array" ref="L21">IFERROR(INDEX(L5:L17,MATCH(LARGE(M5:M17,3),M5:M17,0)),"N/A")</f>
        <v>R. WHITE</v>
      </c>
      <c r="M21" s="204">
        <f>IFERROR(LARGE(M5:M17,3),0)</f>
        <v>19.3</v>
      </c>
      <c r="N21" s="202" t="str">
        <f t="array" ref="N21">IFERROR(INDEX(N5:N17,MATCH(LARGE(O5:O17,3),O5:O17,0)),"N/A")</f>
        <v>R. RICE</v>
      </c>
      <c r="O21" s="204">
        <f>IFERROR(LARGE(O5:O17,3),0)</f>
        <v>23.2</v>
      </c>
      <c r="P21" s="202" t="str">
        <f t="array" ref="P21">IFERROR(INDEX(P5:P17,MATCH(LARGE(Q5:Q17,3),Q5:Q17,0)),"N/A")</f>
        <v>KC D/ST</v>
      </c>
      <c r="Q21" s="204">
        <f>IFERROR(LARGE(Q5:Q17,3),0)</f>
        <v>20.34</v>
      </c>
      <c r="R21" s="202" t="str">
        <f t="array" ref="R21">IFERROR(INDEX(R5:R17,MATCH(LARGE(S5:S17,3),S5:S17,0)),"N/A")</f>
        <v>J. WARREN</v>
      </c>
      <c r="S21" s="204">
        <f>IFERROR(LARGE(S5:S17,3),0)</f>
        <v>18.5</v>
      </c>
      <c r="T21" s="202" t="str">
        <f t="array" ref="T21">IFERROR(INDEX(T5:T17,MATCH(LARGE(U5:U17,3),U5:U17,0)),"N/A")</f>
        <v>SEA HC</v>
      </c>
      <c r="U21" s="204">
        <f>IFERROR(LARGE(U5:U17,3),0)</f>
        <v>21.2</v>
      </c>
      <c r="V21" s="202" t="str">
        <f t="array" ref="V21">IFERROR(INDEX(V5:V17,MATCH(LARGE(W5:W17,3),W5:W17,0)),"N/A")</f>
        <v>J. GIBBS</v>
      </c>
      <c r="W21" s="204">
        <f>IFERROR(LARGE(W5:W17,3),0)</f>
        <v>21.8</v>
      </c>
      <c r="X21" s="202" t="str">
        <f t="array" ref="X21">IFERROR(INDEX(X5:X17,MATCH(LARGE(Y5:Y17,3),Y5:Y17,0)),"N/A")</f>
        <v>W. ROBINSON</v>
      </c>
      <c r="Y21" s="204">
        <f>IFERROR(LARGE(Y5:Y17,3),0)</f>
        <v>31.7</v>
      </c>
      <c r="Z21" s="202" t="str">
        <f t="array" ref="Z21">IFERROR(INDEX(Z5:Z17,MATCH(LARGE(AA5:AA17,3),AA5:AA17,0)),"N/A")</f>
        <v>C. LAMB</v>
      </c>
      <c r="AA21" s="204">
        <f>IFERROR(LARGE(AA5:AA17,3),0)</f>
        <v>25.2</v>
      </c>
      <c r="AB21" s="202" t="str">
        <f t="array" ref="AB21">IFERROR(INDEX(AB5:AB17,MATCH(LARGE(AC5:AC17,3),AC5:AC17,0)),"N/A")</f>
        <v>SEA HC</v>
      </c>
      <c r="AC21" s="204">
        <f>IFERROR(LARGE(AC5:AC17,3),0)</f>
        <v>23.1</v>
      </c>
      <c r="AD21" s="201"/>
      <c r="AE21" s="201"/>
    </row>
    <row r="22" ht="15.75" customHeight="1"/>
    <row r="23" ht="15.75" customHeight="1">
      <c r="A23" s="216" t="str">
        <f>Settings!A4</f>
        <v>POPEYES</v>
      </c>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9"/>
    </row>
    <row r="24" ht="15.75" customHeight="1">
      <c r="A24" s="31"/>
      <c r="B24" s="33" t="s">
        <v>48</v>
      </c>
      <c r="C24" s="24"/>
      <c r="D24" s="34" t="s">
        <v>51</v>
      </c>
      <c r="E24" s="24"/>
      <c r="F24" s="33" t="s">
        <v>55</v>
      </c>
      <c r="G24" s="24"/>
      <c r="H24" s="34" t="s">
        <v>58</v>
      </c>
      <c r="I24" s="24"/>
      <c r="J24" s="33" t="s">
        <v>60</v>
      </c>
      <c r="K24" s="24"/>
      <c r="L24" s="34" t="s">
        <v>62</v>
      </c>
      <c r="M24" s="24"/>
      <c r="N24" s="33" t="s">
        <v>64</v>
      </c>
      <c r="O24" s="24"/>
      <c r="P24" s="34" t="s">
        <v>66</v>
      </c>
      <c r="Q24" s="24"/>
      <c r="R24" s="33" t="s">
        <v>68</v>
      </c>
      <c r="S24" s="24"/>
      <c r="T24" s="34" t="s">
        <v>70</v>
      </c>
      <c r="U24" s="24"/>
      <c r="V24" s="33" t="s">
        <v>73</v>
      </c>
      <c r="W24" s="24"/>
      <c r="X24" s="34" t="s">
        <v>76</v>
      </c>
      <c r="Y24" s="24"/>
      <c r="Z24" s="33" t="s">
        <v>78</v>
      </c>
      <c r="AA24" s="24"/>
      <c r="AB24" s="34" t="s">
        <v>79</v>
      </c>
      <c r="AC24" s="24"/>
      <c r="AD24" s="49" t="s">
        <v>83</v>
      </c>
      <c r="AE24" s="50"/>
    </row>
    <row r="25" ht="15.75" customHeight="1">
      <c r="A25" s="53" t="s">
        <v>85</v>
      </c>
      <c r="B25" s="54">
        <v>1.0</v>
      </c>
      <c r="C25" s="24"/>
      <c r="D25" s="55">
        <v>4.0</v>
      </c>
      <c r="E25" s="24"/>
      <c r="F25" s="54">
        <v>4.0</v>
      </c>
      <c r="G25" s="24"/>
      <c r="H25" s="55">
        <v>1.0</v>
      </c>
      <c r="I25" s="24"/>
      <c r="J25" s="54">
        <v>1.0</v>
      </c>
      <c r="K25" s="24"/>
      <c r="L25" s="55">
        <v>1.0</v>
      </c>
      <c r="M25" s="24"/>
      <c r="N25" s="54">
        <v>2.0</v>
      </c>
      <c r="O25" s="24"/>
      <c r="P25" s="55">
        <v>3.0</v>
      </c>
      <c r="Q25" s="24"/>
      <c r="R25" s="54">
        <v>4.0</v>
      </c>
      <c r="S25" s="24"/>
      <c r="T25" s="55">
        <v>4.0</v>
      </c>
      <c r="U25" s="24"/>
      <c r="V25" s="54">
        <v>4.0</v>
      </c>
      <c r="W25" s="24"/>
      <c r="X25" s="55">
        <v>3.0</v>
      </c>
      <c r="Y25" s="24"/>
      <c r="Z25" s="54">
        <v>5.0</v>
      </c>
      <c r="AA25" s="24"/>
      <c r="AB25" s="55">
        <v>5.0</v>
      </c>
      <c r="AC25" s="24"/>
      <c r="AD25" s="66"/>
      <c r="AE25" s="50"/>
    </row>
    <row r="26" ht="15.75" customHeight="1">
      <c r="A26" s="53" t="s">
        <v>100</v>
      </c>
      <c r="B26" s="67" t="s">
        <v>174</v>
      </c>
      <c r="C26" s="67">
        <v>29.48</v>
      </c>
      <c r="D26" s="70" t="s">
        <v>174</v>
      </c>
      <c r="E26" s="70">
        <v>26.6</v>
      </c>
      <c r="F26" s="67" t="s">
        <v>174</v>
      </c>
      <c r="G26" s="67">
        <v>21.92</v>
      </c>
      <c r="H26" s="70" t="s">
        <v>175</v>
      </c>
      <c r="I26" s="70">
        <v>38.2</v>
      </c>
      <c r="J26" s="67" t="s">
        <v>175</v>
      </c>
      <c r="K26" s="67">
        <v>35.26</v>
      </c>
      <c r="L26" s="70" t="s">
        <v>175</v>
      </c>
      <c r="M26" s="70">
        <v>13.34</v>
      </c>
      <c r="N26" s="67" t="s">
        <v>174</v>
      </c>
      <c r="O26" s="67">
        <v>13.52</v>
      </c>
      <c r="P26" s="70" t="s">
        <v>174</v>
      </c>
      <c r="Q26" s="70">
        <v>5.28</v>
      </c>
      <c r="R26" s="67" t="s">
        <v>176</v>
      </c>
      <c r="S26" s="67">
        <v>39.0</v>
      </c>
      <c r="T26" s="70" t="s">
        <v>174</v>
      </c>
      <c r="U26" s="70">
        <v>31.52</v>
      </c>
      <c r="V26" s="67" t="s">
        <v>174</v>
      </c>
      <c r="W26" s="67">
        <v>19.32</v>
      </c>
      <c r="X26" s="70" t="s">
        <v>176</v>
      </c>
      <c r="Y26" s="70">
        <v>22.96</v>
      </c>
      <c r="Z26" s="67" t="s">
        <v>176</v>
      </c>
      <c r="AA26" s="67">
        <v>3.52</v>
      </c>
      <c r="AB26" s="70" t="s">
        <v>174</v>
      </c>
      <c r="AC26" s="70">
        <v>12.48</v>
      </c>
      <c r="AD26" s="77"/>
      <c r="AE26" s="80"/>
    </row>
    <row r="27" ht="15.75" customHeight="1">
      <c r="A27" s="53" t="s">
        <v>106</v>
      </c>
      <c r="B27" s="67" t="s">
        <v>177</v>
      </c>
      <c r="C27" s="67">
        <v>17.2</v>
      </c>
      <c r="D27" s="70" t="s">
        <v>177</v>
      </c>
      <c r="E27" s="70">
        <v>27.3</v>
      </c>
      <c r="F27" s="67" t="s">
        <v>177</v>
      </c>
      <c r="G27" s="67">
        <v>17.3</v>
      </c>
      <c r="H27" s="70" t="s">
        <v>177</v>
      </c>
      <c r="I27" s="70">
        <v>19.1</v>
      </c>
      <c r="J27" s="67" t="s">
        <v>177</v>
      </c>
      <c r="K27" s="67">
        <v>17.6</v>
      </c>
      <c r="L27" s="70" t="s">
        <v>177</v>
      </c>
      <c r="M27" s="70">
        <v>33.6</v>
      </c>
      <c r="N27" s="67" t="s">
        <v>177</v>
      </c>
      <c r="O27" s="67">
        <v>14.1</v>
      </c>
      <c r="P27" s="70" t="s">
        <v>177</v>
      </c>
      <c r="Q27" s="70">
        <v>21.9</v>
      </c>
      <c r="R27" s="67" t="s">
        <v>177</v>
      </c>
      <c r="S27" s="67">
        <v>18.0</v>
      </c>
      <c r="T27" s="70" t="s">
        <v>177</v>
      </c>
      <c r="U27" s="70">
        <v>43.7</v>
      </c>
      <c r="V27" s="67" t="s">
        <v>177</v>
      </c>
      <c r="W27" s="67">
        <v>24.6</v>
      </c>
      <c r="X27" s="70" t="s">
        <v>178</v>
      </c>
      <c r="Y27" s="70">
        <v>14.2</v>
      </c>
      <c r="Z27" s="67" t="s">
        <v>177</v>
      </c>
      <c r="AA27" s="67">
        <v>22.6</v>
      </c>
      <c r="AB27" s="70" t="s">
        <v>177</v>
      </c>
      <c r="AC27" s="70">
        <v>18.2</v>
      </c>
      <c r="AD27" s="77"/>
      <c r="AE27" s="80"/>
    </row>
    <row r="28" ht="15.75" customHeight="1">
      <c r="A28" s="53" t="s">
        <v>106</v>
      </c>
      <c r="B28" s="67" t="s">
        <v>179</v>
      </c>
      <c r="C28" s="67">
        <v>13.75</v>
      </c>
      <c r="D28" s="70" t="s">
        <v>179</v>
      </c>
      <c r="E28" s="70">
        <v>6.3</v>
      </c>
      <c r="F28" s="67" t="s">
        <v>180</v>
      </c>
      <c r="G28" s="67">
        <v>19.6</v>
      </c>
      <c r="H28" s="70" t="s">
        <v>181</v>
      </c>
      <c r="I28" s="70">
        <v>11.8</v>
      </c>
      <c r="J28" s="67" t="s">
        <v>181</v>
      </c>
      <c r="K28" s="67">
        <v>13.9</v>
      </c>
      <c r="L28" s="70" t="s">
        <v>179</v>
      </c>
      <c r="M28" s="70">
        <v>5.5</v>
      </c>
      <c r="N28" s="67" t="s">
        <v>181</v>
      </c>
      <c r="O28" s="67">
        <v>13.2</v>
      </c>
      <c r="P28" s="70" t="s">
        <v>181</v>
      </c>
      <c r="Q28" s="70">
        <v>2.0</v>
      </c>
      <c r="R28" s="67" t="s">
        <v>182</v>
      </c>
      <c r="S28" s="67">
        <v>7.6</v>
      </c>
      <c r="T28" s="70" t="s">
        <v>179</v>
      </c>
      <c r="U28" s="70">
        <v>30.4</v>
      </c>
      <c r="V28" s="67" t="s">
        <v>179</v>
      </c>
      <c r="W28" s="67">
        <v>34.2</v>
      </c>
      <c r="X28" s="70" t="s">
        <v>179</v>
      </c>
      <c r="Y28" s="70">
        <v>12.9</v>
      </c>
      <c r="Z28" s="67" t="s">
        <v>179</v>
      </c>
      <c r="AA28" s="67">
        <v>12.7</v>
      </c>
      <c r="AB28" s="70" t="s">
        <v>178</v>
      </c>
      <c r="AC28" s="70">
        <v>4.8</v>
      </c>
      <c r="AD28" s="77"/>
      <c r="AE28" s="80"/>
    </row>
    <row r="29" ht="15.75" hidden="1" customHeight="1">
      <c r="A29" s="31" t="s">
        <v>106</v>
      </c>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80"/>
    </row>
    <row r="30" ht="15.75" customHeight="1">
      <c r="A30" s="53" t="s">
        <v>117</v>
      </c>
      <c r="B30" s="67" t="s">
        <v>183</v>
      </c>
      <c r="C30" s="67">
        <v>14.9</v>
      </c>
      <c r="D30" s="70" t="s">
        <v>183</v>
      </c>
      <c r="E30" s="70">
        <v>11.1</v>
      </c>
      <c r="F30" s="67" t="s">
        <v>183</v>
      </c>
      <c r="G30" s="67">
        <v>12.5</v>
      </c>
      <c r="H30" s="70" t="s">
        <v>183</v>
      </c>
      <c r="I30" s="70">
        <v>23.6</v>
      </c>
      <c r="J30" s="67" t="s">
        <v>183</v>
      </c>
      <c r="K30" s="67">
        <v>20.3</v>
      </c>
      <c r="L30" s="70" t="s">
        <v>185</v>
      </c>
      <c r="M30" s="70">
        <v>4.8</v>
      </c>
      <c r="N30" s="67" t="s">
        <v>183</v>
      </c>
      <c r="O30" s="67">
        <v>12.9</v>
      </c>
      <c r="P30" s="70" t="s">
        <v>183</v>
      </c>
      <c r="Q30" s="70">
        <v>14.4</v>
      </c>
      <c r="R30" s="67" t="s">
        <v>183</v>
      </c>
      <c r="S30" s="67">
        <v>16.7</v>
      </c>
      <c r="T30" s="70" t="s">
        <v>183</v>
      </c>
      <c r="U30" s="70">
        <v>7.7</v>
      </c>
      <c r="V30" s="67" t="s">
        <v>183</v>
      </c>
      <c r="W30" s="67">
        <v>11.1</v>
      </c>
      <c r="X30" s="70" t="s">
        <v>183</v>
      </c>
      <c r="Y30" s="70">
        <v>8.8</v>
      </c>
      <c r="Z30" s="67" t="s">
        <v>183</v>
      </c>
      <c r="AA30" s="67">
        <v>2.4</v>
      </c>
      <c r="AB30" s="70" t="s">
        <v>183</v>
      </c>
      <c r="AC30" s="70">
        <v>3.1</v>
      </c>
      <c r="AD30" s="77"/>
      <c r="AE30" s="80"/>
    </row>
    <row r="31" ht="15.75" customHeight="1">
      <c r="A31" s="53" t="s">
        <v>117</v>
      </c>
      <c r="B31" s="67" t="s">
        <v>185</v>
      </c>
      <c r="C31" s="67">
        <v>24.2</v>
      </c>
      <c r="D31" s="70" t="s">
        <v>185</v>
      </c>
      <c r="E31" s="70">
        <v>27.7</v>
      </c>
      <c r="F31" s="67" t="s">
        <v>185</v>
      </c>
      <c r="G31" s="67">
        <v>23.9</v>
      </c>
      <c r="H31" s="70" t="s">
        <v>185</v>
      </c>
      <c r="I31" s="70">
        <v>37.0</v>
      </c>
      <c r="J31" s="67" t="s">
        <v>185</v>
      </c>
      <c r="K31" s="67">
        <v>24.5</v>
      </c>
      <c r="L31" s="70" t="s">
        <v>186</v>
      </c>
      <c r="M31" s="70">
        <v>4.4</v>
      </c>
      <c r="N31" s="67" t="s">
        <v>187</v>
      </c>
      <c r="O31" s="67">
        <v>6.1</v>
      </c>
      <c r="P31" s="70" t="s">
        <v>186</v>
      </c>
      <c r="Q31" s="70">
        <v>6.5</v>
      </c>
      <c r="R31" s="67" t="s">
        <v>185</v>
      </c>
      <c r="S31" s="67">
        <v>22.9</v>
      </c>
      <c r="T31" s="70" t="s">
        <v>185</v>
      </c>
      <c r="U31" s="70">
        <v>17.4</v>
      </c>
      <c r="V31" s="67" t="s">
        <v>185</v>
      </c>
      <c r="W31" s="67">
        <v>14.5</v>
      </c>
      <c r="X31" s="70" t="s">
        <v>185</v>
      </c>
      <c r="Y31" s="70">
        <v>16.7</v>
      </c>
      <c r="Z31" s="67" t="s">
        <v>185</v>
      </c>
      <c r="AA31" s="67">
        <v>13.2</v>
      </c>
      <c r="AB31" s="70" t="s">
        <v>185</v>
      </c>
      <c r="AC31" s="70">
        <v>36.7</v>
      </c>
      <c r="AD31" s="77"/>
      <c r="AE31" s="80"/>
    </row>
    <row r="32" ht="15.75" customHeight="1">
      <c r="A32" s="53" t="s">
        <v>117</v>
      </c>
      <c r="B32" s="67" t="s">
        <v>188</v>
      </c>
      <c r="C32" s="67">
        <v>9.1</v>
      </c>
      <c r="D32" s="70" t="s">
        <v>188</v>
      </c>
      <c r="E32" s="70">
        <v>8.9</v>
      </c>
      <c r="F32" s="67" t="s">
        <v>188</v>
      </c>
      <c r="G32" s="67">
        <v>7.5</v>
      </c>
      <c r="H32" s="70" t="s">
        <v>186</v>
      </c>
      <c r="I32" s="70">
        <v>21.2</v>
      </c>
      <c r="J32" s="67" t="s">
        <v>186</v>
      </c>
      <c r="K32" s="67">
        <v>32.3</v>
      </c>
      <c r="L32" s="70" t="s">
        <v>189</v>
      </c>
      <c r="M32" s="70">
        <v>8.9</v>
      </c>
      <c r="N32" s="67" t="s">
        <v>189</v>
      </c>
      <c r="O32" s="67">
        <v>34.3</v>
      </c>
      <c r="P32" s="70" t="s">
        <v>189</v>
      </c>
      <c r="Q32" s="70">
        <v>14.4</v>
      </c>
      <c r="R32" s="67" t="s">
        <v>190</v>
      </c>
      <c r="S32" s="67">
        <v>8.5</v>
      </c>
      <c r="T32" s="70" t="s">
        <v>186</v>
      </c>
      <c r="U32" s="70">
        <v>24.5</v>
      </c>
      <c r="V32" s="67" t="s">
        <v>186</v>
      </c>
      <c r="W32" s="67">
        <v>9.0</v>
      </c>
      <c r="X32" s="70" t="s">
        <v>186</v>
      </c>
      <c r="Y32" s="70">
        <v>6.2</v>
      </c>
      <c r="Z32" s="67" t="s">
        <v>186</v>
      </c>
      <c r="AA32" s="67">
        <v>8.2</v>
      </c>
      <c r="AB32" s="70" t="s">
        <v>186</v>
      </c>
      <c r="AC32" s="70">
        <v>3.5</v>
      </c>
      <c r="AD32" s="77"/>
      <c r="AE32" s="80"/>
    </row>
    <row r="33" ht="15.75" hidden="1" customHeight="1">
      <c r="A33" s="31" t="s">
        <v>117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80"/>
    </row>
    <row r="34" ht="15.75" customHeight="1">
      <c r="A34" s="53" t="s">
        <v>132</v>
      </c>
      <c r="B34" s="67" t="s">
        <v>191</v>
      </c>
      <c r="C34" s="67">
        <v>4.5</v>
      </c>
      <c r="D34" s="70" t="s">
        <v>191</v>
      </c>
      <c r="E34" s="70">
        <v>2.2</v>
      </c>
      <c r="F34" s="67" t="s">
        <v>192</v>
      </c>
      <c r="G34" s="67">
        <v>7.9</v>
      </c>
      <c r="H34" s="70" t="s">
        <v>191</v>
      </c>
      <c r="I34" s="70">
        <v>7.9</v>
      </c>
      <c r="J34" s="67" t="s">
        <v>191</v>
      </c>
      <c r="K34" s="67">
        <v>9.8</v>
      </c>
      <c r="L34" s="70" t="s">
        <v>193</v>
      </c>
      <c r="M34" s="70">
        <v>9.2</v>
      </c>
      <c r="N34" s="67" t="s">
        <v>194</v>
      </c>
      <c r="O34" s="67">
        <v>13.2</v>
      </c>
      <c r="P34" s="70" t="s">
        <v>194</v>
      </c>
      <c r="Q34" s="70">
        <v>14.9</v>
      </c>
      <c r="R34" s="67" t="s">
        <v>195</v>
      </c>
      <c r="S34" s="67">
        <v>7.8</v>
      </c>
      <c r="T34" s="70" t="s">
        <v>195</v>
      </c>
      <c r="U34" s="70">
        <v>5.8</v>
      </c>
      <c r="V34" s="67" t="s">
        <v>196</v>
      </c>
      <c r="W34" s="67">
        <v>11.1</v>
      </c>
      <c r="X34" s="70" t="s">
        <v>195</v>
      </c>
      <c r="Y34" s="70">
        <v>4.5</v>
      </c>
      <c r="Z34" s="67" t="s">
        <v>195</v>
      </c>
      <c r="AA34" s="67">
        <v>15.2</v>
      </c>
      <c r="AB34" s="70" t="s">
        <v>197</v>
      </c>
      <c r="AC34" s="70">
        <v>26.4</v>
      </c>
      <c r="AD34" s="77"/>
      <c r="AE34" s="80"/>
    </row>
    <row r="35" ht="15.75" customHeight="1">
      <c r="A35" s="53" t="s">
        <v>136</v>
      </c>
      <c r="B35" s="67" t="s">
        <v>180</v>
      </c>
      <c r="C35" s="67">
        <v>6.4</v>
      </c>
      <c r="D35" s="70" t="s">
        <v>186</v>
      </c>
      <c r="E35" s="70">
        <v>12.9</v>
      </c>
      <c r="F35" s="67" t="s">
        <v>181</v>
      </c>
      <c r="G35" s="67">
        <v>26.2</v>
      </c>
      <c r="H35" s="70" t="s">
        <v>180</v>
      </c>
      <c r="I35" s="70">
        <v>13.9</v>
      </c>
      <c r="J35" s="67" t="s">
        <v>180</v>
      </c>
      <c r="K35" s="67">
        <v>10.6</v>
      </c>
      <c r="L35" s="70" t="s">
        <v>180</v>
      </c>
      <c r="M35" s="70">
        <v>5.7</v>
      </c>
      <c r="N35" s="67" t="s">
        <v>180</v>
      </c>
      <c r="O35" s="67">
        <v>8.3</v>
      </c>
      <c r="P35" s="70" t="s">
        <v>198</v>
      </c>
      <c r="Q35" s="70">
        <v>4.6</v>
      </c>
      <c r="R35" s="67" t="s">
        <v>178</v>
      </c>
      <c r="S35" s="67">
        <v>9.2</v>
      </c>
      <c r="T35" s="70" t="s">
        <v>189</v>
      </c>
      <c r="U35" s="70">
        <v>16.9</v>
      </c>
      <c r="V35" s="67" t="s">
        <v>189</v>
      </c>
      <c r="W35" s="67">
        <v>1.8</v>
      </c>
      <c r="X35" s="70" t="s">
        <v>189</v>
      </c>
      <c r="Y35" s="70">
        <v>14.9</v>
      </c>
      <c r="Z35" s="67" t="s">
        <v>189</v>
      </c>
      <c r="AA35" s="67">
        <v>9.8</v>
      </c>
      <c r="AB35" s="70" t="s">
        <v>199</v>
      </c>
      <c r="AC35" s="70">
        <v>17.3</v>
      </c>
      <c r="AD35" s="77"/>
      <c r="AE35" s="80"/>
    </row>
    <row r="36" ht="15.75" customHeight="1">
      <c r="A36" s="53" t="s">
        <v>139</v>
      </c>
      <c r="B36" s="67" t="s">
        <v>200</v>
      </c>
      <c r="C36" s="67">
        <v>15.83</v>
      </c>
      <c r="D36" s="70" t="s">
        <v>201</v>
      </c>
      <c r="E36" s="70">
        <v>7.32</v>
      </c>
      <c r="F36" s="67" t="s">
        <v>201</v>
      </c>
      <c r="G36" s="67">
        <v>27.2</v>
      </c>
      <c r="H36" s="70" t="s">
        <v>200</v>
      </c>
      <c r="I36" s="70">
        <v>28.76</v>
      </c>
      <c r="J36" s="67" t="s">
        <v>201</v>
      </c>
      <c r="K36" s="67">
        <v>26.7</v>
      </c>
      <c r="L36" s="70" t="s">
        <v>201</v>
      </c>
      <c r="M36" s="70">
        <v>8.75</v>
      </c>
      <c r="N36" s="67" t="s">
        <v>200</v>
      </c>
      <c r="O36" s="67">
        <v>27.0</v>
      </c>
      <c r="P36" s="70" t="s">
        <v>201</v>
      </c>
      <c r="Q36" s="70">
        <v>16.74</v>
      </c>
      <c r="R36" s="67" t="s">
        <v>145</v>
      </c>
      <c r="S36" s="67">
        <v>12.07</v>
      </c>
      <c r="T36" s="70" t="s">
        <v>141</v>
      </c>
      <c r="U36" s="70">
        <v>6.21</v>
      </c>
      <c r="V36" s="67" t="s">
        <v>203</v>
      </c>
      <c r="W36" s="67">
        <v>23.67</v>
      </c>
      <c r="X36" s="70" t="s">
        <v>143</v>
      </c>
      <c r="Y36" s="70">
        <v>39.18</v>
      </c>
      <c r="Z36" s="67" t="s">
        <v>201</v>
      </c>
      <c r="AA36" s="67">
        <v>11.37</v>
      </c>
      <c r="AB36" s="70" t="s">
        <v>143</v>
      </c>
      <c r="AC36" s="70">
        <v>10.93</v>
      </c>
      <c r="AD36" s="77"/>
      <c r="AE36" s="80"/>
    </row>
    <row r="37" ht="15.75" customHeight="1">
      <c r="A37" s="53" t="s">
        <v>146</v>
      </c>
      <c r="B37" s="67" t="s">
        <v>204</v>
      </c>
      <c r="C37" s="67">
        <v>14.0</v>
      </c>
      <c r="D37" s="70" t="s">
        <v>204</v>
      </c>
      <c r="E37" s="70">
        <v>12.0</v>
      </c>
      <c r="F37" s="67" t="s">
        <v>204</v>
      </c>
      <c r="G37" s="67">
        <v>7.0</v>
      </c>
      <c r="H37" s="70" t="s">
        <v>204</v>
      </c>
      <c r="I37" s="70">
        <v>9.0</v>
      </c>
      <c r="J37" s="67" t="s">
        <v>204</v>
      </c>
      <c r="K37" s="67">
        <v>3.0</v>
      </c>
      <c r="L37" s="70" t="s">
        <v>147</v>
      </c>
      <c r="M37" s="70">
        <v>6.0</v>
      </c>
      <c r="N37" s="67" t="s">
        <v>147</v>
      </c>
      <c r="O37" s="67">
        <v>2.5</v>
      </c>
      <c r="P37" s="70" t="s">
        <v>204</v>
      </c>
      <c r="Q37" s="70">
        <v>13.0</v>
      </c>
      <c r="R37" s="67" t="s">
        <v>204</v>
      </c>
      <c r="S37" s="67">
        <v>4.0</v>
      </c>
      <c r="T37" s="70" t="s">
        <v>204</v>
      </c>
      <c r="U37" s="70">
        <v>13.0</v>
      </c>
      <c r="V37" s="67" t="s">
        <v>204</v>
      </c>
      <c r="W37" s="67">
        <v>12.0</v>
      </c>
      <c r="X37" s="70" t="s">
        <v>204</v>
      </c>
      <c r="Y37" s="70">
        <v>11.0</v>
      </c>
      <c r="Z37" s="67" t="s">
        <v>204</v>
      </c>
      <c r="AA37" s="67">
        <v>2.0</v>
      </c>
      <c r="AB37" s="70" t="s">
        <v>204</v>
      </c>
      <c r="AC37" s="70">
        <v>10.0</v>
      </c>
      <c r="AD37" s="77"/>
      <c r="AE37" s="80"/>
    </row>
    <row r="38" ht="15.75" customHeight="1">
      <c r="A38" s="225" t="s">
        <v>162</v>
      </c>
      <c r="B38" s="226" t="s">
        <v>205</v>
      </c>
      <c r="C38" s="67">
        <v>7.2</v>
      </c>
      <c r="D38" s="227" t="s">
        <v>205</v>
      </c>
      <c r="E38" s="227">
        <v>13.9</v>
      </c>
      <c r="F38" s="226" t="s">
        <v>166</v>
      </c>
      <c r="G38" s="226">
        <v>25.2</v>
      </c>
      <c r="H38" s="227" t="s">
        <v>166</v>
      </c>
      <c r="I38" s="227">
        <v>8.9</v>
      </c>
      <c r="J38" s="226" t="s">
        <v>166</v>
      </c>
      <c r="K38" s="226">
        <v>8.5</v>
      </c>
      <c r="L38" s="227" t="s">
        <v>164</v>
      </c>
      <c r="M38" s="227">
        <v>10.7</v>
      </c>
      <c r="N38" s="226" t="s">
        <v>206</v>
      </c>
      <c r="O38" s="226">
        <v>11.8</v>
      </c>
      <c r="P38" s="227" t="s">
        <v>206</v>
      </c>
      <c r="Q38" s="227">
        <v>0.8</v>
      </c>
      <c r="R38" s="226" t="s">
        <v>206</v>
      </c>
      <c r="S38" s="226">
        <v>17.1</v>
      </c>
      <c r="T38" s="227" t="s">
        <v>163</v>
      </c>
      <c r="U38" s="227">
        <v>5.0</v>
      </c>
      <c r="V38" s="226" t="s">
        <v>163</v>
      </c>
      <c r="W38" s="226">
        <v>7.8</v>
      </c>
      <c r="X38" s="227" t="s">
        <v>163</v>
      </c>
      <c r="Y38" s="227">
        <v>4.3</v>
      </c>
      <c r="Z38" s="226" t="s">
        <v>163</v>
      </c>
      <c r="AA38" s="226">
        <v>1.5</v>
      </c>
      <c r="AB38" s="227" t="s">
        <v>208</v>
      </c>
      <c r="AC38" s="227">
        <v>10.2</v>
      </c>
      <c r="AD38" s="228"/>
      <c r="AE38" s="229"/>
    </row>
    <row r="39" ht="15.75" customHeight="1">
      <c r="A39" s="148" t="s">
        <v>167</v>
      </c>
      <c r="B39" s="151">
        <f>SUM(C26:C38)</f>
        <v>156.56</v>
      </c>
      <c r="C39" s="24"/>
      <c r="D39" s="151">
        <f>SUM(E26:E38)</f>
        <v>156.22</v>
      </c>
      <c r="E39" s="24"/>
      <c r="F39" s="151">
        <f>SUM(G26:G38)</f>
        <v>196.22</v>
      </c>
      <c r="G39" s="24"/>
      <c r="H39" s="151">
        <f>SUM(I26:I38)</f>
        <v>219.36</v>
      </c>
      <c r="I39" s="24"/>
      <c r="J39" s="151">
        <f>SUM(K26:K38)</f>
        <v>202.46</v>
      </c>
      <c r="K39" s="24"/>
      <c r="L39" s="151">
        <f>SUM(M26:M38)</f>
        <v>110.89</v>
      </c>
      <c r="M39" s="24"/>
      <c r="N39" s="151">
        <f>SUM(O26:O38)</f>
        <v>156.92</v>
      </c>
      <c r="O39" s="24"/>
      <c r="P39" s="151">
        <f>SUM(Q26:Q38)</f>
        <v>114.52</v>
      </c>
      <c r="Q39" s="24"/>
      <c r="R39" s="151">
        <f>SUM(S26:S38)</f>
        <v>162.87</v>
      </c>
      <c r="S39" s="24"/>
      <c r="T39" s="151">
        <f>SUM(U26:U38)</f>
        <v>202.13</v>
      </c>
      <c r="U39" s="24"/>
      <c r="V39" s="151">
        <f>SUM(W26:W38)</f>
        <v>169.09</v>
      </c>
      <c r="W39" s="24"/>
      <c r="X39" s="151">
        <f>SUM(Y26:Y38)</f>
        <v>155.64</v>
      </c>
      <c r="Y39" s="24"/>
      <c r="Z39" s="151">
        <f>SUM(AA26:AA38)</f>
        <v>102.49</v>
      </c>
      <c r="AA39" s="24"/>
      <c r="AB39" s="151">
        <f>SUM(AC26:AC38)</f>
        <v>153.61</v>
      </c>
      <c r="AC39" s="24"/>
      <c r="AD39" s="158">
        <f>SUM(AE26:AE38)</f>
        <v>0</v>
      </c>
      <c r="AE39" s="24"/>
    </row>
    <row r="40" ht="15.75" customHeight="1">
      <c r="A40" s="159" t="s">
        <v>168</v>
      </c>
      <c r="B40" s="159" t="str">
        <f t="array" ref="B40">IFERROR(INDEX(B26:B38,MATCH(LARGE(C26:C38,1),C26:C38,0)),"N/A")</f>
        <v>B. MAYFIELD</v>
      </c>
      <c r="C40" s="159">
        <f>IFERROR(LARGE(C26:C38,1),0)</f>
        <v>29.48</v>
      </c>
      <c r="D40" s="159" t="str">
        <f t="array" ref="D40">IFERROR(INDEX(D26:D38,MATCH(LARGE(E26:E38,1),E26:E38,0)),"N/A")</f>
        <v>P. NACUA</v>
      </c>
      <c r="E40" s="159">
        <f>IFERROR(LARGE(E26:E38,1),0)</f>
        <v>27.7</v>
      </c>
      <c r="F40" s="159" t="str">
        <f t="array" ref="F40">IFERROR(INDEX(F26:F38,MATCH(LARGE(G26:G38,1),G26:G38,0)),"N/A")</f>
        <v>IND D/ST</v>
      </c>
      <c r="G40" s="159">
        <f>IFERROR(LARGE(G26:G38,1),0)</f>
        <v>27.2</v>
      </c>
      <c r="H40" s="159" t="str">
        <f t="array" ref="H40">IFERROR(INDEX(H26:H38,MATCH(LARGE(I26:I38,1),I26:I38,0)),"N/A")</f>
        <v>M. STAFFORD</v>
      </c>
      <c r="I40" s="159">
        <f>IFERROR(LARGE(I26:I38,1),0)</f>
        <v>38.2</v>
      </c>
      <c r="J40" s="159" t="str">
        <f t="array" ref="J40">IFERROR(INDEX(J26:J38,MATCH(LARGE(K26:K38,1),K26:K38,0)),"N/A")</f>
        <v>M. STAFFORD</v>
      </c>
      <c r="K40" s="159">
        <f>IFERROR(LARGE(K26:K38,1),0)</f>
        <v>35.26</v>
      </c>
      <c r="L40" s="159" t="str">
        <f t="array" ref="L40">IFERROR(INDEX(L26:L38,MATCH(LARGE(M26:M38,1),M26:M38,0)),"N/A")</f>
        <v>D. ACHANE</v>
      </c>
      <c r="M40" s="159">
        <f>IFERROR(LARGE(M26:M38,1),0)</f>
        <v>33.6</v>
      </c>
      <c r="N40" s="159" t="str">
        <f t="array" ref="N40">IFERROR(INDEX(N26:N38,MATCH(LARGE(O26:O38,1),O26:O38,0)),"N/A")</f>
        <v>D. SMITH</v>
      </c>
      <c r="O40" s="159">
        <f>IFERROR(LARGE(O26:O38,1),0)</f>
        <v>34.3</v>
      </c>
      <c r="P40" s="159" t="str">
        <f t="array" ref="P40">IFERROR(INDEX(P26:P38,MATCH(LARGE(Q26:Q38,1),Q26:Q38,0)),"N/A")</f>
        <v>D. ACHANE</v>
      </c>
      <c r="Q40" s="159">
        <f>IFERROR(LARGE(Q26:Q38,1),0)</f>
        <v>21.9</v>
      </c>
      <c r="R40" s="159" t="str">
        <f t="array" ref="R40">IFERROR(INDEX(R26:R38,MATCH(LARGE(S26:S38,1),S26:S38,0)),"N/A")</f>
        <v>S. DARNOLD</v>
      </c>
      <c r="S40" s="159">
        <f>IFERROR(LARGE(S26:S38,1),0)</f>
        <v>39</v>
      </c>
      <c r="T40" s="159" t="str">
        <f t="array" ref="T40">IFERROR(INDEX(T26:T38,MATCH(LARGE(U26:U38,1),U26:U38,0)),"N/A")</f>
        <v>D. ACHANE</v>
      </c>
      <c r="U40" s="159">
        <f>IFERROR(LARGE(U26:U38,1),0)</f>
        <v>43.7</v>
      </c>
      <c r="V40" s="159" t="str">
        <f t="array" ref="V40">IFERROR(INDEX(V26:V38,MATCH(LARGE(W26:W38,1),W26:W38,0)),"N/A")</f>
        <v>T. HENDERSON</v>
      </c>
      <c r="W40" s="159">
        <f>IFERROR(LARGE(W26:W38,1),0)</f>
        <v>34.2</v>
      </c>
      <c r="X40" s="159" t="str">
        <f t="array" ref="X40">IFERROR(INDEX(X26:X38,MATCH(LARGE(Y26:Y38,1),Y26:Y38,0)),"N/A")</f>
        <v>CLE D/ST</v>
      </c>
      <c r="Y40" s="159">
        <f>IFERROR(LARGE(Y26:Y38,1),0)</f>
        <v>39.18</v>
      </c>
      <c r="Z40" s="159" t="str">
        <f t="array" ref="Z40">IFERROR(INDEX(Z26:Z38,MATCH(LARGE(AA26:AA38,1),AA26:AA38,0)),"N/A")</f>
        <v>D. ACHANE</v>
      </c>
      <c r="AA40" s="159">
        <f>IFERROR(LARGE(AA26:AA38,1),0)</f>
        <v>22.6</v>
      </c>
      <c r="AB40" s="159" t="str">
        <f t="array" ref="AB40">IFERROR(INDEX(AB26:AB38,MATCH(LARGE(AC26:AC38,1),AC26:AC38,0)),"N/A")</f>
        <v>P. NACUA</v>
      </c>
      <c r="AC40" s="159">
        <f>IFERROR(LARGE(AC26:AC38,1),0)</f>
        <v>36.7</v>
      </c>
      <c r="AD40" s="77" t="str">
        <f t="array" ref="AD40">INDEX(AD26:AD38,MATCH(LARGE(AE26:AE38,1),AE26:AE38,0))</f>
        <v>#NUM!</v>
      </c>
      <c r="AE40" s="77" t="str">
        <f>LARGE(AE26:AE38,1)</f>
        <v>#NUM!</v>
      </c>
    </row>
    <row r="41" ht="15.75" customHeight="1">
      <c r="A41" s="186" t="s">
        <v>171</v>
      </c>
      <c r="B41" s="186" t="str">
        <f t="array" ref="B41">IFERROR(INDEX(B26:B38,MATCH(LARGE(C26:C38,2),C26:C38,0)),"N/A")</f>
        <v>P. NACUA</v>
      </c>
      <c r="C41" s="188">
        <f>IFERROR(LARGE(C26:C38,2),0)</f>
        <v>24.2</v>
      </c>
      <c r="D41" s="186" t="str">
        <f t="array" ref="D41">IFERROR(INDEX(D26:D38,MATCH(LARGE(E26:E38,2),E26:E38,0)),"N/A")</f>
        <v>D. ACHANE</v>
      </c>
      <c r="E41" s="188">
        <f>IFERROR(LARGE(E26:E38,2),0)</f>
        <v>27.3</v>
      </c>
      <c r="F41" s="186" t="str">
        <f t="array" ref="F41">IFERROR(INDEX(F26:F38,MATCH(LARGE(G26:G38,2),G26:G38,0)),"N/A")</f>
        <v>J. MASON</v>
      </c>
      <c r="G41" s="188">
        <f>IFERROR(LARGE(G26:G38,2),0)</f>
        <v>26.2</v>
      </c>
      <c r="H41" s="186" t="str">
        <f t="array" ref="H41">IFERROR(INDEX(H26:H38,MATCH(LARGE(I26:I38,2),I26:I38,0)),"N/A")</f>
        <v>P. NACUA</v>
      </c>
      <c r="I41" s="188">
        <f>IFERROR(LARGE(I26:I38,2),0)</f>
        <v>37</v>
      </c>
      <c r="J41" s="186" t="str">
        <f t="array" ref="J41">IFERROR(INDEX(J26:J38,MATCH(LARGE(K26:K38,2),K26:K38,0)),"N/A")</f>
        <v>E. EGBUKA</v>
      </c>
      <c r="K41" s="188">
        <f>IFERROR(LARGE(K26:K38,2),0)</f>
        <v>32.3</v>
      </c>
      <c r="L41" s="186" t="str">
        <f t="array" ref="L41">IFERROR(INDEX(L26:L38,MATCH(LARGE(M26:M38,2),M26:M38,0)),"N/A")</f>
        <v>M. STAFFORD</v>
      </c>
      <c r="M41" s="188">
        <f>IFERROR(LARGE(M26:M38,2),0)</f>
        <v>13.34</v>
      </c>
      <c r="N41" s="186" t="str">
        <f t="array" ref="N41">IFERROR(INDEX(N26:N38,MATCH(LARGE(O26:O38,2),O26:O38,0)),"N/A")</f>
        <v>NE D/ST</v>
      </c>
      <c r="O41" s="188">
        <f>IFERROR(LARGE(O26:O38,2),0)</f>
        <v>27</v>
      </c>
      <c r="P41" s="186" t="str">
        <f t="array" ref="P41">IFERROR(INDEX(P26:P38,MATCH(LARGE(Q26:Q38,2),Q26:Q38,0)),"N/A")</f>
        <v>IND D/ST</v>
      </c>
      <c r="Q41" s="188">
        <f>IFERROR(LARGE(Q26:Q38,2),0)</f>
        <v>16.74</v>
      </c>
      <c r="R41" s="186" t="str">
        <f t="array" ref="R41">IFERROR(INDEX(R26:R38,MATCH(LARGE(S26:S38,2),S26:S38,0)),"N/A")</f>
        <v>P. NACUA</v>
      </c>
      <c r="S41" s="188">
        <f>IFERROR(LARGE(S26:S38,2),0)</f>
        <v>22.9</v>
      </c>
      <c r="T41" s="186" t="str">
        <f t="array" ref="T41">IFERROR(INDEX(T26:T38,MATCH(LARGE(U26:U38,2),U26:U38,0)),"N/A")</f>
        <v>B. MAYFIELD</v>
      </c>
      <c r="U41" s="188">
        <f>IFERROR(LARGE(U26:U38,2),0)</f>
        <v>31.52</v>
      </c>
      <c r="V41" s="186" t="str">
        <f t="array" ref="V41">IFERROR(INDEX(V26:V38,MATCH(LARGE(W26:W38,2),W26:W38,0)),"N/A")</f>
        <v>D. ACHANE</v>
      </c>
      <c r="W41" s="188">
        <f>IFERROR(LARGE(W26:W38,2),0)</f>
        <v>24.6</v>
      </c>
      <c r="X41" s="186" t="str">
        <f t="array" ref="X41">IFERROR(INDEX(X26:X38,MATCH(LARGE(Y26:Y38,2),Y26:Y38,0)),"N/A")</f>
        <v>S. DARNOLD</v>
      </c>
      <c r="Y41" s="188">
        <f>IFERROR(LARGE(Y26:Y38,2),0)</f>
        <v>22.96</v>
      </c>
      <c r="Z41" s="186" t="str">
        <f t="array" ref="Z41">IFERROR(INDEX(Z26:Z38,MATCH(LARGE(AA26:AA38,2),AA26:AA38,0)),"N/A")</f>
        <v>K. PITTS</v>
      </c>
      <c r="AA41" s="188">
        <f>IFERROR(LARGE(AA26:AA38,2),0)</f>
        <v>15.2</v>
      </c>
      <c r="AB41" s="186" t="str">
        <f t="array" ref="AB41">IFERROR(INDEX(AB26:AB38,MATCH(LARGE(AC26:AC38,2),AC26:AC38,0)),"N/A")</f>
        <v>H. FANNIN</v>
      </c>
      <c r="AC41" s="188">
        <f>IFERROR(LARGE(AC26:AC38,2),0)</f>
        <v>26.4</v>
      </c>
      <c r="AD41" s="201"/>
      <c r="AE41" s="201"/>
    </row>
    <row r="42" ht="15.75" customHeight="1">
      <c r="A42" s="202" t="s">
        <v>173</v>
      </c>
      <c r="B42" s="202" t="str">
        <f t="array" ref="B42">IFERROR(INDEX(B26:B38,MATCH(LARGE(C26:C38,3),C26:C38,0)),"N/A")</f>
        <v>D. ACHANE</v>
      </c>
      <c r="C42" s="204">
        <f>IFERROR(LARGE(C26:C38,3),0)</f>
        <v>17.2</v>
      </c>
      <c r="D42" s="202" t="str">
        <f t="array" ref="D42">IFERROR(INDEX(D26:D38,MATCH(LARGE(E26:E38,3),E26:E38,0)),"N/A")</f>
        <v>B. MAYFIELD</v>
      </c>
      <c r="E42" s="204">
        <f>IFERROR(LARGE(E26:E38,3),0)</f>
        <v>26.6</v>
      </c>
      <c r="F42" s="202" t="str">
        <f t="array" ref="F42">IFERROR(INDEX(F26:F38,MATCH(LARGE(G26:G38,3),G26:G38,0)),"N/A")</f>
        <v>SEA HC</v>
      </c>
      <c r="G42" s="204">
        <f>IFERROR(LARGE(G26:G38,3),0)</f>
        <v>25.2</v>
      </c>
      <c r="H42" s="202" t="str">
        <f t="array" ref="H42">IFERROR(INDEX(H26:H38,MATCH(LARGE(I26:I38,3),I26:I38,0)),"N/A")</f>
        <v>NE D/ST</v>
      </c>
      <c r="I42" s="204">
        <f>IFERROR(LARGE(I26:I38,3),0)</f>
        <v>28.76</v>
      </c>
      <c r="J42" s="202" t="str">
        <f t="array" ref="J42">IFERROR(INDEX(J26:J38,MATCH(LARGE(K26:K38,3),K26:K38,0)),"N/A")</f>
        <v>IND D/ST</v>
      </c>
      <c r="K42" s="204">
        <f>IFERROR(LARGE(K26:K38,3),0)</f>
        <v>26.7</v>
      </c>
      <c r="L42" s="202" t="str">
        <f t="array" ref="L42">IFERROR(INDEX(L26:L38,MATCH(LARGE(M26:M38,3),M26:M38,0)),"N/A")</f>
        <v>LAC HC</v>
      </c>
      <c r="M42" s="204">
        <f>IFERROR(LARGE(M26:M38,3),0)</f>
        <v>10.7</v>
      </c>
      <c r="N42" s="202" t="str">
        <f t="array" ref="N42">IFERROR(INDEX(N26:N38,MATCH(LARGE(O26:O38,3),O26:O38,0)),"N/A")</f>
        <v>D. ACHANE</v>
      </c>
      <c r="O42" s="204">
        <f>IFERROR(LARGE(O26:O38,3),0)</f>
        <v>14.1</v>
      </c>
      <c r="P42" s="202" t="str">
        <f t="array" ref="P42">IFERROR(INDEX(P26:P38,MATCH(LARGE(Q26:Q38,3),Q26:Q38,0)),"N/A")</f>
        <v>K. PITTS SR.</v>
      </c>
      <c r="Q42" s="204">
        <f>IFERROR(LARGE(Q26:Q38,3),0)</f>
        <v>14.9</v>
      </c>
      <c r="R42" s="202" t="str">
        <f t="array" ref="R42">IFERROR(INDEX(R26:R38,MATCH(LARGE(S26:S38,3),S26:S38,0)),"N/A")</f>
        <v>D. ACHANE</v>
      </c>
      <c r="S42" s="204">
        <f>IFERROR(LARGE(S26:S38,3),0)</f>
        <v>18</v>
      </c>
      <c r="T42" s="202" t="str">
        <f t="array" ref="T42">IFERROR(INDEX(T26:T38,MATCH(LARGE(U26:U38,3),U26:U38,0)),"N/A")</f>
        <v>T. HENDERSON</v>
      </c>
      <c r="U42" s="204">
        <f>IFERROR(LARGE(U26:U38,3),0)</f>
        <v>30.4</v>
      </c>
      <c r="V42" s="202" t="str">
        <f t="array" ref="V42">IFERROR(INDEX(V26:V38,MATCH(LARGE(W26:W38,3),W26:W38,0)),"N/A")</f>
        <v>DAL D/ST</v>
      </c>
      <c r="W42" s="204">
        <f>IFERROR(LARGE(W26:W38,3),0)</f>
        <v>23.67</v>
      </c>
      <c r="X42" s="202" t="str">
        <f t="array" ref="X42">IFERROR(INDEX(X26:X38,MATCH(LARGE(Y26:Y38,3),Y26:Y38,0)),"N/A")</f>
        <v>P. NACUA</v>
      </c>
      <c r="Y42" s="204">
        <f>IFERROR(LARGE(Y26:Y38,3),0)</f>
        <v>16.7</v>
      </c>
      <c r="Z42" s="202" t="str">
        <f t="array" ref="Z42">IFERROR(INDEX(Z26:Z38,MATCH(LARGE(AA26:AA38,3),AA26:AA38,0)),"N/A")</f>
        <v>P. NACUA</v>
      </c>
      <c r="AA42" s="204">
        <f>IFERROR(LARGE(AA26:AA38,3),0)</f>
        <v>13.2</v>
      </c>
      <c r="AB42" s="202" t="str">
        <f t="array" ref="AB42">IFERROR(INDEX(AB26:AB38,MATCH(LARGE(AC26:AC38,3),AC26:AC38,0)),"N/A")</f>
        <v>D. ACHANE</v>
      </c>
      <c r="AC42" s="204">
        <f>IFERROR(LARGE(AC26:AC38,3),0)</f>
        <v>18.2</v>
      </c>
      <c r="AD42" s="201"/>
      <c r="AE42" s="201"/>
    </row>
    <row r="43" ht="15.75" customHeight="1"/>
    <row r="44" ht="15.75" customHeight="1">
      <c r="A44" s="253" t="str">
        <f>Settings!A5</f>
        <v>GREEN</v>
      </c>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9"/>
    </row>
    <row r="45" ht="15.75" customHeight="1">
      <c r="A45" s="31"/>
      <c r="B45" s="33" t="s">
        <v>48</v>
      </c>
      <c r="C45" s="24"/>
      <c r="D45" s="34" t="s">
        <v>51</v>
      </c>
      <c r="E45" s="24"/>
      <c r="F45" s="33" t="s">
        <v>55</v>
      </c>
      <c r="G45" s="24"/>
      <c r="H45" s="34" t="s">
        <v>58</v>
      </c>
      <c r="I45" s="24"/>
      <c r="J45" s="33" t="s">
        <v>60</v>
      </c>
      <c r="K45" s="24"/>
      <c r="L45" s="34" t="s">
        <v>62</v>
      </c>
      <c r="M45" s="24"/>
      <c r="N45" s="33" t="s">
        <v>64</v>
      </c>
      <c r="O45" s="24"/>
      <c r="P45" s="34" t="s">
        <v>66</v>
      </c>
      <c r="Q45" s="24"/>
      <c r="R45" s="33" t="s">
        <v>68</v>
      </c>
      <c r="S45" s="24"/>
      <c r="T45" s="34" t="s">
        <v>70</v>
      </c>
      <c r="U45" s="24"/>
      <c r="V45" s="33" t="s">
        <v>73</v>
      </c>
      <c r="W45" s="24"/>
      <c r="X45" s="34" t="s">
        <v>76</v>
      </c>
      <c r="Y45" s="24"/>
      <c r="Z45" s="33" t="s">
        <v>78</v>
      </c>
      <c r="AA45" s="24"/>
      <c r="AB45" s="34" t="s">
        <v>79</v>
      </c>
      <c r="AC45" s="24"/>
      <c r="AD45" s="49" t="s">
        <v>83</v>
      </c>
      <c r="AE45" s="50"/>
    </row>
    <row r="46" ht="15.75" customHeight="1">
      <c r="A46" s="53" t="s">
        <v>85</v>
      </c>
      <c r="B46" s="54">
        <v>4.0</v>
      </c>
      <c r="C46" s="24"/>
      <c r="D46" s="55">
        <v>9.0</v>
      </c>
      <c r="E46" s="24"/>
      <c r="F46" s="54">
        <v>10.0</v>
      </c>
      <c r="G46" s="24"/>
      <c r="H46" s="55">
        <v>8.0</v>
      </c>
      <c r="I46" s="24"/>
      <c r="J46" s="54">
        <v>8.0</v>
      </c>
      <c r="K46" s="24"/>
      <c r="L46" s="55">
        <v>4.0</v>
      </c>
      <c r="M46" s="24"/>
      <c r="N46" s="54">
        <v>4.0</v>
      </c>
      <c r="O46" s="24"/>
      <c r="P46" s="55">
        <v>2.0</v>
      </c>
      <c r="Q46" s="24"/>
      <c r="R46" s="54">
        <v>1.0</v>
      </c>
      <c r="S46" s="24"/>
      <c r="T46" s="55">
        <v>1.0</v>
      </c>
      <c r="U46" s="24"/>
      <c r="V46" s="54">
        <v>1.0</v>
      </c>
      <c r="W46" s="24"/>
      <c r="X46" s="55">
        <v>1.0</v>
      </c>
      <c r="Y46" s="24"/>
      <c r="Z46" s="54">
        <v>1.0</v>
      </c>
      <c r="AA46" s="24"/>
      <c r="AB46" s="55">
        <v>1.0</v>
      </c>
      <c r="AC46" s="24"/>
      <c r="AD46" s="66"/>
      <c r="AE46" s="50"/>
    </row>
    <row r="47" ht="15.75" customHeight="1">
      <c r="A47" s="53" t="s">
        <v>100</v>
      </c>
      <c r="B47" s="67" t="s">
        <v>217</v>
      </c>
      <c r="C47" s="67">
        <v>10.04</v>
      </c>
      <c r="D47" s="70" t="s">
        <v>218</v>
      </c>
      <c r="E47" s="70">
        <v>1.92</v>
      </c>
      <c r="F47" s="67" t="s">
        <v>217</v>
      </c>
      <c r="G47" s="67">
        <v>16.82</v>
      </c>
      <c r="H47" s="70" t="s">
        <v>217</v>
      </c>
      <c r="I47" s="70">
        <v>33.74</v>
      </c>
      <c r="J47" s="67" t="s">
        <v>217</v>
      </c>
      <c r="K47" s="67">
        <v>21.98</v>
      </c>
      <c r="L47" s="70" t="s">
        <v>217</v>
      </c>
      <c r="M47" s="70">
        <v>17.46</v>
      </c>
      <c r="N47" s="67" t="s">
        <v>217</v>
      </c>
      <c r="O47" s="67">
        <v>45.26</v>
      </c>
      <c r="P47" s="70" t="s">
        <v>217</v>
      </c>
      <c r="Q47" s="70">
        <v>32.88</v>
      </c>
      <c r="R47" s="67" t="s">
        <v>175</v>
      </c>
      <c r="S47" s="67">
        <v>38.44</v>
      </c>
      <c r="T47" s="70" t="s">
        <v>175</v>
      </c>
      <c r="U47" s="70">
        <v>37.6</v>
      </c>
      <c r="V47" s="67" t="s">
        <v>175</v>
      </c>
      <c r="W47" s="67">
        <v>17.6</v>
      </c>
      <c r="X47" s="70" t="s">
        <v>175</v>
      </c>
      <c r="Y47" s="70">
        <v>31.92</v>
      </c>
      <c r="Z47" s="67" t="s">
        <v>175</v>
      </c>
      <c r="AA47" s="67">
        <v>15.72</v>
      </c>
      <c r="AB47" s="70" t="s">
        <v>175</v>
      </c>
      <c r="AC47" s="70">
        <v>31.84</v>
      </c>
      <c r="AD47" s="77"/>
      <c r="AE47" s="80"/>
    </row>
    <row r="48" ht="15.75" customHeight="1">
      <c r="A48" s="53" t="s">
        <v>106</v>
      </c>
      <c r="B48" s="67" t="s">
        <v>219</v>
      </c>
      <c r="C48" s="67">
        <v>26.6</v>
      </c>
      <c r="D48" s="70" t="s">
        <v>219</v>
      </c>
      <c r="E48" s="70">
        <v>23.0</v>
      </c>
      <c r="F48" s="67" t="s">
        <v>219</v>
      </c>
      <c r="G48" s="67">
        <v>17.4</v>
      </c>
      <c r="H48" s="70" t="s">
        <v>219</v>
      </c>
      <c r="I48" s="70">
        <v>30.8</v>
      </c>
      <c r="J48" s="67" t="s">
        <v>220</v>
      </c>
      <c r="K48" s="67">
        <v>33.3</v>
      </c>
      <c r="L48" s="70" t="s">
        <v>219</v>
      </c>
      <c r="M48" s="70">
        <v>38.7</v>
      </c>
      <c r="N48" s="67" t="s">
        <v>219</v>
      </c>
      <c r="O48" s="67">
        <v>22.6</v>
      </c>
      <c r="P48" s="70" t="s">
        <v>219</v>
      </c>
      <c r="Q48" s="70">
        <v>6.7</v>
      </c>
      <c r="R48" s="67" t="s">
        <v>219</v>
      </c>
      <c r="S48" s="67">
        <v>18.8</v>
      </c>
      <c r="T48" s="70" t="s">
        <v>219</v>
      </c>
      <c r="U48" s="70">
        <v>12.5</v>
      </c>
      <c r="V48" s="67" t="s">
        <v>219</v>
      </c>
      <c r="W48" s="67">
        <v>33.6</v>
      </c>
      <c r="X48" s="70" t="s">
        <v>219</v>
      </c>
      <c r="Y48" s="70">
        <v>16.1</v>
      </c>
      <c r="Z48" s="67" t="s">
        <v>219</v>
      </c>
      <c r="AA48" s="67">
        <v>33.6</v>
      </c>
      <c r="AB48" s="70" t="s">
        <v>219</v>
      </c>
      <c r="AC48" s="70">
        <v>11.4</v>
      </c>
      <c r="AD48" s="77"/>
      <c r="AE48" s="80"/>
    </row>
    <row r="49" ht="15.75" customHeight="1">
      <c r="A49" s="53" t="s">
        <v>106</v>
      </c>
      <c r="B49" s="67" t="s">
        <v>220</v>
      </c>
      <c r="C49" s="67">
        <v>14.6</v>
      </c>
      <c r="D49" s="70" t="s">
        <v>220</v>
      </c>
      <c r="E49" s="70">
        <v>33.0</v>
      </c>
      <c r="F49" s="67" t="s">
        <v>220</v>
      </c>
      <c r="G49" s="67">
        <v>35.5</v>
      </c>
      <c r="H49" s="70" t="s">
        <v>220</v>
      </c>
      <c r="I49" s="70">
        <v>16.3</v>
      </c>
      <c r="J49" s="67" t="s">
        <v>221</v>
      </c>
      <c r="K49" s="67">
        <v>6.4</v>
      </c>
      <c r="L49" s="70" t="s">
        <v>220</v>
      </c>
      <c r="M49" s="70">
        <v>26.8</v>
      </c>
      <c r="N49" s="67" t="s">
        <v>220</v>
      </c>
      <c r="O49" s="67">
        <v>35.8</v>
      </c>
      <c r="P49" s="70" t="s">
        <v>220</v>
      </c>
      <c r="Q49" s="70">
        <v>39.6</v>
      </c>
      <c r="R49" s="67" t="s">
        <v>220</v>
      </c>
      <c r="S49" s="67">
        <v>9.1</v>
      </c>
      <c r="T49" s="70" t="s">
        <v>220</v>
      </c>
      <c r="U49" s="70">
        <v>54.8</v>
      </c>
      <c r="V49" s="67" t="s">
        <v>222</v>
      </c>
      <c r="W49" s="67">
        <v>11.1</v>
      </c>
      <c r="X49" s="70" t="s">
        <v>220</v>
      </c>
      <c r="Y49" s="70">
        <v>10.2</v>
      </c>
      <c r="Z49" s="67" t="s">
        <v>220</v>
      </c>
      <c r="AA49" s="67">
        <v>17.2</v>
      </c>
      <c r="AB49" s="70" t="s">
        <v>220</v>
      </c>
      <c r="AC49" s="70">
        <v>13.5</v>
      </c>
      <c r="AD49" s="77"/>
      <c r="AE49" s="80"/>
    </row>
    <row r="50" ht="15.75" hidden="1" customHeight="1">
      <c r="A50" s="31" t="s">
        <v>106</v>
      </c>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80"/>
    </row>
    <row r="51" ht="15.75" customHeight="1">
      <c r="A51" s="53" t="s">
        <v>117</v>
      </c>
      <c r="B51" s="67" t="s">
        <v>223</v>
      </c>
      <c r="C51" s="67">
        <v>1.8</v>
      </c>
      <c r="D51" s="70" t="s">
        <v>223</v>
      </c>
      <c r="E51" s="70">
        <v>7.7</v>
      </c>
      <c r="F51" s="67" t="s">
        <v>223</v>
      </c>
      <c r="G51" s="67">
        <v>23.9</v>
      </c>
      <c r="H51" s="70" t="s">
        <v>223</v>
      </c>
      <c r="I51" s="70">
        <v>2.7</v>
      </c>
      <c r="J51" s="67" t="s">
        <v>223</v>
      </c>
      <c r="K51" s="67">
        <v>9.3</v>
      </c>
      <c r="L51" s="70" t="s">
        <v>223</v>
      </c>
      <c r="M51" s="70">
        <v>14.0</v>
      </c>
      <c r="N51" s="67" t="s">
        <v>223</v>
      </c>
      <c r="O51" s="67">
        <v>29.1</v>
      </c>
      <c r="P51" s="70" t="s">
        <v>224</v>
      </c>
      <c r="Q51" s="70">
        <v>20.9</v>
      </c>
      <c r="R51" s="67" t="s">
        <v>224</v>
      </c>
      <c r="S51" s="67">
        <v>14.2</v>
      </c>
      <c r="T51" s="70" t="s">
        <v>223</v>
      </c>
      <c r="U51" s="70">
        <v>3.3</v>
      </c>
      <c r="V51" s="67" t="s">
        <v>223</v>
      </c>
      <c r="W51" s="67">
        <v>11.9</v>
      </c>
      <c r="X51" s="70" t="s">
        <v>223</v>
      </c>
      <c r="Y51" s="70">
        <v>26.0</v>
      </c>
      <c r="Z51" s="67" t="s">
        <v>223</v>
      </c>
      <c r="AA51" s="67">
        <v>36.2</v>
      </c>
      <c r="AB51" s="70" t="s">
        <v>223</v>
      </c>
      <c r="AC51" s="70">
        <v>17.0</v>
      </c>
      <c r="AD51" s="77"/>
      <c r="AE51" s="80"/>
    </row>
    <row r="52" ht="15.75" customHeight="1">
      <c r="A52" s="53" t="s">
        <v>117</v>
      </c>
      <c r="B52" s="67" t="s">
        <v>224</v>
      </c>
      <c r="C52" s="67">
        <v>7.0</v>
      </c>
      <c r="D52" s="70" t="s">
        <v>225</v>
      </c>
      <c r="E52" s="70">
        <v>17.0</v>
      </c>
      <c r="F52" s="67" t="s">
        <v>225</v>
      </c>
      <c r="G52" s="67">
        <v>7.8</v>
      </c>
      <c r="H52" s="70" t="s">
        <v>226</v>
      </c>
      <c r="I52" s="70">
        <v>10.2</v>
      </c>
      <c r="J52" s="67" t="s">
        <v>225</v>
      </c>
      <c r="K52" s="67">
        <v>13.3</v>
      </c>
      <c r="L52" s="70" t="s">
        <v>224</v>
      </c>
      <c r="M52" s="70">
        <v>16.02</v>
      </c>
      <c r="N52" s="67" t="s">
        <v>224</v>
      </c>
      <c r="O52" s="67">
        <v>2.5</v>
      </c>
      <c r="P52" s="70" t="s">
        <v>225</v>
      </c>
      <c r="Q52" s="70">
        <v>16.9</v>
      </c>
      <c r="R52" s="67" t="s">
        <v>225</v>
      </c>
      <c r="S52" s="67">
        <v>8.6</v>
      </c>
      <c r="T52" s="70" t="s">
        <v>224</v>
      </c>
      <c r="U52" s="70">
        <v>19.4</v>
      </c>
      <c r="V52" s="67" t="s">
        <v>224</v>
      </c>
      <c r="W52" s="67">
        <v>8.2</v>
      </c>
      <c r="X52" s="70" t="s">
        <v>225</v>
      </c>
      <c r="Y52" s="70">
        <v>11.5</v>
      </c>
      <c r="Z52" s="67" t="s">
        <v>225</v>
      </c>
      <c r="AA52" s="67">
        <v>11.3</v>
      </c>
      <c r="AB52" s="70" t="s">
        <v>224</v>
      </c>
      <c r="AC52" s="70">
        <v>18.2</v>
      </c>
      <c r="AD52" s="77"/>
      <c r="AE52" s="80"/>
    </row>
    <row r="53" ht="15.75" customHeight="1">
      <c r="A53" s="53" t="s">
        <v>117</v>
      </c>
      <c r="B53" s="67" t="s">
        <v>227</v>
      </c>
      <c r="C53" s="67">
        <v>18.1</v>
      </c>
      <c r="D53" s="70" t="s">
        <v>227</v>
      </c>
      <c r="E53" s="70">
        <v>1.6</v>
      </c>
      <c r="F53" s="67" t="s">
        <v>227</v>
      </c>
      <c r="G53" s="67">
        <v>24.8</v>
      </c>
      <c r="H53" s="70" t="s">
        <v>227</v>
      </c>
      <c r="I53" s="70">
        <v>19.1</v>
      </c>
      <c r="J53" s="67" t="s">
        <v>227</v>
      </c>
      <c r="K53" s="67">
        <v>17.9</v>
      </c>
      <c r="L53" s="70" t="s">
        <v>227</v>
      </c>
      <c r="M53" s="70">
        <v>2.7</v>
      </c>
      <c r="N53" s="67" t="s">
        <v>227</v>
      </c>
      <c r="O53" s="67">
        <v>16.7</v>
      </c>
      <c r="P53" s="70" t="s">
        <v>227</v>
      </c>
      <c r="Q53" s="70">
        <v>10.7</v>
      </c>
      <c r="R53" s="67" t="s">
        <v>227</v>
      </c>
      <c r="S53" s="67">
        <v>10.0</v>
      </c>
      <c r="T53" s="70" t="s">
        <v>229</v>
      </c>
      <c r="U53" s="70">
        <v>15.0</v>
      </c>
      <c r="V53" s="67" t="s">
        <v>229</v>
      </c>
      <c r="W53" s="67">
        <v>12.4</v>
      </c>
      <c r="X53" s="70" t="s">
        <v>230</v>
      </c>
      <c r="Y53" s="70">
        <v>22.8</v>
      </c>
      <c r="Z53" s="67" t="s">
        <v>229</v>
      </c>
      <c r="AA53" s="67">
        <v>4.1</v>
      </c>
      <c r="AB53" s="70" t="s">
        <v>229</v>
      </c>
      <c r="AC53" s="70">
        <v>4.1</v>
      </c>
      <c r="AD53" s="77"/>
      <c r="AE53" s="80"/>
    </row>
    <row r="54" ht="15.75" hidden="1" customHeight="1">
      <c r="A54" s="31" t="s">
        <v>117</v>
      </c>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80"/>
    </row>
    <row r="55" ht="15.75" customHeight="1">
      <c r="A55" s="53" t="s">
        <v>132</v>
      </c>
      <c r="B55" s="67" t="s">
        <v>232</v>
      </c>
      <c r="C55" s="67">
        <v>13.9</v>
      </c>
      <c r="D55" s="70" t="s">
        <v>232</v>
      </c>
      <c r="E55" s="70">
        <v>5.6</v>
      </c>
      <c r="F55" s="67" t="s">
        <v>232</v>
      </c>
      <c r="G55" s="67">
        <v>7.3</v>
      </c>
      <c r="H55" s="70" t="s">
        <v>235</v>
      </c>
      <c r="I55" s="70">
        <v>18.5</v>
      </c>
      <c r="J55" s="67" t="s">
        <v>235</v>
      </c>
      <c r="K55" s="67">
        <v>14.2</v>
      </c>
      <c r="L55" s="70" t="s">
        <v>235</v>
      </c>
      <c r="M55" s="70">
        <v>18.3</v>
      </c>
      <c r="N55" s="67" t="s">
        <v>232</v>
      </c>
      <c r="O55" s="67">
        <v>4.5</v>
      </c>
      <c r="P55" s="70" t="s">
        <v>235</v>
      </c>
      <c r="Q55" s="70">
        <v>9.3</v>
      </c>
      <c r="R55" s="67" t="s">
        <v>235</v>
      </c>
      <c r="S55" s="67">
        <v>7.6</v>
      </c>
      <c r="T55" s="70" t="s">
        <v>235</v>
      </c>
      <c r="U55" s="70">
        <v>17.9</v>
      </c>
      <c r="V55" s="67" t="s">
        <v>236</v>
      </c>
      <c r="W55" s="67">
        <v>6.6</v>
      </c>
      <c r="X55" s="70" t="s">
        <v>235</v>
      </c>
      <c r="Y55" s="70">
        <v>9.5</v>
      </c>
      <c r="Z55" s="67" t="s">
        <v>235</v>
      </c>
      <c r="AA55" s="67">
        <v>11.3</v>
      </c>
      <c r="AB55" s="70" t="s">
        <v>235</v>
      </c>
      <c r="AC55" s="70">
        <v>3.8</v>
      </c>
      <c r="AD55" s="77"/>
      <c r="AE55" s="80"/>
    </row>
    <row r="56" ht="15.75" customHeight="1">
      <c r="A56" s="53" t="s">
        <v>136</v>
      </c>
      <c r="B56" s="67" t="s">
        <v>113</v>
      </c>
      <c r="C56" s="67">
        <v>15.0</v>
      </c>
      <c r="D56" s="70" t="s">
        <v>113</v>
      </c>
      <c r="E56" s="70">
        <v>18.8</v>
      </c>
      <c r="F56" s="67" t="s">
        <v>113</v>
      </c>
      <c r="G56" s="67">
        <v>14.9</v>
      </c>
      <c r="H56" s="70" t="s">
        <v>222</v>
      </c>
      <c r="I56" s="70">
        <v>17.4</v>
      </c>
      <c r="J56" s="67" t="s">
        <v>224</v>
      </c>
      <c r="K56" s="67">
        <v>24.0</v>
      </c>
      <c r="L56" s="70" t="s">
        <v>222</v>
      </c>
      <c r="M56" s="70">
        <v>27.9</v>
      </c>
      <c r="N56" s="67" t="s">
        <v>235</v>
      </c>
      <c r="O56" s="67">
        <v>16.9</v>
      </c>
      <c r="P56" s="70" t="s">
        <v>222</v>
      </c>
      <c r="Q56" s="70">
        <v>16.2</v>
      </c>
      <c r="R56" s="67" t="s">
        <v>237</v>
      </c>
      <c r="S56" s="67">
        <v>26.4</v>
      </c>
      <c r="T56" s="70" t="s">
        <v>222</v>
      </c>
      <c r="U56" s="70">
        <v>16.1</v>
      </c>
      <c r="V56" s="67" t="s">
        <v>225</v>
      </c>
      <c r="W56" s="67">
        <v>34.0</v>
      </c>
      <c r="X56" s="70" t="s">
        <v>222</v>
      </c>
      <c r="Y56" s="70">
        <v>2.7</v>
      </c>
      <c r="Z56" s="67" t="s">
        <v>222</v>
      </c>
      <c r="AA56" s="67">
        <v>23.6</v>
      </c>
      <c r="AB56" s="70" t="s">
        <v>222</v>
      </c>
      <c r="AC56" s="70">
        <v>12.5</v>
      </c>
      <c r="AD56" s="77"/>
      <c r="AE56" s="80"/>
    </row>
    <row r="57" ht="15.75" customHeight="1">
      <c r="A57" s="53" t="s">
        <v>139</v>
      </c>
      <c r="B57" s="67" t="s">
        <v>238</v>
      </c>
      <c r="C57" s="67">
        <v>8.37</v>
      </c>
      <c r="D57" s="70" t="s">
        <v>238</v>
      </c>
      <c r="E57" s="70">
        <v>11.88</v>
      </c>
      <c r="F57" s="67" t="s">
        <v>238</v>
      </c>
      <c r="G57" s="67">
        <v>27.12</v>
      </c>
      <c r="H57" s="70" t="s">
        <v>238</v>
      </c>
      <c r="I57" s="70">
        <v>20.8</v>
      </c>
      <c r="J57" s="67" t="s">
        <v>143</v>
      </c>
      <c r="K57" s="67">
        <v>18.38</v>
      </c>
      <c r="L57" s="70" t="s">
        <v>143</v>
      </c>
      <c r="M57" s="70">
        <v>9.02</v>
      </c>
      <c r="N57" s="67" t="s">
        <v>239</v>
      </c>
      <c r="O57" s="67">
        <v>11.74</v>
      </c>
      <c r="P57" s="70" t="s">
        <v>239</v>
      </c>
      <c r="Q57" s="70">
        <v>6.43</v>
      </c>
      <c r="R57" s="67" t="s">
        <v>200</v>
      </c>
      <c r="S57" s="67">
        <v>10.15</v>
      </c>
      <c r="T57" s="70" t="s">
        <v>238</v>
      </c>
      <c r="U57" s="70">
        <v>1.36</v>
      </c>
      <c r="V57" s="67" t="s">
        <v>238</v>
      </c>
      <c r="W57" s="67">
        <v>12.05</v>
      </c>
      <c r="X57" s="70" t="s">
        <v>200</v>
      </c>
      <c r="Y57" s="70">
        <v>17.3</v>
      </c>
      <c r="Z57" s="67" t="s">
        <v>200</v>
      </c>
      <c r="AA57" s="67">
        <v>29.87</v>
      </c>
      <c r="AB57" s="70" t="s">
        <v>238</v>
      </c>
      <c r="AC57" s="70">
        <v>11.95</v>
      </c>
      <c r="AD57" s="77"/>
      <c r="AE57" s="80"/>
    </row>
    <row r="58" ht="15.75" customHeight="1">
      <c r="A58" s="53" t="s">
        <v>146</v>
      </c>
      <c r="B58" s="67" t="s">
        <v>240</v>
      </c>
      <c r="C58" s="67">
        <v>8.0</v>
      </c>
      <c r="D58" s="70" t="s">
        <v>240</v>
      </c>
      <c r="E58" s="70">
        <v>8.0</v>
      </c>
      <c r="F58" s="67" t="s">
        <v>240</v>
      </c>
      <c r="G58" s="67">
        <v>18.0</v>
      </c>
      <c r="H58" s="70" t="s">
        <v>240</v>
      </c>
      <c r="I58" s="70">
        <v>14.0</v>
      </c>
      <c r="J58" s="67" t="s">
        <v>240</v>
      </c>
      <c r="K58" s="67">
        <v>3.5</v>
      </c>
      <c r="L58" s="70" t="s">
        <v>240</v>
      </c>
      <c r="M58" s="70">
        <v>11.0</v>
      </c>
      <c r="N58" s="67" t="s">
        <v>240</v>
      </c>
      <c r="O58" s="67">
        <v>9.0</v>
      </c>
      <c r="P58" s="70" t="s">
        <v>242</v>
      </c>
      <c r="Q58" s="70">
        <v>9.0</v>
      </c>
      <c r="R58" s="67" t="s">
        <v>242</v>
      </c>
      <c r="S58" s="67">
        <v>14.0</v>
      </c>
      <c r="T58" s="70" t="s">
        <v>242</v>
      </c>
      <c r="U58" s="70">
        <v>7.0</v>
      </c>
      <c r="V58" s="67" t="s">
        <v>243</v>
      </c>
      <c r="W58" s="67">
        <v>8.5</v>
      </c>
      <c r="X58" s="70" t="s">
        <v>243</v>
      </c>
      <c r="Y58" s="70">
        <v>19.0</v>
      </c>
      <c r="Z58" s="67" t="s">
        <v>244</v>
      </c>
      <c r="AA58" s="67">
        <v>13.5</v>
      </c>
      <c r="AB58" s="70" t="s">
        <v>150</v>
      </c>
      <c r="AC58" s="70">
        <v>7.0</v>
      </c>
      <c r="AD58" s="77"/>
      <c r="AE58" s="80"/>
    </row>
    <row r="59" ht="15.75" customHeight="1">
      <c r="A59" s="225" t="s">
        <v>162</v>
      </c>
      <c r="B59" s="226" t="s">
        <v>245</v>
      </c>
      <c r="C59" s="226">
        <v>8.9</v>
      </c>
      <c r="D59" s="227" t="s">
        <v>245</v>
      </c>
      <c r="E59" s="227">
        <v>8.0</v>
      </c>
      <c r="F59" s="226" t="s">
        <v>245</v>
      </c>
      <c r="G59" s="226">
        <v>10.7</v>
      </c>
      <c r="H59" s="227" t="s">
        <v>205</v>
      </c>
      <c r="I59" s="227">
        <v>11.1</v>
      </c>
      <c r="J59" s="226" t="s">
        <v>205</v>
      </c>
      <c r="K59" s="226">
        <v>4.9</v>
      </c>
      <c r="L59" s="227" t="s">
        <v>205</v>
      </c>
      <c r="M59" s="227">
        <v>9.1</v>
      </c>
      <c r="N59" s="226" t="s">
        <v>205</v>
      </c>
      <c r="O59" s="226">
        <v>22.5</v>
      </c>
      <c r="P59" s="227" t="s">
        <v>245</v>
      </c>
      <c r="Q59" s="227">
        <v>14.9</v>
      </c>
      <c r="R59" s="226" t="s">
        <v>205</v>
      </c>
      <c r="S59" s="226">
        <v>18.2</v>
      </c>
      <c r="T59" s="227" t="s">
        <v>205</v>
      </c>
      <c r="U59" s="227">
        <v>18.6</v>
      </c>
      <c r="V59" s="226" t="s">
        <v>205</v>
      </c>
      <c r="W59" s="226">
        <v>8.3</v>
      </c>
      <c r="X59" s="227" t="s">
        <v>205</v>
      </c>
      <c r="Y59" s="227">
        <v>22.2</v>
      </c>
      <c r="Z59" s="226" t="s">
        <v>205</v>
      </c>
      <c r="AA59" s="226">
        <v>6.4</v>
      </c>
      <c r="AB59" s="227" t="s">
        <v>205</v>
      </c>
      <c r="AC59" s="227">
        <v>25.5</v>
      </c>
      <c r="AD59" s="228"/>
      <c r="AE59" s="229"/>
    </row>
    <row r="60" ht="15.75" customHeight="1">
      <c r="A60" s="148" t="s">
        <v>167</v>
      </c>
      <c r="B60" s="151">
        <f>SUM(C47:C59)</f>
        <v>132.31</v>
      </c>
      <c r="C60" s="24"/>
      <c r="D60" s="151">
        <f>SUM(E47:E59)</f>
        <v>136.5</v>
      </c>
      <c r="E60" s="24"/>
      <c r="F60" s="151">
        <f>SUM(G47:G59)</f>
        <v>204.24</v>
      </c>
      <c r="G60" s="24"/>
      <c r="H60" s="151">
        <f>SUM(I47:I59)</f>
        <v>194.64</v>
      </c>
      <c r="I60" s="24"/>
      <c r="J60" s="151">
        <f>SUM(K47:K59)</f>
        <v>167.16</v>
      </c>
      <c r="K60" s="24"/>
      <c r="L60" s="151">
        <f>SUM(M47:M59)</f>
        <v>191</v>
      </c>
      <c r="M60" s="24"/>
      <c r="N60" s="151">
        <f>SUM(O47:O59)</f>
        <v>216.6</v>
      </c>
      <c r="O60" s="24"/>
      <c r="P60" s="151">
        <f>SUM(Q47:Q59)</f>
        <v>183.51</v>
      </c>
      <c r="Q60" s="24"/>
      <c r="R60" s="151">
        <f>SUM(S47:S59)</f>
        <v>175.49</v>
      </c>
      <c r="S60" s="24"/>
      <c r="T60" s="151">
        <f>SUM(U47:U59)</f>
        <v>203.56</v>
      </c>
      <c r="U60" s="24"/>
      <c r="V60" s="151">
        <f>SUM(W47:W59)</f>
        <v>164.25</v>
      </c>
      <c r="W60" s="24"/>
      <c r="X60" s="151">
        <f>SUM(Y47:Y59)</f>
        <v>189.22</v>
      </c>
      <c r="Y60" s="24"/>
      <c r="Z60" s="151">
        <f>SUM(AA47:AA59)</f>
        <v>202.79</v>
      </c>
      <c r="AA60" s="24"/>
      <c r="AB60" s="151">
        <f>SUM(AC47:AC59)</f>
        <v>156.79</v>
      </c>
      <c r="AC60" s="24"/>
      <c r="AD60" s="158">
        <f>SUM(AE47:AE59)</f>
        <v>0</v>
      </c>
      <c r="AE60" s="24"/>
    </row>
    <row r="61" ht="15.75" customHeight="1">
      <c r="A61" s="159" t="s">
        <v>168</v>
      </c>
      <c r="B61" s="159" t="str">
        <f t="array" ref="B61">IFERROR(INDEX(B47:B59,MATCH(LARGE(C47:C59,1),C47:C59,0)),"N/A")</f>
        <v>B. ROBINSON</v>
      </c>
      <c r="C61" s="159">
        <f>IFERROR(LARGE(C47:C59,1),0)</f>
        <v>26.6</v>
      </c>
      <c r="D61" s="159" t="str">
        <f t="array" ref="D61">IFERROR(INDEX(D47:D59,MATCH(LARGE(E47:E59,1),E47:E59,0)),"N/A")</f>
        <v>J. TAYLOR</v>
      </c>
      <c r="E61" s="159">
        <f>IFERROR(LARGE(E47:E59,1),0)</f>
        <v>33</v>
      </c>
      <c r="F61" s="159" t="str">
        <f t="array" ref="F61">IFERROR(INDEX(F47:F59,MATCH(LARGE(G47:G59,1),G47:G59,0)),"N/A")</f>
        <v>J. TAYLOR</v>
      </c>
      <c r="G61" s="159">
        <f>IFERROR(LARGE(G47:G59,1),0)</f>
        <v>35.5</v>
      </c>
      <c r="H61" s="159" t="str">
        <f t="array" ref="H61">IFERROR(INDEX(H47:H59,MATCH(LARGE(I47:I59,1),I47:I59,0)),"N/A")</f>
        <v>B. NIX</v>
      </c>
      <c r="I61" s="159">
        <f>IFERROR(LARGE(I47:I59,1),0)</f>
        <v>33.74</v>
      </c>
      <c r="J61" s="159" t="str">
        <f t="array" ref="J61">IFERROR(INDEX(J47:J59,MATCH(LARGE(K47:K59,1),K47:K59,0)),"N/A")</f>
        <v>J. TAYLOR</v>
      </c>
      <c r="K61" s="159">
        <f>IFERROR(LARGE(K47:K59,1),0)</f>
        <v>33.3</v>
      </c>
      <c r="L61" s="159" t="str">
        <f t="array" ref="L61">IFERROR(INDEX(L47:L59,MATCH(LARGE(M47:M59,1),M47:M59,0)),"N/A")</f>
        <v>B. ROBINSON</v>
      </c>
      <c r="M61" s="159">
        <f>IFERROR(LARGE(M47:M59,1),0)</f>
        <v>38.7</v>
      </c>
      <c r="N61" s="159" t="str">
        <f t="array" ref="N61">IFERROR(INDEX(N47:N59,MATCH(LARGE(O47:O59,1),O47:O59,0)),"N/A")</f>
        <v>B. NIX</v>
      </c>
      <c r="O61" s="159">
        <f>IFERROR(LARGE(O47:O59,1),0)</f>
        <v>45.26</v>
      </c>
      <c r="P61" s="159" t="str">
        <f t="array" ref="P61">IFERROR(INDEX(P47:P59,MATCH(LARGE(Q47:Q59,1),Q47:Q59,0)),"N/A")</f>
        <v>J. TAYLOR</v>
      </c>
      <c r="Q61" s="159">
        <f>IFERROR(LARGE(Q47:Q59,1),0)</f>
        <v>39.6</v>
      </c>
      <c r="R61" s="159" t="str">
        <f t="array" ref="R61">IFERROR(INDEX(R47:R59,MATCH(LARGE(S47:S59,1),S47:S59,0)),"N/A")</f>
        <v>M. STAFFORD</v>
      </c>
      <c r="S61" s="159">
        <f>IFERROR(LARGE(S47:S59,1),0)</f>
        <v>38.44</v>
      </c>
      <c r="T61" s="159" t="str">
        <f t="array" ref="T61">IFERROR(INDEX(T47:T59,MATCH(LARGE(U47:U59,1),U47:U59,0)),"N/A")</f>
        <v>J. TAYLOR</v>
      </c>
      <c r="U61" s="159">
        <f>IFERROR(LARGE(U47:U59,1),0)</f>
        <v>54.8</v>
      </c>
      <c r="V61" s="159" t="str">
        <f t="array" ref="V61">IFERROR(INDEX(V47:V59,MATCH(LARGE(W47:W59,1),W47:W59,0)),"N/A")</f>
        <v>T. MCMILLAN</v>
      </c>
      <c r="W61" s="159">
        <f>IFERROR(LARGE(W47:W59,1),0)</f>
        <v>34</v>
      </c>
      <c r="X61" s="159" t="str">
        <f t="array" ref="X61">IFERROR(INDEX(X47:X59,MATCH(LARGE(Y47:Y59,1),Y47:Y59,0)),"N/A")</f>
        <v>M. STAFFORD</v>
      </c>
      <c r="Y61" s="159">
        <f>IFERROR(LARGE(Y47:Y59,1),0)</f>
        <v>31.92</v>
      </c>
      <c r="Z61" s="159" t="str">
        <f t="array" ref="Z61">IFERROR(INDEX(Z47:Z59,MATCH(LARGE(AA47:AA59,1),AA47:AA59,0)),"N/A")</f>
        <v>A. BROWN</v>
      </c>
      <c r="AA61" s="159">
        <f>IFERROR(LARGE(AA47:AA59,1),0)</f>
        <v>36.2</v>
      </c>
      <c r="AB61" s="159" t="str">
        <f t="array" ref="AB61">IFERROR(INDEX(AB47:AB59,MATCH(LARGE(AC47:AC59,1),AC47:AC59,0)),"N/A")</f>
        <v>M. STAFFORD</v>
      </c>
      <c r="AC61" s="159">
        <f>IFERROR(LARGE(AC47:AC59,1),0)</f>
        <v>31.84</v>
      </c>
      <c r="AD61" s="77" t="str">
        <f t="array" ref="AD61">INDEX(AD47:AD59,MATCH(LARGE(AE47:AE59,1),AE47:AE59,0))</f>
        <v>#NUM!</v>
      </c>
      <c r="AE61" s="77" t="str">
        <f>LARGE(AE47:AE59,1)</f>
        <v>#NUM!</v>
      </c>
    </row>
    <row r="62" ht="15.75" customHeight="1">
      <c r="A62" s="186" t="s">
        <v>171</v>
      </c>
      <c r="B62" s="186" t="str">
        <f t="array" ref="B62">IFERROR(INDEX(B47:B59,MATCH(LARGE(C47:C59,2),C47:C59,0)),"N/A")</f>
        <v>C. SUTTON</v>
      </c>
      <c r="C62" s="188">
        <f>IFERROR(LARGE(C47:C59,2),0)</f>
        <v>18.1</v>
      </c>
      <c r="D62" s="186" t="str">
        <f t="array" ref="D62">IFERROR(INDEX(D47:D59,MATCH(LARGE(E47:E59,2),E47:E59,0)),"N/A")</f>
        <v>B. ROBINSON</v>
      </c>
      <c r="E62" s="188">
        <f>IFERROR(LARGE(E47:E59,2),0)</f>
        <v>23</v>
      </c>
      <c r="F62" s="186" t="str">
        <f t="array" ref="F62">IFERROR(INDEX(F47:F59,MATCH(LARGE(G47:G59,2),G47:G59,0)),"N/A")</f>
        <v>TB D/ST</v>
      </c>
      <c r="G62" s="188">
        <f>IFERROR(LARGE(G47:G59,2),0)</f>
        <v>27.12</v>
      </c>
      <c r="H62" s="186" t="str">
        <f t="array" ref="H62">IFERROR(INDEX(H47:H59,MATCH(LARGE(I47:I59,2),I47:I59,0)),"N/A")</f>
        <v>B. ROBINSON</v>
      </c>
      <c r="I62" s="188">
        <f>IFERROR(LARGE(I47:I59,2),0)</f>
        <v>30.8</v>
      </c>
      <c r="J62" s="186" t="str">
        <f t="array" ref="J62">IFERROR(INDEX(J47:J59,MATCH(LARGE(K47:K59,2),K47:K59,0)),"N/A")</f>
        <v>J. WADDLE</v>
      </c>
      <c r="K62" s="188">
        <f>IFERROR(LARGE(K47:K59,2),0)</f>
        <v>24</v>
      </c>
      <c r="L62" s="186" t="str">
        <f t="array" ref="L62">IFERROR(INDEX(L47:L59,MATCH(LARGE(M47:M59,2),M47:M59,0)),"N/A")</f>
        <v>D. SWIFT</v>
      </c>
      <c r="M62" s="188">
        <f>IFERROR(LARGE(M47:M59,2),0)</f>
        <v>27.9</v>
      </c>
      <c r="N62" s="186" t="str">
        <f t="array" ref="N62">IFERROR(INDEX(N47:N59,MATCH(LARGE(O47:O59,2),O47:O59,0)),"N/A")</f>
        <v>J. TAYLOR</v>
      </c>
      <c r="O62" s="188">
        <f>IFERROR(LARGE(O47:O59,2),0)</f>
        <v>35.8</v>
      </c>
      <c r="P62" s="186" t="str">
        <f t="array" ref="P62">IFERROR(INDEX(P47:P59,MATCH(LARGE(Q47:Q59,2),Q47:Q59,0)),"N/A")</f>
        <v>B. NIX</v>
      </c>
      <c r="Q62" s="188">
        <f>IFERROR(LARGE(Q47:Q59,2),0)</f>
        <v>32.88</v>
      </c>
      <c r="R62" s="186" t="str">
        <f t="array" ref="R62">IFERROR(INDEX(R47:R59,MATCH(LARGE(S47:S59,2),S47:S59,0)),"N/A")</f>
        <v>K. MONANGAI</v>
      </c>
      <c r="S62" s="188">
        <f>IFERROR(LARGE(S47:S59,2),0)</f>
        <v>26.4</v>
      </c>
      <c r="T62" s="186" t="str">
        <f t="array" ref="T62">IFERROR(INDEX(T47:T59,MATCH(LARGE(U47:U59,2),U47:U59,0)),"N/A")</f>
        <v>M. STAFFORD</v>
      </c>
      <c r="U62" s="188">
        <f>IFERROR(LARGE(U47:U59,2),0)</f>
        <v>37.6</v>
      </c>
      <c r="V62" s="186" t="str">
        <f t="array" ref="V62">IFERROR(INDEX(V47:V59,MATCH(LARGE(W47:W59,2),W47:W59,0)),"N/A")</f>
        <v>B. ROBINSON</v>
      </c>
      <c r="W62" s="188">
        <f>IFERROR(LARGE(W47:W59,2),0)</f>
        <v>33.6</v>
      </c>
      <c r="X62" s="186" t="str">
        <f t="array" ref="X62">IFERROR(INDEX(X47:X59,MATCH(LARGE(Y47:Y59,2),Y47:Y59,0)),"N/A")</f>
        <v>A. BROWN</v>
      </c>
      <c r="Y62" s="188">
        <f>IFERROR(LARGE(Y47:Y59,2),0)</f>
        <v>26</v>
      </c>
      <c r="Z62" s="186" t="str">
        <f t="array" ref="Z62">IFERROR(INDEX(Z47:Z59,MATCH(LARGE(AA47:AA59,2),AA47:AA59,0)),"N/A")</f>
        <v>B. ROBINSON</v>
      </c>
      <c r="AA62" s="188">
        <f>IFERROR(LARGE(AA47:AA59,2),0)</f>
        <v>33.6</v>
      </c>
      <c r="AB62" s="186" t="str">
        <f t="array" ref="AB62">IFERROR(INDEX(AB47:AB59,MATCH(LARGE(AC47:AC59,2),AC47:AC59,0)),"N/A")</f>
        <v>LAR HC</v>
      </c>
      <c r="AC62" s="188">
        <f>IFERROR(LARGE(AC47:AC59,2),0)</f>
        <v>25.5</v>
      </c>
      <c r="AD62" s="201"/>
      <c r="AE62" s="201"/>
    </row>
    <row r="63" ht="15.75" customHeight="1">
      <c r="A63" s="202" t="s">
        <v>173</v>
      </c>
      <c r="B63" s="202" t="str">
        <f t="array" ref="B63">IFERROR(INDEX(B47:B59,MATCH(LARGE(C47:C59,3),C47:C59,0)),"N/A")</f>
        <v>J. WARREN</v>
      </c>
      <c r="C63" s="204">
        <f>IFERROR(LARGE(C47:C59,3),0)</f>
        <v>15</v>
      </c>
      <c r="D63" s="202" t="str">
        <f t="array" ref="D63">IFERROR(INDEX(D47:D59,MATCH(LARGE(E47:E59,3),E47:E59,0)),"N/A")</f>
        <v>J. WARREN</v>
      </c>
      <c r="E63" s="204">
        <f>IFERROR(LARGE(E47:E59,3),0)</f>
        <v>18.8</v>
      </c>
      <c r="F63" s="202" t="str">
        <f t="array" ref="F63">IFERROR(INDEX(F47:F59,MATCH(LARGE(G47:G59,3),G47:G59,0)),"N/A")</f>
        <v>C. SUTTON</v>
      </c>
      <c r="G63" s="204">
        <f>IFERROR(LARGE(G47:G59,3),0)</f>
        <v>24.8</v>
      </c>
      <c r="H63" s="202" t="str">
        <f t="array" ref="H63">IFERROR(INDEX(H47:H59,MATCH(LARGE(I47:I59,3),I47:I59,0)),"N/A")</f>
        <v>TB D/ST</v>
      </c>
      <c r="I63" s="204">
        <f>IFERROR(LARGE(I47:I59,3),0)</f>
        <v>20.8</v>
      </c>
      <c r="J63" s="202" t="str">
        <f t="array" ref="J63">IFERROR(INDEX(J47:J59,MATCH(LARGE(K47:K59,3),K47:K59,0)),"N/A")</f>
        <v>B. NIX</v>
      </c>
      <c r="K63" s="204">
        <f>IFERROR(LARGE(K47:K59,3),0)</f>
        <v>21.98</v>
      </c>
      <c r="L63" s="202" t="str">
        <f t="array" ref="L63">IFERROR(INDEX(L47:L59,MATCH(LARGE(M47:M59,3),M47:M59,0)),"N/A")</f>
        <v>J. TAYLOR</v>
      </c>
      <c r="M63" s="204">
        <f>IFERROR(LARGE(M47:M59,3),0)</f>
        <v>26.8</v>
      </c>
      <c r="N63" s="202" t="str">
        <f t="array" ref="N63">IFERROR(INDEX(N47:N59,MATCH(LARGE(O47:O59,3),O47:O59,0)),"N/A")</f>
        <v>A. BROWN</v>
      </c>
      <c r="O63" s="204">
        <f>IFERROR(LARGE(O47:O59,3),0)</f>
        <v>29.1</v>
      </c>
      <c r="P63" s="202" t="str">
        <f t="array" ref="P63">IFERROR(INDEX(P47:P59,MATCH(LARGE(Q47:Q59,3),Q47:Q59,0)),"N/A")</f>
        <v>J. WADDLE</v>
      </c>
      <c r="Q63" s="204">
        <f>IFERROR(LARGE(Q47:Q59,3),0)</f>
        <v>20.9</v>
      </c>
      <c r="R63" s="202" t="str">
        <f t="array" ref="R63">IFERROR(INDEX(R47:R59,MATCH(LARGE(S47:S59,3),S47:S59,0)),"N/A")</f>
        <v>B. ROBINSON</v>
      </c>
      <c r="S63" s="204">
        <f>IFERROR(LARGE(S47:S59,3),0)</f>
        <v>18.8</v>
      </c>
      <c r="T63" s="202" t="str">
        <f t="array" ref="T63">IFERROR(INDEX(T47:T59,MATCH(LARGE(U47:U59,3),U47:U59,0)),"N/A")</f>
        <v>J. WADDLE</v>
      </c>
      <c r="U63" s="204">
        <f>IFERROR(LARGE(U47:U59,3),0)</f>
        <v>19.4</v>
      </c>
      <c r="V63" s="202" t="str">
        <f t="array" ref="V63">IFERROR(INDEX(V47:V59,MATCH(LARGE(W47:W59,3),W47:W59,0)),"N/A")</f>
        <v>M. STAFFORD</v>
      </c>
      <c r="W63" s="204">
        <f>IFERROR(LARGE(W47:W59,3),0)</f>
        <v>17.6</v>
      </c>
      <c r="X63" s="202" t="str">
        <f t="array" ref="X63">IFERROR(INDEX(X47:X59,MATCH(LARGE(Y47:Y59,3),Y47:Y59,0)),"N/A")</f>
        <v>M. WILSON</v>
      </c>
      <c r="Y63" s="204">
        <f>IFERROR(LARGE(Y47:Y59,3),0)</f>
        <v>22.8</v>
      </c>
      <c r="Z63" s="202" t="str">
        <f t="array" ref="Z63">IFERROR(INDEX(Z47:Z59,MATCH(LARGE(AA47:AA59,3),AA47:AA59,0)),"N/A")</f>
        <v>NE D/ST</v>
      </c>
      <c r="AA63" s="204">
        <f>IFERROR(LARGE(AA47:AA59,3),0)</f>
        <v>29.87</v>
      </c>
      <c r="AB63" s="202" t="str">
        <f t="array" ref="AB63">IFERROR(INDEX(AB47:AB59,MATCH(LARGE(AC47:AC59,3),AC47:AC59,0)),"N/A")</f>
        <v>J. WADDLE</v>
      </c>
      <c r="AC63" s="204">
        <f>IFERROR(LARGE(AC47:AC59,3),0)</f>
        <v>18.2</v>
      </c>
      <c r="AD63" s="201"/>
      <c r="AE63" s="201"/>
    </row>
    <row r="64" ht="15.75" customHeight="1"/>
    <row r="65" ht="15.75" customHeight="1">
      <c r="A65" s="327" t="str">
        <f>Settings!A6</f>
        <v>SAVAGES</v>
      </c>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9"/>
    </row>
    <row r="66" ht="15.75" customHeight="1">
      <c r="A66" s="31"/>
      <c r="B66" s="33" t="s">
        <v>48</v>
      </c>
      <c r="C66" s="24"/>
      <c r="D66" s="34" t="s">
        <v>51</v>
      </c>
      <c r="E66" s="24"/>
      <c r="F66" s="33" t="s">
        <v>55</v>
      </c>
      <c r="G66" s="24"/>
      <c r="H66" s="34" t="s">
        <v>58</v>
      </c>
      <c r="I66" s="24"/>
      <c r="J66" s="33" t="s">
        <v>60</v>
      </c>
      <c r="K66" s="24"/>
      <c r="L66" s="34" t="s">
        <v>62</v>
      </c>
      <c r="M66" s="24"/>
      <c r="N66" s="33" t="s">
        <v>64</v>
      </c>
      <c r="O66" s="24"/>
      <c r="P66" s="34" t="s">
        <v>66</v>
      </c>
      <c r="Q66" s="24"/>
      <c r="R66" s="33" t="s">
        <v>68</v>
      </c>
      <c r="S66" s="24"/>
      <c r="T66" s="34" t="s">
        <v>70</v>
      </c>
      <c r="U66" s="24"/>
      <c r="V66" s="33" t="s">
        <v>73</v>
      </c>
      <c r="W66" s="24"/>
      <c r="X66" s="34" t="s">
        <v>76</v>
      </c>
      <c r="Y66" s="24"/>
      <c r="Z66" s="33" t="s">
        <v>78</v>
      </c>
      <c r="AA66" s="24"/>
      <c r="AB66" s="34" t="s">
        <v>79</v>
      </c>
      <c r="AC66" s="24"/>
      <c r="AD66" s="49" t="s">
        <v>83</v>
      </c>
      <c r="AE66" s="50"/>
    </row>
    <row r="67" ht="15.75" customHeight="1">
      <c r="A67" s="53" t="s">
        <v>85</v>
      </c>
      <c r="B67" s="54">
        <v>2.0</v>
      </c>
      <c r="C67" s="24"/>
      <c r="D67" s="55">
        <v>10.0</v>
      </c>
      <c r="E67" s="24"/>
      <c r="F67" s="54">
        <v>6.0</v>
      </c>
      <c r="G67" s="24"/>
      <c r="H67" s="55">
        <v>6.0</v>
      </c>
      <c r="I67" s="24"/>
      <c r="J67" s="54">
        <v>6.0</v>
      </c>
      <c r="K67" s="24"/>
      <c r="L67" s="55">
        <v>7.0</v>
      </c>
      <c r="M67" s="24"/>
      <c r="N67" s="54">
        <v>6.0</v>
      </c>
      <c r="O67" s="24"/>
      <c r="P67" s="55">
        <v>7.0</v>
      </c>
      <c r="Q67" s="24"/>
      <c r="R67" s="54">
        <v>10.0</v>
      </c>
      <c r="S67" s="24"/>
      <c r="T67" s="55">
        <v>8.0</v>
      </c>
      <c r="U67" s="24"/>
      <c r="V67" s="54">
        <v>8.0</v>
      </c>
      <c r="W67" s="24"/>
      <c r="X67" s="55">
        <v>9.0</v>
      </c>
      <c r="Y67" s="24"/>
      <c r="Z67" s="54">
        <v>10.0</v>
      </c>
      <c r="AA67" s="24"/>
      <c r="AB67" s="55">
        <v>10.0</v>
      </c>
      <c r="AC67" s="24"/>
      <c r="AD67" s="66"/>
      <c r="AE67" s="50"/>
    </row>
    <row r="68" ht="15.75" customHeight="1">
      <c r="A68" s="53" t="s">
        <v>100</v>
      </c>
      <c r="B68" s="67" t="s">
        <v>258</v>
      </c>
      <c r="C68" s="67">
        <v>25.62</v>
      </c>
      <c r="D68" s="70" t="s">
        <v>258</v>
      </c>
      <c r="E68" s="70">
        <v>17.7</v>
      </c>
      <c r="F68" s="67" t="s">
        <v>259</v>
      </c>
      <c r="G68" s="67">
        <v>17.48</v>
      </c>
      <c r="H68" s="70" t="s">
        <v>259</v>
      </c>
      <c r="I68" s="70">
        <v>16.92</v>
      </c>
      <c r="J68" s="67" t="s">
        <v>259</v>
      </c>
      <c r="K68" s="67">
        <v>29.32</v>
      </c>
      <c r="L68" s="70" t="s">
        <v>259</v>
      </c>
      <c r="M68" s="70">
        <v>24.32</v>
      </c>
      <c r="N68" s="67" t="s">
        <v>259</v>
      </c>
      <c r="O68" s="67">
        <v>13.94</v>
      </c>
      <c r="P68" s="70" t="s">
        <v>261</v>
      </c>
      <c r="Q68" s="70">
        <v>23.16</v>
      </c>
      <c r="R68" s="67" t="s">
        <v>261</v>
      </c>
      <c r="S68" s="67">
        <v>17.32</v>
      </c>
      <c r="T68" s="70" t="s">
        <v>259</v>
      </c>
      <c r="U68" s="70">
        <v>35.2</v>
      </c>
      <c r="V68" s="67" t="s">
        <v>261</v>
      </c>
      <c r="W68" s="67">
        <v>12.14</v>
      </c>
      <c r="X68" s="70" t="s">
        <v>259</v>
      </c>
      <c r="Y68" s="70">
        <v>23.16</v>
      </c>
      <c r="Z68" s="67" t="s">
        <v>259</v>
      </c>
      <c r="AA68" s="67">
        <v>27.54</v>
      </c>
      <c r="AB68" s="70" t="s">
        <v>259</v>
      </c>
      <c r="AC68" s="70">
        <v>22.56</v>
      </c>
      <c r="AD68" s="77"/>
      <c r="AE68" s="80"/>
    </row>
    <row r="69" ht="15.75" customHeight="1">
      <c r="A69" s="53" t="s">
        <v>106</v>
      </c>
      <c r="B69" s="67" t="s">
        <v>262</v>
      </c>
      <c r="C69" s="67">
        <v>13.9</v>
      </c>
      <c r="D69" s="70" t="s">
        <v>262</v>
      </c>
      <c r="E69" s="70">
        <v>8.5</v>
      </c>
      <c r="F69" s="67" t="s">
        <v>263</v>
      </c>
      <c r="G69" s="67">
        <v>13.2</v>
      </c>
      <c r="H69" s="70" t="s">
        <v>264</v>
      </c>
      <c r="I69" s="70">
        <v>22.4</v>
      </c>
      <c r="J69" s="67" t="s">
        <v>263</v>
      </c>
      <c r="K69" s="67">
        <v>10.0</v>
      </c>
      <c r="L69" s="70" t="s">
        <v>263</v>
      </c>
      <c r="M69" s="70">
        <v>10.7</v>
      </c>
      <c r="N69" s="67" t="s">
        <v>262</v>
      </c>
      <c r="O69" s="67">
        <v>5.0</v>
      </c>
      <c r="P69" s="70" t="s">
        <v>265</v>
      </c>
      <c r="Q69" s="70">
        <v>16.6</v>
      </c>
      <c r="R69" s="67" t="s">
        <v>266</v>
      </c>
      <c r="S69" s="67">
        <v>18.7</v>
      </c>
      <c r="T69" s="70" t="s">
        <v>262</v>
      </c>
      <c r="U69" s="70">
        <v>17.2</v>
      </c>
      <c r="V69" s="67" t="s">
        <v>262</v>
      </c>
      <c r="W69" s="67">
        <v>10.0</v>
      </c>
      <c r="X69" s="70" t="s">
        <v>262</v>
      </c>
      <c r="Y69" s="70">
        <v>26.5</v>
      </c>
      <c r="Z69" s="67" t="s">
        <v>262</v>
      </c>
      <c r="AA69" s="67">
        <v>13.6</v>
      </c>
      <c r="AB69" s="70" t="s">
        <v>262</v>
      </c>
      <c r="AC69" s="70">
        <v>6.8</v>
      </c>
      <c r="AD69" s="77"/>
      <c r="AE69" s="80"/>
    </row>
    <row r="70" ht="15.75" customHeight="1">
      <c r="A70" s="53" t="s">
        <v>106</v>
      </c>
      <c r="B70" s="67" t="s">
        <v>267</v>
      </c>
      <c r="C70" s="67">
        <v>6.5</v>
      </c>
      <c r="D70" s="70" t="s">
        <v>263</v>
      </c>
      <c r="E70" s="70">
        <v>18.3</v>
      </c>
      <c r="F70" s="67" t="s">
        <v>268</v>
      </c>
      <c r="G70" s="67">
        <v>16.4</v>
      </c>
      <c r="H70" s="70" t="s">
        <v>268</v>
      </c>
      <c r="I70" s="70">
        <v>14.1</v>
      </c>
      <c r="J70" s="67" t="s">
        <v>268</v>
      </c>
      <c r="K70" s="67">
        <v>17.4</v>
      </c>
      <c r="L70" s="70" t="s">
        <v>268</v>
      </c>
      <c r="M70" s="70">
        <v>5.4</v>
      </c>
      <c r="N70" s="67" t="s">
        <v>264</v>
      </c>
      <c r="O70" s="67">
        <v>7.3</v>
      </c>
      <c r="P70" s="70" t="s">
        <v>269</v>
      </c>
      <c r="Q70" s="70">
        <v>9.8</v>
      </c>
      <c r="R70" s="67" t="s">
        <v>265</v>
      </c>
      <c r="S70" s="67">
        <v>8.4</v>
      </c>
      <c r="T70" s="70" t="s">
        <v>268</v>
      </c>
      <c r="U70" s="70">
        <v>11.2</v>
      </c>
      <c r="V70" s="67" t="s">
        <v>266</v>
      </c>
      <c r="W70" s="67">
        <v>21.2</v>
      </c>
      <c r="X70" s="70" t="s">
        <v>266</v>
      </c>
      <c r="Y70" s="70">
        <v>22.1</v>
      </c>
      <c r="Z70" s="67" t="s">
        <v>266</v>
      </c>
      <c r="AA70" s="67">
        <v>6.3</v>
      </c>
      <c r="AB70" s="70" t="s">
        <v>266</v>
      </c>
      <c r="AC70" s="70">
        <v>23.2</v>
      </c>
      <c r="AD70" s="77"/>
      <c r="AE70" s="80"/>
    </row>
    <row r="71" ht="15.75" hidden="1" customHeight="1">
      <c r="A71" s="31" t="s">
        <v>106</v>
      </c>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80"/>
    </row>
    <row r="72" ht="15.75" customHeight="1">
      <c r="A72" s="53" t="s">
        <v>117</v>
      </c>
      <c r="B72" s="67" t="s">
        <v>270</v>
      </c>
      <c r="C72" s="67">
        <v>4.6</v>
      </c>
      <c r="D72" s="70" t="s">
        <v>270</v>
      </c>
      <c r="E72" s="70">
        <v>37.5</v>
      </c>
      <c r="F72" s="67" t="s">
        <v>270</v>
      </c>
      <c r="G72" s="67">
        <v>9.0</v>
      </c>
      <c r="H72" s="70" t="s">
        <v>270</v>
      </c>
      <c r="I72" s="70">
        <v>7.3</v>
      </c>
      <c r="J72" s="67" t="s">
        <v>270</v>
      </c>
      <c r="K72" s="67">
        <v>30.0</v>
      </c>
      <c r="L72" s="70" t="s">
        <v>270</v>
      </c>
      <c r="M72" s="70">
        <v>25.2</v>
      </c>
      <c r="N72" s="67" t="s">
        <v>270</v>
      </c>
      <c r="O72" s="67">
        <v>39.1</v>
      </c>
      <c r="P72" s="70" t="s">
        <v>270</v>
      </c>
      <c r="Q72" s="70">
        <v>21.1</v>
      </c>
      <c r="R72" s="67" t="s">
        <v>270</v>
      </c>
      <c r="S72" s="67">
        <v>18.1</v>
      </c>
      <c r="T72" s="70" t="s">
        <v>271</v>
      </c>
      <c r="U72" s="70">
        <v>25.4</v>
      </c>
      <c r="V72" s="67" t="s">
        <v>270</v>
      </c>
      <c r="W72" s="67">
        <v>6.0</v>
      </c>
      <c r="X72" s="70" t="s">
        <v>270</v>
      </c>
      <c r="Y72" s="70">
        <v>0.0</v>
      </c>
      <c r="Z72" s="67" t="s">
        <v>270</v>
      </c>
      <c r="AA72" s="67">
        <v>19.0</v>
      </c>
      <c r="AB72" s="70" t="s">
        <v>270</v>
      </c>
      <c r="AC72" s="70">
        <v>10.3</v>
      </c>
      <c r="AD72" s="77"/>
      <c r="AE72" s="80"/>
    </row>
    <row r="73" ht="15.75" customHeight="1">
      <c r="A73" s="53" t="s">
        <v>117</v>
      </c>
      <c r="B73" s="67" t="s">
        <v>271</v>
      </c>
      <c r="C73" s="67">
        <v>13.5</v>
      </c>
      <c r="D73" s="70" t="s">
        <v>272</v>
      </c>
      <c r="E73" s="70">
        <v>14.6</v>
      </c>
      <c r="F73" s="67" t="s">
        <v>271</v>
      </c>
      <c r="G73" s="67">
        <v>10.5</v>
      </c>
      <c r="H73" s="70" t="s">
        <v>273</v>
      </c>
      <c r="I73" s="70">
        <v>23.8</v>
      </c>
      <c r="J73" s="67" t="s">
        <v>273</v>
      </c>
      <c r="K73" s="67">
        <v>7.0</v>
      </c>
      <c r="L73" s="70" t="s">
        <v>271</v>
      </c>
      <c r="M73" s="70">
        <v>32.8</v>
      </c>
      <c r="N73" s="67" t="s">
        <v>271</v>
      </c>
      <c r="O73" s="67">
        <v>8.2</v>
      </c>
      <c r="P73" s="70" t="s">
        <v>271</v>
      </c>
      <c r="Q73" s="70">
        <v>0.0</v>
      </c>
      <c r="R73" s="67" t="s">
        <v>271</v>
      </c>
      <c r="S73" s="67">
        <v>39.8</v>
      </c>
      <c r="T73" s="70" t="s">
        <v>273</v>
      </c>
      <c r="U73" s="70">
        <v>9.2</v>
      </c>
      <c r="V73" s="67" t="s">
        <v>271</v>
      </c>
      <c r="W73" s="67">
        <v>19.9</v>
      </c>
      <c r="X73" s="70" t="s">
        <v>272</v>
      </c>
      <c r="Y73" s="70">
        <v>8.1</v>
      </c>
      <c r="Z73" s="67" t="s">
        <v>272</v>
      </c>
      <c r="AA73" s="67">
        <v>0.0</v>
      </c>
      <c r="AB73" s="70" t="s">
        <v>272</v>
      </c>
      <c r="AC73" s="70">
        <v>27.2</v>
      </c>
      <c r="AD73" s="77"/>
      <c r="AE73" s="80"/>
    </row>
    <row r="74" ht="15.75" customHeight="1">
      <c r="A74" s="53" t="s">
        <v>117</v>
      </c>
      <c r="B74" s="67" t="s">
        <v>272</v>
      </c>
      <c r="C74" s="67">
        <v>6.3</v>
      </c>
      <c r="D74" s="70" t="s">
        <v>274</v>
      </c>
      <c r="E74" s="70">
        <v>17.1</v>
      </c>
      <c r="F74" s="67" t="s">
        <v>274</v>
      </c>
      <c r="G74" s="67">
        <v>19.5</v>
      </c>
      <c r="H74" s="70" t="s">
        <v>274</v>
      </c>
      <c r="I74" s="70">
        <v>8.7</v>
      </c>
      <c r="J74" s="67" t="s">
        <v>274</v>
      </c>
      <c r="K74" s="67">
        <v>10.8</v>
      </c>
      <c r="L74" s="70" t="s">
        <v>274</v>
      </c>
      <c r="M74" s="70">
        <v>6.7</v>
      </c>
      <c r="N74" s="67" t="s">
        <v>274</v>
      </c>
      <c r="O74" s="67">
        <v>29.9</v>
      </c>
      <c r="P74" s="70" t="s">
        <v>274</v>
      </c>
      <c r="Q74" s="70">
        <v>8.4</v>
      </c>
      <c r="R74" s="67" t="s">
        <v>274</v>
      </c>
      <c r="S74" s="67">
        <v>6.1</v>
      </c>
      <c r="T74" s="70" t="s">
        <v>274</v>
      </c>
      <c r="U74" s="70">
        <v>3.9</v>
      </c>
      <c r="V74" s="67" t="s">
        <v>272</v>
      </c>
      <c r="W74" s="67">
        <v>15.3</v>
      </c>
      <c r="X74" s="70" t="s">
        <v>127</v>
      </c>
      <c r="Y74" s="70">
        <v>16.4</v>
      </c>
      <c r="Z74" s="67" t="s">
        <v>127</v>
      </c>
      <c r="AA74" s="67">
        <v>4.5</v>
      </c>
      <c r="AB74" s="70" t="s">
        <v>274</v>
      </c>
      <c r="AC74" s="70">
        <v>5.2</v>
      </c>
      <c r="AD74" s="77"/>
      <c r="AE74" s="80"/>
    </row>
    <row r="75" ht="15.75" hidden="1" customHeight="1">
      <c r="A75" s="31" t="s">
        <v>117</v>
      </c>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80"/>
    </row>
    <row r="76" ht="15.75" customHeight="1">
      <c r="A76" s="53" t="s">
        <v>132</v>
      </c>
      <c r="B76" s="67" t="s">
        <v>276</v>
      </c>
      <c r="C76" s="67">
        <v>12.1</v>
      </c>
      <c r="D76" s="70" t="s">
        <v>276</v>
      </c>
      <c r="E76" s="70">
        <v>13.8</v>
      </c>
      <c r="F76" s="67" t="s">
        <v>276</v>
      </c>
      <c r="G76" s="67">
        <v>15.3</v>
      </c>
      <c r="H76" s="70" t="s">
        <v>276</v>
      </c>
      <c r="I76" s="70">
        <v>12.2</v>
      </c>
      <c r="J76" s="67" t="s">
        <v>276</v>
      </c>
      <c r="K76" s="67">
        <v>9.1</v>
      </c>
      <c r="L76" s="70" t="s">
        <v>276</v>
      </c>
      <c r="M76" s="70">
        <v>21.2</v>
      </c>
      <c r="N76" s="67" t="s">
        <v>276</v>
      </c>
      <c r="O76" s="67">
        <v>29.4</v>
      </c>
      <c r="P76" s="70" t="s">
        <v>277</v>
      </c>
      <c r="Q76" s="70">
        <v>17.8</v>
      </c>
      <c r="R76" s="67" t="s">
        <v>276</v>
      </c>
      <c r="S76" s="67">
        <v>16.5</v>
      </c>
      <c r="T76" s="70" t="s">
        <v>276</v>
      </c>
      <c r="U76" s="70">
        <v>28.7</v>
      </c>
      <c r="V76" s="67" t="s">
        <v>276</v>
      </c>
      <c r="W76" s="67">
        <v>28.5</v>
      </c>
      <c r="X76" s="70" t="s">
        <v>276</v>
      </c>
      <c r="Y76" s="70">
        <v>16.9</v>
      </c>
      <c r="Z76" s="67" t="s">
        <v>276</v>
      </c>
      <c r="AA76" s="67">
        <v>22.2</v>
      </c>
      <c r="AB76" s="70" t="s">
        <v>276</v>
      </c>
      <c r="AC76" s="70">
        <v>10.8</v>
      </c>
      <c r="AD76" s="77"/>
      <c r="AE76" s="80"/>
    </row>
    <row r="77" ht="15.75" customHeight="1">
      <c r="A77" s="53" t="s">
        <v>136</v>
      </c>
      <c r="B77" s="67" t="s">
        <v>278</v>
      </c>
      <c r="C77" s="67">
        <v>4.15</v>
      </c>
      <c r="D77" s="70" t="s">
        <v>271</v>
      </c>
      <c r="E77" s="70">
        <v>5.9</v>
      </c>
      <c r="F77" s="67" t="s">
        <v>273</v>
      </c>
      <c r="G77" s="67">
        <v>14.9</v>
      </c>
      <c r="H77" s="70" t="s">
        <v>271</v>
      </c>
      <c r="I77" s="70">
        <v>26.0</v>
      </c>
      <c r="J77" s="67" t="s">
        <v>262</v>
      </c>
      <c r="K77" s="67">
        <v>17.3</v>
      </c>
      <c r="L77" s="70" t="s">
        <v>262</v>
      </c>
      <c r="M77" s="70">
        <v>18.9</v>
      </c>
      <c r="N77" s="67" t="s">
        <v>279</v>
      </c>
      <c r="O77" s="67">
        <v>4.8</v>
      </c>
      <c r="P77" s="70" t="s">
        <v>272</v>
      </c>
      <c r="Q77" s="70">
        <v>11.4</v>
      </c>
      <c r="R77" s="67" t="s">
        <v>262</v>
      </c>
      <c r="S77" s="67">
        <v>21.2</v>
      </c>
      <c r="T77" s="70" t="s">
        <v>266</v>
      </c>
      <c r="U77" s="70">
        <v>17.3</v>
      </c>
      <c r="V77" s="67" t="s">
        <v>273</v>
      </c>
      <c r="W77" s="67">
        <v>0.0</v>
      </c>
      <c r="X77" s="70" t="s">
        <v>277</v>
      </c>
      <c r="Y77" s="70">
        <v>4.0</v>
      </c>
      <c r="Z77" s="67" t="s">
        <v>277</v>
      </c>
      <c r="AA77" s="67">
        <v>4.7</v>
      </c>
      <c r="AB77" s="70" t="s">
        <v>277</v>
      </c>
      <c r="AC77" s="70">
        <v>15.8</v>
      </c>
      <c r="AD77" s="77"/>
      <c r="AE77" s="80"/>
    </row>
    <row r="78" ht="15.75" customHeight="1">
      <c r="A78" s="53" t="s">
        <v>139</v>
      </c>
      <c r="B78" s="67" t="s">
        <v>280</v>
      </c>
      <c r="C78" s="67">
        <v>8.32</v>
      </c>
      <c r="D78" s="70" t="s">
        <v>280</v>
      </c>
      <c r="E78" s="70">
        <v>17.92</v>
      </c>
      <c r="F78" s="67" t="s">
        <v>280</v>
      </c>
      <c r="G78" s="67">
        <v>21.5</v>
      </c>
      <c r="H78" s="70" t="s">
        <v>280</v>
      </c>
      <c r="I78" s="70">
        <v>36.13</v>
      </c>
      <c r="J78" s="67" t="s">
        <v>281</v>
      </c>
      <c r="K78" s="67">
        <v>24.23</v>
      </c>
      <c r="L78" s="70" t="s">
        <v>280</v>
      </c>
      <c r="M78" s="70">
        <v>10.0</v>
      </c>
      <c r="N78" s="67" t="s">
        <v>280</v>
      </c>
      <c r="O78" s="67">
        <v>23.7</v>
      </c>
      <c r="P78" s="70" t="s">
        <v>282</v>
      </c>
      <c r="Q78" s="70">
        <v>4.75</v>
      </c>
      <c r="R78" s="67" t="s">
        <v>280</v>
      </c>
      <c r="S78" s="67">
        <v>23.7</v>
      </c>
      <c r="T78" s="70" t="s">
        <v>280</v>
      </c>
      <c r="U78" s="70">
        <v>8.24</v>
      </c>
      <c r="V78" s="67" t="s">
        <v>280</v>
      </c>
      <c r="W78" s="67">
        <v>8.34</v>
      </c>
      <c r="X78" s="70" t="s">
        <v>280</v>
      </c>
      <c r="Y78" s="70">
        <v>4.15</v>
      </c>
      <c r="Z78" s="67" t="s">
        <v>280</v>
      </c>
      <c r="AA78" s="67">
        <v>2.73</v>
      </c>
      <c r="AB78" s="70" t="s">
        <v>282</v>
      </c>
      <c r="AC78" s="70">
        <v>22.39</v>
      </c>
      <c r="AD78" s="77"/>
      <c r="AE78" s="80"/>
    </row>
    <row r="79" ht="15.75" customHeight="1">
      <c r="A79" s="53" t="s">
        <v>146</v>
      </c>
      <c r="B79" s="67" t="s">
        <v>150</v>
      </c>
      <c r="C79" s="67">
        <v>12.0</v>
      </c>
      <c r="D79" s="70" t="s">
        <v>283</v>
      </c>
      <c r="E79" s="70">
        <v>10.0</v>
      </c>
      <c r="F79" s="67" t="s">
        <v>283</v>
      </c>
      <c r="G79" s="67">
        <v>3.5</v>
      </c>
      <c r="H79" s="70" t="s">
        <v>283</v>
      </c>
      <c r="I79" s="70">
        <v>7.5</v>
      </c>
      <c r="J79" s="67" t="s">
        <v>283</v>
      </c>
      <c r="K79" s="67">
        <v>10.0</v>
      </c>
      <c r="L79" s="70" t="s">
        <v>283</v>
      </c>
      <c r="M79" s="70">
        <v>-1.0</v>
      </c>
      <c r="N79" s="67" t="s">
        <v>284</v>
      </c>
      <c r="O79" s="67">
        <v>12.0</v>
      </c>
      <c r="P79" s="70" t="s">
        <v>284</v>
      </c>
      <c r="Q79" s="70">
        <v>1.0</v>
      </c>
      <c r="R79" s="67" t="s">
        <v>284</v>
      </c>
      <c r="S79" s="67">
        <v>13.0</v>
      </c>
      <c r="T79" s="70" t="s">
        <v>284</v>
      </c>
      <c r="U79" s="70">
        <v>2.0</v>
      </c>
      <c r="V79" s="67" t="s">
        <v>284</v>
      </c>
      <c r="W79" s="67">
        <v>14.0</v>
      </c>
      <c r="X79" s="70" t="s">
        <v>285</v>
      </c>
      <c r="Y79" s="70">
        <v>1.0</v>
      </c>
      <c r="Z79" s="67" t="s">
        <v>285</v>
      </c>
      <c r="AA79" s="67">
        <v>11.0</v>
      </c>
      <c r="AB79" s="70" t="s">
        <v>285</v>
      </c>
      <c r="AC79" s="70">
        <v>9.0</v>
      </c>
      <c r="AD79" s="77"/>
      <c r="AE79" s="80"/>
    </row>
    <row r="80" ht="15.75" customHeight="1">
      <c r="A80" s="225" t="s">
        <v>162</v>
      </c>
      <c r="B80" s="226" t="s">
        <v>286</v>
      </c>
      <c r="C80" s="226">
        <v>10.0</v>
      </c>
      <c r="D80" s="227" t="s">
        <v>286</v>
      </c>
      <c r="E80" s="227">
        <v>20.3</v>
      </c>
      <c r="F80" s="226" t="s">
        <v>286</v>
      </c>
      <c r="G80" s="226">
        <v>6.0</v>
      </c>
      <c r="H80" s="227" t="s">
        <v>286</v>
      </c>
      <c r="I80" s="227">
        <v>0.0</v>
      </c>
      <c r="J80" s="226" t="s">
        <v>286</v>
      </c>
      <c r="K80" s="226">
        <v>-9.0</v>
      </c>
      <c r="L80" s="227" t="s">
        <v>287</v>
      </c>
      <c r="M80" s="227">
        <v>0.6</v>
      </c>
      <c r="N80" s="226" t="s">
        <v>287</v>
      </c>
      <c r="O80" s="226">
        <v>-9.9</v>
      </c>
      <c r="P80" s="227" t="s">
        <v>288</v>
      </c>
      <c r="Q80" s="227">
        <v>9.4</v>
      </c>
      <c r="R80" s="226" t="s">
        <v>288</v>
      </c>
      <c r="S80" s="226">
        <v>9.6</v>
      </c>
      <c r="T80" s="227" t="s">
        <v>289</v>
      </c>
      <c r="U80" s="227">
        <v>-1.9</v>
      </c>
      <c r="V80" s="226" t="s">
        <v>288</v>
      </c>
      <c r="W80" s="226">
        <v>-4.4</v>
      </c>
      <c r="X80" s="227" t="s">
        <v>290</v>
      </c>
      <c r="Y80" s="227">
        <v>10.0</v>
      </c>
      <c r="Z80" s="226" t="s">
        <v>290</v>
      </c>
      <c r="AA80" s="226">
        <v>13.8</v>
      </c>
      <c r="AB80" s="227" t="s">
        <v>290</v>
      </c>
      <c r="AC80" s="227">
        <v>0.0</v>
      </c>
      <c r="AD80" s="228"/>
      <c r="AE80" s="229"/>
    </row>
    <row r="81" ht="15.75" customHeight="1">
      <c r="A81" s="148" t="s">
        <v>167</v>
      </c>
      <c r="B81" s="151">
        <f>SUM(C68:C80)</f>
        <v>116.99</v>
      </c>
      <c r="C81" s="24"/>
      <c r="D81" s="151">
        <f>SUM(E68:E80)</f>
        <v>181.62</v>
      </c>
      <c r="E81" s="24"/>
      <c r="F81" s="151">
        <f>SUM(G68:G80)</f>
        <v>147.28</v>
      </c>
      <c r="G81" s="24"/>
      <c r="H81" s="151">
        <f>SUM(I68:I80)</f>
        <v>175.05</v>
      </c>
      <c r="I81" s="24"/>
      <c r="J81" s="151">
        <f>SUM(K68:K80)</f>
        <v>156.15</v>
      </c>
      <c r="K81" s="24"/>
      <c r="L81" s="151">
        <f>SUM(M68:M80)</f>
        <v>154.82</v>
      </c>
      <c r="M81" s="24"/>
      <c r="N81" s="151">
        <f>SUM(O68:O80)</f>
        <v>163.44</v>
      </c>
      <c r="O81" s="24"/>
      <c r="P81" s="151">
        <f>SUM(Q68:Q80)</f>
        <v>123.41</v>
      </c>
      <c r="Q81" s="24"/>
      <c r="R81" s="151">
        <f>SUM(S68:S80)</f>
        <v>192.42</v>
      </c>
      <c r="S81" s="24"/>
      <c r="T81" s="151">
        <f>SUM(U68:U80)</f>
        <v>156.44</v>
      </c>
      <c r="U81" s="24"/>
      <c r="V81" s="151">
        <f>SUM(W68:W80)</f>
        <v>130.98</v>
      </c>
      <c r="W81" s="24"/>
      <c r="X81" s="151">
        <f>SUM(Y68:Y80)</f>
        <v>132.31</v>
      </c>
      <c r="Y81" s="24"/>
      <c r="Z81" s="151">
        <f>SUM(AA68:AA80)</f>
        <v>125.37</v>
      </c>
      <c r="AA81" s="24"/>
      <c r="AB81" s="151">
        <f>SUM(AC68:AC80)</f>
        <v>153.25</v>
      </c>
      <c r="AC81" s="24"/>
      <c r="AD81" s="158">
        <f>SUM(AE68:AE80)</f>
        <v>0</v>
      </c>
      <c r="AE81" s="24"/>
    </row>
    <row r="82" ht="15.75" customHeight="1">
      <c r="A82" s="159" t="s">
        <v>168</v>
      </c>
      <c r="B82" s="159" t="str">
        <f t="array" ref="B82">IFERROR(INDEX(B68:B80,MATCH(LARGE(C68:C80,1),C68:C80,0)),"N/A")</f>
        <v>K. MURRAY</v>
      </c>
      <c r="C82" s="159">
        <f>IFERROR(LARGE(C68:C80,1),0)</f>
        <v>25.62</v>
      </c>
      <c r="D82" s="159" t="str">
        <f t="array" ref="D82">IFERROR(INDEX(D68:D80,MATCH(LARGE(E68:E80,1),E68:E80,0)),"N/A")</f>
        <v>J. CHASE</v>
      </c>
      <c r="E82" s="159">
        <f>IFERROR(LARGE(E68:E80,1),0)</f>
        <v>37.5</v>
      </c>
      <c r="F82" s="159" t="str">
        <f t="array" ref="F82">IFERROR(INDEX(F68:F80,MATCH(LARGE(G68:G80,1),G68:G80,0)),"N/A")</f>
        <v>DET D/ST</v>
      </c>
      <c r="G82" s="159">
        <f>IFERROR(LARGE(G68:G80,1),0)</f>
        <v>21.5</v>
      </c>
      <c r="H82" s="159" t="str">
        <f t="array" ref="H82">IFERROR(INDEX(H68:H80,MATCH(LARGE(I68:I80,1),I68:I80,0)),"N/A")</f>
        <v>DET D/ST</v>
      </c>
      <c r="I82" s="159">
        <f>IFERROR(LARGE(I68:I80,1),0)</f>
        <v>36.13</v>
      </c>
      <c r="J82" s="159" t="str">
        <f t="array" ref="J82">IFERROR(INDEX(J68:J80,MATCH(LARGE(K68:K80,1),K68:K80,0)),"N/A")</f>
        <v>J. CHASE</v>
      </c>
      <c r="K82" s="159">
        <f>IFERROR(LARGE(K68:K80,1),0)</f>
        <v>30</v>
      </c>
      <c r="L82" s="159" t="str">
        <f t="array" ref="L82">IFERROR(INDEX(L68:L80,MATCH(LARGE(M68:M80,1),M68:M80,0)),"N/A")</f>
        <v>D. LONDON</v>
      </c>
      <c r="M82" s="159">
        <f>IFERROR(LARGE(M68:M80,1),0)</f>
        <v>32.8</v>
      </c>
      <c r="N82" s="159" t="str">
        <f t="array" ref="N82">IFERROR(INDEX(N68:N80,MATCH(LARGE(O68:O80,1),O68:O80,0)),"N/A")</f>
        <v>J. CHASE</v>
      </c>
      <c r="O82" s="159">
        <f>IFERROR(LARGE(O68:O80,1),0)</f>
        <v>39.1</v>
      </c>
      <c r="P82" s="159" t="str">
        <f t="array" ref="P82">IFERROR(INDEX(P68:P80,MATCH(LARGE(Q68:Q80,1),Q68:Q80,0)),"N/A")</f>
        <v>A. RODGERS</v>
      </c>
      <c r="Q82" s="159">
        <f>IFERROR(LARGE(Q68:Q80,1),0)</f>
        <v>23.16</v>
      </c>
      <c r="R82" s="159" t="str">
        <f t="array" ref="R82">IFERROR(INDEX(R68:R80,MATCH(LARGE(S68:S80,1),S68:S80,0)),"N/A")</f>
        <v>D. LONDON</v>
      </c>
      <c r="S82" s="159">
        <f>IFERROR(LARGE(S68:S80,1),0)</f>
        <v>39.8</v>
      </c>
      <c r="T82" s="159" t="str">
        <f t="array" ref="T82">IFERROR(INDEX(T68:T80,MATCH(LARGE(U68:U80,1),U68:U80,0)),"N/A")</f>
        <v>J. GOFF</v>
      </c>
      <c r="U82" s="159">
        <f>IFERROR(LARGE(U68:U80,1),0)</f>
        <v>35.2</v>
      </c>
      <c r="V82" s="159" t="str">
        <f t="array" ref="V82">IFERROR(INDEX(V68:V80,MATCH(LARGE(W68:W80,1),W68:W80,0)),"N/A")</f>
        <v>T. MCBRIDE</v>
      </c>
      <c r="W82" s="159">
        <f>IFERROR(LARGE(W68:W80,1),0)</f>
        <v>28.5</v>
      </c>
      <c r="X82" s="159" t="str">
        <f t="array" ref="X82">IFERROR(INDEX(X68:X80,MATCH(LARGE(Y68:Y80,1),Y68:Y80,0)),"N/A")</f>
        <v>A. JEANTY</v>
      </c>
      <c r="Y82" s="159">
        <f>IFERROR(LARGE(Y68:Y80,1),0)</f>
        <v>26.5</v>
      </c>
      <c r="Z82" s="159" t="str">
        <f t="array" ref="Z82">IFERROR(INDEX(Z68:Z80,MATCH(LARGE(AA68:AA80,1),AA68:AA80,0)),"N/A")</f>
        <v>J. GOFF</v>
      </c>
      <c r="AA82" s="159">
        <f>IFERROR(LARGE(AA68:AA80,1),0)</f>
        <v>27.54</v>
      </c>
      <c r="AB82" s="159" t="str">
        <f t="array" ref="AB82">IFERROR(INDEX(AB68:AB80,MATCH(LARGE(AC68:AC80,1),AC68:AC80,0)),"N/A")</f>
        <v>T. HIGGINS</v>
      </c>
      <c r="AC82" s="159">
        <f>IFERROR(LARGE(AC68:AC80,1),0)</f>
        <v>27.2</v>
      </c>
      <c r="AD82" s="77" t="str">
        <f t="array" ref="AD82">INDEX(AD68:AD80,MATCH(LARGE(AE68:AE80,1),AE68:AE80,0))</f>
        <v>#NUM!</v>
      </c>
      <c r="AE82" s="77" t="str">
        <f>LARGE(AE68:AE80,1)</f>
        <v>#NUM!</v>
      </c>
    </row>
    <row r="83" ht="15.75" customHeight="1">
      <c r="A83" s="186" t="s">
        <v>171</v>
      </c>
      <c r="B83" s="186" t="str">
        <f t="array" ref="B83">IFERROR(INDEX(B68:B80,MATCH(LARGE(C68:C80,2),C68:C80,0)),"N/A")</f>
        <v>A. JEANTY</v>
      </c>
      <c r="C83" s="188">
        <f>IFERROR(LARGE(C68:C80,2),0)</f>
        <v>13.9</v>
      </c>
      <c r="D83" s="186" t="str">
        <f t="array" ref="D83">IFERROR(INDEX(D68:D80,MATCH(LARGE(E68:E80,2),E68:E80,0)),"N/A")</f>
        <v>BAL HC</v>
      </c>
      <c r="E83" s="188">
        <f>IFERROR(LARGE(E68:E80,2),0)</f>
        <v>20.3</v>
      </c>
      <c r="F83" s="186" t="str">
        <f t="array" ref="F83">IFERROR(INDEX(F68:F80,MATCH(LARGE(G68:G80,2),G68:G80,0)),"N/A")</f>
        <v>K. ALLEN</v>
      </c>
      <c r="G83" s="188">
        <f>IFERROR(LARGE(G68:G80,2),0)</f>
        <v>19.5</v>
      </c>
      <c r="H83" s="186" t="str">
        <f t="array" ref="H83">IFERROR(INDEX(H68:H80,MATCH(LARGE(I68:I80,2),I68:I80,0)),"N/A")</f>
        <v>D. LONDON</v>
      </c>
      <c r="I83" s="188">
        <f>IFERROR(LARGE(I68:I80,2),0)</f>
        <v>26</v>
      </c>
      <c r="J83" s="186" t="str">
        <f t="array" ref="J83">IFERROR(INDEX(J68:J80,MATCH(LARGE(K68:K80,2),K68:K80,0)),"N/A")</f>
        <v>J. GOFF</v>
      </c>
      <c r="K83" s="188">
        <f>IFERROR(LARGE(K68:K80,2),0)</f>
        <v>29.32</v>
      </c>
      <c r="L83" s="186" t="str">
        <f t="array" ref="L83">IFERROR(INDEX(L68:L80,MATCH(LARGE(M68:M80,2),M68:M80,0)),"N/A")</f>
        <v>J. CHASE</v>
      </c>
      <c r="M83" s="188">
        <f>IFERROR(LARGE(M68:M80,2),0)</f>
        <v>25.2</v>
      </c>
      <c r="N83" s="186" t="str">
        <f t="array" ref="N83">IFERROR(INDEX(N68:N80,MATCH(LARGE(O68:O80,2),O68:O80,0)),"N/A")</f>
        <v>K. ALLEN</v>
      </c>
      <c r="O83" s="188">
        <f>IFERROR(LARGE(O68:O80,2),0)</f>
        <v>29.9</v>
      </c>
      <c r="P83" s="186" t="str">
        <f t="array" ref="P83">IFERROR(INDEX(P68:P80,MATCH(LARGE(Q68:Q80,2),Q68:Q80,0)),"N/A")</f>
        <v>J. CHASE</v>
      </c>
      <c r="Q83" s="188">
        <f>IFERROR(LARGE(Q68:Q80,2),0)</f>
        <v>21.1</v>
      </c>
      <c r="R83" s="186" t="str">
        <f t="array" ref="R83">IFERROR(INDEX(R68:R80,MATCH(LARGE(S68:S80,2),S68:S80,0)),"N/A")</f>
        <v>DET D/ST</v>
      </c>
      <c r="S83" s="188">
        <f>IFERROR(LARGE(S68:S80,2),0)</f>
        <v>23.7</v>
      </c>
      <c r="T83" s="186" t="str">
        <f t="array" ref="T83">IFERROR(INDEX(T68:T80,MATCH(LARGE(U68:U80,2),U68:U80,0)),"N/A")</f>
        <v>T. MCBRIDE</v>
      </c>
      <c r="U83" s="188">
        <f>IFERROR(LARGE(U68:U80,2),0)</f>
        <v>28.7</v>
      </c>
      <c r="V83" s="186" t="str">
        <f t="array" ref="V83">IFERROR(INDEX(V68:V80,MATCH(LARGE(W68:W80,2),W68:W80,0)),"N/A")</f>
        <v>T. ETIENNE</v>
      </c>
      <c r="W83" s="188">
        <f>IFERROR(LARGE(W68:W80,2),0)</f>
        <v>21.2</v>
      </c>
      <c r="X83" s="186" t="str">
        <f t="array" ref="X83">IFERROR(INDEX(X68:X80,MATCH(LARGE(Y68:Y80,2),Y68:Y80,0)),"N/A")</f>
        <v>J. GOFF</v>
      </c>
      <c r="Y83" s="188">
        <f>IFERROR(LARGE(Y68:Y80,2),0)</f>
        <v>23.16</v>
      </c>
      <c r="Z83" s="186" t="str">
        <f t="array" ref="Z83">IFERROR(INDEX(Z68:Z80,MATCH(LARGE(AA68:AA80,2),AA68:AA80,0)),"N/A")</f>
        <v>T. MCBRIDE</v>
      </c>
      <c r="AA83" s="188">
        <f>IFERROR(LARGE(AA68:AA80,2),0)</f>
        <v>22.2</v>
      </c>
      <c r="AB83" s="186" t="str">
        <f t="array" ref="AB83">IFERROR(INDEX(AB68:AB80,MATCH(LARGE(AC68:AC80,2),AC68:AC80,0)),"N/A")</f>
        <v>T. ETIENNE</v>
      </c>
      <c r="AC83" s="188">
        <f>IFERROR(LARGE(AC68:AC80,2),0)</f>
        <v>23.2</v>
      </c>
      <c r="AD83" s="201"/>
      <c r="AE83" s="201"/>
    </row>
    <row r="84" ht="15.75" customHeight="1">
      <c r="A84" s="202" t="s">
        <v>173</v>
      </c>
      <c r="B84" s="202" t="str">
        <f t="array" ref="B84">IFERROR(INDEX(B68:B80,MATCH(LARGE(C68:C80,3),C68:C80,0)),"N/A")</f>
        <v>D. LONDON</v>
      </c>
      <c r="C84" s="204">
        <f>IFERROR(LARGE(C68:C80,3),0)</f>
        <v>13.5</v>
      </c>
      <c r="D84" s="202" t="str">
        <f t="array" ref="D84">IFERROR(INDEX(D68:D80,MATCH(LARGE(E68:E80,3),E68:E80,0)),"N/A")</f>
        <v>T. ETIENNE JR</v>
      </c>
      <c r="E84" s="204">
        <f>IFERROR(LARGE(E68:E80,3),0)</f>
        <v>18.3</v>
      </c>
      <c r="F84" s="202" t="str">
        <f t="array" ref="F84">IFERROR(INDEX(F68:F80,MATCH(LARGE(G68:G80,3),G68:G80,0)),"N/A")</f>
        <v>J. GOFF</v>
      </c>
      <c r="G84" s="204">
        <f>IFERROR(LARGE(G68:G80,3),0)</f>
        <v>17.48</v>
      </c>
      <c r="H84" s="202" t="str">
        <f t="array" ref="H84">IFERROR(INDEX(H68:H80,MATCH(LARGE(I68:I80,3),I68:I80,0)),"N/A")</f>
        <v>Q. JOHNSTON</v>
      </c>
      <c r="I84" s="204">
        <f>IFERROR(LARGE(I68:I80,3),0)</f>
        <v>23.8</v>
      </c>
      <c r="J84" s="202" t="str">
        <f t="array" ref="J84">IFERROR(INDEX(J68:J80,MATCH(LARGE(K68:K80,3),K68:K80,0)),"N/A")</f>
        <v>DET D/T</v>
      </c>
      <c r="K84" s="204">
        <f>IFERROR(LARGE(K68:K80,3),0)</f>
        <v>24.23</v>
      </c>
      <c r="L84" s="202" t="str">
        <f t="array" ref="L84">IFERROR(INDEX(L68:L80,MATCH(LARGE(M68:M80,3),M68:M80,0)),"N/A")</f>
        <v>J. GOFF</v>
      </c>
      <c r="M84" s="204">
        <f>IFERROR(LARGE(M68:M80,3),0)</f>
        <v>24.32</v>
      </c>
      <c r="N84" s="202" t="str">
        <f t="array" ref="N84">IFERROR(INDEX(N68:N80,MATCH(LARGE(O68:O80,3),O68:O80,0)),"N/A")</f>
        <v>T. MCBRIDE</v>
      </c>
      <c r="O84" s="204">
        <f>IFERROR(LARGE(O68:O80,3),0)</f>
        <v>29.4</v>
      </c>
      <c r="P84" s="202" t="str">
        <f t="array" ref="P84">IFERROR(INDEX(P68:P80,MATCH(LARGE(Q68:Q80,3),Q68:Q80,0)),"N/A")</f>
        <v>D. GOEDERT</v>
      </c>
      <c r="Q84" s="204">
        <f>IFERROR(LARGE(Q68:Q80,3),0)</f>
        <v>17.8</v>
      </c>
      <c r="R84" s="202" t="str">
        <f t="array" ref="R84">IFERROR(INDEX(R68:R80,MATCH(LARGE(S68:S80,3),S68:S80,0)),"N/A")</f>
        <v>A. JEANTY</v>
      </c>
      <c r="S84" s="204">
        <f>IFERROR(LARGE(S68:S80,3),0)</f>
        <v>21.2</v>
      </c>
      <c r="T84" s="202" t="str">
        <f t="array" ref="T84">IFERROR(INDEX(T68:T80,MATCH(LARGE(U68:U80,3),U68:U80,0)),"N/A")</f>
        <v>D. LONDON</v>
      </c>
      <c r="U84" s="204">
        <f>IFERROR(LARGE(U68:U80,3),0)</f>
        <v>25.4</v>
      </c>
      <c r="V84" s="202" t="str">
        <f t="array" ref="V84">IFERROR(INDEX(V68:V80,MATCH(LARGE(W68:W80,3),W68:W80,0)),"N/A")</f>
        <v>D. LONDON</v>
      </c>
      <c r="W84" s="204">
        <f>IFERROR(LARGE(W68:W80,3),0)</f>
        <v>19.9</v>
      </c>
      <c r="X84" s="202" t="str">
        <f t="array" ref="X84">IFERROR(INDEX(X68:X80,MATCH(LARGE(Y68:Y80,3),Y68:Y80,0)),"N/A")</f>
        <v>T. ETIENNE</v>
      </c>
      <c r="Y84" s="204">
        <f>IFERROR(LARGE(Y68:Y80,3),0)</f>
        <v>22.1</v>
      </c>
      <c r="Z84" s="202" t="str">
        <f t="array" ref="Z84">IFERROR(INDEX(Z68:Z80,MATCH(LARGE(AA68:AA80,3),AA68:AA80,0)),"N/A")</f>
        <v>J. CHASE</v>
      </c>
      <c r="AA84" s="204">
        <f>IFERROR(LARGE(AA68:AA80,3),0)</f>
        <v>19</v>
      </c>
      <c r="AB84" s="202" t="str">
        <f t="array" ref="AB84">IFERROR(INDEX(AB68:AB80,MATCH(LARGE(AC68:AC80,3),AC68:AC80,0)),"N/A")</f>
        <v>J. GOFF</v>
      </c>
      <c r="AC84" s="204">
        <f>IFERROR(LARGE(AC68:AC80,3),0)</f>
        <v>22.56</v>
      </c>
      <c r="AD84" s="201"/>
      <c r="AE84" s="201"/>
    </row>
    <row r="85" ht="15.75" customHeight="1"/>
    <row r="86" ht="15.75" customHeight="1">
      <c r="A86" s="370" t="str">
        <f>Settings!A7</f>
        <v>CHAMPS</v>
      </c>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9"/>
    </row>
    <row r="87" ht="15.75" customHeight="1">
      <c r="A87" s="31"/>
      <c r="B87" s="33" t="s">
        <v>48</v>
      </c>
      <c r="C87" s="24"/>
      <c r="D87" s="34" t="s">
        <v>51</v>
      </c>
      <c r="E87" s="24"/>
      <c r="F87" s="33" t="s">
        <v>55</v>
      </c>
      <c r="G87" s="24"/>
      <c r="H87" s="34" t="s">
        <v>58</v>
      </c>
      <c r="I87" s="24"/>
      <c r="J87" s="33" t="s">
        <v>60</v>
      </c>
      <c r="K87" s="24"/>
      <c r="L87" s="34" t="s">
        <v>62</v>
      </c>
      <c r="M87" s="24"/>
      <c r="N87" s="33" t="s">
        <v>64</v>
      </c>
      <c r="O87" s="24"/>
      <c r="P87" s="34" t="s">
        <v>66</v>
      </c>
      <c r="Q87" s="24"/>
      <c r="R87" s="33" t="s">
        <v>68</v>
      </c>
      <c r="S87" s="24"/>
      <c r="T87" s="34" t="s">
        <v>70</v>
      </c>
      <c r="U87" s="24"/>
      <c r="V87" s="33" t="s">
        <v>73</v>
      </c>
      <c r="W87" s="24"/>
      <c r="X87" s="34" t="s">
        <v>76</v>
      </c>
      <c r="Y87" s="24"/>
      <c r="Z87" s="33" t="s">
        <v>78</v>
      </c>
      <c r="AA87" s="24"/>
      <c r="AB87" s="34" t="s">
        <v>79</v>
      </c>
      <c r="AC87" s="24"/>
      <c r="AD87" s="49" t="s">
        <v>83</v>
      </c>
      <c r="AE87" s="50"/>
    </row>
    <row r="88" ht="15.75" customHeight="1">
      <c r="A88" s="53" t="s">
        <v>85</v>
      </c>
      <c r="B88" s="54">
        <v>6.0</v>
      </c>
      <c r="C88" s="24"/>
      <c r="D88" s="55">
        <v>1.0</v>
      </c>
      <c r="E88" s="24"/>
      <c r="F88" s="54">
        <v>5.0</v>
      </c>
      <c r="G88" s="24"/>
      <c r="H88" s="55">
        <v>5.0</v>
      </c>
      <c r="I88" s="24"/>
      <c r="J88" s="54">
        <v>5.0</v>
      </c>
      <c r="K88" s="24"/>
      <c r="L88" s="55">
        <v>6.0</v>
      </c>
      <c r="M88" s="24"/>
      <c r="N88" s="54">
        <v>7.0</v>
      </c>
      <c r="O88" s="24"/>
      <c r="P88" s="55">
        <v>6.0</v>
      </c>
      <c r="Q88" s="24"/>
      <c r="R88" s="54">
        <v>8.0</v>
      </c>
      <c r="S88" s="24"/>
      <c r="T88" s="55">
        <v>5.0</v>
      </c>
      <c r="U88" s="24"/>
      <c r="V88" s="54">
        <v>5.0</v>
      </c>
      <c r="W88" s="24"/>
      <c r="X88" s="55">
        <v>6.0</v>
      </c>
      <c r="Y88" s="24"/>
      <c r="Z88" s="54">
        <v>6.0</v>
      </c>
      <c r="AA88" s="24"/>
      <c r="AB88" s="55">
        <v>6.0</v>
      </c>
      <c r="AC88" s="24"/>
      <c r="AD88" s="66"/>
      <c r="AE88" s="50"/>
    </row>
    <row r="89" ht="15.75" customHeight="1">
      <c r="A89" s="53" t="s">
        <v>100</v>
      </c>
      <c r="B89" s="67" t="s">
        <v>308</v>
      </c>
      <c r="C89" s="67">
        <v>38.82</v>
      </c>
      <c r="D89" s="70" t="s">
        <v>308</v>
      </c>
      <c r="E89" s="70">
        <v>25.88</v>
      </c>
      <c r="F89" s="67" t="s">
        <v>308</v>
      </c>
      <c r="G89" s="67">
        <v>18.8</v>
      </c>
      <c r="H89" s="70" t="s">
        <v>308</v>
      </c>
      <c r="I89" s="70">
        <v>14.02</v>
      </c>
      <c r="J89" s="67" t="s">
        <v>308</v>
      </c>
      <c r="K89" s="67">
        <v>19.24</v>
      </c>
      <c r="L89" s="70" t="s">
        <v>101</v>
      </c>
      <c r="M89" s="70">
        <v>30.24</v>
      </c>
      <c r="N89" s="67" t="s">
        <v>101</v>
      </c>
      <c r="O89" s="67">
        <v>20.94</v>
      </c>
      <c r="P89" s="70" t="s">
        <v>308</v>
      </c>
      <c r="Q89" s="70">
        <v>33.38</v>
      </c>
      <c r="R89" s="67" t="s">
        <v>308</v>
      </c>
      <c r="S89" s="67">
        <v>33.6</v>
      </c>
      <c r="T89" s="70" t="s">
        <v>308</v>
      </c>
      <c r="U89" s="70">
        <v>18.6</v>
      </c>
      <c r="V89" s="67" t="s">
        <v>308</v>
      </c>
      <c r="W89" s="67">
        <v>3.24</v>
      </c>
      <c r="X89" s="70" t="s">
        <v>310</v>
      </c>
      <c r="Y89" s="70">
        <v>8.76</v>
      </c>
      <c r="Z89" s="67" t="s">
        <v>310</v>
      </c>
      <c r="AA89" s="67">
        <v>35.46</v>
      </c>
      <c r="AB89" s="70" t="s">
        <v>310</v>
      </c>
      <c r="AC89" s="70">
        <v>26.36</v>
      </c>
      <c r="AD89" s="77"/>
      <c r="AE89" s="80"/>
    </row>
    <row r="90" ht="15.75" customHeight="1">
      <c r="A90" s="53" t="s">
        <v>106</v>
      </c>
      <c r="B90" s="67" t="s">
        <v>111</v>
      </c>
      <c r="C90" s="67">
        <v>15.9</v>
      </c>
      <c r="D90" s="70" t="s">
        <v>111</v>
      </c>
      <c r="E90" s="70">
        <v>20.6</v>
      </c>
      <c r="F90" s="67" t="s">
        <v>111</v>
      </c>
      <c r="G90" s="67">
        <v>29.1</v>
      </c>
      <c r="H90" s="70" t="s">
        <v>111</v>
      </c>
      <c r="I90" s="70">
        <v>19.2</v>
      </c>
      <c r="J90" s="67" t="s">
        <v>111</v>
      </c>
      <c r="K90" s="67">
        <v>17.9</v>
      </c>
      <c r="L90" s="70" t="s">
        <v>311</v>
      </c>
      <c r="M90" s="70">
        <v>33.8</v>
      </c>
      <c r="N90" s="67" t="s">
        <v>311</v>
      </c>
      <c r="O90" s="67">
        <v>20.1</v>
      </c>
      <c r="P90" s="70" t="s">
        <v>311</v>
      </c>
      <c r="Q90" s="70">
        <v>14.8</v>
      </c>
      <c r="R90" s="67" t="s">
        <v>312</v>
      </c>
      <c r="S90" s="67">
        <v>20.9</v>
      </c>
      <c r="T90" s="70" t="s">
        <v>311</v>
      </c>
      <c r="U90" s="70">
        <v>21.8</v>
      </c>
      <c r="V90" s="67" t="s">
        <v>311</v>
      </c>
      <c r="W90" s="67">
        <v>4.7</v>
      </c>
      <c r="X90" s="70" t="s">
        <v>312</v>
      </c>
      <c r="Y90" s="70">
        <v>7.4</v>
      </c>
      <c r="Z90" s="67" t="s">
        <v>312</v>
      </c>
      <c r="AA90" s="67">
        <v>14.5</v>
      </c>
      <c r="AB90" s="70" t="s">
        <v>312</v>
      </c>
      <c r="AC90" s="70">
        <v>19.0</v>
      </c>
      <c r="AD90" s="77"/>
      <c r="AE90" s="80"/>
    </row>
    <row r="91" ht="15.75" customHeight="1">
      <c r="A91" s="53" t="s">
        <v>106</v>
      </c>
      <c r="B91" s="67" t="s">
        <v>311</v>
      </c>
      <c r="C91" s="67">
        <v>15.9</v>
      </c>
      <c r="D91" s="70" t="s">
        <v>311</v>
      </c>
      <c r="E91" s="70">
        <v>16.7</v>
      </c>
      <c r="F91" s="67" t="s">
        <v>311</v>
      </c>
      <c r="G91" s="67">
        <v>14.0</v>
      </c>
      <c r="H91" s="70" t="s">
        <v>311</v>
      </c>
      <c r="I91" s="70">
        <v>33.9</v>
      </c>
      <c r="J91" s="67" t="s">
        <v>312</v>
      </c>
      <c r="K91" s="67">
        <v>32.5</v>
      </c>
      <c r="L91" s="70" t="s">
        <v>312</v>
      </c>
      <c r="M91" s="70">
        <v>18.0</v>
      </c>
      <c r="N91" s="67" t="s">
        <v>312</v>
      </c>
      <c r="O91" s="67">
        <v>9.7</v>
      </c>
      <c r="P91" s="70" t="s">
        <v>107</v>
      </c>
      <c r="Q91" s="70">
        <v>26.7</v>
      </c>
      <c r="R91" s="67" t="s">
        <v>107</v>
      </c>
      <c r="S91" s="67">
        <v>20.3</v>
      </c>
      <c r="T91" s="70" t="s">
        <v>312</v>
      </c>
      <c r="U91" s="70">
        <v>23.8</v>
      </c>
      <c r="V91" s="67" t="s">
        <v>312</v>
      </c>
      <c r="W91" s="67">
        <v>17.8</v>
      </c>
      <c r="X91" s="70" t="s">
        <v>313</v>
      </c>
      <c r="Y91" s="70">
        <v>7.2</v>
      </c>
      <c r="Z91" s="67" t="s">
        <v>313</v>
      </c>
      <c r="AA91" s="67">
        <v>13.4</v>
      </c>
      <c r="AB91" s="70" t="s">
        <v>313</v>
      </c>
      <c r="AC91" s="70">
        <v>14.9</v>
      </c>
      <c r="AD91" s="77"/>
      <c r="AE91" s="80"/>
    </row>
    <row r="92" ht="15.75" hidden="1" customHeight="1">
      <c r="A92" s="31" t="s">
        <v>106</v>
      </c>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80"/>
    </row>
    <row r="93" ht="15.75" customHeight="1">
      <c r="A93" s="53" t="s">
        <v>117</v>
      </c>
      <c r="B93" s="67" t="s">
        <v>314</v>
      </c>
      <c r="C93" s="67">
        <v>9.1</v>
      </c>
      <c r="D93" s="70" t="s">
        <v>314</v>
      </c>
      <c r="E93" s="70">
        <v>23.6</v>
      </c>
      <c r="F93" s="67" t="s">
        <v>314</v>
      </c>
      <c r="G93" s="67">
        <v>14.6</v>
      </c>
      <c r="H93" s="70" t="s">
        <v>314</v>
      </c>
      <c r="I93" s="70">
        <v>15.6</v>
      </c>
      <c r="J93" s="67" t="s">
        <v>314</v>
      </c>
      <c r="K93" s="67">
        <v>13.8</v>
      </c>
      <c r="L93" s="70" t="s">
        <v>314</v>
      </c>
      <c r="M93" s="70">
        <v>7.9</v>
      </c>
      <c r="N93" s="67" t="s">
        <v>314</v>
      </c>
      <c r="O93" s="67">
        <v>26.5</v>
      </c>
      <c r="P93" s="70" t="s">
        <v>315</v>
      </c>
      <c r="Q93" s="70">
        <v>23.5</v>
      </c>
      <c r="R93" s="67" t="s">
        <v>314</v>
      </c>
      <c r="S93" s="67">
        <v>23.0</v>
      </c>
      <c r="T93" s="70" t="s">
        <v>314</v>
      </c>
      <c r="U93" s="70">
        <v>19.7</v>
      </c>
      <c r="V93" s="67" t="s">
        <v>314</v>
      </c>
      <c r="W93" s="67">
        <v>7.1</v>
      </c>
      <c r="X93" s="70" t="s">
        <v>314</v>
      </c>
      <c r="Y93" s="70">
        <v>23.2</v>
      </c>
      <c r="Z93" s="67" t="s">
        <v>314</v>
      </c>
      <c r="AA93" s="67">
        <v>21.8</v>
      </c>
      <c r="AB93" s="70" t="s">
        <v>314</v>
      </c>
      <c r="AC93" s="70">
        <v>6.9</v>
      </c>
      <c r="AD93" s="77"/>
      <c r="AE93" s="80"/>
    </row>
    <row r="94" ht="15.75" customHeight="1">
      <c r="A94" s="53" t="s">
        <v>117</v>
      </c>
      <c r="B94" s="67" t="s">
        <v>316</v>
      </c>
      <c r="C94" s="67">
        <v>18.1</v>
      </c>
      <c r="D94" s="70" t="s">
        <v>316</v>
      </c>
      <c r="E94" s="70">
        <v>4.7</v>
      </c>
      <c r="F94" s="67" t="s">
        <v>316</v>
      </c>
      <c r="G94" s="67">
        <v>7.4</v>
      </c>
      <c r="H94" s="70" t="s">
        <v>316</v>
      </c>
      <c r="I94" s="70">
        <v>18.6</v>
      </c>
      <c r="J94" s="67" t="s">
        <v>316</v>
      </c>
      <c r="K94" s="67">
        <v>13.8</v>
      </c>
      <c r="L94" s="70" t="s">
        <v>318</v>
      </c>
      <c r="M94" s="70">
        <v>5.2</v>
      </c>
      <c r="N94" s="67" t="s">
        <v>318</v>
      </c>
      <c r="O94" s="67">
        <v>7.8</v>
      </c>
      <c r="P94" s="70" t="s">
        <v>125</v>
      </c>
      <c r="Q94" s="70">
        <v>14.4</v>
      </c>
      <c r="R94" s="67" t="s">
        <v>319</v>
      </c>
      <c r="S94" s="67">
        <v>22.6</v>
      </c>
      <c r="T94" s="70" t="s">
        <v>319</v>
      </c>
      <c r="U94" s="70">
        <v>14.3</v>
      </c>
      <c r="V94" s="67" t="s">
        <v>320</v>
      </c>
      <c r="W94" s="67">
        <v>25.1</v>
      </c>
      <c r="X94" s="70" t="s">
        <v>321</v>
      </c>
      <c r="Y94" s="70">
        <v>13.7</v>
      </c>
      <c r="Z94" s="67" t="s">
        <v>321</v>
      </c>
      <c r="AA94" s="67">
        <v>2.3</v>
      </c>
      <c r="AB94" s="70" t="s">
        <v>321</v>
      </c>
      <c r="AC94" s="70">
        <v>16.9</v>
      </c>
      <c r="AD94" s="77"/>
      <c r="AE94" s="80"/>
    </row>
    <row r="95" ht="15.75" customHeight="1">
      <c r="A95" s="53" t="s">
        <v>117</v>
      </c>
      <c r="B95" s="67" t="s">
        <v>124</v>
      </c>
      <c r="C95" s="67">
        <v>22.5</v>
      </c>
      <c r="D95" s="70" t="s">
        <v>124</v>
      </c>
      <c r="E95" s="70">
        <v>9.0</v>
      </c>
      <c r="F95" s="67" t="s">
        <v>124</v>
      </c>
      <c r="G95" s="67">
        <v>24.4</v>
      </c>
      <c r="H95" s="70" t="s">
        <v>124</v>
      </c>
      <c r="I95" s="70">
        <v>20.2</v>
      </c>
      <c r="J95" s="67" t="s">
        <v>124</v>
      </c>
      <c r="K95" s="67">
        <v>19.1</v>
      </c>
      <c r="L95" s="70" t="s">
        <v>322</v>
      </c>
      <c r="M95" s="70">
        <v>4.0</v>
      </c>
      <c r="N95" s="67" t="s">
        <v>315</v>
      </c>
      <c r="O95" s="67">
        <v>20.8</v>
      </c>
      <c r="P95" s="70" t="s">
        <v>323</v>
      </c>
      <c r="Q95" s="70">
        <v>11.85</v>
      </c>
      <c r="R95" s="67" t="s">
        <v>321</v>
      </c>
      <c r="S95" s="67">
        <v>21.5</v>
      </c>
      <c r="T95" s="70" t="s">
        <v>321</v>
      </c>
      <c r="U95" s="70">
        <v>3.9</v>
      </c>
      <c r="V95" s="67" t="s">
        <v>324</v>
      </c>
      <c r="W95" s="67">
        <v>2.25</v>
      </c>
      <c r="X95" s="70" t="s">
        <v>320</v>
      </c>
      <c r="Y95" s="70">
        <v>23.35</v>
      </c>
      <c r="Z95" s="67" t="s">
        <v>320</v>
      </c>
      <c r="AA95" s="67">
        <v>5.2</v>
      </c>
      <c r="AB95" s="70" t="s">
        <v>324</v>
      </c>
      <c r="AC95" s="70">
        <v>4.7</v>
      </c>
      <c r="AD95" s="77"/>
      <c r="AE95" s="80"/>
    </row>
    <row r="96" ht="15.75" hidden="1" customHeight="1">
      <c r="A96" s="31" t="s">
        <v>117</v>
      </c>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80"/>
    </row>
    <row r="97" ht="15.75" customHeight="1">
      <c r="A97" s="53" t="s">
        <v>132</v>
      </c>
      <c r="B97" s="67" t="s">
        <v>325</v>
      </c>
      <c r="C97" s="67">
        <v>6.7</v>
      </c>
      <c r="D97" s="70" t="s">
        <v>325</v>
      </c>
      <c r="E97" s="70">
        <v>8.0</v>
      </c>
      <c r="F97" s="67" t="s">
        <v>326</v>
      </c>
      <c r="G97" s="67">
        <v>11.1</v>
      </c>
      <c r="H97" s="70" t="s">
        <v>327</v>
      </c>
      <c r="I97" s="70">
        <v>5.8</v>
      </c>
      <c r="J97" s="67" t="s">
        <v>326</v>
      </c>
      <c r="K97" s="67">
        <v>3.7</v>
      </c>
      <c r="L97" s="70" t="s">
        <v>325</v>
      </c>
      <c r="M97" s="70">
        <v>5.8</v>
      </c>
      <c r="N97" s="67" t="s">
        <v>326</v>
      </c>
      <c r="O97" s="67">
        <v>12.9</v>
      </c>
      <c r="P97" s="70" t="s">
        <v>325</v>
      </c>
      <c r="Q97" s="70">
        <v>13.7</v>
      </c>
      <c r="R97" s="67" t="s">
        <v>326</v>
      </c>
      <c r="S97" s="67">
        <v>12.1</v>
      </c>
      <c r="T97" s="70" t="s">
        <v>325</v>
      </c>
      <c r="U97" s="70">
        <v>10.1</v>
      </c>
      <c r="V97" s="67" t="s">
        <v>325</v>
      </c>
      <c r="W97" s="67">
        <v>1.7</v>
      </c>
      <c r="X97" s="70" t="s">
        <v>326</v>
      </c>
      <c r="Y97" s="70">
        <v>10.6</v>
      </c>
      <c r="Z97" s="67" t="s">
        <v>326</v>
      </c>
      <c r="AA97" s="67">
        <v>8.9</v>
      </c>
      <c r="AB97" s="70" t="s">
        <v>326</v>
      </c>
      <c r="AC97" s="70">
        <v>7.8</v>
      </c>
      <c r="AD97" s="77"/>
      <c r="AE97" s="80"/>
    </row>
    <row r="98" ht="15.75" customHeight="1">
      <c r="A98" s="53" t="s">
        <v>136</v>
      </c>
      <c r="B98" s="67" t="s">
        <v>312</v>
      </c>
      <c r="C98" s="67">
        <v>15.7</v>
      </c>
      <c r="D98" s="70" t="s">
        <v>312</v>
      </c>
      <c r="E98" s="70">
        <v>11.7</v>
      </c>
      <c r="F98" s="67" t="s">
        <v>313</v>
      </c>
      <c r="G98" s="67">
        <v>31.6</v>
      </c>
      <c r="H98" s="70" t="s">
        <v>313</v>
      </c>
      <c r="I98" s="70">
        <v>2.1</v>
      </c>
      <c r="J98" s="67" t="s">
        <v>313</v>
      </c>
      <c r="K98" s="67">
        <v>22.22</v>
      </c>
      <c r="L98" s="70" t="s">
        <v>124</v>
      </c>
      <c r="M98" s="70">
        <v>4.3</v>
      </c>
      <c r="N98" s="67" t="s">
        <v>313</v>
      </c>
      <c r="O98" s="67">
        <v>7.2</v>
      </c>
      <c r="P98" s="70" t="s">
        <v>326</v>
      </c>
      <c r="Q98" s="70">
        <v>10.3</v>
      </c>
      <c r="R98" s="67" t="s">
        <v>313</v>
      </c>
      <c r="S98" s="67">
        <v>12.1</v>
      </c>
      <c r="T98" s="70" t="s">
        <v>313</v>
      </c>
      <c r="U98" s="70">
        <v>11.6</v>
      </c>
      <c r="V98" s="67" t="s">
        <v>313</v>
      </c>
      <c r="W98" s="67">
        <v>5.3</v>
      </c>
      <c r="X98" s="70" t="s">
        <v>107</v>
      </c>
      <c r="Y98" s="70">
        <v>17.9</v>
      </c>
      <c r="Z98" s="67" t="s">
        <v>107</v>
      </c>
      <c r="AA98" s="67">
        <v>19.8</v>
      </c>
      <c r="AB98" s="70" t="s">
        <v>311</v>
      </c>
      <c r="AC98" s="70">
        <v>19.2</v>
      </c>
      <c r="AD98" s="77"/>
      <c r="AE98" s="80"/>
    </row>
    <row r="99" ht="15.75" customHeight="1">
      <c r="A99" s="53" t="s">
        <v>139</v>
      </c>
      <c r="B99" s="67" t="s">
        <v>329</v>
      </c>
      <c r="C99" s="67">
        <v>19.09</v>
      </c>
      <c r="D99" s="70" t="s">
        <v>282</v>
      </c>
      <c r="E99" s="70">
        <v>15.23</v>
      </c>
      <c r="F99" s="67" t="s">
        <v>282</v>
      </c>
      <c r="G99" s="67">
        <v>54.64</v>
      </c>
      <c r="H99" s="70" t="s">
        <v>282</v>
      </c>
      <c r="I99" s="70">
        <v>15.24</v>
      </c>
      <c r="J99" s="67" t="s">
        <v>282</v>
      </c>
      <c r="K99" s="67">
        <v>11.3</v>
      </c>
      <c r="L99" s="70" t="s">
        <v>330</v>
      </c>
      <c r="M99" s="70">
        <v>12.3</v>
      </c>
      <c r="N99" s="67" t="s">
        <v>331</v>
      </c>
      <c r="O99" s="67">
        <v>29.05</v>
      </c>
      <c r="P99" s="70" t="s">
        <v>332</v>
      </c>
      <c r="Q99" s="70">
        <v>5.54</v>
      </c>
      <c r="R99" s="67" t="s">
        <v>333</v>
      </c>
      <c r="S99" s="67">
        <v>11.6</v>
      </c>
      <c r="T99" s="70" t="s">
        <v>334</v>
      </c>
      <c r="U99" s="70">
        <v>19.07</v>
      </c>
      <c r="V99" s="67" t="s">
        <v>334</v>
      </c>
      <c r="W99" s="67">
        <v>24.83</v>
      </c>
      <c r="X99" s="70" t="s">
        <v>334</v>
      </c>
      <c r="Y99" s="70">
        <v>21.3</v>
      </c>
      <c r="Z99" s="67" t="s">
        <v>334</v>
      </c>
      <c r="AA99" s="67">
        <v>8.1</v>
      </c>
      <c r="AB99" s="70" t="s">
        <v>334</v>
      </c>
      <c r="AC99" s="70">
        <v>5.97</v>
      </c>
      <c r="AD99" s="77"/>
      <c r="AE99" s="80"/>
    </row>
    <row r="100" ht="15.75" customHeight="1">
      <c r="A100" s="53" t="s">
        <v>146</v>
      </c>
      <c r="B100" s="67" t="s">
        <v>335</v>
      </c>
      <c r="C100" s="67">
        <v>9.0</v>
      </c>
      <c r="D100" s="70" t="s">
        <v>335</v>
      </c>
      <c r="E100" s="70">
        <v>8.0</v>
      </c>
      <c r="F100" s="67" t="s">
        <v>336</v>
      </c>
      <c r="G100" s="67">
        <v>7.0</v>
      </c>
      <c r="H100" s="70" t="s">
        <v>335</v>
      </c>
      <c r="I100" s="70">
        <v>5.0</v>
      </c>
      <c r="J100" s="67" t="s">
        <v>335</v>
      </c>
      <c r="K100" s="67">
        <v>7.0</v>
      </c>
      <c r="L100" s="70" t="s">
        <v>335</v>
      </c>
      <c r="M100" s="70">
        <v>17.0</v>
      </c>
      <c r="N100" s="67" t="s">
        <v>335</v>
      </c>
      <c r="O100" s="67">
        <v>7.0</v>
      </c>
      <c r="P100" s="70" t="s">
        <v>336</v>
      </c>
      <c r="Q100" s="70">
        <v>10.0</v>
      </c>
      <c r="R100" s="67" t="s">
        <v>336</v>
      </c>
      <c r="S100" s="67">
        <v>9.5</v>
      </c>
      <c r="T100" s="70" t="s">
        <v>335</v>
      </c>
      <c r="U100" s="70">
        <v>14.0</v>
      </c>
      <c r="V100" s="67" t="s">
        <v>335</v>
      </c>
      <c r="W100" s="67">
        <v>8.0</v>
      </c>
      <c r="X100" s="70" t="s">
        <v>336</v>
      </c>
      <c r="Y100" s="70">
        <v>8.0</v>
      </c>
      <c r="Z100" s="67" t="s">
        <v>335</v>
      </c>
      <c r="AA100" s="67">
        <v>10.0</v>
      </c>
      <c r="AB100" s="70" t="s">
        <v>335</v>
      </c>
      <c r="AC100" s="70">
        <v>21.0</v>
      </c>
      <c r="AD100" s="77"/>
      <c r="AE100" s="80"/>
    </row>
    <row r="101" ht="15.75" customHeight="1">
      <c r="A101" s="225" t="s">
        <v>162</v>
      </c>
      <c r="B101" s="226" t="s">
        <v>288</v>
      </c>
      <c r="C101" s="226">
        <v>7.1</v>
      </c>
      <c r="D101" s="227" t="s">
        <v>288</v>
      </c>
      <c r="E101" s="227">
        <v>11.3</v>
      </c>
      <c r="F101" s="226" t="s">
        <v>337</v>
      </c>
      <c r="G101" s="226">
        <v>20.3</v>
      </c>
      <c r="H101" s="227" t="s">
        <v>206</v>
      </c>
      <c r="I101" s="227">
        <v>9.5</v>
      </c>
      <c r="J101" s="226" t="s">
        <v>338</v>
      </c>
      <c r="K101" s="226">
        <v>4.3</v>
      </c>
      <c r="L101" s="227" t="s">
        <v>339</v>
      </c>
      <c r="M101" s="227">
        <v>10.9</v>
      </c>
      <c r="N101" s="226" t="s">
        <v>339</v>
      </c>
      <c r="O101" s="226">
        <v>7.3</v>
      </c>
      <c r="P101" s="227" t="s">
        <v>340</v>
      </c>
      <c r="Q101" s="227">
        <v>11.8</v>
      </c>
      <c r="R101" s="226" t="s">
        <v>286</v>
      </c>
      <c r="S101" s="226">
        <v>16.4</v>
      </c>
      <c r="T101" s="227" t="s">
        <v>286</v>
      </c>
      <c r="U101" s="227">
        <v>11.1</v>
      </c>
      <c r="V101" s="226" t="s">
        <v>339</v>
      </c>
      <c r="W101" s="226">
        <v>18.2</v>
      </c>
      <c r="X101" s="227" t="s">
        <v>286</v>
      </c>
      <c r="Y101" s="227">
        <v>10.9</v>
      </c>
      <c r="Z101" s="226" t="s">
        <v>286</v>
      </c>
      <c r="AA101" s="226">
        <v>-1.8</v>
      </c>
      <c r="AB101" s="227" t="s">
        <v>286</v>
      </c>
      <c r="AC101" s="227">
        <v>3.6</v>
      </c>
      <c r="AD101" s="228"/>
      <c r="AE101" s="229"/>
    </row>
    <row r="102" ht="15.75" customHeight="1">
      <c r="A102" s="148" t="s">
        <v>167</v>
      </c>
      <c r="B102" s="151">
        <f>SUM(C89:C101)</f>
        <v>177.91</v>
      </c>
      <c r="C102" s="24"/>
      <c r="D102" s="151">
        <f>SUM(E89:E101)</f>
        <v>154.71</v>
      </c>
      <c r="E102" s="24"/>
      <c r="F102" s="151">
        <f>SUM(G89:G101)</f>
        <v>232.94</v>
      </c>
      <c r="G102" s="24"/>
      <c r="H102" s="151">
        <f>SUM(I89:I101)</f>
        <v>159.16</v>
      </c>
      <c r="I102" s="24"/>
      <c r="J102" s="151">
        <f>SUM(K89:K101)</f>
        <v>164.86</v>
      </c>
      <c r="K102" s="24"/>
      <c r="L102" s="151">
        <f>SUM(M89:M101)</f>
        <v>149.44</v>
      </c>
      <c r="M102" s="24"/>
      <c r="N102" s="151">
        <f>SUM(O89:O101)</f>
        <v>169.29</v>
      </c>
      <c r="O102" s="24"/>
      <c r="P102" s="151">
        <f>SUM(Q89:Q101)</f>
        <v>175.97</v>
      </c>
      <c r="Q102" s="24"/>
      <c r="R102" s="151">
        <f>SUM(S89:S101)</f>
        <v>203.6</v>
      </c>
      <c r="S102" s="24"/>
      <c r="T102" s="151">
        <f>SUM(U89:U101)</f>
        <v>167.97</v>
      </c>
      <c r="U102" s="24"/>
      <c r="V102" s="151">
        <f>SUM(W89:W101)</f>
        <v>118.22</v>
      </c>
      <c r="W102" s="24"/>
      <c r="X102" s="151">
        <f>SUM(Y89:Y101)</f>
        <v>152.31</v>
      </c>
      <c r="Y102" s="24"/>
      <c r="Z102" s="151">
        <f>SUM(AA89:AA101)</f>
        <v>137.66</v>
      </c>
      <c r="AA102" s="24"/>
      <c r="AB102" s="151">
        <f>SUM(AC89:AC101)</f>
        <v>146.33</v>
      </c>
      <c r="AC102" s="24"/>
      <c r="AD102" s="158">
        <f>SUM(AE89:AE101)</f>
        <v>0</v>
      </c>
      <c r="AE102" s="24"/>
    </row>
    <row r="103" ht="15.75" customHeight="1">
      <c r="A103" s="159" t="s">
        <v>168</v>
      </c>
      <c r="B103" s="159" t="str">
        <f t="array" ref="B103">IFERROR(INDEX(B89:B101,MATCH(LARGE(C89:C101,1),C89:C101,0)),"N/A")</f>
        <v>J. HERBERT</v>
      </c>
      <c r="C103" s="159">
        <f>IFERROR(LARGE(C89:C101,1),0)</f>
        <v>38.82</v>
      </c>
      <c r="D103" s="159" t="str">
        <f t="array" ref="D103">IFERROR(INDEX(D89:D101,MATCH(LARGE(E89:E101,1),E89:E101,0)),"N/A")</f>
        <v>J. HERBERT</v>
      </c>
      <c r="E103" s="159">
        <f>IFERROR(LARGE(E89:E101,1),0)</f>
        <v>25.88</v>
      </c>
      <c r="F103" s="159" t="str">
        <f t="array" ref="F103">IFERROR(INDEX(F89:F101,MATCH(LARGE(G89:G101,1),G89:G101,0)),"N/A")</f>
        <v>MIN D/ST</v>
      </c>
      <c r="G103" s="159">
        <f>IFERROR(LARGE(G89:G101,1),0)</f>
        <v>54.64</v>
      </c>
      <c r="H103" s="159" t="str">
        <f t="array" ref="H103">IFERROR(INDEX(H89:H101,MATCH(LARGE(I89:I101,1),I89:I101,0)),"N/A")</f>
        <v>J. JACOBS</v>
      </c>
      <c r="I103" s="159">
        <f>IFERROR(LARGE(I89:I101,1),0)</f>
        <v>33.9</v>
      </c>
      <c r="J103" s="159" t="str">
        <f t="array" ref="J103">IFERROR(INDEX(J89:J101,MATCH(LARGE(K89:K101,1),K89:K101,0)),"N/A")</f>
        <v>K. WILLIAMS</v>
      </c>
      <c r="K103" s="159">
        <f>IFERROR(LARGE(K89:K101,1),0)</f>
        <v>32.5</v>
      </c>
      <c r="L103" s="159" t="str">
        <f t="array" ref="L103">IFERROR(INDEX(L89:L101,MATCH(LARGE(M89:M101,1),M89:M101,0)),"N/A")</f>
        <v>J. JACOBS</v>
      </c>
      <c r="M103" s="159">
        <f>IFERROR(LARGE(M89:M101,1),0)</f>
        <v>33.8</v>
      </c>
      <c r="N103" s="159" t="str">
        <f t="array" ref="N103">IFERROR(INDEX(N89:N101,MATCH(LARGE(O89:O101,1),O89:O101,0)),"N/A")</f>
        <v>CAR D/ST</v>
      </c>
      <c r="O103" s="159">
        <f>IFERROR(LARGE(O89:O101,1),0)</f>
        <v>29.05</v>
      </c>
      <c r="P103" s="159" t="str">
        <f t="array" ref="P103">IFERROR(INDEX(P89:P101,MATCH(LARGE(Q89:Q101,1),Q89:Q101,0)),"N/A")</f>
        <v>J. HERBERT</v>
      </c>
      <c r="Q103" s="159">
        <f>IFERROR(LARGE(Q89:Q101,1),0)</f>
        <v>33.38</v>
      </c>
      <c r="R103" s="159" t="str">
        <f t="array" ref="R103">IFERROR(INDEX(R89:R101,MATCH(LARGE(S89:S101,1),S89:S101,0)),"N/A")</f>
        <v>J. HERBERT</v>
      </c>
      <c r="S103" s="159">
        <f>IFERROR(LARGE(S89:S101,1),0)</f>
        <v>33.6</v>
      </c>
      <c r="T103" s="159" t="str">
        <f t="array" ref="T103">IFERROR(INDEX(T89:T101,MATCH(LARGE(U89:U101,1),U89:U101,0)),"N/A")</f>
        <v>K. WILLIAMS</v>
      </c>
      <c r="U103" s="159">
        <f>IFERROR(LARGE(U89:U101,1),0)</f>
        <v>23.8</v>
      </c>
      <c r="V103" s="159" t="str">
        <f t="array" ref="V103">IFERROR(INDEX(V89:V101,MATCH(LARGE(W89:W101,1),W89:W101,0)),"N/A")</f>
        <v>G. DORTCH</v>
      </c>
      <c r="W103" s="159">
        <f>IFERROR(LARGE(W89:W101,1),0)</f>
        <v>25.1</v>
      </c>
      <c r="X103" s="159" t="str">
        <f t="array" ref="X103">IFERROR(INDEX(X89:X101,MATCH(LARGE(Y89:Y101,1),Y89:Y101,0)),"N/A")</f>
        <v>G. DORTCH</v>
      </c>
      <c r="Y103" s="159">
        <f>IFERROR(LARGE(Y89:Y101,1),0)</f>
        <v>23.35</v>
      </c>
      <c r="Z103" s="159" t="str">
        <f t="array" ref="Z103">IFERROR(INDEX(Z89:Z101,MATCH(LARGE(AA89:AA101,1),AA89:AA101,0)),"N/A")</f>
        <v>J. LOVE</v>
      </c>
      <c r="AA103" s="159">
        <f>IFERROR(LARGE(AA89:AA101,1),0)</f>
        <v>35.46</v>
      </c>
      <c r="AB103" s="159" t="str">
        <f t="array" ref="AB103">IFERROR(INDEX(AB89:AB101,MATCH(LARGE(AC89:AC101,1),AC89:AC101,0)),"N/A")</f>
        <v>J. LOVE</v>
      </c>
      <c r="AC103" s="159">
        <f>IFERROR(LARGE(AC89:AC101,1),0)</f>
        <v>26.36</v>
      </c>
      <c r="AD103" s="77" t="str">
        <f t="array" ref="AD103">INDEX(AD89:AD101,MATCH(LARGE(AE89:AE101,1),AE89:AE101,0))</f>
        <v>#NUM!</v>
      </c>
      <c r="AE103" s="77" t="str">
        <f>LARGE(AE89:AE101,1)</f>
        <v>#NUM!</v>
      </c>
    </row>
    <row r="104" ht="15.75" customHeight="1">
      <c r="A104" s="186" t="s">
        <v>171</v>
      </c>
      <c r="B104" s="186" t="str">
        <f t="array" ref="B104">IFERROR(INDEX(B89:B101,MATCH(LARGE(C89:C101,2),C89:C101,0)),"N/A")</f>
        <v>G. WILSON</v>
      </c>
      <c r="C104" s="188">
        <f>IFERROR(LARGE(C89:C101,2),0)</f>
        <v>22.5</v>
      </c>
      <c r="D104" s="186" t="str">
        <f t="array" ref="D104">IFERROR(INDEX(D89:D101,MATCH(LARGE(E89:E101,2),E89:E101,0)),"N/A")</f>
        <v>D. ADAMS</v>
      </c>
      <c r="E104" s="188">
        <f>IFERROR(LARGE(E89:E101,2),0)</f>
        <v>23.6</v>
      </c>
      <c r="F104" s="186" t="str">
        <f t="array" ref="F104">IFERROR(INDEX(F89:F101,MATCH(LARGE(G89:G101,2),G89:G101,0)),"N/A")</f>
        <v>D. MONTGOMERY</v>
      </c>
      <c r="G104" s="188">
        <f>IFERROR(LARGE(G89:G101,2),0)</f>
        <v>31.6</v>
      </c>
      <c r="H104" s="186" t="str">
        <f t="array" ref="H104">IFERROR(INDEX(H89:H101,MATCH(LARGE(I89:I101,2),I89:I101,0)),"N/A")</f>
        <v>G. WILSON</v>
      </c>
      <c r="I104" s="188">
        <f>IFERROR(LARGE(I89:I101,2),0)</f>
        <v>20.2</v>
      </c>
      <c r="J104" s="186" t="str">
        <f t="array" ref="J104">IFERROR(INDEX(J89:J101,MATCH(LARGE(K89:K101,2),K89:K101,0)),"N/A")</f>
        <v>D. MONTGOMERY</v>
      </c>
      <c r="K104" s="188">
        <f>IFERROR(LARGE(K89:K101,2),0)</f>
        <v>22.22</v>
      </c>
      <c r="L104" s="186" t="str">
        <f t="array" ref="L104">IFERROR(INDEX(L89:L101,MATCH(LARGE(M89:M101,2),M89:M101,0)),"N/A")</f>
        <v>J. DANIELS</v>
      </c>
      <c r="M104" s="188">
        <f>IFERROR(LARGE(M89:M101,2),0)</f>
        <v>30.24</v>
      </c>
      <c r="N104" s="186" t="str">
        <f t="array" ref="N104">IFERROR(INDEX(N89:N101,MATCH(LARGE(O89:O101,2),O89:O101,0)),"N/A")</f>
        <v>D. ADAMS</v>
      </c>
      <c r="O104" s="188">
        <f>IFERROR(LARGE(O89:O101,2),0)</f>
        <v>26.5</v>
      </c>
      <c r="P104" s="186" t="str">
        <f t="array" ref="P104">IFERROR(INDEX(P89:P101,MATCH(LARGE(Q89:Q101,2),Q89:Q101,0)),"N/A")</f>
        <v>C. BROWN</v>
      </c>
      <c r="Q104" s="188">
        <f>IFERROR(LARGE(Q89:Q101,2),0)</f>
        <v>26.7</v>
      </c>
      <c r="R104" s="186" t="str">
        <f t="array" ref="R104">IFERROR(INDEX(R89:R101,MATCH(LARGE(S89:S101,2),S89:S101,0)),"N/A")</f>
        <v>D. ADAMS</v>
      </c>
      <c r="S104" s="188">
        <f>IFERROR(LARGE(S89:S101,2),0)</f>
        <v>23</v>
      </c>
      <c r="T104" s="186" t="str">
        <f t="array" ref="T104">IFERROR(INDEX(T89:T101,MATCH(LARGE(U89:U101,2),U89:U101,0)),"N/A")</f>
        <v>J. JACOBS</v>
      </c>
      <c r="U104" s="188">
        <f>IFERROR(LARGE(U89:U101,2),0)</f>
        <v>21.8</v>
      </c>
      <c r="V104" s="186" t="str">
        <f t="array" ref="V104">IFERROR(INDEX(V89:V101,MATCH(LARGE(W89:W101,2),W89:W101,0)),"N/A")</f>
        <v>BAL D/ST</v>
      </c>
      <c r="W104" s="188">
        <f>IFERROR(LARGE(W89:W101,2),0)</f>
        <v>24.83</v>
      </c>
      <c r="X104" s="186" t="str">
        <f t="array" ref="X104">IFERROR(INDEX(X89:X101,MATCH(LARGE(Y89:Y101,2),Y89:Y101,0)),"N/A")</f>
        <v>D. ADAMS</v>
      </c>
      <c r="Y104" s="188">
        <f>IFERROR(LARGE(Y89:Y101,2),0)</f>
        <v>23.2</v>
      </c>
      <c r="Z104" s="186" t="str">
        <f t="array" ref="Z104">IFERROR(INDEX(Z89:Z101,MATCH(LARGE(AA89:AA101,2),AA89:AA101,0)),"N/A")</f>
        <v>D. ADAMS</v>
      </c>
      <c r="AA104" s="188">
        <f>IFERROR(LARGE(AA89:AA101,2),0)</f>
        <v>21.8</v>
      </c>
      <c r="AB104" s="186" t="str">
        <f t="array" ref="AB104">IFERROR(INDEX(AB89:AB101,MATCH(LARGE(AC89:AC101,2),AC89:AC101,0)),"N/A")</f>
        <v>C. DICKER</v>
      </c>
      <c r="AC104" s="188">
        <f>IFERROR(LARGE(AC89:AC101,2),0)</f>
        <v>21</v>
      </c>
      <c r="AD104" s="201"/>
      <c r="AE104" s="201"/>
    </row>
    <row r="105" ht="15.75" customHeight="1">
      <c r="A105" s="202" t="s">
        <v>173</v>
      </c>
      <c r="B105" s="202" t="str">
        <f t="array" ref="B105">IFERROR(INDEX(B89:B101,MATCH(LARGE(C89:C101,3),C89:C101,0)),"N/A")</f>
        <v>MIN D/DT</v>
      </c>
      <c r="C105" s="204">
        <f>IFERROR(LARGE(C89:C101,3),0)</f>
        <v>19.09</v>
      </c>
      <c r="D105" s="202" t="str">
        <f t="array" ref="D105">IFERROR(INDEX(D89:D101,MATCH(LARGE(E89:E101,3),E89:E101,0)),"N/A")</f>
        <v>J. GIBBS</v>
      </c>
      <c r="E105" s="204">
        <f>IFERROR(LARGE(E89:E101,3),0)</f>
        <v>20.6</v>
      </c>
      <c r="F105" s="202" t="str">
        <f t="array" ref="F105">IFERROR(INDEX(F89:F101,MATCH(LARGE(G89:G101,3),G89:G101,0)),"N/A")</f>
        <v>J. GIBBS</v>
      </c>
      <c r="G105" s="204">
        <f>IFERROR(LARGE(G89:G101,3),0)</f>
        <v>29.1</v>
      </c>
      <c r="H105" s="202" t="str">
        <f t="array" ref="H105">IFERROR(INDEX(H89:H101,MATCH(LARGE(I89:I101,3),I89:I101,0)),"N/A")</f>
        <v>J. GIBBS</v>
      </c>
      <c r="I105" s="204">
        <f>IFERROR(LARGE(I89:I101,3),0)</f>
        <v>19.2</v>
      </c>
      <c r="J105" s="202" t="str">
        <f t="array" ref="J105">IFERROR(INDEX(J89:J101,MATCH(LARGE(K89:K101,3),K89:K101,0)),"N/A")</f>
        <v>J. HERBERT</v>
      </c>
      <c r="K105" s="204">
        <f>IFERROR(LARGE(K89:K101,3),0)</f>
        <v>19.24</v>
      </c>
      <c r="L105" s="202" t="str">
        <f t="array" ref="L105">IFERROR(INDEX(L89:L101,MATCH(LARGE(M89:M101,3),M89:M101,0)),"N/A")</f>
        <v>K. WILLIAMS</v>
      </c>
      <c r="M105" s="204">
        <f>IFERROR(LARGE(M89:M101,3),0)</f>
        <v>18</v>
      </c>
      <c r="N105" s="202" t="str">
        <f t="array" ref="N105">IFERROR(INDEX(N89:N101,MATCH(LARGE(O89:O101,3),O89:O101,0)),"N/A")</f>
        <v>J. DANIELS</v>
      </c>
      <c r="O105" s="204">
        <f>IFERROR(LARGE(O89:O101,3),0)</f>
        <v>20.94</v>
      </c>
      <c r="P105" s="202" t="str">
        <f t="array" ref="P105">IFERROR(INDEX(P89:P101,MATCH(LARGE(Q89:Q101,3),Q89:Q101,0)),"N/A")</f>
        <v>M. PITTMAN JR.</v>
      </c>
      <c r="Q105" s="204">
        <f>IFERROR(LARGE(Q89:Q101,3),0)</f>
        <v>23.5</v>
      </c>
      <c r="R105" s="202" t="str">
        <f t="array" ref="R105">IFERROR(INDEX(R89:R101,MATCH(LARGE(S89:S101,3),S89:S101,0)),"N/A")</f>
        <v>M. HARRISON</v>
      </c>
      <c r="S105" s="204">
        <f>IFERROR(LARGE(S89:S101,3),0)</f>
        <v>22.6</v>
      </c>
      <c r="T105" s="202" t="str">
        <f t="array" ref="T105">IFERROR(INDEX(T89:T101,MATCH(LARGE(U89:U101,3),U89:U101,0)),"N/A")</f>
        <v>D. ADAMS</v>
      </c>
      <c r="U105" s="204">
        <f>IFERROR(LARGE(U89:U101,3),0)</f>
        <v>19.7</v>
      </c>
      <c r="V105" s="202" t="str">
        <f t="array" ref="V105">IFERROR(INDEX(V89:V101,MATCH(LARGE(W89:W101,3),W89:W101,0)),"N/A")</f>
        <v>PIT HC</v>
      </c>
      <c r="W105" s="204">
        <f>IFERROR(LARGE(W89:W101,3),0)</f>
        <v>18.2</v>
      </c>
      <c r="X105" s="202" t="str">
        <f t="array" ref="X105">IFERROR(INDEX(X89:X101,MATCH(LARGE(Y89:Y101,3),Y89:Y101,0)),"N/A")</f>
        <v>BAL D/ST</v>
      </c>
      <c r="Y105" s="204">
        <f>IFERROR(LARGE(Y89:Y101,3),0)</f>
        <v>21.3</v>
      </c>
      <c r="Z105" s="202" t="str">
        <f t="array" ref="Z105">IFERROR(INDEX(Z89:Z101,MATCH(LARGE(AA89:AA101,3),AA89:AA101,0)),"N/A")</f>
        <v>C. BROWN</v>
      </c>
      <c r="AA105" s="204">
        <f>IFERROR(LARGE(AA89:AA101,3),0)</f>
        <v>19.8</v>
      </c>
      <c r="AB105" s="202" t="str">
        <f t="array" ref="AB105">IFERROR(INDEX(AB89:AB101,MATCH(LARGE(AC89:AC101,3),AC89:AC101,0)),"N/A")</f>
        <v>J. JACOBS</v>
      </c>
      <c r="AC105" s="204">
        <f>IFERROR(LARGE(AC89:AC101,3),0)</f>
        <v>19.2</v>
      </c>
      <c r="AD105" s="201"/>
      <c r="AE105" s="201"/>
    </row>
    <row r="106" ht="15.75" customHeight="1"/>
    <row r="107" ht="34.5" customHeight="1">
      <c r="A107" s="410" t="str">
        <f>Settings!A8</f>
        <v>METAMOOKDAWGS</v>
      </c>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9"/>
    </row>
    <row r="108" ht="15.75" customHeight="1">
      <c r="A108" s="31"/>
      <c r="B108" s="33" t="s">
        <v>48</v>
      </c>
      <c r="C108" s="24"/>
      <c r="D108" s="34" t="s">
        <v>51</v>
      </c>
      <c r="E108" s="24"/>
      <c r="F108" s="33" t="s">
        <v>55</v>
      </c>
      <c r="G108" s="24"/>
      <c r="H108" s="34" t="s">
        <v>58</v>
      </c>
      <c r="I108" s="24"/>
      <c r="J108" s="33" t="s">
        <v>60</v>
      </c>
      <c r="K108" s="24"/>
      <c r="L108" s="34" t="s">
        <v>62</v>
      </c>
      <c r="M108" s="24"/>
      <c r="N108" s="33" t="s">
        <v>64</v>
      </c>
      <c r="O108" s="24"/>
      <c r="P108" s="34" t="s">
        <v>66</v>
      </c>
      <c r="Q108" s="24"/>
      <c r="R108" s="33" t="s">
        <v>68</v>
      </c>
      <c r="S108" s="24"/>
      <c r="T108" s="34" t="s">
        <v>70</v>
      </c>
      <c r="U108" s="24"/>
      <c r="V108" s="33" t="s">
        <v>73</v>
      </c>
      <c r="W108" s="24"/>
      <c r="X108" s="34" t="s">
        <v>76</v>
      </c>
      <c r="Y108" s="24"/>
      <c r="Z108" s="33" t="s">
        <v>78</v>
      </c>
      <c r="AA108" s="24"/>
      <c r="AB108" s="34" t="s">
        <v>79</v>
      </c>
      <c r="AC108" s="24"/>
      <c r="AD108" s="49" t="s">
        <v>83</v>
      </c>
      <c r="AE108" s="50"/>
    </row>
    <row r="109" ht="15.75" customHeight="1">
      <c r="A109" s="53" t="s">
        <v>85</v>
      </c>
      <c r="B109" s="54">
        <v>3.0</v>
      </c>
      <c r="C109" s="24"/>
      <c r="D109" s="55">
        <v>7.0</v>
      </c>
      <c r="E109" s="24"/>
      <c r="F109" s="54">
        <v>9.0</v>
      </c>
      <c r="G109" s="24"/>
      <c r="H109" s="55">
        <v>7.0</v>
      </c>
      <c r="I109" s="24"/>
      <c r="J109" s="54">
        <v>7.0</v>
      </c>
      <c r="K109" s="24"/>
      <c r="L109" s="55">
        <v>8.0</v>
      </c>
      <c r="M109" s="24"/>
      <c r="N109" s="54">
        <v>8.0</v>
      </c>
      <c r="O109" s="24"/>
      <c r="P109" s="55">
        <v>10.0</v>
      </c>
      <c r="Q109" s="24"/>
      <c r="R109" s="54">
        <v>9.0</v>
      </c>
      <c r="S109" s="24"/>
      <c r="T109" s="55">
        <v>7.0</v>
      </c>
      <c r="U109" s="24"/>
      <c r="V109" s="54">
        <v>7.0</v>
      </c>
      <c r="W109" s="24"/>
      <c r="X109" s="55">
        <v>8.0</v>
      </c>
      <c r="Y109" s="24"/>
      <c r="Z109" s="54">
        <v>8.0</v>
      </c>
      <c r="AA109" s="24"/>
      <c r="AB109" s="55">
        <v>9.0</v>
      </c>
      <c r="AC109" s="24"/>
      <c r="AD109" s="66"/>
      <c r="AE109" s="50"/>
    </row>
    <row r="110" ht="15.75" customHeight="1">
      <c r="A110" s="53" t="s">
        <v>100</v>
      </c>
      <c r="B110" s="67" t="s">
        <v>345</v>
      </c>
      <c r="C110" s="67">
        <v>28.68</v>
      </c>
      <c r="D110" s="70" t="s">
        <v>345</v>
      </c>
      <c r="E110" s="70">
        <v>14.04</v>
      </c>
      <c r="F110" s="67" t="s">
        <v>345</v>
      </c>
      <c r="G110" s="67">
        <v>37.94</v>
      </c>
      <c r="H110" s="70" t="s">
        <v>345</v>
      </c>
      <c r="I110" s="70">
        <v>25.5</v>
      </c>
      <c r="J110" s="67" t="s">
        <v>345</v>
      </c>
      <c r="K110" s="67">
        <v>25.3</v>
      </c>
      <c r="L110" s="70" t="s">
        <v>345</v>
      </c>
      <c r="M110" s="70">
        <v>25.52</v>
      </c>
      <c r="N110" s="67" t="s">
        <v>345</v>
      </c>
      <c r="O110" s="67">
        <v>34.44</v>
      </c>
      <c r="P110" s="70" t="s">
        <v>345</v>
      </c>
      <c r="Q110" s="70">
        <v>35.76</v>
      </c>
      <c r="R110" s="67" t="s">
        <v>346</v>
      </c>
      <c r="S110" s="67">
        <v>22.16</v>
      </c>
      <c r="T110" s="70" t="s">
        <v>345</v>
      </c>
      <c r="U110" s="70">
        <v>15.32</v>
      </c>
      <c r="V110" s="67" t="s">
        <v>345</v>
      </c>
      <c r="W110" s="67">
        <v>15.5</v>
      </c>
      <c r="X110" s="70" t="s">
        <v>345</v>
      </c>
      <c r="Y110" s="70">
        <v>36.56</v>
      </c>
      <c r="Z110" s="67" t="s">
        <v>345</v>
      </c>
      <c r="AA110" s="67">
        <v>20.7</v>
      </c>
      <c r="AB110" s="70" t="s">
        <v>345</v>
      </c>
      <c r="AC110" s="70">
        <v>-2.0</v>
      </c>
      <c r="AD110" s="77"/>
      <c r="AE110" s="80"/>
    </row>
    <row r="111" ht="15.75" customHeight="1">
      <c r="A111" s="53" t="s">
        <v>106</v>
      </c>
      <c r="B111" s="67" t="s">
        <v>347</v>
      </c>
      <c r="C111" s="67">
        <v>20.2</v>
      </c>
      <c r="D111" s="70" t="s">
        <v>347</v>
      </c>
      <c r="E111" s="70">
        <v>19.6</v>
      </c>
      <c r="F111" s="67" t="s">
        <v>347</v>
      </c>
      <c r="G111" s="67">
        <v>11.3</v>
      </c>
      <c r="H111" s="70" t="s">
        <v>347</v>
      </c>
      <c r="I111" s="70">
        <v>19.3</v>
      </c>
      <c r="J111" s="67" t="s">
        <v>347</v>
      </c>
      <c r="K111" s="67">
        <v>18.4</v>
      </c>
      <c r="L111" s="70" t="s">
        <v>347</v>
      </c>
      <c r="M111" s="70">
        <v>9.9</v>
      </c>
      <c r="N111" s="67" t="s">
        <v>347</v>
      </c>
      <c r="O111" s="67">
        <v>7.0</v>
      </c>
      <c r="P111" s="70" t="s">
        <v>347</v>
      </c>
      <c r="Q111" s="70">
        <v>35.8</v>
      </c>
      <c r="R111" s="67" t="s">
        <v>348</v>
      </c>
      <c r="S111" s="67">
        <v>19.5</v>
      </c>
      <c r="T111" s="70" t="s">
        <v>347</v>
      </c>
      <c r="U111" s="70">
        <v>15.3</v>
      </c>
      <c r="V111" s="67" t="s">
        <v>349</v>
      </c>
      <c r="W111" s="67">
        <v>8.9</v>
      </c>
      <c r="X111" s="70" t="s">
        <v>350</v>
      </c>
      <c r="Y111" s="70">
        <v>24.0</v>
      </c>
      <c r="Z111" s="67" t="s">
        <v>349</v>
      </c>
      <c r="AA111" s="67">
        <v>22.5</v>
      </c>
      <c r="AB111" s="70" t="s">
        <v>349</v>
      </c>
      <c r="AC111" s="70">
        <v>23.7</v>
      </c>
      <c r="AD111" s="77"/>
      <c r="AE111" s="80"/>
    </row>
    <row r="112" ht="15.75" customHeight="1">
      <c r="A112" s="53" t="s">
        <v>106</v>
      </c>
      <c r="B112" s="67" t="s">
        <v>352</v>
      </c>
      <c r="C112" s="67">
        <v>9.6</v>
      </c>
      <c r="D112" s="70" t="s">
        <v>353</v>
      </c>
      <c r="E112" s="70">
        <v>13.3</v>
      </c>
      <c r="F112" s="67" t="s">
        <v>352</v>
      </c>
      <c r="G112" s="67">
        <v>28.3</v>
      </c>
      <c r="H112" s="70" t="s">
        <v>352</v>
      </c>
      <c r="I112" s="70">
        <v>29.7</v>
      </c>
      <c r="J112" s="67" t="s">
        <v>352</v>
      </c>
      <c r="K112" s="67">
        <v>14.2</v>
      </c>
      <c r="L112" s="70" t="s">
        <v>349</v>
      </c>
      <c r="M112" s="70">
        <v>6.7</v>
      </c>
      <c r="N112" s="67" t="s">
        <v>349</v>
      </c>
      <c r="O112" s="67">
        <v>7.6</v>
      </c>
      <c r="P112" s="70" t="s">
        <v>348</v>
      </c>
      <c r="Q112" s="70">
        <v>26.1</v>
      </c>
      <c r="R112" s="67" t="s">
        <v>350</v>
      </c>
      <c r="S112" s="67">
        <v>13.6</v>
      </c>
      <c r="T112" s="70" t="s">
        <v>349</v>
      </c>
      <c r="U112" s="70">
        <v>5.95</v>
      </c>
      <c r="V112" s="67" t="s">
        <v>350</v>
      </c>
      <c r="W112" s="67">
        <v>14.5</v>
      </c>
      <c r="X112" s="70" t="s">
        <v>354</v>
      </c>
      <c r="Y112" s="70">
        <v>6.8</v>
      </c>
      <c r="Z112" s="67" t="s">
        <v>350</v>
      </c>
      <c r="AA112" s="67">
        <v>10.4</v>
      </c>
      <c r="AB112" s="70" t="s">
        <v>350</v>
      </c>
      <c r="AC112" s="70">
        <v>10.2</v>
      </c>
      <c r="AD112" s="77"/>
      <c r="AE112" s="80"/>
    </row>
    <row r="113" ht="15.75" hidden="1" customHeight="1">
      <c r="A113" s="31" t="s">
        <v>106</v>
      </c>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80"/>
    </row>
    <row r="114" ht="15.75" customHeight="1">
      <c r="A114" s="53" t="s">
        <v>117</v>
      </c>
      <c r="B114" s="67" t="s">
        <v>355</v>
      </c>
      <c r="C114" s="67">
        <v>5.5</v>
      </c>
      <c r="D114" s="70" t="s">
        <v>355</v>
      </c>
      <c r="E114" s="70">
        <v>14.2</v>
      </c>
      <c r="F114" s="67" t="s">
        <v>355</v>
      </c>
      <c r="G114" s="67">
        <v>23.4</v>
      </c>
      <c r="H114" s="70" t="s">
        <v>355</v>
      </c>
      <c r="I114" s="70">
        <v>11.9</v>
      </c>
      <c r="J114" s="67" t="s">
        <v>355</v>
      </c>
      <c r="K114" s="67">
        <v>16.1</v>
      </c>
      <c r="L114" s="70" t="s">
        <v>356</v>
      </c>
      <c r="M114" s="70">
        <v>31.2</v>
      </c>
      <c r="N114" s="67" t="s">
        <v>355</v>
      </c>
      <c r="O114" s="67">
        <v>6.7</v>
      </c>
      <c r="P114" s="70" t="s">
        <v>357</v>
      </c>
      <c r="Q114" s="70">
        <v>16.5</v>
      </c>
      <c r="R114" s="67" t="s">
        <v>355</v>
      </c>
      <c r="S114" s="67">
        <v>14.5</v>
      </c>
      <c r="T114" s="70" t="s">
        <v>355</v>
      </c>
      <c r="U114" s="70">
        <v>23.6</v>
      </c>
      <c r="V114" s="67" t="s">
        <v>355</v>
      </c>
      <c r="W114" s="67">
        <v>24.2</v>
      </c>
      <c r="X114" s="70" t="s">
        <v>355</v>
      </c>
      <c r="Y114" s="70">
        <v>8.5</v>
      </c>
      <c r="Z114" s="67" t="s">
        <v>355</v>
      </c>
      <c r="AA114" s="67">
        <v>21.6</v>
      </c>
      <c r="AB114" s="70" t="s">
        <v>355</v>
      </c>
      <c r="AC114" s="70">
        <v>17.1</v>
      </c>
      <c r="AD114" s="77"/>
      <c r="AE114" s="80"/>
    </row>
    <row r="115" ht="15.75" customHeight="1">
      <c r="A115" s="53" t="s">
        <v>117</v>
      </c>
      <c r="B115" s="67" t="s">
        <v>358</v>
      </c>
      <c r="C115" s="67">
        <v>20.4</v>
      </c>
      <c r="D115" s="70" t="s">
        <v>358</v>
      </c>
      <c r="E115" s="70">
        <v>19.3</v>
      </c>
      <c r="F115" s="67" t="s">
        <v>356</v>
      </c>
      <c r="G115" s="67">
        <v>20.6</v>
      </c>
      <c r="H115" s="70" t="s">
        <v>356</v>
      </c>
      <c r="I115" s="70">
        <v>13.3</v>
      </c>
      <c r="J115" s="67" t="s">
        <v>359</v>
      </c>
      <c r="K115" s="67">
        <v>3.5</v>
      </c>
      <c r="L115" s="70" t="s">
        <v>360</v>
      </c>
      <c r="M115" s="70">
        <v>19.5</v>
      </c>
      <c r="N115" s="67" t="s">
        <v>360</v>
      </c>
      <c r="O115" s="67">
        <v>8.0</v>
      </c>
      <c r="P115" s="70" t="s">
        <v>359</v>
      </c>
      <c r="Q115" s="70">
        <v>0.0</v>
      </c>
      <c r="R115" s="67" t="s">
        <v>356</v>
      </c>
      <c r="S115" s="67">
        <v>23.1</v>
      </c>
      <c r="T115" s="70" t="s">
        <v>356</v>
      </c>
      <c r="U115" s="70">
        <v>20.3</v>
      </c>
      <c r="V115" s="67" t="s">
        <v>356</v>
      </c>
      <c r="W115" s="67">
        <v>21.7</v>
      </c>
      <c r="X115" s="70" t="s">
        <v>356</v>
      </c>
      <c r="Y115" s="70">
        <v>38.2</v>
      </c>
      <c r="Z115" s="67" t="s">
        <v>356</v>
      </c>
      <c r="AA115" s="67">
        <v>4.3</v>
      </c>
      <c r="AB115" s="70" t="s">
        <v>356</v>
      </c>
      <c r="AC115" s="70">
        <v>28.2</v>
      </c>
      <c r="AD115" s="77"/>
      <c r="AE115" s="80"/>
    </row>
    <row r="116" ht="15.75" customHeight="1">
      <c r="A116" s="53" t="s">
        <v>117</v>
      </c>
      <c r="B116" s="67" t="s">
        <v>359</v>
      </c>
      <c r="C116" s="67">
        <v>11.6</v>
      </c>
      <c r="D116" s="70" t="s">
        <v>360</v>
      </c>
      <c r="E116" s="70">
        <v>11.0</v>
      </c>
      <c r="F116" s="67" t="s">
        <v>360</v>
      </c>
      <c r="G116" s="67">
        <v>12.2</v>
      </c>
      <c r="H116" s="70" t="s">
        <v>360</v>
      </c>
      <c r="I116" s="70">
        <v>24.6</v>
      </c>
      <c r="J116" s="67" t="s">
        <v>361</v>
      </c>
      <c r="K116" s="67">
        <v>11.9</v>
      </c>
      <c r="L116" s="70" t="s">
        <v>361</v>
      </c>
      <c r="M116" s="70">
        <v>12.0</v>
      </c>
      <c r="N116" s="67" t="s">
        <v>359</v>
      </c>
      <c r="O116" s="67">
        <v>3.7</v>
      </c>
      <c r="P116" s="70" t="s">
        <v>362</v>
      </c>
      <c r="Q116" s="70">
        <v>0.0</v>
      </c>
      <c r="R116" s="67" t="s">
        <v>357</v>
      </c>
      <c r="S116" s="67">
        <v>2.6</v>
      </c>
      <c r="T116" s="70" t="s">
        <v>359</v>
      </c>
      <c r="U116" s="70">
        <v>19.8</v>
      </c>
      <c r="V116" s="67" t="s">
        <v>360</v>
      </c>
      <c r="W116" s="67">
        <v>9.9</v>
      </c>
      <c r="X116" s="70" t="s">
        <v>360</v>
      </c>
      <c r="Y116" s="70">
        <v>14.6</v>
      </c>
      <c r="Z116" s="67" t="s">
        <v>360</v>
      </c>
      <c r="AA116" s="67">
        <v>6.2</v>
      </c>
      <c r="AB116" s="70" t="s">
        <v>360</v>
      </c>
      <c r="AC116" s="70">
        <v>22.8</v>
      </c>
      <c r="AD116" s="77"/>
      <c r="AE116" s="80"/>
    </row>
    <row r="117" ht="15.75" hidden="1" customHeight="1">
      <c r="A117" s="31" t="s">
        <v>117</v>
      </c>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80"/>
    </row>
    <row r="118" ht="15.75" customHeight="1">
      <c r="A118" s="53" t="s">
        <v>132</v>
      </c>
      <c r="B118" s="67" t="s">
        <v>363</v>
      </c>
      <c r="C118" s="67">
        <v>1.5</v>
      </c>
      <c r="D118" s="70" t="s">
        <v>363</v>
      </c>
      <c r="E118" s="70">
        <v>1.5</v>
      </c>
      <c r="F118" s="67" t="s">
        <v>363</v>
      </c>
      <c r="G118" s="67">
        <v>27.1</v>
      </c>
      <c r="H118" s="70" t="s">
        <v>363</v>
      </c>
      <c r="I118" s="70">
        <v>10.0</v>
      </c>
      <c r="J118" s="67" t="s">
        <v>364</v>
      </c>
      <c r="K118" s="67">
        <v>3.2</v>
      </c>
      <c r="L118" s="70" t="s">
        <v>363</v>
      </c>
      <c r="M118" s="70">
        <v>6.9</v>
      </c>
      <c r="N118" s="67" t="s">
        <v>365</v>
      </c>
      <c r="O118" s="67">
        <v>2.0</v>
      </c>
      <c r="P118" s="70" t="s">
        <v>363</v>
      </c>
      <c r="Q118" s="70">
        <v>6.4</v>
      </c>
      <c r="R118" s="67" t="s">
        <v>363</v>
      </c>
      <c r="S118" s="67">
        <v>16.8</v>
      </c>
      <c r="T118" s="70" t="s">
        <v>363</v>
      </c>
      <c r="U118" s="70">
        <v>10.4</v>
      </c>
      <c r="V118" s="67" t="s">
        <v>363</v>
      </c>
      <c r="W118" s="67">
        <v>15.8</v>
      </c>
      <c r="X118" s="70" t="s">
        <v>363</v>
      </c>
      <c r="Y118" s="70">
        <v>2.3</v>
      </c>
      <c r="Z118" s="67" t="s">
        <v>363</v>
      </c>
      <c r="AA118" s="67">
        <v>8.7</v>
      </c>
      <c r="AB118" s="70" t="s">
        <v>363</v>
      </c>
      <c r="AC118" s="70">
        <v>1.9</v>
      </c>
      <c r="AD118" s="77"/>
      <c r="AE118" s="80"/>
    </row>
    <row r="119" ht="15.75" customHeight="1">
      <c r="A119" s="53" t="s">
        <v>136</v>
      </c>
      <c r="B119" s="67" t="s">
        <v>353</v>
      </c>
      <c r="C119" s="67">
        <v>15.6</v>
      </c>
      <c r="D119" s="70" t="s">
        <v>352</v>
      </c>
      <c r="E119" s="70">
        <v>4.3</v>
      </c>
      <c r="F119" s="67" t="s">
        <v>353</v>
      </c>
      <c r="G119" s="67">
        <v>7.6</v>
      </c>
      <c r="H119" s="70" t="s">
        <v>367</v>
      </c>
      <c r="I119" s="70">
        <v>0.0</v>
      </c>
      <c r="J119" s="67" t="s">
        <v>356</v>
      </c>
      <c r="K119" s="67">
        <v>28.2</v>
      </c>
      <c r="L119" s="70" t="s">
        <v>359</v>
      </c>
      <c r="M119" s="70">
        <v>9.3</v>
      </c>
      <c r="N119" s="67" t="s">
        <v>356</v>
      </c>
      <c r="O119" s="67">
        <v>27.3</v>
      </c>
      <c r="P119" s="70" t="s">
        <v>356</v>
      </c>
      <c r="Q119" s="70">
        <v>0.0</v>
      </c>
      <c r="R119" s="67" t="s">
        <v>365</v>
      </c>
      <c r="S119" s="67">
        <v>5.6</v>
      </c>
      <c r="T119" s="70" t="s">
        <v>360</v>
      </c>
      <c r="U119" s="70">
        <v>6.5</v>
      </c>
      <c r="V119" s="67" t="s">
        <v>347</v>
      </c>
      <c r="W119" s="67">
        <v>12.6</v>
      </c>
      <c r="X119" s="70" t="s">
        <v>347</v>
      </c>
      <c r="Y119" s="70">
        <v>13.4</v>
      </c>
      <c r="Z119" s="67" t="s">
        <v>347</v>
      </c>
      <c r="AA119" s="67">
        <v>6.9</v>
      </c>
      <c r="AB119" s="70" t="s">
        <v>347</v>
      </c>
      <c r="AC119" s="70">
        <v>21.2</v>
      </c>
      <c r="AD119" s="77"/>
      <c r="AE119" s="80"/>
    </row>
    <row r="120" ht="15.75" customHeight="1">
      <c r="A120" s="53" t="s">
        <v>139</v>
      </c>
      <c r="B120" s="67" t="s">
        <v>368</v>
      </c>
      <c r="C120" s="67">
        <v>25.21</v>
      </c>
      <c r="D120" s="70" t="s">
        <v>370</v>
      </c>
      <c r="E120" s="70">
        <v>30.05</v>
      </c>
      <c r="F120" s="67" t="s">
        <v>370</v>
      </c>
      <c r="G120" s="67">
        <v>34.72</v>
      </c>
      <c r="H120" s="70" t="s">
        <v>370</v>
      </c>
      <c r="I120" s="70">
        <v>25.95</v>
      </c>
      <c r="J120" s="67" t="s">
        <v>370</v>
      </c>
      <c r="K120" s="67">
        <v>2.8</v>
      </c>
      <c r="L120" s="70" t="s">
        <v>370</v>
      </c>
      <c r="M120" s="70">
        <v>21.4</v>
      </c>
      <c r="N120" s="67" t="s">
        <v>370</v>
      </c>
      <c r="O120" s="67">
        <v>25.16</v>
      </c>
      <c r="P120" s="70" t="s">
        <v>368</v>
      </c>
      <c r="Q120" s="70">
        <v>9.49</v>
      </c>
      <c r="R120" s="67" t="s">
        <v>370</v>
      </c>
      <c r="S120" s="67">
        <v>19.9</v>
      </c>
      <c r="T120" s="429" t="s">
        <v>370</v>
      </c>
      <c r="U120" s="70">
        <v>30.35</v>
      </c>
      <c r="V120" s="67" t="s">
        <v>368</v>
      </c>
      <c r="W120" s="67">
        <v>17.28</v>
      </c>
      <c r="X120" s="70" t="s">
        <v>368</v>
      </c>
      <c r="Y120" s="70">
        <v>17.7</v>
      </c>
      <c r="Z120" s="67" t="s">
        <v>368</v>
      </c>
      <c r="AA120" s="67">
        <v>10.86</v>
      </c>
      <c r="AB120" s="70" t="s">
        <v>370</v>
      </c>
      <c r="AC120" s="70">
        <v>32.4</v>
      </c>
      <c r="AD120" s="77"/>
      <c r="AE120" s="80"/>
    </row>
    <row r="121" ht="15.75" customHeight="1">
      <c r="A121" s="53" t="s">
        <v>146</v>
      </c>
      <c r="B121" s="67" t="s">
        <v>285</v>
      </c>
      <c r="C121" s="67">
        <v>4.5</v>
      </c>
      <c r="D121" s="70" t="s">
        <v>285</v>
      </c>
      <c r="E121" s="70">
        <v>0.0</v>
      </c>
      <c r="F121" s="67" t="s">
        <v>285</v>
      </c>
      <c r="G121" s="67">
        <v>23.0</v>
      </c>
      <c r="H121" s="70" t="s">
        <v>285</v>
      </c>
      <c r="I121" s="70">
        <v>21.0</v>
      </c>
      <c r="J121" s="67" t="s">
        <v>285</v>
      </c>
      <c r="K121" s="67">
        <v>12.0</v>
      </c>
      <c r="L121" s="70" t="s">
        <v>285</v>
      </c>
      <c r="M121" s="70">
        <v>5.5</v>
      </c>
      <c r="N121" s="67" t="s">
        <v>285</v>
      </c>
      <c r="O121" s="67">
        <v>6.0</v>
      </c>
      <c r="P121" s="70" t="s">
        <v>285</v>
      </c>
      <c r="Q121" s="70">
        <v>20.0</v>
      </c>
      <c r="R121" s="67" t="s">
        <v>371</v>
      </c>
      <c r="S121" s="67">
        <v>5.5</v>
      </c>
      <c r="T121" s="70" t="s">
        <v>371</v>
      </c>
      <c r="U121" s="70">
        <v>13.0</v>
      </c>
      <c r="V121" s="67" t="s">
        <v>371</v>
      </c>
      <c r="W121" s="67">
        <v>6.0</v>
      </c>
      <c r="X121" s="70" t="s">
        <v>371</v>
      </c>
      <c r="Y121" s="70">
        <v>13.0</v>
      </c>
      <c r="Z121" s="67" t="s">
        <v>371</v>
      </c>
      <c r="AA121" s="67">
        <v>6.0</v>
      </c>
      <c r="AB121" s="70" t="s">
        <v>371</v>
      </c>
      <c r="AC121" s="70">
        <v>15.0</v>
      </c>
      <c r="AD121" s="77"/>
      <c r="AE121" s="80"/>
    </row>
    <row r="122" ht="15.75" customHeight="1">
      <c r="A122" s="225" t="s">
        <v>162</v>
      </c>
      <c r="B122" s="226" t="s">
        <v>208</v>
      </c>
      <c r="C122" s="226">
        <v>9.0</v>
      </c>
      <c r="D122" s="227" t="s">
        <v>208</v>
      </c>
      <c r="E122" s="227">
        <v>6.4</v>
      </c>
      <c r="F122" s="226" t="s">
        <v>208</v>
      </c>
      <c r="G122" s="226">
        <v>4.0</v>
      </c>
      <c r="H122" s="227" t="s">
        <v>208</v>
      </c>
      <c r="I122" s="227">
        <v>20.4</v>
      </c>
      <c r="J122" s="226" t="s">
        <v>208</v>
      </c>
      <c r="K122" s="226">
        <v>8.3</v>
      </c>
      <c r="L122" s="227" t="s">
        <v>208</v>
      </c>
      <c r="M122" s="227">
        <v>5.9</v>
      </c>
      <c r="N122" s="226" t="s">
        <v>208</v>
      </c>
      <c r="O122" s="226">
        <v>11.9</v>
      </c>
      <c r="P122" s="227" t="s">
        <v>208</v>
      </c>
      <c r="Q122" s="227">
        <v>21.2</v>
      </c>
      <c r="R122" s="226" t="s">
        <v>208</v>
      </c>
      <c r="S122" s="226">
        <v>7.4</v>
      </c>
      <c r="T122" s="227" t="s">
        <v>208</v>
      </c>
      <c r="U122" s="227">
        <v>5.0</v>
      </c>
      <c r="V122" s="226" t="s">
        <v>208</v>
      </c>
      <c r="W122" s="226">
        <v>8.6</v>
      </c>
      <c r="X122" s="227" t="s">
        <v>208</v>
      </c>
      <c r="Y122" s="227">
        <v>0.0</v>
      </c>
      <c r="Z122" s="226" t="s">
        <v>206</v>
      </c>
      <c r="AA122" s="226">
        <v>10.2</v>
      </c>
      <c r="AB122" s="227" t="s">
        <v>206</v>
      </c>
      <c r="AC122" s="227">
        <v>3.3</v>
      </c>
      <c r="AD122" s="228"/>
      <c r="AE122" s="229"/>
    </row>
    <row r="123" ht="15.75" customHeight="1">
      <c r="A123" s="148" t="s">
        <v>167</v>
      </c>
      <c r="B123" s="151">
        <f>SUM(C110:C122)</f>
        <v>151.79</v>
      </c>
      <c r="C123" s="24"/>
      <c r="D123" s="151">
        <f>SUM(E110:E122)</f>
        <v>133.69</v>
      </c>
      <c r="E123" s="24"/>
      <c r="F123" s="151">
        <f>SUM(G110:G122)</f>
        <v>230.16</v>
      </c>
      <c r="G123" s="24"/>
      <c r="H123" s="151">
        <f>SUM(I110:I122)</f>
        <v>201.65</v>
      </c>
      <c r="I123" s="24"/>
      <c r="J123" s="151">
        <f>SUM(K110:K122)</f>
        <v>143.9</v>
      </c>
      <c r="K123" s="24"/>
      <c r="L123" s="151">
        <f>SUM(M110:M122)</f>
        <v>153.82</v>
      </c>
      <c r="M123" s="24"/>
      <c r="N123" s="151">
        <f>SUM(O110:O122)</f>
        <v>139.8</v>
      </c>
      <c r="O123" s="24"/>
      <c r="P123" s="151">
        <f>SUM(Q110:Q122)</f>
        <v>171.25</v>
      </c>
      <c r="Q123" s="24"/>
      <c r="R123" s="151">
        <f>SUM(S110:S122)</f>
        <v>150.66</v>
      </c>
      <c r="S123" s="24"/>
      <c r="T123" s="151">
        <f>SUM(U110:U122)</f>
        <v>165.52</v>
      </c>
      <c r="U123" s="24"/>
      <c r="V123" s="151">
        <f>SUM(W110:W122)</f>
        <v>154.98</v>
      </c>
      <c r="W123" s="24"/>
      <c r="X123" s="151">
        <f>SUM(Y110:Y122)</f>
        <v>175.06</v>
      </c>
      <c r="Y123" s="24"/>
      <c r="Z123" s="151">
        <f>SUM(AA110:AA122)</f>
        <v>128.36</v>
      </c>
      <c r="AA123" s="24"/>
      <c r="AB123" s="151">
        <f>SUM(AC110:AC122)</f>
        <v>173.8</v>
      </c>
      <c r="AC123" s="24"/>
      <c r="AD123" s="158">
        <f>SUM(AE110:AE122)</f>
        <v>0</v>
      </c>
      <c r="AE123" s="24"/>
    </row>
    <row r="124" ht="15.75" customHeight="1">
      <c r="A124" s="159" t="s">
        <v>168</v>
      </c>
      <c r="B124" s="159" t="str">
        <f t="array" ref="B124">IFERROR(INDEX(B110:B122,MATCH(LARGE(C110:C122,1),C110:C122,0)),"N/A")</f>
        <v>J. HURTS</v>
      </c>
      <c r="C124" s="159">
        <f>IFERROR(LARGE(C110:C122,1),0)</f>
        <v>28.68</v>
      </c>
      <c r="D124" s="159" t="str">
        <f t="array" ref="D124">IFERROR(INDEX(D110:D122,MATCH(LARGE(E110:E122,1),E110:E122,0)),"N/A")</f>
        <v>SEA D/ST</v>
      </c>
      <c r="E124" s="159">
        <f>IFERROR(LARGE(E110:E122,1),0)</f>
        <v>30.05</v>
      </c>
      <c r="F124" s="159" t="str">
        <f t="array" ref="F124">IFERROR(INDEX(F110:F122,MATCH(LARGE(G110:G122,1),G110:G122,0)),"N/A")</f>
        <v>J. HURTS</v>
      </c>
      <c r="G124" s="159">
        <f>IFERROR(LARGE(G110:G122,1),0)</f>
        <v>37.94</v>
      </c>
      <c r="H124" s="159" t="str">
        <f t="array" ref="H124">IFERROR(INDEX(H110:H122,MATCH(LARGE(I110:I122,1),I110:I122,0)),"N/A")</f>
        <v>O. HAMPTON</v>
      </c>
      <c r="I124" s="159">
        <f>IFERROR(LARGE(I110:I122,1),0)</f>
        <v>29.7</v>
      </c>
      <c r="J124" s="159" t="str">
        <f t="array" ref="J124">IFERROR(INDEX(J110:J122,MATCH(LARGE(K110:K122,1),K110:K122,0)),"N/A")</f>
        <v>J. SMITH-NJIGBA</v>
      </c>
      <c r="K124" s="159">
        <f>IFERROR(LARGE(K110:K122,1),0)</f>
        <v>28.2</v>
      </c>
      <c r="L124" s="159" t="str">
        <f t="array" ref="L124">IFERROR(INDEX(L110:L122,MATCH(LARGE(M110:M122,1),M110:M122,0)),"N/A")</f>
        <v>J. SMITH-NJIGBA</v>
      </c>
      <c r="M124" s="159">
        <f>IFERROR(LARGE(M110:M122,1),0)</f>
        <v>31.2</v>
      </c>
      <c r="N124" s="159" t="str">
        <f t="array" ref="N124">IFERROR(INDEX(N110:N122,MATCH(LARGE(O110:O122,1),O110:O122,0)),"N/A")</f>
        <v>J. HURTS</v>
      </c>
      <c r="O124" s="159">
        <f>IFERROR(LARGE(O110:O122,1),0)</f>
        <v>34.44</v>
      </c>
      <c r="P124" s="159" t="str">
        <f t="array" ref="P124">IFERROR(INDEX(P110:P122,MATCH(LARGE(Q110:Q122,1),Q110:Q122,0)),"N/A")</f>
        <v>S. BARKLEY</v>
      </c>
      <c r="Q124" s="159">
        <f>IFERROR(LARGE(Q110:Q122,1),0)</f>
        <v>35.8</v>
      </c>
      <c r="R124" s="159" t="str">
        <f t="array" ref="R124">IFERROR(INDEX(R110:R122,MATCH(LARGE(S110:S122,1),S110:S122,0)),"N/A")</f>
        <v>J. SMITH-NJIGBA</v>
      </c>
      <c r="S124" s="159">
        <f>IFERROR(LARGE(S110:S122,1),0)</f>
        <v>23.1</v>
      </c>
      <c r="T124" s="159" t="str">
        <f t="array" ref="T124">IFERROR(INDEX(T110:T122,MATCH(LARGE(U110:U122,1),U110:U122,0)),"N/A")</f>
        <v>SEA D/ST</v>
      </c>
      <c r="U124" s="159">
        <f>IFERROR(LARGE(U110:U122,1),0)</f>
        <v>30.35</v>
      </c>
      <c r="V124" s="159" t="str">
        <f t="array" ref="V124">IFERROR(INDEX(V110:V122,MATCH(LARGE(W110:W122,1),W110:W122,0)),"N/A")</f>
        <v>N. COLLINS</v>
      </c>
      <c r="W124" s="159">
        <f>IFERROR(LARGE(W110:W122,1),0)</f>
        <v>24.2</v>
      </c>
      <c r="X124" s="159" t="str">
        <f t="array" ref="X124">IFERROR(INDEX(X110:X122,MATCH(LARGE(Y110:Y122,1),Y110:Y122,0)),"N/A")</f>
        <v>J. SMITH-NJIGBA</v>
      </c>
      <c r="Y124" s="159">
        <f>IFERROR(LARGE(Y110:Y122,1),0)</f>
        <v>38.2</v>
      </c>
      <c r="Z124" s="159" t="str">
        <f t="array" ref="Z124">IFERROR(INDEX(Z110:Z122,MATCH(LARGE(AA110:AA122,1),AA110:AA122,0)),"N/A")</f>
        <v>R. HARVEY</v>
      </c>
      <c r="AA124" s="159">
        <f>IFERROR(LARGE(AA110:AA122,1),0)</f>
        <v>22.5</v>
      </c>
      <c r="AB124" s="159" t="str">
        <f t="array" ref="AB124">IFERROR(INDEX(AB110:AB122,MATCH(LARGE(AC110:AC122,1),AC110:AC122,0)),"N/A")</f>
        <v>SEA D/ST</v>
      </c>
      <c r="AC124" s="159">
        <f>IFERROR(LARGE(AC110:AC122,1),0)</f>
        <v>32.4</v>
      </c>
      <c r="AD124" s="77" t="str">
        <f t="array" ref="AD124">INDEX(AD110:AD122,MATCH(LARGE(AE110:AE122,1),AE110:AE122,0))</f>
        <v>#NUM!</v>
      </c>
      <c r="AE124" s="77" t="str">
        <f>LARGE(AE110:AE122,1)</f>
        <v>#NUM!</v>
      </c>
    </row>
    <row r="125" ht="15.75" customHeight="1">
      <c r="A125" s="186" t="s">
        <v>171</v>
      </c>
      <c r="B125" s="186" t="str">
        <f t="array" ref="B125">IFERROR(INDEX(B110:B122,MATCH(LARGE(C110:C122,2),C110:C122,0)),"N/A")</f>
        <v>CHI D/ST</v>
      </c>
      <c r="C125" s="188">
        <f>IFERROR(LARGE(C110:C122,2),0)</f>
        <v>25.21</v>
      </c>
      <c r="D125" s="186" t="str">
        <f t="array" ref="D125">IFERROR(INDEX(D110:D122,MATCH(LARGE(E110:E122,2),E110:E122,0)),"N/A")</f>
        <v>S. BARKLEY</v>
      </c>
      <c r="E125" s="188">
        <f>IFERROR(LARGE(E110:E122,2),0)</f>
        <v>19.6</v>
      </c>
      <c r="F125" s="186" t="str">
        <f t="array" ref="F125">IFERROR(INDEX(F110:F122,MATCH(LARGE(G110:G122,2),G110:G122,0)),"N/A")</f>
        <v>SEA D/ST</v>
      </c>
      <c r="G125" s="188">
        <f>IFERROR(LARGE(G110:G122,2),0)</f>
        <v>34.72</v>
      </c>
      <c r="H125" s="186" t="str">
        <f t="array" ref="H125">IFERROR(INDEX(H110:H122,MATCH(LARGE(I110:I122,2),I110:I122,0)),"N/A")</f>
        <v>SEA D/ST</v>
      </c>
      <c r="I125" s="188">
        <f>IFERROR(LARGE(I110:I122,2),0)</f>
        <v>25.95</v>
      </c>
      <c r="J125" s="186" t="str">
        <f t="array" ref="J125">IFERROR(INDEX(J110:J122,MATCH(LARGE(K110:K122,2),K110:K122,0)),"N/A")</f>
        <v>J. HURTS</v>
      </c>
      <c r="K125" s="188">
        <f>IFERROR(LARGE(K110:K122,2),0)</f>
        <v>25.3</v>
      </c>
      <c r="L125" s="186" t="str">
        <f t="array" ref="L125">IFERROR(INDEX(L110:L122,MATCH(LARGE(M110:M122,2),M110:M122,0)),"N/A")</f>
        <v>J. HURTS</v>
      </c>
      <c r="M125" s="188">
        <f>IFERROR(LARGE(M110:M122,2),0)</f>
        <v>25.52</v>
      </c>
      <c r="N125" s="186" t="str">
        <f t="array" ref="N125">IFERROR(INDEX(N110:N122,MATCH(LARGE(O110:O122,2),O110:O122,0)),"N/A")</f>
        <v>J. SMITH-NJIGBA</v>
      </c>
      <c r="O125" s="188">
        <f>IFERROR(LARGE(O110:O122,2),0)</f>
        <v>27.3</v>
      </c>
      <c r="P125" s="186" t="str">
        <f t="array" ref="P125">IFERROR(INDEX(P110:P122,MATCH(LARGE(Q110:Q122,2),Q110:Q122,0)),"N/A")</f>
        <v>J. HURTS</v>
      </c>
      <c r="Q125" s="188">
        <f>IFERROR(LARGE(Q110:Q122,2),0)</f>
        <v>35.76</v>
      </c>
      <c r="R125" s="186" t="str">
        <f t="array" ref="R125">IFERROR(INDEX(R110:R122,MATCH(LARGE(S110:S122,2),S110:S122,0)),"N/A")</f>
        <v>D. MAYE</v>
      </c>
      <c r="S125" s="188">
        <f>IFERROR(LARGE(S110:S122,2),0)</f>
        <v>22.16</v>
      </c>
      <c r="T125" s="186" t="str">
        <f t="array" ref="T125">IFERROR(INDEX(T110:T122,MATCH(LARGE(U110:U122,2),U110:U122,0)),"N/A")</f>
        <v>N. COLLINS</v>
      </c>
      <c r="U125" s="188">
        <f>IFERROR(LARGE(U110:U122,2),0)</f>
        <v>23.6</v>
      </c>
      <c r="V125" s="186" t="str">
        <f t="array" ref="V125">IFERROR(INDEX(V110:V122,MATCH(LARGE(W110:W122,2),W110:W122,0)),"N/A")</f>
        <v>J. SMITH-NJIGBA</v>
      </c>
      <c r="W125" s="188">
        <f>IFERROR(LARGE(W110:W122,2),0)</f>
        <v>21.7</v>
      </c>
      <c r="X125" s="186" t="str">
        <f t="array" ref="X125">IFERROR(INDEX(X110:X122,MATCH(LARGE(Y110:Y122,2),Y110:Y122,0)),"N/A")</f>
        <v>J. HURTS</v>
      </c>
      <c r="Y125" s="188">
        <f>IFERROR(LARGE(Y110:Y122,2),0)</f>
        <v>36.56</v>
      </c>
      <c r="Z125" s="186" t="str">
        <f t="array" ref="Z125">IFERROR(INDEX(Z110:Z122,MATCH(LARGE(AA110:AA122,2),AA110:AA122,0)),"N/A")</f>
        <v>N. COLLINS</v>
      </c>
      <c r="AA125" s="188">
        <f>IFERROR(LARGE(AA110:AA122,2),0)</f>
        <v>21.6</v>
      </c>
      <c r="AB125" s="186" t="str">
        <f t="array" ref="AB125">IFERROR(INDEX(AB110:AB122,MATCH(LARGE(AC110:AC122,2),AC110:AC122,0)),"N/A")</f>
        <v>J. SMITH-NJIGBA</v>
      </c>
      <c r="AC125" s="188">
        <f>IFERROR(LARGE(AC110:AC122,2),0)</f>
        <v>28.2</v>
      </c>
      <c r="AD125" s="201"/>
      <c r="AE125" s="201"/>
    </row>
    <row r="126" ht="15.75" customHeight="1">
      <c r="A126" s="202" t="s">
        <v>173</v>
      </c>
      <c r="B126" s="202" t="str">
        <f t="array" ref="B126">IFERROR(INDEX(B110:B122,MATCH(LARGE(C110:C122,3),C110:C122,0)),"N/A")</f>
        <v>J. SMITH-NJIBA</v>
      </c>
      <c r="C126" s="204">
        <f>IFERROR(LARGE(C110:C122,3),0)</f>
        <v>20.4</v>
      </c>
      <c r="D126" s="202" t="str">
        <f t="array" ref="D126">IFERROR(INDEX(D110:D122,MATCH(LARGE(E110:E122,3),E110:E122,0)),"N/A")</f>
        <v>J. SMITH-NJIBA</v>
      </c>
      <c r="E126" s="204">
        <f>IFERROR(LARGE(E110:E122,3),0)</f>
        <v>19.3</v>
      </c>
      <c r="F126" s="202" t="str">
        <f t="array" ref="F126">IFERROR(INDEX(F110:F122,MATCH(LARGE(G110:G122,3),G110:G122,0)),"N/A")</f>
        <v>O. HAMPTON</v>
      </c>
      <c r="G126" s="204">
        <f>IFERROR(LARGE(G110:G122,3),0)</f>
        <v>28.3</v>
      </c>
      <c r="H126" s="202" t="str">
        <f t="array" ref="H126">IFERROR(INDEX(H110:H122,MATCH(LARGE(I110:I122,3),I110:I122,0)),"N/A")</f>
        <v>J. HURTS</v>
      </c>
      <c r="I126" s="204">
        <f>IFERROR(LARGE(I110:I122,3),0)</f>
        <v>25.5</v>
      </c>
      <c r="J126" s="202" t="str">
        <f t="array" ref="J126">IFERROR(INDEX(J110:J122,MATCH(LARGE(K110:K122,3),K110:K122,0)),"N/A")</f>
        <v>S. BARKLEY</v>
      </c>
      <c r="K126" s="204">
        <f>IFERROR(LARGE(K110:K122,3),0)</f>
        <v>18.4</v>
      </c>
      <c r="L126" s="202" t="str">
        <f t="array" ref="L126">IFERROR(INDEX(L110:L122,MATCH(LARGE(M110:M122,3),M110:M122,0)),"N/A")</f>
        <v>SEA D/ST</v>
      </c>
      <c r="M126" s="204">
        <f>IFERROR(LARGE(M110:M122,3),0)</f>
        <v>21.4</v>
      </c>
      <c r="N126" s="202" t="str">
        <f t="array" ref="N126">IFERROR(INDEX(N110:N122,MATCH(LARGE(O110:O122,3),O110:O122,0)),"N/A")</f>
        <v>SEA D/ST</v>
      </c>
      <c r="O126" s="204">
        <f>IFERROR(LARGE(O110:O122,3),0)</f>
        <v>25.16</v>
      </c>
      <c r="P126" s="202" t="str">
        <f t="array" ref="P126">IFERROR(INDEX(P110:P122,MATCH(LARGE(Q110:Q122,3),Q110:Q122,0)),"N/A")</f>
        <v>R.J. HARVEY</v>
      </c>
      <c r="Q126" s="204">
        <f>IFERROR(LARGE(Q110:Q122,3),0)</f>
        <v>26.1</v>
      </c>
      <c r="R126" s="202" t="str">
        <f t="array" ref="R126">IFERROR(INDEX(R110:R122,MATCH(LARGE(S110:S122,3),S110:S122,0)),"N/A")</f>
        <v>SEA D/ST</v>
      </c>
      <c r="S126" s="204">
        <f>IFERROR(LARGE(S110:S122,3),0)</f>
        <v>19.9</v>
      </c>
      <c r="T126" s="202" t="str">
        <f t="array" ref="T126">IFERROR(INDEX(T110:T122,MATCH(LARGE(U110:U122,3),U110:U122,0)),"N/A")</f>
        <v>J. SMITH-NJIGBA</v>
      </c>
      <c r="U126" s="204">
        <f>IFERROR(LARGE(U110:U122,3),0)</f>
        <v>20.3</v>
      </c>
      <c r="V126" s="202" t="str">
        <f t="array" ref="V126">IFERROR(INDEX(V110:V122,MATCH(LARGE(W110:W122,3),W110:W122,0)),"N/A")</f>
        <v>CHI D/ST</v>
      </c>
      <c r="W126" s="204">
        <f>IFERROR(LARGE(W110:W122,3),0)</f>
        <v>17.28</v>
      </c>
      <c r="X126" s="202" t="str">
        <f t="array" ref="X126">IFERROR(INDEX(X110:X122,MATCH(LARGE(Y110:Y122,3),Y110:Y122,0)),"N/A")</f>
        <v>K. HUNT</v>
      </c>
      <c r="Y126" s="204">
        <f>IFERROR(LARGE(Y110:Y122,3),0)</f>
        <v>24</v>
      </c>
      <c r="Z126" s="202" t="str">
        <f t="array" ref="Z126">IFERROR(INDEX(Z110:Z122,MATCH(LARGE(AA110:AA122,3),AA110:AA122,0)),"N/A")</f>
        <v>J. HURTS</v>
      </c>
      <c r="AA126" s="204">
        <f>IFERROR(LARGE(AA110:AA122,3),0)</f>
        <v>20.7</v>
      </c>
      <c r="AB126" s="202" t="str">
        <f t="array" ref="AB126">IFERROR(INDEX(AB110:AB122,MATCH(LARGE(AC110:AC122,3),AC110:AC122,0)),"N/A")</f>
        <v>R. HARVEY</v>
      </c>
      <c r="AC126" s="204">
        <f>IFERROR(LARGE(AC110:AC122,3),0)</f>
        <v>23.7</v>
      </c>
      <c r="AD126" s="201"/>
      <c r="AE126" s="201"/>
    </row>
    <row r="127" ht="15.75" customHeight="1"/>
    <row r="128" ht="15.75" customHeight="1">
      <c r="A128" s="445" t="str">
        <f>Settings!A9</f>
        <v>YARDIES</v>
      </c>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9"/>
    </row>
    <row r="129" ht="15.75" customHeight="1">
      <c r="A129" s="31"/>
      <c r="B129" s="33" t="s">
        <v>48</v>
      </c>
      <c r="C129" s="24"/>
      <c r="D129" s="34" t="s">
        <v>51</v>
      </c>
      <c r="E129" s="24"/>
      <c r="F129" s="33" t="s">
        <v>55</v>
      </c>
      <c r="G129" s="24"/>
      <c r="H129" s="34" t="s">
        <v>58</v>
      </c>
      <c r="I129" s="24"/>
      <c r="J129" s="33" t="s">
        <v>60</v>
      </c>
      <c r="K129" s="24"/>
      <c r="L129" s="34" t="s">
        <v>62</v>
      </c>
      <c r="M129" s="24"/>
      <c r="N129" s="33" t="s">
        <v>64</v>
      </c>
      <c r="O129" s="24"/>
      <c r="P129" s="34" t="s">
        <v>66</v>
      </c>
      <c r="Q129" s="24"/>
      <c r="R129" s="33" t="s">
        <v>68</v>
      </c>
      <c r="S129" s="24"/>
      <c r="T129" s="34" t="s">
        <v>70</v>
      </c>
      <c r="U129" s="24"/>
      <c r="V129" s="33" t="s">
        <v>73</v>
      </c>
      <c r="W129" s="24"/>
      <c r="X129" s="34" t="s">
        <v>76</v>
      </c>
      <c r="Y129" s="24"/>
      <c r="Z129" s="33" t="s">
        <v>78</v>
      </c>
      <c r="AA129" s="24"/>
      <c r="AB129" s="34" t="s">
        <v>79</v>
      </c>
      <c r="AC129" s="24"/>
      <c r="AD129" s="49" t="s">
        <v>83</v>
      </c>
      <c r="AE129" s="50"/>
    </row>
    <row r="130" ht="15.75" customHeight="1">
      <c r="A130" s="53" t="s">
        <v>85</v>
      </c>
      <c r="B130" s="54">
        <v>9.0</v>
      </c>
      <c r="C130" s="24"/>
      <c r="D130" s="55">
        <v>5.0</v>
      </c>
      <c r="E130" s="24"/>
      <c r="F130" s="54">
        <v>3.0</v>
      </c>
      <c r="G130" s="24"/>
      <c r="H130" s="55">
        <v>4.0</v>
      </c>
      <c r="I130" s="24"/>
      <c r="J130" s="54">
        <v>3.0</v>
      </c>
      <c r="K130" s="24"/>
      <c r="L130" s="55">
        <v>3.0</v>
      </c>
      <c r="M130" s="24"/>
      <c r="N130" s="54">
        <v>3.0</v>
      </c>
      <c r="O130" s="24"/>
      <c r="P130" s="55">
        <v>5.0</v>
      </c>
      <c r="Q130" s="24"/>
      <c r="R130" s="54">
        <v>3.0</v>
      </c>
      <c r="S130" s="24"/>
      <c r="T130" s="55">
        <v>2.0</v>
      </c>
      <c r="U130" s="24"/>
      <c r="V130" s="54">
        <v>3.0</v>
      </c>
      <c r="W130" s="24"/>
      <c r="X130" s="55">
        <v>2.0</v>
      </c>
      <c r="Y130" s="24"/>
      <c r="Z130" s="54">
        <v>2.0</v>
      </c>
      <c r="AA130" s="24"/>
      <c r="AB130" s="55">
        <v>2.0</v>
      </c>
      <c r="AC130" s="24"/>
      <c r="AD130" s="66"/>
      <c r="AE130" s="50"/>
    </row>
    <row r="131" ht="15.75" customHeight="1">
      <c r="A131" s="53" t="s">
        <v>100</v>
      </c>
      <c r="B131" s="67" t="s">
        <v>380</v>
      </c>
      <c r="C131" s="67">
        <v>12.02</v>
      </c>
      <c r="D131" s="70" t="s">
        <v>380</v>
      </c>
      <c r="E131" s="70">
        <v>9.24</v>
      </c>
      <c r="F131" s="67" t="s">
        <v>310</v>
      </c>
      <c r="G131" s="67">
        <v>14.92</v>
      </c>
      <c r="H131" s="70" t="s">
        <v>310</v>
      </c>
      <c r="I131" s="70">
        <v>37.38</v>
      </c>
      <c r="J131" s="67" t="s">
        <v>381</v>
      </c>
      <c r="K131" s="67">
        <v>40.66</v>
      </c>
      <c r="L131" s="70" t="s">
        <v>310</v>
      </c>
      <c r="M131" s="70">
        <v>19.26</v>
      </c>
      <c r="N131" s="67" t="s">
        <v>381</v>
      </c>
      <c r="O131" s="67">
        <v>14.46</v>
      </c>
      <c r="P131" s="70" t="s">
        <v>310</v>
      </c>
      <c r="Q131" s="70">
        <v>39.6</v>
      </c>
      <c r="R131" s="67" t="s">
        <v>310</v>
      </c>
      <c r="S131" s="67">
        <v>11.32</v>
      </c>
      <c r="T131" s="70" t="s">
        <v>382</v>
      </c>
      <c r="U131" s="70">
        <v>28.7</v>
      </c>
      <c r="V131" s="67" t="s">
        <v>382</v>
      </c>
      <c r="W131" s="67">
        <v>10.72</v>
      </c>
      <c r="X131" s="70" t="s">
        <v>383</v>
      </c>
      <c r="Y131" s="70">
        <v>10.32</v>
      </c>
      <c r="Z131" s="67" t="s">
        <v>380</v>
      </c>
      <c r="AA131" s="67">
        <v>23.94</v>
      </c>
      <c r="AB131" s="70" t="s">
        <v>380</v>
      </c>
      <c r="AC131" s="70">
        <v>32.56</v>
      </c>
      <c r="AD131" s="77"/>
      <c r="AE131" s="80"/>
    </row>
    <row r="132" ht="15.75" customHeight="1">
      <c r="A132" s="53" t="s">
        <v>106</v>
      </c>
      <c r="B132" s="67" t="s">
        <v>384</v>
      </c>
      <c r="C132" s="67">
        <v>32.0</v>
      </c>
      <c r="D132" s="70" t="s">
        <v>384</v>
      </c>
      <c r="E132" s="70">
        <v>3.4</v>
      </c>
      <c r="F132" s="67" t="s">
        <v>384</v>
      </c>
      <c r="G132" s="67">
        <v>11.7</v>
      </c>
      <c r="H132" s="70" t="s">
        <v>384</v>
      </c>
      <c r="I132" s="70">
        <v>8.6</v>
      </c>
      <c r="J132" s="67" t="s">
        <v>384</v>
      </c>
      <c r="K132" s="67">
        <v>10.8</v>
      </c>
      <c r="L132" s="70" t="s">
        <v>384</v>
      </c>
      <c r="M132" s="70">
        <v>17.4</v>
      </c>
      <c r="N132" s="67" t="s">
        <v>385</v>
      </c>
      <c r="O132" s="67">
        <v>28.9</v>
      </c>
      <c r="P132" s="70" t="s">
        <v>384</v>
      </c>
      <c r="Q132" s="70">
        <v>21.2</v>
      </c>
      <c r="R132" s="67" t="s">
        <v>384</v>
      </c>
      <c r="S132" s="67">
        <v>16.0</v>
      </c>
      <c r="T132" s="70" t="s">
        <v>384</v>
      </c>
      <c r="U132" s="70">
        <v>13.4</v>
      </c>
      <c r="V132" s="67" t="s">
        <v>384</v>
      </c>
      <c r="W132" s="67">
        <v>23.0</v>
      </c>
      <c r="X132" s="70" t="s">
        <v>384</v>
      </c>
      <c r="Y132" s="70">
        <v>24.9</v>
      </c>
      <c r="Z132" s="67" t="s">
        <v>384</v>
      </c>
      <c r="AA132" s="67">
        <v>18.4</v>
      </c>
      <c r="AB132" s="70" t="s">
        <v>384</v>
      </c>
      <c r="AC132" s="70">
        <v>13.7</v>
      </c>
      <c r="AD132" s="77"/>
      <c r="AE132" s="80"/>
    </row>
    <row r="133" ht="15.75" customHeight="1">
      <c r="A133" s="53" t="s">
        <v>106</v>
      </c>
      <c r="B133" s="67" t="s">
        <v>386</v>
      </c>
      <c r="C133" s="67">
        <v>2.1</v>
      </c>
      <c r="D133" s="70" t="s">
        <v>387</v>
      </c>
      <c r="E133" s="70">
        <v>11.3</v>
      </c>
      <c r="F133" s="67" t="s">
        <v>388</v>
      </c>
      <c r="G133" s="67">
        <v>11.35</v>
      </c>
      <c r="H133" s="70" t="s">
        <v>385</v>
      </c>
      <c r="I133" s="70">
        <v>23.6</v>
      </c>
      <c r="J133" s="67" t="s">
        <v>385</v>
      </c>
      <c r="K133" s="67">
        <v>17.1</v>
      </c>
      <c r="L133" s="70" t="s">
        <v>385</v>
      </c>
      <c r="M133" s="70">
        <v>4.8</v>
      </c>
      <c r="N133" s="67" t="s">
        <v>389</v>
      </c>
      <c r="O133" s="67">
        <v>12.3</v>
      </c>
      <c r="P133" s="70" t="s">
        <v>389</v>
      </c>
      <c r="Q133" s="70">
        <v>7.65</v>
      </c>
      <c r="R133" s="67" t="s">
        <v>389</v>
      </c>
      <c r="S133" s="67">
        <v>31.6</v>
      </c>
      <c r="T133" s="70" t="s">
        <v>389</v>
      </c>
      <c r="U133" s="70">
        <v>17.1</v>
      </c>
      <c r="V133" s="67" t="s">
        <v>389</v>
      </c>
      <c r="W133" s="67">
        <v>16.9</v>
      </c>
      <c r="X133" s="70" t="s">
        <v>389</v>
      </c>
      <c r="Y133" s="70">
        <v>12.0</v>
      </c>
      <c r="Z133" s="67" t="s">
        <v>389</v>
      </c>
      <c r="AA133" s="67">
        <v>11.7</v>
      </c>
      <c r="AB133" s="70" t="s">
        <v>385</v>
      </c>
      <c r="AC133" s="70">
        <v>10.8</v>
      </c>
      <c r="AD133" s="77"/>
      <c r="AE133" s="80"/>
    </row>
    <row r="134" ht="15.75" hidden="1" customHeight="1">
      <c r="A134" s="31" t="s">
        <v>106</v>
      </c>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80"/>
    </row>
    <row r="135" ht="15.75" customHeight="1">
      <c r="A135" s="53" t="s">
        <v>117</v>
      </c>
      <c r="B135" s="67" t="s">
        <v>390</v>
      </c>
      <c r="C135" s="67">
        <v>6.7</v>
      </c>
      <c r="D135" s="70" t="s">
        <v>390</v>
      </c>
      <c r="E135" s="70">
        <v>19.8</v>
      </c>
      <c r="F135" s="67" t="s">
        <v>390</v>
      </c>
      <c r="G135" s="67">
        <v>6.3</v>
      </c>
      <c r="H135" s="70" t="s">
        <v>390</v>
      </c>
      <c r="I135" s="70">
        <v>5.8</v>
      </c>
      <c r="J135" s="67" t="s">
        <v>390</v>
      </c>
      <c r="K135" s="67">
        <v>2.1</v>
      </c>
      <c r="L135" s="70" t="s">
        <v>391</v>
      </c>
      <c r="M135" s="70">
        <v>8.6</v>
      </c>
      <c r="N135" s="67" t="s">
        <v>390</v>
      </c>
      <c r="O135" s="67">
        <v>0.0</v>
      </c>
      <c r="P135" s="70" t="s">
        <v>391</v>
      </c>
      <c r="Q135" s="70">
        <v>14.2</v>
      </c>
      <c r="R135" s="67" t="s">
        <v>391</v>
      </c>
      <c r="S135" s="67">
        <v>11.4</v>
      </c>
      <c r="T135" s="70" t="s">
        <v>391</v>
      </c>
      <c r="U135" s="70">
        <v>12.2</v>
      </c>
      <c r="V135" s="67" t="s">
        <v>391</v>
      </c>
      <c r="W135" s="67">
        <v>11.4</v>
      </c>
      <c r="X135" s="70" t="s">
        <v>391</v>
      </c>
      <c r="Y135" s="70">
        <v>12.1</v>
      </c>
      <c r="Z135" s="67" t="s">
        <v>391</v>
      </c>
      <c r="AA135" s="67">
        <v>0.6</v>
      </c>
      <c r="AB135" s="70" t="s">
        <v>391</v>
      </c>
      <c r="AC135" s="70">
        <v>21.7</v>
      </c>
      <c r="AD135" s="77"/>
      <c r="AE135" s="80"/>
    </row>
    <row r="136" ht="15.75" customHeight="1">
      <c r="A136" s="53" t="s">
        <v>117</v>
      </c>
      <c r="B136" s="67" t="s">
        <v>391</v>
      </c>
      <c r="C136" s="67">
        <v>29.3</v>
      </c>
      <c r="D136" s="70" t="s">
        <v>392</v>
      </c>
      <c r="E136" s="70">
        <v>32.8</v>
      </c>
      <c r="F136" s="67" t="s">
        <v>392</v>
      </c>
      <c r="G136" s="67">
        <v>15.2</v>
      </c>
      <c r="H136" s="70" t="s">
        <v>391</v>
      </c>
      <c r="I136" s="70">
        <v>14.4</v>
      </c>
      <c r="J136" s="67" t="s">
        <v>391</v>
      </c>
      <c r="K136" s="67">
        <v>12.2</v>
      </c>
      <c r="L136" s="70" t="s">
        <v>392</v>
      </c>
      <c r="M136" s="70">
        <v>5.2</v>
      </c>
      <c r="N136" s="67" t="s">
        <v>392</v>
      </c>
      <c r="O136" s="67">
        <v>5.1</v>
      </c>
      <c r="P136" s="70" t="s">
        <v>392</v>
      </c>
      <c r="Q136" s="70">
        <v>19.4</v>
      </c>
      <c r="R136" s="67" t="s">
        <v>392</v>
      </c>
      <c r="S136" s="67">
        <v>0.0</v>
      </c>
      <c r="T136" s="70" t="s">
        <v>392</v>
      </c>
      <c r="U136" s="70">
        <v>20.6</v>
      </c>
      <c r="V136" s="67" t="s">
        <v>392</v>
      </c>
      <c r="W136" s="67">
        <v>6.1</v>
      </c>
      <c r="X136" s="70" t="s">
        <v>137</v>
      </c>
      <c r="Y136" s="70">
        <v>4.0</v>
      </c>
      <c r="Z136" s="67" t="s">
        <v>137</v>
      </c>
      <c r="AA136" s="67">
        <v>5.6</v>
      </c>
      <c r="AB136" s="70" t="s">
        <v>393</v>
      </c>
      <c r="AC136" s="70">
        <v>15.35</v>
      </c>
      <c r="AD136" s="77"/>
      <c r="AE136" s="80"/>
    </row>
    <row r="137" ht="15.75" customHeight="1">
      <c r="A137" s="53" t="s">
        <v>117</v>
      </c>
      <c r="B137" s="67" t="s">
        <v>392</v>
      </c>
      <c r="C137" s="67">
        <v>15.7</v>
      </c>
      <c r="D137" s="70" t="s">
        <v>394</v>
      </c>
      <c r="E137" s="70">
        <v>13.0</v>
      </c>
      <c r="F137" s="67" t="s">
        <v>395</v>
      </c>
      <c r="G137" s="67">
        <v>3.7</v>
      </c>
      <c r="H137" s="70" t="s">
        <v>395</v>
      </c>
      <c r="I137" s="70">
        <v>5.0</v>
      </c>
      <c r="J137" s="67" t="s">
        <v>137</v>
      </c>
      <c r="K137" s="67">
        <v>25.6</v>
      </c>
      <c r="L137" s="70" t="s">
        <v>137</v>
      </c>
      <c r="M137" s="70">
        <v>5.8</v>
      </c>
      <c r="N137" s="67" t="s">
        <v>137</v>
      </c>
      <c r="O137" s="67">
        <v>13.9</v>
      </c>
      <c r="P137" s="70" t="s">
        <v>393</v>
      </c>
      <c r="Q137" s="70">
        <v>25.25</v>
      </c>
      <c r="R137" s="67" t="s">
        <v>393</v>
      </c>
      <c r="S137" s="67">
        <v>18.25</v>
      </c>
      <c r="T137" s="70" t="s">
        <v>137</v>
      </c>
      <c r="U137" s="70">
        <v>15.6</v>
      </c>
      <c r="V137" s="67" t="s">
        <v>137</v>
      </c>
      <c r="W137" s="67">
        <v>20.5</v>
      </c>
      <c r="X137" s="70" t="s">
        <v>393</v>
      </c>
      <c r="Y137" s="70">
        <v>30.8</v>
      </c>
      <c r="Z137" s="67" t="s">
        <v>393</v>
      </c>
      <c r="AA137" s="67">
        <v>7.6</v>
      </c>
      <c r="AB137" s="70" t="s">
        <v>125</v>
      </c>
      <c r="AC137" s="70">
        <v>7.1</v>
      </c>
      <c r="AD137" s="77"/>
      <c r="AE137" s="80"/>
    </row>
    <row r="138" ht="15.75" hidden="1" customHeight="1">
      <c r="A138" s="31" t="s">
        <v>117</v>
      </c>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c r="AD138" s="77"/>
      <c r="AE138" s="80"/>
    </row>
    <row r="139" ht="15.75" customHeight="1">
      <c r="A139" s="53" t="s">
        <v>132</v>
      </c>
      <c r="B139" s="67" t="s">
        <v>396</v>
      </c>
      <c r="C139" s="67">
        <v>16.3</v>
      </c>
      <c r="D139" s="70" t="s">
        <v>396</v>
      </c>
      <c r="E139" s="70">
        <v>8.8</v>
      </c>
      <c r="F139" s="67" t="s">
        <v>396</v>
      </c>
      <c r="G139" s="67">
        <v>9.8</v>
      </c>
      <c r="H139" s="70" t="s">
        <v>396</v>
      </c>
      <c r="I139" s="70">
        <v>9.6</v>
      </c>
      <c r="J139" s="67" t="s">
        <v>135</v>
      </c>
      <c r="K139" s="67">
        <v>17.8</v>
      </c>
      <c r="L139" s="70" t="s">
        <v>397</v>
      </c>
      <c r="M139" s="70">
        <v>1.2</v>
      </c>
      <c r="N139" s="67" t="s">
        <v>398</v>
      </c>
      <c r="O139" s="67">
        <v>7.6</v>
      </c>
      <c r="P139" s="70" t="s">
        <v>399</v>
      </c>
      <c r="Q139" s="70">
        <v>18.7</v>
      </c>
      <c r="R139" s="67" t="s">
        <v>396</v>
      </c>
      <c r="S139" s="67">
        <v>44.4</v>
      </c>
      <c r="T139" s="70" t="s">
        <v>396</v>
      </c>
      <c r="U139" s="70">
        <v>3.8</v>
      </c>
      <c r="V139" s="67" t="s">
        <v>396</v>
      </c>
      <c r="W139" s="67">
        <v>14.2</v>
      </c>
      <c r="X139" s="70" t="s">
        <v>396</v>
      </c>
      <c r="Y139" s="70">
        <v>11.5</v>
      </c>
      <c r="Z139" s="67" t="s">
        <v>396</v>
      </c>
      <c r="AA139" s="67">
        <v>22.3</v>
      </c>
      <c r="AB139" s="70" t="s">
        <v>396</v>
      </c>
      <c r="AC139" s="70">
        <v>14.6</v>
      </c>
      <c r="AD139" s="77"/>
      <c r="AE139" s="80"/>
    </row>
    <row r="140" ht="15.75" customHeight="1">
      <c r="A140" s="53" t="s">
        <v>136</v>
      </c>
      <c r="B140" s="67" t="s">
        <v>400</v>
      </c>
      <c r="C140" s="67">
        <v>9.3</v>
      </c>
      <c r="D140" s="70" t="s">
        <v>391</v>
      </c>
      <c r="E140" s="70">
        <v>15.0</v>
      </c>
      <c r="F140" s="67" t="s">
        <v>391</v>
      </c>
      <c r="G140" s="67">
        <v>3.3</v>
      </c>
      <c r="H140" s="70" t="s">
        <v>392</v>
      </c>
      <c r="I140" s="70">
        <v>16.9</v>
      </c>
      <c r="J140" s="67" t="s">
        <v>389</v>
      </c>
      <c r="K140" s="67">
        <v>36.7</v>
      </c>
      <c r="L140" s="70" t="s">
        <v>389</v>
      </c>
      <c r="M140" s="70">
        <v>37.9</v>
      </c>
      <c r="N140" s="67" t="s">
        <v>401</v>
      </c>
      <c r="O140" s="67">
        <v>8.4</v>
      </c>
      <c r="P140" s="70" t="s">
        <v>401</v>
      </c>
      <c r="Q140" s="70">
        <v>23.0</v>
      </c>
      <c r="R140" s="67" t="s">
        <v>401</v>
      </c>
      <c r="S140" s="67">
        <v>4.2</v>
      </c>
      <c r="T140" s="70" t="s">
        <v>385</v>
      </c>
      <c r="U140" s="70">
        <v>12.7</v>
      </c>
      <c r="V140" s="67" t="s">
        <v>385</v>
      </c>
      <c r="W140" s="67">
        <v>7.6</v>
      </c>
      <c r="X140" s="70" t="s">
        <v>385</v>
      </c>
      <c r="Y140" s="70">
        <v>18.3</v>
      </c>
      <c r="Z140" s="67" t="s">
        <v>385</v>
      </c>
      <c r="AA140" s="67">
        <v>18.2</v>
      </c>
      <c r="AB140" s="70" t="s">
        <v>227</v>
      </c>
      <c r="AC140" s="70">
        <v>12.2</v>
      </c>
      <c r="AD140" s="77"/>
      <c r="AE140" s="80"/>
    </row>
    <row r="141" ht="15.75" customHeight="1">
      <c r="A141" s="53" t="s">
        <v>139</v>
      </c>
      <c r="B141" s="67" t="s">
        <v>402</v>
      </c>
      <c r="C141" s="67">
        <v>14.15</v>
      </c>
      <c r="D141" s="70" t="s">
        <v>334</v>
      </c>
      <c r="E141" s="70">
        <v>25.79</v>
      </c>
      <c r="F141" s="67" t="s">
        <v>402</v>
      </c>
      <c r="G141" s="67">
        <v>13.53</v>
      </c>
      <c r="H141" s="70" t="s">
        <v>402</v>
      </c>
      <c r="I141" s="70">
        <v>17.5</v>
      </c>
      <c r="J141" s="67" t="s">
        <v>402</v>
      </c>
      <c r="K141" s="67">
        <v>19.86</v>
      </c>
      <c r="L141" s="70" t="s">
        <v>403</v>
      </c>
      <c r="M141" s="70">
        <v>11.72</v>
      </c>
      <c r="N141" s="67" t="s">
        <v>403</v>
      </c>
      <c r="O141" s="67">
        <v>19.75</v>
      </c>
      <c r="P141" s="70" t="s">
        <v>403</v>
      </c>
      <c r="Q141" s="70">
        <v>17.31</v>
      </c>
      <c r="R141" s="67" t="s">
        <v>403</v>
      </c>
      <c r="S141" s="67">
        <v>13.88</v>
      </c>
      <c r="T141" s="70" t="s">
        <v>402</v>
      </c>
      <c r="U141" s="70">
        <v>27.19</v>
      </c>
      <c r="V141" s="67" t="s">
        <v>402</v>
      </c>
      <c r="W141" s="67">
        <v>19.59</v>
      </c>
      <c r="X141" s="70" t="s">
        <v>403</v>
      </c>
      <c r="Y141" s="70">
        <v>27.98</v>
      </c>
      <c r="Z141" s="67" t="s">
        <v>402</v>
      </c>
      <c r="AA141" s="67">
        <v>12.99</v>
      </c>
      <c r="AB141" s="70" t="s">
        <v>402</v>
      </c>
      <c r="AC141" s="70">
        <v>21.73</v>
      </c>
      <c r="AD141" s="77"/>
      <c r="AE141" s="80"/>
    </row>
    <row r="142" ht="15.75" customHeight="1">
      <c r="A142" s="53" t="s">
        <v>146</v>
      </c>
      <c r="B142" s="67" t="s">
        <v>404</v>
      </c>
      <c r="C142" s="67">
        <v>19.0</v>
      </c>
      <c r="D142" s="70" t="s">
        <v>404</v>
      </c>
      <c r="E142" s="70">
        <v>12.0</v>
      </c>
      <c r="F142" s="67" t="s">
        <v>404</v>
      </c>
      <c r="G142" s="67">
        <v>3.0</v>
      </c>
      <c r="H142" s="70" t="s">
        <v>405</v>
      </c>
      <c r="I142" s="70">
        <v>13.0</v>
      </c>
      <c r="J142" s="67" t="s">
        <v>405</v>
      </c>
      <c r="K142" s="67">
        <v>7.0</v>
      </c>
      <c r="L142" s="70" t="s">
        <v>404</v>
      </c>
      <c r="M142" s="70">
        <v>15.0</v>
      </c>
      <c r="N142" s="67" t="s">
        <v>404</v>
      </c>
      <c r="O142" s="67">
        <v>8.0</v>
      </c>
      <c r="P142" s="70" t="s">
        <v>404</v>
      </c>
      <c r="Q142" s="70">
        <v>23.0</v>
      </c>
      <c r="R142" s="67" t="s">
        <v>404</v>
      </c>
      <c r="S142" s="67">
        <v>10.0</v>
      </c>
      <c r="T142" s="70" t="s">
        <v>404</v>
      </c>
      <c r="U142" s="70">
        <v>5.5</v>
      </c>
      <c r="V142" s="67" t="s">
        <v>404</v>
      </c>
      <c r="W142" s="67">
        <v>10.0</v>
      </c>
      <c r="X142" s="70" t="s">
        <v>404</v>
      </c>
      <c r="Y142" s="70">
        <v>4.0</v>
      </c>
      <c r="Z142" s="67" t="s">
        <v>404</v>
      </c>
      <c r="AA142" s="67">
        <v>1.0</v>
      </c>
      <c r="AB142" s="70" t="s">
        <v>404</v>
      </c>
      <c r="AC142" s="70">
        <v>9.0</v>
      </c>
      <c r="AD142" s="77"/>
      <c r="AE142" s="80"/>
    </row>
    <row r="143" ht="15.75" customHeight="1">
      <c r="A143" s="225" t="s">
        <v>162</v>
      </c>
      <c r="B143" s="226" t="s">
        <v>406</v>
      </c>
      <c r="C143" s="226">
        <v>-0.1</v>
      </c>
      <c r="D143" s="227" t="s">
        <v>406</v>
      </c>
      <c r="E143" s="227">
        <v>27.6</v>
      </c>
      <c r="F143" s="226" t="s">
        <v>406</v>
      </c>
      <c r="G143" s="479">
        <v>14.4</v>
      </c>
      <c r="H143" s="227" t="s">
        <v>406</v>
      </c>
      <c r="I143" s="227">
        <v>18.2</v>
      </c>
      <c r="J143" s="226" t="s">
        <v>406</v>
      </c>
      <c r="K143" s="226">
        <v>15.1</v>
      </c>
      <c r="L143" s="227" t="s">
        <v>406</v>
      </c>
      <c r="M143" s="227">
        <v>1.1</v>
      </c>
      <c r="N143" s="226" t="s">
        <v>406</v>
      </c>
      <c r="O143" s="226">
        <v>13.2</v>
      </c>
      <c r="P143" s="227" t="s">
        <v>407</v>
      </c>
      <c r="Q143" s="227">
        <v>-5.0</v>
      </c>
      <c r="R143" s="226" t="s">
        <v>406</v>
      </c>
      <c r="S143" s="226">
        <v>5.2</v>
      </c>
      <c r="T143" s="227" t="s">
        <v>406</v>
      </c>
      <c r="U143" s="227">
        <v>21.2</v>
      </c>
      <c r="V143" s="226" t="s">
        <v>406</v>
      </c>
      <c r="W143" s="226">
        <v>-0.3</v>
      </c>
      <c r="X143" s="227" t="s">
        <v>406</v>
      </c>
      <c r="Y143" s="227">
        <v>13.2</v>
      </c>
      <c r="Z143" s="226" t="s">
        <v>406</v>
      </c>
      <c r="AA143" s="226">
        <v>4.2</v>
      </c>
      <c r="AB143" s="227" t="s">
        <v>406</v>
      </c>
      <c r="AC143" s="227">
        <v>17.2</v>
      </c>
      <c r="AD143" s="228"/>
      <c r="AE143" s="229"/>
    </row>
    <row r="144" ht="15.75" customHeight="1">
      <c r="A144" s="148" t="s">
        <v>167</v>
      </c>
      <c r="B144" s="151">
        <f>SUM(C131:C143)</f>
        <v>156.47</v>
      </c>
      <c r="C144" s="24"/>
      <c r="D144" s="151">
        <f>SUM(E131:E143)</f>
        <v>178.73</v>
      </c>
      <c r="E144" s="24"/>
      <c r="F144" s="151">
        <f>SUM(G131:G143)</f>
        <v>107.2</v>
      </c>
      <c r="G144" s="24"/>
      <c r="H144" s="151">
        <f>SUM(I131:I143)</f>
        <v>169.98</v>
      </c>
      <c r="I144" s="24"/>
      <c r="J144" s="151">
        <f>SUM(K131:K143)</f>
        <v>204.92</v>
      </c>
      <c r="K144" s="24"/>
      <c r="L144" s="151">
        <f>SUM(M131:M143)</f>
        <v>127.98</v>
      </c>
      <c r="M144" s="24"/>
      <c r="N144" s="151">
        <f>SUM(O131:O143)</f>
        <v>131.61</v>
      </c>
      <c r="O144" s="24"/>
      <c r="P144" s="151">
        <f>SUM(Q131:Q143)</f>
        <v>204.31</v>
      </c>
      <c r="Q144" s="24"/>
      <c r="R144" s="151">
        <f>SUM(S131:S143)</f>
        <v>166.25</v>
      </c>
      <c r="S144" s="24"/>
      <c r="T144" s="151">
        <f>SUM(U131:U143)</f>
        <v>177.99</v>
      </c>
      <c r="U144" s="24"/>
      <c r="V144" s="151">
        <f>SUM(W131:W143)</f>
        <v>139.71</v>
      </c>
      <c r="W144" s="24"/>
      <c r="X144" s="151">
        <f>SUM(Y131:Y143)</f>
        <v>169.1</v>
      </c>
      <c r="Y144" s="24"/>
      <c r="Z144" s="151">
        <f>SUM(AA131:AA143)</f>
        <v>126.53</v>
      </c>
      <c r="AA144" s="24"/>
      <c r="AB144" s="151">
        <f>SUM(AC131:AC143)</f>
        <v>175.94</v>
      </c>
      <c r="AC144" s="24"/>
      <c r="AD144" s="158">
        <f>SUM(AE131:AE143)</f>
        <v>0</v>
      </c>
      <c r="AE144" s="24"/>
    </row>
    <row r="145" ht="15.75" customHeight="1">
      <c r="A145" s="159" t="s">
        <v>168</v>
      </c>
      <c r="B145" s="159" t="str">
        <f t="array" ref="B145">IFERROR(INDEX(B131:B143,MATCH(LARGE(C131:C143,1),C131:C143,0)),"N/A")</f>
        <v>D. HENRY</v>
      </c>
      <c r="C145" s="159">
        <f>IFERROR(LARGE(C131:C143,1),0)</f>
        <v>32</v>
      </c>
      <c r="D145" s="159" t="str">
        <f t="array" ref="D145">IFERROR(INDEX(D131:D143,MATCH(LARGE(E131:E143,1),E131:E143,0)),"N/A")</f>
        <v>R. ODUNZE</v>
      </c>
      <c r="E145" s="159">
        <f>IFERROR(LARGE(E131:E143,1),0)</f>
        <v>32.8</v>
      </c>
      <c r="F145" s="159" t="str">
        <f t="array" ref="F145">IFERROR(INDEX(F131:F143,MATCH(LARGE(G131:G143,1),G131:G143,0)),"N/A")</f>
        <v>R. ODUNZE</v>
      </c>
      <c r="G145" s="159">
        <f>IFERROR(LARGE(G131:G143,1),0)</f>
        <v>15.2</v>
      </c>
      <c r="H145" s="159" t="str">
        <f t="array" ref="H145">IFERROR(INDEX(H131:H143,MATCH(LARGE(I131:I143,1),I131:I143,0)),"N/A")</f>
        <v>J. LOVE</v>
      </c>
      <c r="I145" s="159">
        <f>IFERROR(LARGE(I131:I143,1),0)</f>
        <v>37.38</v>
      </c>
      <c r="J145" s="159" t="str">
        <f t="array" ref="J145">IFERROR(INDEX(J131:J143,MATCH(LARGE(K131:K143,1),K131:K143,0)),"N/A")</f>
        <v>C. STROUD</v>
      </c>
      <c r="K145" s="159">
        <f>IFERROR(LARGE(K131:K143,1),0)</f>
        <v>40.66</v>
      </c>
      <c r="L145" s="159" t="str">
        <f t="array" ref="L145">IFERROR(INDEX(L131:L143,MATCH(LARGE(M131:M143,1),M131:M143,0)),"N/A")</f>
        <v>R. DOWDLE</v>
      </c>
      <c r="M145" s="159">
        <f>IFERROR(LARGE(M131:M143,1),0)</f>
        <v>37.9</v>
      </c>
      <c r="N145" s="159" t="str">
        <f t="array" ref="N145">IFERROR(INDEX(N131:N143,MATCH(LARGE(O131:O143,1),O131:O143,0)),"N/A")</f>
        <v>Q. JUDKINS</v>
      </c>
      <c r="O145" s="159">
        <f>IFERROR(LARGE(O131:O143,1),0)</f>
        <v>28.9</v>
      </c>
      <c r="P145" s="159" t="str">
        <f t="array" ref="P145">IFERROR(INDEX(P131:P143,MATCH(LARGE(Q131:Q143,1),Q131:Q143,0)),"N/A")</f>
        <v>J. LOVE</v>
      </c>
      <c r="Q145" s="159">
        <f>IFERROR(LARGE(Q131:Q143,1),0)</f>
        <v>39.6</v>
      </c>
      <c r="R145" s="159" t="str">
        <f t="array" ref="R145">IFERROR(INDEX(R131:R143,MATCH(LARGE(S131:S143,1),S131:S143,0)),"N/A")</f>
        <v>B. BOWERS</v>
      </c>
      <c r="S145" s="159">
        <f>IFERROR(LARGE(S131:S143,1),0)</f>
        <v>44.4</v>
      </c>
      <c r="T145" s="159" t="str">
        <f t="array" ref="T145">IFERROR(INDEX(T131:T143,MATCH(LARGE(U131:U143,1),U131:U143,0)),"N/A")</f>
        <v>C. WILLIAMS</v>
      </c>
      <c r="U145" s="159">
        <f>IFERROR(LARGE(U131:U143,1),0)</f>
        <v>28.7</v>
      </c>
      <c r="V145" s="159" t="str">
        <f t="array" ref="V145">IFERROR(INDEX(V131:V143,MATCH(LARGE(W131:W143,1),W131:W143,0)),"N/A")</f>
        <v>D. HENRY</v>
      </c>
      <c r="W145" s="159">
        <f>IFERROR(LARGE(W131:W143,1),0)</f>
        <v>23</v>
      </c>
      <c r="X145" s="159" t="str">
        <f t="array" ref="X145">IFERROR(INDEX(X131:X143,MATCH(LARGE(Y131:Y143,1),Y131:Y143,0)),"N/A")</f>
        <v>C. DIKE</v>
      </c>
      <c r="Y145" s="159">
        <f>IFERROR(LARGE(Y131:Y143,1),0)</f>
        <v>30.8</v>
      </c>
      <c r="Z145" s="159" t="str">
        <f t="array" ref="Z145">IFERROR(INDEX(Z131:Z143,MATCH(LARGE(AA131:AA143,1),AA131:AA143,0)),"N/A")</f>
        <v>J. BURROW</v>
      </c>
      <c r="AA145" s="159">
        <f>IFERROR(LARGE(AA131:AA143,1),0)</f>
        <v>23.94</v>
      </c>
      <c r="AB145" s="159" t="str">
        <f t="array" ref="AB145">IFERROR(INDEX(AB131:AB143,MATCH(LARGE(AC131:AC143,1),AC131:AC143,0)),"N/A")</f>
        <v>J. BURROW</v>
      </c>
      <c r="AC145" s="159">
        <f>IFERROR(LARGE(AC131:AC143,1),0)</f>
        <v>32.56</v>
      </c>
      <c r="AD145" s="77" t="str">
        <f t="array" ref="AD145">INDEX(AD131:AD143,MATCH(LARGE(AE131:AE143,1),AE131:AE143,0))</f>
        <v>#NUM!</v>
      </c>
      <c r="AE145" s="77" t="str">
        <f>LARGE(AE131:AE143,1)</f>
        <v>#NUM!</v>
      </c>
    </row>
    <row r="146" ht="15.75" customHeight="1">
      <c r="A146" s="186" t="s">
        <v>171</v>
      </c>
      <c r="B146" s="186" t="str">
        <f t="array" ref="B146">IFERROR(INDEX(B131:B143,MATCH(LARGE(C131:C143,2),C131:C143,0)),"N/A")</f>
        <v>Z. FLOWERS</v>
      </c>
      <c r="C146" s="188">
        <f>IFERROR(LARGE(C131:C143,2),0)</f>
        <v>29.3</v>
      </c>
      <c r="D146" s="186" t="str">
        <f t="array" ref="D146">IFERROR(INDEX(D131:D143,MATCH(LARGE(E131:E143,2),E131:E143,0)),"N/A")</f>
        <v>DET HC</v>
      </c>
      <c r="E146" s="188">
        <f>IFERROR(LARGE(E131:E143,2),0)</f>
        <v>27.6</v>
      </c>
      <c r="F146" s="186" t="str">
        <f t="array" ref="F146">IFERROR(INDEX(F131:F143,MATCH(LARGE(G131:G143,2),G131:G143,0)),"N/A")</f>
        <v>J. LOVE</v>
      </c>
      <c r="G146" s="188">
        <f>IFERROR(LARGE(G131:G143,2),0)</f>
        <v>14.92</v>
      </c>
      <c r="H146" s="186" t="str">
        <f t="array" ref="H146">IFERROR(INDEX(H131:H143,MATCH(LARGE(I131:I143,2),I131:I143,0)),"N/A")</f>
        <v>Q. JUDKINS</v>
      </c>
      <c r="I146" s="188">
        <f>IFERROR(LARGE(I131:I143,2),0)</f>
        <v>23.6</v>
      </c>
      <c r="J146" s="186" t="str">
        <f t="array" ref="J146">IFERROR(INDEX(J131:J143,MATCH(LARGE(K131:K143,2),K131:K143,0)),"N/A")</f>
        <v>R. DOWDLE</v>
      </c>
      <c r="K146" s="188">
        <f>IFERROR(LARGE(K131:K143,2),0)</f>
        <v>36.7</v>
      </c>
      <c r="L146" s="186" t="str">
        <f t="array" ref="L146">IFERROR(INDEX(L131:L143,MATCH(LARGE(M131:M143,2),M131:M143,0)),"N/A")</f>
        <v>J. LOVE</v>
      </c>
      <c r="M146" s="188">
        <f>IFERROR(LARGE(M131:M143,2),0)</f>
        <v>19.26</v>
      </c>
      <c r="N146" s="186" t="str">
        <f t="array" ref="N146">IFERROR(INDEX(N131:N143,MATCH(LARGE(O131:O143,2),O131:O143,0)),"N/A")</f>
        <v>GB D/ST</v>
      </c>
      <c r="O146" s="188">
        <f>IFERROR(LARGE(O131:O143,2),0)</f>
        <v>19.75</v>
      </c>
      <c r="P146" s="186" t="str">
        <f t="array" ref="P146">IFERROR(INDEX(P131:P143,MATCH(LARGE(Q131:Q143,2),Q131:Q143,0)),"N/A")</f>
        <v>C. DIKE</v>
      </c>
      <c r="Q146" s="188">
        <f>IFERROR(LARGE(Q131:Q143,2),0)</f>
        <v>25.25</v>
      </c>
      <c r="R146" s="186" t="str">
        <f t="array" ref="R146">IFERROR(INDEX(R131:R143,MATCH(LARGE(S131:S143,2),S131:S143,0)),"N/A")</f>
        <v>R. DOWDLE</v>
      </c>
      <c r="S146" s="188">
        <f>IFERROR(LARGE(S131:S143,2),0)</f>
        <v>31.6</v>
      </c>
      <c r="T146" s="186" t="str">
        <f t="array" ref="T146">IFERROR(INDEX(T131:T143,MATCH(LARGE(U131:U143,2),U131:U143,0)),"N/A")</f>
        <v>HOU D/ST</v>
      </c>
      <c r="U146" s="188">
        <f>IFERROR(LARGE(U131:U143,2),0)</f>
        <v>27.19</v>
      </c>
      <c r="V146" s="186" t="str">
        <f t="array" ref="V146">IFERROR(INDEX(V131:V143,MATCH(LARGE(W131:W143,2),W131:W143,0)),"N/A")</f>
        <v>S. DIGGS</v>
      </c>
      <c r="W146" s="188">
        <f>IFERROR(LARGE(W131:W143,2),0)</f>
        <v>20.5</v>
      </c>
      <c r="X146" s="186" t="str">
        <f t="array" ref="X146">IFERROR(INDEX(X131:X143,MATCH(LARGE(Y131:Y143,2),Y131:Y143,0)),"N/A")</f>
        <v>GB D/ST</v>
      </c>
      <c r="Y146" s="188">
        <f>IFERROR(LARGE(Y131:Y143,2),0)</f>
        <v>27.98</v>
      </c>
      <c r="Z146" s="186" t="str">
        <f t="array" ref="Z146">IFERROR(INDEX(Z131:Z143,MATCH(LARGE(AA131:AA143,2),AA131:AA143,0)),"N/A")</f>
        <v>B. BOWERS</v>
      </c>
      <c r="AA146" s="188">
        <f>IFERROR(LARGE(AA131:AA143,2),0)</f>
        <v>22.3</v>
      </c>
      <c r="AB146" s="186" t="str">
        <f t="array" ref="AB146">IFERROR(INDEX(AB131:AB143,MATCH(LARGE(AC131:AC143,2),AC131:AC143,0)),"N/A")</f>
        <v>HOU D/ST</v>
      </c>
      <c r="AC146" s="188">
        <f>IFERROR(LARGE(AC131:AC143,2),0)</f>
        <v>21.73</v>
      </c>
      <c r="AD146" s="201"/>
      <c r="AE146" s="201"/>
    </row>
    <row r="147" ht="15.75" customHeight="1">
      <c r="A147" s="202" t="s">
        <v>173</v>
      </c>
      <c r="B147" s="202" t="str">
        <f t="array" ref="B147">IFERROR(INDEX(B131:B143,MATCH(LARGE(C131:C143,3),C131:C143,0)),"N/A")</f>
        <v>C. BOSWELL</v>
      </c>
      <c r="C147" s="204">
        <f>IFERROR(LARGE(C131:C143,3),0)</f>
        <v>19</v>
      </c>
      <c r="D147" s="202" t="str">
        <f t="array" ref="D147">IFERROR(INDEX(D131:D143,MATCH(LARGE(E131:E143,3),E131:E143,0)),"N/A")</f>
        <v>BAL D/ST</v>
      </c>
      <c r="E147" s="204">
        <f>IFERROR(LARGE(E131:E143,3),0)</f>
        <v>25.79</v>
      </c>
      <c r="F147" s="202" t="str">
        <f t="array" ref="F147">IFERROR(INDEX(F131:F143,MATCH(LARGE(G131:G143,3),G131:G143,0)),"N/A")</f>
        <v>DET HC</v>
      </c>
      <c r="G147" s="204">
        <f>IFERROR(LARGE(G131:G143,3),0)</f>
        <v>14.4</v>
      </c>
      <c r="H147" s="202" t="str">
        <f t="array" ref="H147">IFERROR(INDEX(H131:H143,MATCH(LARGE(I131:I143,3),I131:I143,0)),"N/A")</f>
        <v>DET HC</v>
      </c>
      <c r="I147" s="204">
        <f>IFERROR(LARGE(I131:I143,3),0)</f>
        <v>18.2</v>
      </c>
      <c r="J147" s="202" t="str">
        <f t="array" ref="J147">IFERROR(INDEX(J131:J143,MATCH(LARGE(K131:K143,3),K131:K143,0)),"N/A")</f>
        <v>S. DIGGS</v>
      </c>
      <c r="K147" s="204">
        <f>IFERROR(LARGE(K131:K143,3),0)</f>
        <v>25.6</v>
      </c>
      <c r="L147" s="202" t="str">
        <f t="array" ref="L147">IFERROR(INDEX(L131:L143,MATCH(LARGE(M131:M143,3),M131:M143,0)),"N/A")</f>
        <v>D. HENRY</v>
      </c>
      <c r="M147" s="204">
        <f>IFERROR(LARGE(M131:M143,3),0)</f>
        <v>17.4</v>
      </c>
      <c r="N147" s="202" t="str">
        <f t="array" ref="N147">IFERROR(INDEX(N131:N143,MATCH(LARGE(O131:O143,3),O131:O143,0)),"N/A")</f>
        <v>C. STROUD</v>
      </c>
      <c r="O147" s="204">
        <f>IFERROR(LARGE(O131:O143,3),0)</f>
        <v>14.46</v>
      </c>
      <c r="P147" s="202" t="str">
        <f t="array" ref="P147">IFERROR(INDEX(P131:P143,MATCH(LARGE(Q131:Q143,3),Q131:Q143,0)),"N/A")</f>
        <v>K. VIDAL</v>
      </c>
      <c r="Q147" s="204">
        <f>IFERROR(LARGE(Q131:Q143,3),0)</f>
        <v>23</v>
      </c>
      <c r="R147" s="202" t="str">
        <f t="array" ref="R147">IFERROR(INDEX(R131:R143,MATCH(LARGE(S131:S143,3),S131:S143,0)),"N/A")</f>
        <v>C. DIKE</v>
      </c>
      <c r="S147" s="204">
        <f>IFERROR(LARGE(S131:S143,3),0)</f>
        <v>18.25</v>
      </c>
      <c r="T147" s="202" t="str">
        <f t="array" ref="T147">IFERROR(INDEX(T131:T143,MATCH(LARGE(U131:U143,3),U131:U143,0)),"N/A")</f>
        <v>DET HC</v>
      </c>
      <c r="U147" s="204">
        <f>IFERROR(LARGE(U131:U143,3),0)</f>
        <v>21.2</v>
      </c>
      <c r="V147" s="202" t="str">
        <f t="array" ref="V147">IFERROR(INDEX(V131:V143,MATCH(LARGE(W131:W143,3),W131:W143,0)),"N/A")</f>
        <v>HOU D/ST</v>
      </c>
      <c r="W147" s="204">
        <f>IFERROR(LARGE(W131:W143,3),0)</f>
        <v>19.59</v>
      </c>
      <c r="X147" s="202" t="str">
        <f t="array" ref="X147">IFERROR(INDEX(X131:X143,MATCH(LARGE(Y131:Y143,3),Y131:Y143,0)),"N/A")</f>
        <v>D. HENRY</v>
      </c>
      <c r="Y147" s="204">
        <f>IFERROR(LARGE(Y131:Y143,3),0)</f>
        <v>24.9</v>
      </c>
      <c r="Z147" s="202" t="str">
        <f t="array" ref="Z147">IFERROR(INDEX(Z131:Z143,MATCH(LARGE(AA131:AA143,3),AA131:AA143,0)),"N/A")</f>
        <v>D. HENRY</v>
      </c>
      <c r="AA147" s="204">
        <f>IFERROR(LARGE(AA131:AA143,3),0)</f>
        <v>18.4</v>
      </c>
      <c r="AB147" s="202" t="str">
        <f t="array" ref="AB147">IFERROR(INDEX(AB131:AB143,MATCH(LARGE(AC131:AC143,3),AC131:AC143,0)),"N/A")</f>
        <v>Z. FLOWERS</v>
      </c>
      <c r="AC147" s="204">
        <f>IFERROR(LARGE(AC131:AC143,3),0)</f>
        <v>21.7</v>
      </c>
      <c r="AD147" s="201"/>
      <c r="AE147" s="201"/>
    </row>
    <row r="148" ht="15.75" customHeight="1"/>
    <row r="149" ht="15.75" customHeight="1">
      <c r="A149" s="499" t="str">
        <f>Settings!A10</f>
        <v>MUTTS</v>
      </c>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9"/>
    </row>
    <row r="150" ht="15.75" customHeight="1">
      <c r="A150" s="31"/>
      <c r="B150" s="33" t="s">
        <v>48</v>
      </c>
      <c r="C150" s="24"/>
      <c r="D150" s="34" t="s">
        <v>51</v>
      </c>
      <c r="E150" s="24"/>
      <c r="F150" s="33" t="s">
        <v>55</v>
      </c>
      <c r="G150" s="24"/>
      <c r="H150" s="34" t="s">
        <v>58</v>
      </c>
      <c r="I150" s="24"/>
      <c r="J150" s="33" t="s">
        <v>60</v>
      </c>
      <c r="K150" s="24"/>
      <c r="L150" s="34" t="s">
        <v>62</v>
      </c>
      <c r="M150" s="24"/>
      <c r="N150" s="33" t="s">
        <v>64</v>
      </c>
      <c r="O150" s="24"/>
      <c r="P150" s="34" t="s">
        <v>66</v>
      </c>
      <c r="Q150" s="24"/>
      <c r="R150" s="33" t="s">
        <v>68</v>
      </c>
      <c r="S150" s="24"/>
      <c r="T150" s="34" t="s">
        <v>70</v>
      </c>
      <c r="U150" s="24"/>
      <c r="V150" s="33" t="s">
        <v>73</v>
      </c>
      <c r="W150" s="24"/>
      <c r="X150" s="34" t="s">
        <v>76</v>
      </c>
      <c r="Y150" s="24"/>
      <c r="Z150" s="33" t="s">
        <v>78</v>
      </c>
      <c r="AA150" s="24"/>
      <c r="AB150" s="34" t="s">
        <v>79</v>
      </c>
      <c r="AC150" s="24"/>
      <c r="AD150" s="49" t="s">
        <v>83</v>
      </c>
      <c r="AE150" s="50"/>
    </row>
    <row r="151" ht="15.75" customHeight="1">
      <c r="A151" s="53" t="s">
        <v>85</v>
      </c>
      <c r="B151" s="54">
        <v>8.0</v>
      </c>
      <c r="C151" s="24"/>
      <c r="D151" s="55">
        <v>2.0</v>
      </c>
      <c r="E151" s="24"/>
      <c r="F151" s="54">
        <v>1.0</v>
      </c>
      <c r="G151" s="24"/>
      <c r="H151" s="55">
        <v>2.0</v>
      </c>
      <c r="I151" s="24"/>
      <c r="J151" s="54">
        <v>2.0</v>
      </c>
      <c r="K151" s="24"/>
      <c r="L151" s="55">
        <v>2.0</v>
      </c>
      <c r="M151" s="24"/>
      <c r="N151" s="54">
        <v>1.0</v>
      </c>
      <c r="O151" s="24"/>
      <c r="P151" s="55">
        <v>1.0</v>
      </c>
      <c r="Q151" s="24"/>
      <c r="R151" s="54">
        <v>2.0</v>
      </c>
      <c r="S151" s="24"/>
      <c r="T151" s="55">
        <v>3.0</v>
      </c>
      <c r="U151" s="24"/>
      <c r="V151" s="54">
        <v>2.0</v>
      </c>
      <c r="W151" s="24"/>
      <c r="X151" s="55">
        <v>4.0</v>
      </c>
      <c r="Y151" s="24"/>
      <c r="Z151" s="54">
        <v>3.0</v>
      </c>
      <c r="AA151" s="24"/>
      <c r="AB151" s="55">
        <v>4.0</v>
      </c>
      <c r="AC151" s="24"/>
      <c r="AD151" s="66"/>
      <c r="AE151" s="50"/>
    </row>
    <row r="152" ht="15.75" customHeight="1">
      <c r="A152" s="53" t="s">
        <v>100</v>
      </c>
      <c r="B152" s="67" t="s">
        <v>408</v>
      </c>
      <c r="C152" s="67">
        <v>35.76</v>
      </c>
      <c r="D152" s="70" t="s">
        <v>408</v>
      </c>
      <c r="E152" s="70">
        <v>36.3</v>
      </c>
      <c r="F152" s="67" t="s">
        <v>408</v>
      </c>
      <c r="G152" s="67">
        <v>36.72</v>
      </c>
      <c r="H152" s="70" t="s">
        <v>408</v>
      </c>
      <c r="I152" s="70">
        <v>14.08</v>
      </c>
      <c r="J152" s="67" t="s">
        <v>102</v>
      </c>
      <c r="K152" s="67">
        <v>22.98</v>
      </c>
      <c r="L152" s="70" t="s">
        <v>409</v>
      </c>
      <c r="M152" s="70">
        <v>25.92</v>
      </c>
      <c r="N152" s="67" t="s">
        <v>409</v>
      </c>
      <c r="O152" s="67">
        <v>19.44</v>
      </c>
      <c r="P152" s="70" t="s">
        <v>409</v>
      </c>
      <c r="Q152" s="70">
        <v>0.0</v>
      </c>
      <c r="R152" s="67" t="s">
        <v>408</v>
      </c>
      <c r="S152" s="67">
        <v>36.66</v>
      </c>
      <c r="T152" s="70" t="s">
        <v>408</v>
      </c>
      <c r="U152" s="70">
        <v>20.54</v>
      </c>
      <c r="V152" s="67" t="s">
        <v>408</v>
      </c>
      <c r="W152" s="67">
        <v>4.12</v>
      </c>
      <c r="X152" s="70" t="s">
        <v>408</v>
      </c>
      <c r="Y152" s="70">
        <v>8.52</v>
      </c>
      <c r="Z152" s="67" t="s">
        <v>408</v>
      </c>
      <c r="AA152" s="67">
        <v>6.74</v>
      </c>
      <c r="AB152" s="70" t="s">
        <v>408</v>
      </c>
      <c r="AC152" s="70">
        <v>23.56</v>
      </c>
      <c r="AD152" s="77"/>
      <c r="AE152" s="80"/>
    </row>
    <row r="153" ht="15.75" customHeight="1">
      <c r="A153" s="53" t="s">
        <v>106</v>
      </c>
      <c r="B153" s="67" t="s">
        <v>410</v>
      </c>
      <c r="C153" s="67">
        <v>19.5</v>
      </c>
      <c r="D153" s="70" t="s">
        <v>411</v>
      </c>
      <c r="E153" s="70">
        <v>19.7</v>
      </c>
      <c r="F153" s="67" t="s">
        <v>412</v>
      </c>
      <c r="G153" s="67">
        <v>23.7</v>
      </c>
      <c r="H153" s="70" t="s">
        <v>412</v>
      </c>
      <c r="I153" s="70">
        <v>25.7</v>
      </c>
      <c r="J153" s="67" t="s">
        <v>412</v>
      </c>
      <c r="K153" s="67">
        <v>6.4</v>
      </c>
      <c r="L153" s="70" t="s">
        <v>413</v>
      </c>
      <c r="M153" s="70">
        <v>10.4</v>
      </c>
      <c r="N153" s="67" t="s">
        <v>414</v>
      </c>
      <c r="O153" s="67">
        <v>8.3</v>
      </c>
      <c r="P153" s="70" t="s">
        <v>413</v>
      </c>
      <c r="Q153" s="70">
        <v>37.5</v>
      </c>
      <c r="R153" s="67" t="s">
        <v>412</v>
      </c>
      <c r="S153" s="67">
        <v>17.2</v>
      </c>
      <c r="T153" s="70" t="s">
        <v>412</v>
      </c>
      <c r="U153" s="70">
        <v>12.0</v>
      </c>
      <c r="V153" s="67" t="s">
        <v>412</v>
      </c>
      <c r="W153" s="67">
        <v>22.0</v>
      </c>
      <c r="X153" s="70" t="s">
        <v>412</v>
      </c>
      <c r="Y153" s="70">
        <v>24.6</v>
      </c>
      <c r="Z153" s="67" t="s">
        <v>412</v>
      </c>
      <c r="AA153" s="67">
        <v>22.9</v>
      </c>
      <c r="AB153" s="70" t="s">
        <v>412</v>
      </c>
      <c r="AC153" s="70">
        <v>12.9</v>
      </c>
      <c r="AD153" s="77"/>
      <c r="AE153" s="80"/>
    </row>
    <row r="154" ht="15.75" customHeight="1">
      <c r="A154" s="53" t="s">
        <v>106</v>
      </c>
      <c r="B154" s="67" t="s">
        <v>415</v>
      </c>
      <c r="C154" s="67">
        <v>16.5</v>
      </c>
      <c r="D154" s="70" t="s">
        <v>414</v>
      </c>
      <c r="E154" s="70">
        <v>6.8</v>
      </c>
      <c r="F154" s="67" t="s">
        <v>410</v>
      </c>
      <c r="G154" s="67">
        <v>11.3</v>
      </c>
      <c r="H154" s="70" t="s">
        <v>416</v>
      </c>
      <c r="I154" s="70">
        <v>15.5</v>
      </c>
      <c r="J154" s="67" t="s">
        <v>416</v>
      </c>
      <c r="K154" s="67">
        <v>15.9</v>
      </c>
      <c r="L154" s="70" t="s">
        <v>416</v>
      </c>
      <c r="M154" s="70">
        <v>32.9</v>
      </c>
      <c r="N154" s="67" t="s">
        <v>416</v>
      </c>
      <c r="O154" s="67">
        <v>20.0</v>
      </c>
      <c r="P154" s="70" t="s">
        <v>414</v>
      </c>
      <c r="Q154" s="70">
        <v>37.86</v>
      </c>
      <c r="R154" s="67" t="s">
        <v>417</v>
      </c>
      <c r="S154" s="67">
        <v>12.7</v>
      </c>
      <c r="T154" s="70" t="s">
        <v>414</v>
      </c>
      <c r="U154" s="70">
        <v>21.6</v>
      </c>
      <c r="V154" s="67" t="s">
        <v>417</v>
      </c>
      <c r="W154" s="67">
        <v>12.7</v>
      </c>
      <c r="X154" s="70" t="s">
        <v>417</v>
      </c>
      <c r="Y154" s="70">
        <v>9.6</v>
      </c>
      <c r="Z154" s="67" t="s">
        <v>417</v>
      </c>
      <c r="AA154" s="67">
        <v>5.1</v>
      </c>
      <c r="AB154" s="70" t="s">
        <v>417</v>
      </c>
      <c r="AC154" s="70">
        <v>9.0</v>
      </c>
      <c r="AD154" s="77"/>
      <c r="AE154" s="80"/>
    </row>
    <row r="155" ht="15.75" hidden="1" customHeight="1">
      <c r="A155" s="31" t="s">
        <v>106</v>
      </c>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80"/>
    </row>
    <row r="156" ht="15.75" customHeight="1">
      <c r="A156" s="53" t="s">
        <v>117</v>
      </c>
      <c r="B156" s="67" t="s">
        <v>418</v>
      </c>
      <c r="C156" s="67">
        <v>8.5</v>
      </c>
      <c r="D156" s="70" t="s">
        <v>418</v>
      </c>
      <c r="E156" s="70">
        <v>40.4</v>
      </c>
      <c r="F156" s="67" t="s">
        <v>418</v>
      </c>
      <c r="G156" s="67">
        <v>20.7</v>
      </c>
      <c r="H156" s="70" t="s">
        <v>418</v>
      </c>
      <c r="I156" s="70">
        <v>26.0</v>
      </c>
      <c r="J156" s="67" t="s">
        <v>418</v>
      </c>
      <c r="K156" s="67">
        <v>19.0</v>
      </c>
      <c r="L156" s="70" t="s">
        <v>418</v>
      </c>
      <c r="M156" s="70">
        <v>13.8</v>
      </c>
      <c r="N156" s="67" t="s">
        <v>418</v>
      </c>
      <c r="O156" s="67">
        <v>20.6</v>
      </c>
      <c r="P156" s="70" t="s">
        <v>418</v>
      </c>
      <c r="Q156" s="70">
        <v>0.0</v>
      </c>
      <c r="R156" s="67" t="s">
        <v>418</v>
      </c>
      <c r="S156" s="67">
        <v>18.7</v>
      </c>
      <c r="T156" s="70" t="s">
        <v>418</v>
      </c>
      <c r="U156" s="70">
        <v>16.8</v>
      </c>
      <c r="V156" s="67" t="s">
        <v>418</v>
      </c>
      <c r="W156" s="67">
        <v>6.2</v>
      </c>
      <c r="X156" s="70" t="s">
        <v>418</v>
      </c>
      <c r="Y156" s="70">
        <v>30.9</v>
      </c>
      <c r="Z156" s="67" t="s">
        <v>418</v>
      </c>
      <c r="AA156" s="67">
        <v>0.0</v>
      </c>
      <c r="AB156" s="70" t="s">
        <v>419</v>
      </c>
      <c r="AC156" s="70">
        <v>11.05</v>
      </c>
      <c r="AD156" s="77"/>
      <c r="AE156" s="80"/>
    </row>
    <row r="157" ht="15.75" customHeight="1">
      <c r="A157" s="53" t="s">
        <v>117</v>
      </c>
      <c r="B157" s="67" t="s">
        <v>420</v>
      </c>
      <c r="C157" s="67">
        <v>10.1</v>
      </c>
      <c r="D157" s="70" t="s">
        <v>420</v>
      </c>
      <c r="E157" s="70">
        <v>10.6</v>
      </c>
      <c r="F157" s="67" t="s">
        <v>420</v>
      </c>
      <c r="G157" s="67">
        <v>13.3</v>
      </c>
      <c r="H157" s="70" t="s">
        <v>419</v>
      </c>
      <c r="I157" s="70">
        <v>20.4</v>
      </c>
      <c r="J157" s="67" t="s">
        <v>419</v>
      </c>
      <c r="K157" s="67">
        <v>23.6</v>
      </c>
      <c r="L157" s="70" t="s">
        <v>419</v>
      </c>
      <c r="M157" s="70">
        <v>5.5</v>
      </c>
      <c r="N157" s="67" t="s">
        <v>420</v>
      </c>
      <c r="O157" s="67">
        <v>0.0</v>
      </c>
      <c r="P157" s="70" t="s">
        <v>419</v>
      </c>
      <c r="Q157" s="70">
        <v>4.3</v>
      </c>
      <c r="R157" s="67" t="s">
        <v>419</v>
      </c>
      <c r="S157" s="67">
        <v>11.0</v>
      </c>
      <c r="T157" s="70" t="s">
        <v>419</v>
      </c>
      <c r="U157" s="70">
        <v>12.9</v>
      </c>
      <c r="V157" s="67" t="s">
        <v>419</v>
      </c>
      <c r="W157" s="67">
        <v>20.8</v>
      </c>
      <c r="X157" s="70" t="s">
        <v>421</v>
      </c>
      <c r="Y157" s="70">
        <v>16.0</v>
      </c>
      <c r="Z157" s="67" t="s">
        <v>421</v>
      </c>
      <c r="AA157" s="67">
        <v>14.7</v>
      </c>
      <c r="AB157" s="70" t="s">
        <v>421</v>
      </c>
      <c r="AC157" s="70">
        <v>6.0</v>
      </c>
      <c r="AD157" s="77"/>
      <c r="AE157" s="80"/>
    </row>
    <row r="158" ht="15.75" customHeight="1">
      <c r="A158" s="53" t="s">
        <v>117</v>
      </c>
      <c r="B158" s="67" t="s">
        <v>419</v>
      </c>
      <c r="C158" s="67">
        <v>25.2</v>
      </c>
      <c r="D158" s="70" t="s">
        <v>419</v>
      </c>
      <c r="E158" s="70">
        <v>21.3</v>
      </c>
      <c r="F158" s="67" t="s">
        <v>419</v>
      </c>
      <c r="G158" s="67">
        <v>9.85</v>
      </c>
      <c r="H158" s="70" t="s">
        <v>421</v>
      </c>
      <c r="I158" s="70">
        <v>8.0</v>
      </c>
      <c r="J158" s="67" t="s">
        <v>421</v>
      </c>
      <c r="K158" s="67">
        <v>12.9</v>
      </c>
      <c r="L158" s="70" t="s">
        <v>421</v>
      </c>
      <c r="M158" s="70">
        <v>15.8</v>
      </c>
      <c r="N158" s="67" t="s">
        <v>421</v>
      </c>
      <c r="O158" s="67">
        <v>26.8</v>
      </c>
      <c r="P158" s="70" t="s">
        <v>421</v>
      </c>
      <c r="Q158" s="70">
        <v>14.1</v>
      </c>
      <c r="R158" s="67" t="s">
        <v>421</v>
      </c>
      <c r="S158" s="67">
        <v>8.7</v>
      </c>
      <c r="T158" s="70" t="s">
        <v>421</v>
      </c>
      <c r="U158" s="70">
        <v>22.4</v>
      </c>
      <c r="V158" s="67" t="s">
        <v>422</v>
      </c>
      <c r="W158" s="67">
        <v>9.4</v>
      </c>
      <c r="X158" s="70" t="s">
        <v>422</v>
      </c>
      <c r="Y158" s="70">
        <v>15.1</v>
      </c>
      <c r="Z158" s="67" t="s">
        <v>422</v>
      </c>
      <c r="AA158" s="67">
        <v>13.9</v>
      </c>
      <c r="AB158" s="70" t="s">
        <v>190</v>
      </c>
      <c r="AC158" s="70">
        <v>11.7</v>
      </c>
      <c r="AD158" s="77"/>
      <c r="AE158" s="80"/>
    </row>
    <row r="159" ht="15.75" hidden="1" customHeight="1">
      <c r="A159" s="31" t="s">
        <v>117</v>
      </c>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80"/>
    </row>
    <row r="160" ht="15.75" customHeight="1">
      <c r="A160" s="53" t="s">
        <v>132</v>
      </c>
      <c r="B160" s="67" t="s">
        <v>423</v>
      </c>
      <c r="C160" s="67">
        <v>5.1</v>
      </c>
      <c r="D160" s="70" t="s">
        <v>424</v>
      </c>
      <c r="E160" s="70">
        <v>16.8</v>
      </c>
      <c r="F160" s="67" t="s">
        <v>424</v>
      </c>
      <c r="G160" s="67">
        <v>21.2</v>
      </c>
      <c r="H160" s="70" t="s">
        <v>424</v>
      </c>
      <c r="I160" s="70">
        <v>17.0</v>
      </c>
      <c r="J160" s="67" t="s">
        <v>424</v>
      </c>
      <c r="K160" s="67">
        <v>23.9</v>
      </c>
      <c r="L160" s="70" t="s">
        <v>424</v>
      </c>
      <c r="M160" s="70">
        <v>12.3</v>
      </c>
      <c r="N160" s="67" t="s">
        <v>424</v>
      </c>
      <c r="O160" s="67">
        <v>21.9</v>
      </c>
      <c r="P160" s="70" t="s">
        <v>424</v>
      </c>
      <c r="Q160" s="70">
        <v>0.0</v>
      </c>
      <c r="R160" s="67" t="s">
        <v>424</v>
      </c>
      <c r="S160" s="67">
        <v>8.0</v>
      </c>
      <c r="T160" s="70" t="s">
        <v>423</v>
      </c>
      <c r="U160" s="70">
        <v>3.2</v>
      </c>
      <c r="V160" s="67" t="s">
        <v>424</v>
      </c>
      <c r="W160" s="67">
        <v>11.6</v>
      </c>
      <c r="X160" s="70" t="s">
        <v>424</v>
      </c>
      <c r="Y160" s="70">
        <v>11.2</v>
      </c>
      <c r="Z160" s="67" t="s">
        <v>424</v>
      </c>
      <c r="AA160" s="67">
        <v>8.6</v>
      </c>
      <c r="AB160" s="70" t="s">
        <v>424</v>
      </c>
      <c r="AC160" s="70">
        <v>10.8</v>
      </c>
      <c r="AD160" s="77"/>
      <c r="AE160" s="80"/>
    </row>
    <row r="161" ht="15.75" customHeight="1">
      <c r="A161" s="53" t="s">
        <v>136</v>
      </c>
      <c r="B161" s="67" t="s">
        <v>412</v>
      </c>
      <c r="C161" s="67">
        <v>22.5</v>
      </c>
      <c r="D161" s="70" t="s">
        <v>412</v>
      </c>
      <c r="E161" s="70">
        <v>29.6</v>
      </c>
      <c r="F161" s="67" t="s">
        <v>414</v>
      </c>
      <c r="G161" s="67">
        <v>10.1</v>
      </c>
      <c r="H161" s="70" t="s">
        <v>414</v>
      </c>
      <c r="I161" s="70">
        <v>17.5</v>
      </c>
      <c r="J161" s="67" t="s">
        <v>414</v>
      </c>
      <c r="K161" s="67">
        <v>19.9</v>
      </c>
      <c r="L161" s="70" t="s">
        <v>414</v>
      </c>
      <c r="M161" s="70">
        <v>8.1</v>
      </c>
      <c r="N161" s="67" t="s">
        <v>410</v>
      </c>
      <c r="O161" s="67">
        <v>8.9</v>
      </c>
      <c r="P161" s="70" t="s">
        <v>416</v>
      </c>
      <c r="Q161" s="70">
        <v>10.3</v>
      </c>
      <c r="R161" s="67" t="s">
        <v>410</v>
      </c>
      <c r="S161" s="67">
        <v>2.2</v>
      </c>
      <c r="T161" s="70" t="s">
        <v>422</v>
      </c>
      <c r="U161" s="70">
        <v>17.1</v>
      </c>
      <c r="V161" s="67" t="s">
        <v>414</v>
      </c>
      <c r="W161" s="67">
        <v>9.8</v>
      </c>
      <c r="X161" s="70" t="s">
        <v>414</v>
      </c>
      <c r="Y161" s="70">
        <v>15.5</v>
      </c>
      <c r="Z161" s="67" t="s">
        <v>414</v>
      </c>
      <c r="AA161" s="67">
        <v>17.5</v>
      </c>
      <c r="AB161" s="70" t="s">
        <v>414</v>
      </c>
      <c r="AC161" s="70">
        <v>5.7</v>
      </c>
      <c r="AD161" s="77"/>
      <c r="AE161" s="80"/>
    </row>
    <row r="162" ht="15.75" customHeight="1">
      <c r="A162" s="53" t="s">
        <v>139</v>
      </c>
      <c r="B162" s="67" t="s">
        <v>425</v>
      </c>
      <c r="C162" s="67">
        <v>8.25</v>
      </c>
      <c r="D162" s="70" t="s">
        <v>425</v>
      </c>
      <c r="E162" s="70">
        <v>8.9</v>
      </c>
      <c r="F162" s="67" t="s">
        <v>403</v>
      </c>
      <c r="G162" s="67">
        <v>16.54</v>
      </c>
      <c r="H162" s="70" t="s">
        <v>425</v>
      </c>
      <c r="I162" s="70">
        <v>25.72</v>
      </c>
      <c r="J162" s="67" t="s">
        <v>426</v>
      </c>
      <c r="K162" s="67">
        <v>6.4</v>
      </c>
      <c r="L162" s="70" t="s">
        <v>425</v>
      </c>
      <c r="M162" s="70">
        <v>23.1</v>
      </c>
      <c r="N162" s="67" t="s">
        <v>425</v>
      </c>
      <c r="O162" s="67">
        <v>5.11</v>
      </c>
      <c r="P162" s="70" t="s">
        <v>425</v>
      </c>
      <c r="Q162" s="70">
        <v>-2.17</v>
      </c>
      <c r="R162" s="67" t="s">
        <v>426</v>
      </c>
      <c r="S162" s="67">
        <v>19.32</v>
      </c>
      <c r="T162" s="70" t="s">
        <v>426</v>
      </c>
      <c r="U162" s="70">
        <v>27.2</v>
      </c>
      <c r="V162" s="67" t="s">
        <v>426</v>
      </c>
      <c r="W162" s="67">
        <v>4.15</v>
      </c>
      <c r="X162" s="70" t="s">
        <v>425</v>
      </c>
      <c r="Y162" s="70">
        <v>16.07</v>
      </c>
      <c r="Z162" s="67" t="s">
        <v>426</v>
      </c>
      <c r="AA162" s="67">
        <v>24.84</v>
      </c>
      <c r="AB162" s="70" t="s">
        <v>426</v>
      </c>
      <c r="AC162" s="70">
        <v>24.55</v>
      </c>
      <c r="AD162" s="77"/>
      <c r="AE162" s="80"/>
    </row>
    <row r="163" ht="15.75" customHeight="1">
      <c r="A163" s="53" t="s">
        <v>146</v>
      </c>
      <c r="B163" s="67" t="s">
        <v>427</v>
      </c>
      <c r="C163" s="67">
        <v>12.0</v>
      </c>
      <c r="D163" s="70" t="s">
        <v>427</v>
      </c>
      <c r="E163" s="70">
        <v>27.0</v>
      </c>
      <c r="F163" s="67" t="s">
        <v>427</v>
      </c>
      <c r="G163" s="67">
        <v>9.0</v>
      </c>
      <c r="H163" s="70" t="s">
        <v>203</v>
      </c>
      <c r="I163" s="70">
        <v>8.0</v>
      </c>
      <c r="J163" s="67" t="s">
        <v>427</v>
      </c>
      <c r="K163" s="67">
        <v>7.0</v>
      </c>
      <c r="L163" s="70" t="s">
        <v>427</v>
      </c>
      <c r="M163" s="70">
        <v>9.0</v>
      </c>
      <c r="N163" s="67" t="s">
        <v>427</v>
      </c>
      <c r="O163" s="67">
        <v>21.0</v>
      </c>
      <c r="P163" s="70" t="s">
        <v>427</v>
      </c>
      <c r="Q163" s="70">
        <v>6.0</v>
      </c>
      <c r="R163" s="67" t="s">
        <v>427</v>
      </c>
      <c r="S163" s="67">
        <v>4.5</v>
      </c>
      <c r="T163" s="70" t="s">
        <v>285</v>
      </c>
      <c r="U163" s="70">
        <v>5.0</v>
      </c>
      <c r="V163" s="67" t="s">
        <v>427</v>
      </c>
      <c r="W163" s="67">
        <v>10.0</v>
      </c>
      <c r="X163" s="70" t="s">
        <v>427</v>
      </c>
      <c r="Y163" s="70">
        <v>6.0</v>
      </c>
      <c r="Z163" s="67" t="s">
        <v>427</v>
      </c>
      <c r="AA163" s="67">
        <v>12.0</v>
      </c>
      <c r="AB163" s="70" t="s">
        <v>427</v>
      </c>
      <c r="AC163" s="70">
        <v>29.0</v>
      </c>
      <c r="AD163" s="77"/>
      <c r="AE163" s="80"/>
    </row>
    <row r="164" ht="15.75" customHeight="1">
      <c r="A164" s="225" t="s">
        <v>162</v>
      </c>
      <c r="B164" s="226" t="s">
        <v>339</v>
      </c>
      <c r="C164" s="226">
        <v>12.2</v>
      </c>
      <c r="D164" s="227" t="s">
        <v>428</v>
      </c>
      <c r="E164" s="227">
        <v>17.0</v>
      </c>
      <c r="F164" s="226" t="s">
        <v>428</v>
      </c>
      <c r="G164" s="226">
        <v>13.3</v>
      </c>
      <c r="H164" s="227" t="s">
        <v>428</v>
      </c>
      <c r="I164" s="227">
        <v>13.3</v>
      </c>
      <c r="J164" s="226" t="s">
        <v>428</v>
      </c>
      <c r="K164" s="226">
        <v>4.0</v>
      </c>
      <c r="L164" s="227" t="s">
        <v>429</v>
      </c>
      <c r="M164" s="227">
        <v>6.1</v>
      </c>
      <c r="N164" s="226" t="s">
        <v>429</v>
      </c>
      <c r="O164" s="226">
        <v>21.2</v>
      </c>
      <c r="P164" s="227" t="s">
        <v>428</v>
      </c>
      <c r="Q164" s="227">
        <v>24.0</v>
      </c>
      <c r="R164" s="226" t="s">
        <v>429</v>
      </c>
      <c r="S164" s="226">
        <v>1.1</v>
      </c>
      <c r="T164" s="227" t="s">
        <v>428</v>
      </c>
      <c r="U164" s="227">
        <v>-2.1</v>
      </c>
      <c r="V164" s="226" t="s">
        <v>429</v>
      </c>
      <c r="W164" s="226">
        <v>15.9</v>
      </c>
      <c r="X164" s="227" t="s">
        <v>428</v>
      </c>
      <c r="Y164" s="227">
        <v>3.7</v>
      </c>
      <c r="Z164" s="226" t="s">
        <v>428</v>
      </c>
      <c r="AA164" s="226">
        <v>13.8</v>
      </c>
      <c r="AB164" s="227" t="s">
        <v>428</v>
      </c>
      <c r="AC164" s="227">
        <v>14.7</v>
      </c>
      <c r="AD164" s="228"/>
      <c r="AE164" s="229"/>
    </row>
    <row r="165" ht="15.75" customHeight="1">
      <c r="A165" s="148" t="s">
        <v>167</v>
      </c>
      <c r="B165" s="151">
        <f>SUM(C152:C164)</f>
        <v>175.61</v>
      </c>
      <c r="C165" s="24"/>
      <c r="D165" s="151">
        <f>SUM(E152:E164)</f>
        <v>234.4</v>
      </c>
      <c r="E165" s="24"/>
      <c r="F165" s="151">
        <f>SUM(G152:G164)</f>
        <v>185.71</v>
      </c>
      <c r="G165" s="24"/>
      <c r="H165" s="151">
        <f>SUM(I152:I164)</f>
        <v>191.2</v>
      </c>
      <c r="I165" s="24"/>
      <c r="J165" s="151">
        <f>SUM(K152:K164)</f>
        <v>161.98</v>
      </c>
      <c r="K165" s="24"/>
      <c r="L165" s="151">
        <f>SUM(M152:M164)</f>
        <v>162.92</v>
      </c>
      <c r="M165" s="24"/>
      <c r="N165" s="151">
        <f>SUM(O152:O164)</f>
        <v>173.25</v>
      </c>
      <c r="O165" s="24"/>
      <c r="P165" s="151">
        <f>SUM(Q152:Q164)</f>
        <v>131.89</v>
      </c>
      <c r="Q165" s="24"/>
      <c r="R165" s="151">
        <f>SUM(S152:S164)</f>
        <v>140.08</v>
      </c>
      <c r="S165" s="24"/>
      <c r="T165" s="151">
        <f>SUM(U152:U164)</f>
        <v>156.64</v>
      </c>
      <c r="U165" s="24"/>
      <c r="V165" s="151">
        <f>SUM(W152:W164)</f>
        <v>126.67</v>
      </c>
      <c r="W165" s="24"/>
      <c r="X165" s="151">
        <f>SUM(Y152:Y164)</f>
        <v>157.19</v>
      </c>
      <c r="Y165" s="24"/>
      <c r="Z165" s="151">
        <f>SUM(AA152:AA164)</f>
        <v>140.08</v>
      </c>
      <c r="AA165" s="24"/>
      <c r="AB165" s="151">
        <f>SUM(AC152:AC164)</f>
        <v>158.96</v>
      </c>
      <c r="AC165" s="24"/>
      <c r="AD165" s="158">
        <f>SUM(AE152:AE164)</f>
        <v>0</v>
      </c>
      <c r="AE165" s="24"/>
    </row>
    <row r="166" ht="15.75" customHeight="1">
      <c r="A166" s="159" t="s">
        <v>168</v>
      </c>
      <c r="B166" s="159" t="str">
        <f t="array" ref="B166">IFERROR(INDEX(B152:B164,MATCH(LARGE(C152:C164,1),C152:C164,0)),"N/A")</f>
        <v>L. JACKSON</v>
      </c>
      <c r="C166" s="159">
        <f>IFERROR(LARGE(C152:C164,1),0)</f>
        <v>35.76</v>
      </c>
      <c r="D166" s="159" t="str">
        <f t="array" ref="D166">IFERROR(INDEX(D152:D164,MATCH(LARGE(E152:E164,1),E152:E164,0)),"N/A")</f>
        <v>A. ST. BROWN</v>
      </c>
      <c r="E166" s="159">
        <f>IFERROR(LARGE(E152:E164,1),0)</f>
        <v>40.4</v>
      </c>
      <c r="F166" s="159" t="str">
        <f t="array" ref="F166">IFERROR(INDEX(F152:F164,MATCH(LARGE(G152:G164,1),G152:G164,0)),"N/A")</f>
        <v>L. JACKSON</v>
      </c>
      <c r="G166" s="159">
        <f>IFERROR(LARGE(G152:G164,1),0)</f>
        <v>36.72</v>
      </c>
      <c r="H166" s="159" t="str">
        <f t="array" ref="H166">IFERROR(INDEX(H152:H164,MATCH(LARGE(I152:I164,1),I152:I164,0)),"N/A")</f>
        <v>A. ST. BROWN</v>
      </c>
      <c r="I166" s="159">
        <f>IFERROR(LARGE(I152:I164,1),0)</f>
        <v>26</v>
      </c>
      <c r="J166" s="159" t="str">
        <f t="array" ref="J166">IFERROR(INDEX(J152:J164,MATCH(LARGE(K152:K164,1),K152:K164,0)),"N/A")</f>
        <v>J. FERGUSON</v>
      </c>
      <c r="K166" s="159">
        <f>IFERROR(LARGE(K152:K164,1),0)</f>
        <v>23.9</v>
      </c>
      <c r="L166" s="159" t="str">
        <f t="array" ref="L166">IFERROR(INDEX(L152:L164,MATCH(LARGE(M152:M164,1),M152:M164,0)),"N/A")</f>
        <v>C. SKATTEBO</v>
      </c>
      <c r="M166" s="159">
        <f>IFERROR(LARGE(M152:M164,1),0)</f>
        <v>32.9</v>
      </c>
      <c r="N166" s="159" t="str">
        <f t="array" ref="N166">IFERROR(INDEX(N152:N164,MATCH(LARGE(O152:O164,1),O152:O164,0)),"N/A")</f>
        <v>C. OLAVE</v>
      </c>
      <c r="O166" s="159">
        <f>IFERROR(LARGE(O152:O164,1),0)</f>
        <v>26.8</v>
      </c>
      <c r="P166" s="159" t="str">
        <f t="array" ref="P166">IFERROR(INDEX(P152:P164,MATCH(LARGE(Q152:Q164,1),Q152:Q164,0)),"N/A")</f>
        <v>B. HALL</v>
      </c>
      <c r="Q166" s="159">
        <f>IFERROR(LARGE(Q152:Q164,1),0)</f>
        <v>37.86</v>
      </c>
      <c r="R166" s="159" t="str">
        <f t="array" ref="R166">IFERROR(INDEX(R152:R164,MATCH(LARGE(S152:S164,1),S152:S164,0)),"N/A")</f>
        <v>L. JACKSON</v>
      </c>
      <c r="S166" s="159">
        <f>IFERROR(LARGE(S152:S164,1),0)</f>
        <v>36.66</v>
      </c>
      <c r="T166" s="159" t="str">
        <f t="array" ref="T166">IFERROR(INDEX(T152:T164,MATCH(LARGE(U152:U164,1),U152:U164,0)),"N/A")</f>
        <v>LAC D/ST</v>
      </c>
      <c r="U166" s="159">
        <f>IFERROR(LARGE(U152:U164,1),0)</f>
        <v>27.2</v>
      </c>
      <c r="V166" s="159" t="str">
        <f t="array" ref="V166">IFERROR(INDEX(V152:V164,MATCH(LARGE(W152:W164,1),W152:W164,0)),"N/A")</f>
        <v>J. COOK</v>
      </c>
      <c r="W166" s="159">
        <f>IFERROR(LARGE(W152:W164,1),0)</f>
        <v>22</v>
      </c>
      <c r="X166" s="159" t="str">
        <f t="array" ref="X166">IFERROR(INDEX(X152:X164,MATCH(LARGE(Y152:Y164,1),Y152:Y164,0)),"N/A")</f>
        <v>A. ST. BROWN</v>
      </c>
      <c r="Y166" s="159">
        <f>IFERROR(LARGE(Y152:Y164,1),0)</f>
        <v>30.9</v>
      </c>
      <c r="Z166" s="159" t="str">
        <f t="array" ref="Z166">IFERROR(INDEX(Z152:Z164,MATCH(LARGE(AA152:AA164,1),AA152:AA164,0)),"N/A")</f>
        <v>LAC D/ST</v>
      </c>
      <c r="AA166" s="159">
        <f>IFERROR(LARGE(AA152:AA164,1),0)</f>
        <v>24.84</v>
      </c>
      <c r="AB166" s="159" t="str">
        <f t="array" ref="AB166">IFERROR(INDEX(AB152:AB164,MATCH(LARGE(AC152:AC164,1),AC152:AC164,0)),"N/A")</f>
        <v>B. AUBREY</v>
      </c>
      <c r="AC166" s="159">
        <f>IFERROR(LARGE(AC152:AC164,1),0)</f>
        <v>29</v>
      </c>
      <c r="AD166" s="77" t="str">
        <f t="array" ref="AD166">INDEX(AD152:AD164,MATCH(LARGE(AE152:AE164,1),AE152:AE164,0))</f>
        <v>#NUM!</v>
      </c>
      <c r="AE166" s="77" t="str">
        <f>LARGE(AE152:AE164,1)</f>
        <v>#NUM!</v>
      </c>
    </row>
    <row r="167" ht="15.75" customHeight="1">
      <c r="A167" s="186" t="s">
        <v>171</v>
      </c>
      <c r="B167" s="186" t="str">
        <f t="array" ref="B167">IFERROR(INDEX(B152:B164,MATCH(LARGE(C152:C164,2),C152:C164,0)),"N/A")</f>
        <v>D. SAMUEL</v>
      </c>
      <c r="C167" s="188">
        <f>IFERROR(LARGE(C152:C164,2),0)</f>
        <v>25.2</v>
      </c>
      <c r="D167" s="186" t="str">
        <f t="array" ref="D167">IFERROR(INDEX(D152:D164,MATCH(LARGE(E152:E164,2),E152:E164,0)),"N/A")</f>
        <v>L. JACKSON</v>
      </c>
      <c r="E167" s="188">
        <f>IFERROR(LARGE(E152:E164,2),0)</f>
        <v>36.3</v>
      </c>
      <c r="F167" s="186" t="str">
        <f t="array" ref="F167">IFERROR(INDEX(F152:F164,MATCH(LARGE(G152:G164,2),G152:G164,0)),"N/A")</f>
        <v>J. COOK</v>
      </c>
      <c r="G167" s="188">
        <f>IFERROR(LARGE(G152:G164,2),0)</f>
        <v>23.7</v>
      </c>
      <c r="H167" s="186" t="str">
        <f t="array" ref="H167">IFERROR(INDEX(H152:H164,MATCH(LARGE(I152:I164,2),I152:I164,0)),"N/A")</f>
        <v>PIT D/ST</v>
      </c>
      <c r="I167" s="188">
        <f>IFERROR(LARGE(I152:I164,2),0)</f>
        <v>25.72</v>
      </c>
      <c r="J167" s="186" t="str">
        <f t="array" ref="J167">IFERROR(INDEX(J152:J164,MATCH(LARGE(K152:K164,2),K152:K164,0)),"N/A")</f>
        <v>D. SAMUEL</v>
      </c>
      <c r="K167" s="188">
        <f>IFERROR(LARGE(K152:K164,2),0)</f>
        <v>23.6</v>
      </c>
      <c r="L167" s="186" t="str">
        <f t="array" ref="L167">IFERROR(INDEX(L152:L164,MATCH(LARGE(M152:M164,2),M152:M164,0)),"N/A")</f>
        <v>T. LAWRENCE</v>
      </c>
      <c r="M167" s="188">
        <f>IFERROR(LARGE(M152:M164,2),0)</f>
        <v>25.92</v>
      </c>
      <c r="N167" s="186" t="str">
        <f t="array" ref="N167">IFERROR(INDEX(N152:N164,MATCH(LARGE(O152:O164,2),O152:O164,0)),"N/A")</f>
        <v>J. FERGUSON</v>
      </c>
      <c r="O167" s="188">
        <f>IFERROR(LARGE(O152:O164,2),0)</f>
        <v>21.9</v>
      </c>
      <c r="P167" s="186" t="str">
        <f t="array" ref="P167">IFERROR(INDEX(P152:P164,MATCH(LARGE(Q152:Q164,2),Q152:Q164,0)),"N/A")</f>
        <v>J. COOK III</v>
      </c>
      <c r="Q167" s="188">
        <f>IFERROR(LARGE(Q152:Q164,2),0)</f>
        <v>37.5</v>
      </c>
      <c r="R167" s="186" t="str">
        <f t="array" ref="R167">IFERROR(INDEX(R152:R164,MATCH(LARGE(S152:S164,2),S152:S164,0)),"N/A")</f>
        <v>LAC D/ST</v>
      </c>
      <c r="S167" s="188">
        <f>IFERROR(LARGE(S152:S164,2),0)</f>
        <v>19.32</v>
      </c>
      <c r="T167" s="186" t="str">
        <f t="array" ref="T167">IFERROR(INDEX(T152:T164,MATCH(LARGE(U152:U164,2),U152:U164,0)),"N/A")</f>
        <v>C. OLAVE</v>
      </c>
      <c r="U167" s="188">
        <f>IFERROR(LARGE(U152:U164,2),0)</f>
        <v>22.4</v>
      </c>
      <c r="V167" s="186" t="str">
        <f t="array" ref="V167">IFERROR(INDEX(V152:V164,MATCH(LARGE(W152:W164,2),W152:W164,0)),"N/A")</f>
        <v>D. SAMUEL</v>
      </c>
      <c r="W167" s="188">
        <f>IFERROR(LARGE(W152:W164,2),0)</f>
        <v>20.8</v>
      </c>
      <c r="X167" s="186" t="str">
        <f t="array" ref="X167">IFERROR(INDEX(X152:X164,MATCH(LARGE(Y152:Y164,2),Y152:Y164,0)),"N/A")</f>
        <v>J. COOK</v>
      </c>
      <c r="Y167" s="188">
        <f>IFERROR(LARGE(Y152:Y164,2),0)</f>
        <v>24.6</v>
      </c>
      <c r="Z167" s="186" t="str">
        <f t="array" ref="Z167">IFERROR(INDEX(Z152:Z164,MATCH(LARGE(AA152:AA164,2),AA152:AA164,0)),"N/A")</f>
        <v>J. COOK</v>
      </c>
      <c r="AA167" s="188">
        <f>IFERROR(LARGE(AA152:AA164,2),0)</f>
        <v>22.9</v>
      </c>
      <c r="AB167" s="186" t="str">
        <f t="array" ref="AB167">IFERROR(INDEX(AB152:AB164,MATCH(LARGE(AC152:AC164,2),AC152:AC164,0)),"N/A")</f>
        <v>LAC D/ST</v>
      </c>
      <c r="AC167" s="188">
        <f>IFERROR(LARGE(AC152:AC164,2),0)</f>
        <v>24.55</v>
      </c>
      <c r="AD167" s="201"/>
      <c r="AE167" s="201"/>
    </row>
    <row r="168" ht="15.75" customHeight="1">
      <c r="A168" s="202" t="s">
        <v>173</v>
      </c>
      <c r="B168" s="202" t="str">
        <f t="array" ref="B168">IFERROR(INDEX(B152:B164,MATCH(LARGE(C152:C164,3),C152:C164,0)),"N/A")</f>
        <v>J. COOK</v>
      </c>
      <c r="C168" s="204">
        <f>IFERROR(LARGE(C152:C164,3),0)</f>
        <v>22.5</v>
      </c>
      <c r="D168" s="202" t="str">
        <f t="array" ref="D168">IFERROR(INDEX(D152:D164,MATCH(LARGE(E152:E164,3),E152:E164,0)),"N/A")</f>
        <v>J. COOK</v>
      </c>
      <c r="E168" s="204">
        <f>IFERROR(LARGE(E152:E164,3),0)</f>
        <v>29.6</v>
      </c>
      <c r="F168" s="202" t="str">
        <f t="array" ref="F168">IFERROR(INDEX(F152:F164,MATCH(LARGE(G152:G164,3),G152:G164,0)),"N/A")</f>
        <v>J. FERGUSON</v>
      </c>
      <c r="G168" s="204">
        <f>IFERROR(LARGE(G152:G164,3),0)</f>
        <v>21.2</v>
      </c>
      <c r="H168" s="202" t="str">
        <f t="array" ref="H168">IFERROR(INDEX(H152:H164,MATCH(LARGE(I152:I164,3),I152:I164,0)),"N/A")</f>
        <v>J. COOK</v>
      </c>
      <c r="I168" s="204">
        <f>IFERROR(LARGE(I152:I164,3),0)</f>
        <v>25.7</v>
      </c>
      <c r="J168" s="202" t="str">
        <f t="array" ref="J168">IFERROR(INDEX(J152:J164,MATCH(LARGE(K152:K164,3),K152:K164,0)),"N/A")</f>
        <v>D. JONES</v>
      </c>
      <c r="K168" s="204">
        <f>IFERROR(LARGE(K152:K164,3),0)</f>
        <v>22.98</v>
      </c>
      <c r="L168" s="202" t="str">
        <f t="array" ref="L168">IFERROR(INDEX(L152:L164,MATCH(LARGE(M152:M164,3),M152:M164,0)),"N/A")</f>
        <v>PIT D/ST</v>
      </c>
      <c r="M168" s="204">
        <f>IFERROR(LARGE(M152:M164,3),0)</f>
        <v>23.1</v>
      </c>
      <c r="N168" s="202" t="str">
        <f t="array" ref="N168">IFERROR(INDEX(N152:N164,MATCH(LARGE(O152:O164,3),O152:O164,0)),"N/A")</f>
        <v>DAL HC</v>
      </c>
      <c r="O168" s="204">
        <f>IFERROR(LARGE(O152:O164,3),0)</f>
        <v>21.2</v>
      </c>
      <c r="P168" s="202" t="str">
        <f t="array" ref="P168">IFERROR(INDEX(P152:P164,MATCH(LARGE(Q152:Q164,3),Q152:Q164,0)),"N/A")</f>
        <v>BUF HC</v>
      </c>
      <c r="Q168" s="204">
        <f>IFERROR(LARGE(Q152:Q164,3),0)</f>
        <v>24</v>
      </c>
      <c r="R168" s="202" t="str">
        <f t="array" ref="R168">IFERROR(INDEX(R152:R164,MATCH(LARGE(S152:S164,3),S152:S164,0)),"N/A")</f>
        <v>A. ST. BROWN</v>
      </c>
      <c r="S168" s="204">
        <f>IFERROR(LARGE(S152:S164,3),0)</f>
        <v>18.7</v>
      </c>
      <c r="T168" s="202" t="str">
        <f t="array" ref="T168">IFERROR(INDEX(T152:T164,MATCH(LARGE(U152:U164,3),U152:U164,0)),"N/A")</f>
        <v>B. HALL</v>
      </c>
      <c r="U168" s="204">
        <f>IFERROR(LARGE(U152:U164,3),0)</f>
        <v>21.6</v>
      </c>
      <c r="V168" s="202" t="str">
        <f t="array" ref="V168">IFERROR(INDEX(V152:V164,MATCH(LARGE(W152:W164,3),W152:W164,0)),"N/A")</f>
        <v>DAL HC</v>
      </c>
      <c r="W168" s="204">
        <f>IFERROR(LARGE(W152:W164,3),0)</f>
        <v>15.9</v>
      </c>
      <c r="X168" s="202" t="str">
        <f t="array" ref="X168">IFERROR(INDEX(X152:X164,MATCH(LARGE(Y152:Y164,3),Y152:Y164,0)),"N/A")</f>
        <v>PIT D/ST</v>
      </c>
      <c r="Y168" s="204">
        <f>IFERROR(LARGE(Y152:Y164,3),0)</f>
        <v>16.07</v>
      </c>
      <c r="Z168" s="202" t="str">
        <f t="array" ref="Z168">IFERROR(INDEX(Z152:Z164,MATCH(LARGE(AA152:AA164,3),AA152:AA164,0)),"N/A")</f>
        <v>B. HALL</v>
      </c>
      <c r="AA168" s="204">
        <f>IFERROR(LARGE(AA152:AA164,3),0)</f>
        <v>17.5</v>
      </c>
      <c r="AB168" s="202" t="str">
        <f t="array" ref="AB168">IFERROR(INDEX(AB152:AB164,MATCH(LARGE(AC152:AC164,3),AC152:AC164,0)),"N/A")</f>
        <v>L. JACKSON</v>
      </c>
      <c r="AC168" s="204">
        <f>IFERROR(LARGE(AC152:AC164,3),0)</f>
        <v>23.56</v>
      </c>
      <c r="AD168" s="201"/>
      <c r="AE168" s="201"/>
    </row>
    <row r="169" ht="15.75" customHeight="1"/>
    <row r="170" ht="15.75" customHeight="1">
      <c r="A170" s="509" t="str">
        <f>Settings!A11</f>
        <v>EAGLES</v>
      </c>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9"/>
    </row>
    <row r="171" ht="15.75" customHeight="1">
      <c r="A171" s="31"/>
      <c r="B171" s="33" t="s">
        <v>48</v>
      </c>
      <c r="C171" s="24"/>
      <c r="D171" s="34" t="s">
        <v>51</v>
      </c>
      <c r="E171" s="24"/>
      <c r="F171" s="33" t="s">
        <v>55</v>
      </c>
      <c r="G171" s="24"/>
      <c r="H171" s="34" t="s">
        <v>58</v>
      </c>
      <c r="I171" s="24"/>
      <c r="J171" s="33" t="s">
        <v>60</v>
      </c>
      <c r="K171" s="24"/>
      <c r="L171" s="34" t="s">
        <v>62</v>
      </c>
      <c r="M171" s="24"/>
      <c r="N171" s="33" t="s">
        <v>64</v>
      </c>
      <c r="O171" s="24"/>
      <c r="P171" s="34" t="s">
        <v>66</v>
      </c>
      <c r="Q171" s="24"/>
      <c r="R171" s="33" t="s">
        <v>68</v>
      </c>
      <c r="S171" s="24"/>
      <c r="T171" s="34" t="s">
        <v>70</v>
      </c>
      <c r="U171" s="24"/>
      <c r="V171" s="33" t="s">
        <v>73</v>
      </c>
      <c r="W171" s="24"/>
      <c r="X171" s="34" t="s">
        <v>76</v>
      </c>
      <c r="Y171" s="24"/>
      <c r="Z171" s="33" t="s">
        <v>78</v>
      </c>
      <c r="AA171" s="24"/>
      <c r="AB171" s="34" t="s">
        <v>79</v>
      </c>
      <c r="AC171" s="24"/>
      <c r="AD171" s="49" t="s">
        <v>83</v>
      </c>
      <c r="AE171" s="50"/>
    </row>
    <row r="172" ht="15.75" customHeight="1">
      <c r="A172" s="53" t="s">
        <v>85</v>
      </c>
      <c r="B172" s="54">
        <v>7.0</v>
      </c>
      <c r="C172" s="24"/>
      <c r="D172" s="55">
        <v>8.0</v>
      </c>
      <c r="E172" s="24"/>
      <c r="F172" s="54">
        <v>8.0</v>
      </c>
      <c r="G172" s="24"/>
      <c r="H172" s="55">
        <v>10.0</v>
      </c>
      <c r="I172" s="24"/>
      <c r="J172" s="54">
        <v>10.0</v>
      </c>
      <c r="K172" s="24"/>
      <c r="L172" s="55">
        <v>10.0</v>
      </c>
      <c r="M172" s="24"/>
      <c r="N172" s="54">
        <v>10.0</v>
      </c>
      <c r="O172" s="24"/>
      <c r="P172" s="55">
        <v>9.0</v>
      </c>
      <c r="Q172" s="24"/>
      <c r="R172" s="54">
        <v>7.0</v>
      </c>
      <c r="S172" s="24"/>
      <c r="T172" s="55">
        <v>10.0</v>
      </c>
      <c r="U172" s="24"/>
      <c r="V172" s="54">
        <v>10.0</v>
      </c>
      <c r="W172" s="24"/>
      <c r="X172" s="55">
        <v>7.0</v>
      </c>
      <c r="Y172" s="24"/>
      <c r="Z172" s="54">
        <v>9.0</v>
      </c>
      <c r="AA172" s="24"/>
      <c r="AB172" s="55">
        <v>8.0</v>
      </c>
      <c r="AC172" s="24"/>
      <c r="AD172" s="66"/>
      <c r="AE172" s="50"/>
    </row>
    <row r="173" ht="15.75" customHeight="1">
      <c r="A173" s="53" t="s">
        <v>100</v>
      </c>
      <c r="B173" s="67" t="s">
        <v>433</v>
      </c>
      <c r="C173" s="67">
        <v>49.16</v>
      </c>
      <c r="D173" s="70" t="s">
        <v>433</v>
      </c>
      <c r="E173" s="70">
        <v>13.02</v>
      </c>
      <c r="F173" s="67" t="s">
        <v>433</v>
      </c>
      <c r="G173" s="67">
        <v>32.62</v>
      </c>
      <c r="H173" s="70" t="s">
        <v>433</v>
      </c>
      <c r="I173" s="70">
        <v>30.76</v>
      </c>
      <c r="J173" s="67" t="s">
        <v>433</v>
      </c>
      <c r="K173" s="67">
        <v>26.12</v>
      </c>
      <c r="L173" s="70" t="s">
        <v>433</v>
      </c>
      <c r="M173" s="70">
        <v>19.2</v>
      </c>
      <c r="N173" s="67" t="s">
        <v>102</v>
      </c>
      <c r="O173" s="67">
        <v>29.12</v>
      </c>
      <c r="P173" s="70" t="s">
        <v>102</v>
      </c>
      <c r="Q173" s="70">
        <v>31.88</v>
      </c>
      <c r="R173" s="67" t="s">
        <v>102</v>
      </c>
      <c r="S173" s="67">
        <v>17.38</v>
      </c>
      <c r="T173" s="70" t="s">
        <v>433</v>
      </c>
      <c r="U173" s="70">
        <v>27.14</v>
      </c>
      <c r="V173" s="67" t="s">
        <v>433</v>
      </c>
      <c r="W173" s="67">
        <v>50.28</v>
      </c>
      <c r="X173" s="70" t="s">
        <v>433</v>
      </c>
      <c r="Y173" s="70">
        <v>9.82</v>
      </c>
      <c r="Z173" s="67" t="s">
        <v>433</v>
      </c>
      <c r="AA173" s="67">
        <v>20.12</v>
      </c>
      <c r="AB173" s="70" t="s">
        <v>433</v>
      </c>
      <c r="AC173" s="70">
        <v>47.94</v>
      </c>
      <c r="AD173" s="77"/>
      <c r="AE173" s="80"/>
    </row>
    <row r="174" ht="15.75" customHeight="1">
      <c r="A174" s="53" t="s">
        <v>106</v>
      </c>
      <c r="B174" s="67" t="s">
        <v>138</v>
      </c>
      <c r="C174" s="67">
        <v>14.8</v>
      </c>
      <c r="D174" s="70" t="s">
        <v>138</v>
      </c>
      <c r="E174" s="70">
        <v>18.1</v>
      </c>
      <c r="F174" s="67" t="s">
        <v>138</v>
      </c>
      <c r="G174" s="67">
        <v>8.4</v>
      </c>
      <c r="H174" s="70" t="s">
        <v>138</v>
      </c>
      <c r="I174" s="70">
        <v>12.7</v>
      </c>
      <c r="J174" s="67" t="s">
        <v>138</v>
      </c>
      <c r="K174" s="67">
        <v>10.3</v>
      </c>
      <c r="L174" s="70" t="s">
        <v>390</v>
      </c>
      <c r="M174" s="70">
        <v>9.7</v>
      </c>
      <c r="N174" s="67" t="s">
        <v>390</v>
      </c>
      <c r="O174" s="67">
        <v>21.7</v>
      </c>
      <c r="P174" s="70" t="s">
        <v>434</v>
      </c>
      <c r="Q174" s="70">
        <v>7.3</v>
      </c>
      <c r="R174" s="67" t="s">
        <v>390</v>
      </c>
      <c r="S174" s="67">
        <v>8.8</v>
      </c>
      <c r="T174" s="70" t="s">
        <v>435</v>
      </c>
      <c r="U174" s="70">
        <v>4.1</v>
      </c>
      <c r="V174" s="67" t="s">
        <v>390</v>
      </c>
      <c r="W174" s="67">
        <v>12.5</v>
      </c>
      <c r="X174" s="70" t="s">
        <v>436</v>
      </c>
      <c r="Y174" s="70">
        <v>14.1</v>
      </c>
      <c r="Z174" s="67" t="s">
        <v>436</v>
      </c>
      <c r="AA174" s="67">
        <v>18.7</v>
      </c>
      <c r="AB174" s="70" t="s">
        <v>436</v>
      </c>
      <c r="AC174" s="70">
        <v>16.4</v>
      </c>
      <c r="AD174" s="77"/>
      <c r="AE174" s="80"/>
    </row>
    <row r="175" ht="15.75" customHeight="1">
      <c r="A175" s="53" t="s">
        <v>106</v>
      </c>
      <c r="B175" s="67" t="s">
        <v>437</v>
      </c>
      <c r="C175" s="67">
        <v>9.7</v>
      </c>
      <c r="D175" s="70" t="s">
        <v>437</v>
      </c>
      <c r="E175" s="70">
        <v>11.2</v>
      </c>
      <c r="F175" s="67" t="s">
        <v>390</v>
      </c>
      <c r="G175" s="67">
        <v>13.2</v>
      </c>
      <c r="H175" s="70" t="s">
        <v>390</v>
      </c>
      <c r="I175" s="70">
        <v>21.0</v>
      </c>
      <c r="J175" s="67" t="s">
        <v>390</v>
      </c>
      <c r="K175" s="67">
        <v>29.5</v>
      </c>
      <c r="L175" s="70" t="s">
        <v>435</v>
      </c>
      <c r="M175" s="70">
        <v>7.5</v>
      </c>
      <c r="N175" s="67" t="s">
        <v>435</v>
      </c>
      <c r="O175" s="67">
        <v>5.5</v>
      </c>
      <c r="P175" s="70" t="s">
        <v>390</v>
      </c>
      <c r="Q175" s="70">
        <v>19.2</v>
      </c>
      <c r="R175" s="67" t="s">
        <v>435</v>
      </c>
      <c r="S175" s="67">
        <v>6.3</v>
      </c>
      <c r="T175" s="70" t="s">
        <v>109</v>
      </c>
      <c r="U175" s="70">
        <v>17.5</v>
      </c>
      <c r="V175" s="67" t="s">
        <v>109</v>
      </c>
      <c r="W175" s="67">
        <v>7.9</v>
      </c>
      <c r="X175" s="70" t="s">
        <v>109</v>
      </c>
      <c r="Y175" s="70">
        <v>9.5</v>
      </c>
      <c r="Z175" s="67" t="s">
        <v>109</v>
      </c>
      <c r="AA175" s="67">
        <v>9.6</v>
      </c>
      <c r="AB175" s="70" t="s">
        <v>109</v>
      </c>
      <c r="AC175" s="70">
        <v>18.2</v>
      </c>
      <c r="AD175" s="77"/>
      <c r="AE175" s="80"/>
    </row>
    <row r="176" ht="15.75" hidden="1" customHeight="1">
      <c r="A176" s="31" t="s">
        <v>106</v>
      </c>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80"/>
    </row>
    <row r="177" ht="15.75" customHeight="1">
      <c r="A177" s="53" t="s">
        <v>117</v>
      </c>
      <c r="B177" s="67" t="s">
        <v>438</v>
      </c>
      <c r="C177" s="67">
        <v>12.1</v>
      </c>
      <c r="D177" s="70" t="s">
        <v>438</v>
      </c>
      <c r="E177" s="70">
        <v>38.7</v>
      </c>
      <c r="F177" s="67" t="s">
        <v>438</v>
      </c>
      <c r="G177" s="67">
        <v>3.3</v>
      </c>
      <c r="H177" s="70" t="s">
        <v>440</v>
      </c>
      <c r="I177" s="70">
        <v>17.3</v>
      </c>
      <c r="J177" s="67" t="s">
        <v>440</v>
      </c>
      <c r="K177" s="67">
        <v>11.2</v>
      </c>
      <c r="L177" s="70" t="s">
        <v>440</v>
      </c>
      <c r="M177" s="70">
        <v>10.7</v>
      </c>
      <c r="N177" s="67" t="s">
        <v>440</v>
      </c>
      <c r="O177" s="67">
        <v>7.9</v>
      </c>
      <c r="P177" s="70" t="s">
        <v>440</v>
      </c>
      <c r="Q177" s="70">
        <v>10.3</v>
      </c>
      <c r="R177" s="67" t="s">
        <v>440</v>
      </c>
      <c r="S177" s="67">
        <v>6.1</v>
      </c>
      <c r="T177" s="70" t="s">
        <v>441</v>
      </c>
      <c r="U177" s="70">
        <v>11.25</v>
      </c>
      <c r="V177" s="67" t="s">
        <v>442</v>
      </c>
      <c r="W177" s="67">
        <v>30.4</v>
      </c>
      <c r="X177" s="70" t="s">
        <v>442</v>
      </c>
      <c r="Y177" s="70">
        <v>30.6</v>
      </c>
      <c r="Z177" s="67" t="s">
        <v>442</v>
      </c>
      <c r="AA177" s="67">
        <v>16.8</v>
      </c>
      <c r="AB177" s="70" t="s">
        <v>442</v>
      </c>
      <c r="AC177" s="70">
        <v>8.7</v>
      </c>
      <c r="AD177" s="77"/>
      <c r="AE177" s="80"/>
    </row>
    <row r="178" ht="15.75" customHeight="1">
      <c r="A178" s="53" t="s">
        <v>117</v>
      </c>
      <c r="B178" s="67" t="s">
        <v>440</v>
      </c>
      <c r="C178" s="67">
        <v>0.1</v>
      </c>
      <c r="D178" s="70" t="s">
        <v>189</v>
      </c>
      <c r="E178" s="70">
        <v>9.3</v>
      </c>
      <c r="F178" s="67" t="s">
        <v>443</v>
      </c>
      <c r="G178" s="67">
        <v>2.7</v>
      </c>
      <c r="H178" s="70" t="s">
        <v>229</v>
      </c>
      <c r="I178" s="70">
        <v>9.5</v>
      </c>
      <c r="J178" s="67" t="s">
        <v>229</v>
      </c>
      <c r="K178" s="67">
        <v>8.5</v>
      </c>
      <c r="L178" s="70" t="s">
        <v>441</v>
      </c>
      <c r="M178" s="70">
        <v>14.45</v>
      </c>
      <c r="N178" s="67" t="s">
        <v>441</v>
      </c>
      <c r="O178" s="67">
        <v>14.25</v>
      </c>
      <c r="P178" s="70" t="s">
        <v>441</v>
      </c>
      <c r="Q178" s="70">
        <v>14.05</v>
      </c>
      <c r="R178" s="67" t="s">
        <v>441</v>
      </c>
      <c r="S178" s="67">
        <v>9.3</v>
      </c>
      <c r="T178" s="70" t="s">
        <v>444</v>
      </c>
      <c r="U178" s="70">
        <v>2.9</v>
      </c>
      <c r="V178" s="67" t="s">
        <v>441</v>
      </c>
      <c r="W178" s="67">
        <v>8.4</v>
      </c>
      <c r="X178" s="70" t="s">
        <v>444</v>
      </c>
      <c r="Y178" s="70">
        <v>3.0</v>
      </c>
      <c r="Z178" s="67" t="s">
        <v>441</v>
      </c>
      <c r="AA178" s="67">
        <v>9.5</v>
      </c>
      <c r="AB178" s="70" t="s">
        <v>441</v>
      </c>
      <c r="AC178" s="70">
        <v>6.85</v>
      </c>
      <c r="AD178" s="77"/>
      <c r="AE178" s="80"/>
    </row>
    <row r="179" ht="15.75" customHeight="1">
      <c r="A179" s="53" t="s">
        <v>117</v>
      </c>
      <c r="B179" s="67" t="s">
        <v>189</v>
      </c>
      <c r="C179" s="67">
        <v>4.6</v>
      </c>
      <c r="D179" s="70" t="s">
        <v>443</v>
      </c>
      <c r="E179" s="70">
        <v>1.8</v>
      </c>
      <c r="F179" s="67" t="s">
        <v>229</v>
      </c>
      <c r="G179" s="67">
        <v>2.8</v>
      </c>
      <c r="H179" s="70" t="s">
        <v>441</v>
      </c>
      <c r="I179" s="70">
        <v>9.1</v>
      </c>
      <c r="J179" s="67" t="s">
        <v>441</v>
      </c>
      <c r="K179" s="67">
        <v>10.35</v>
      </c>
      <c r="L179" s="70" t="s">
        <v>278</v>
      </c>
      <c r="M179" s="70">
        <v>13.4</v>
      </c>
      <c r="N179" s="67" t="s">
        <v>278</v>
      </c>
      <c r="O179" s="67">
        <v>7.7</v>
      </c>
      <c r="P179" s="70" t="s">
        <v>444</v>
      </c>
      <c r="Q179" s="70">
        <v>12.9</v>
      </c>
      <c r="R179" s="67" t="s">
        <v>444</v>
      </c>
      <c r="S179" s="67">
        <v>16.85</v>
      </c>
      <c r="T179" s="70" t="s">
        <v>390</v>
      </c>
      <c r="U179" s="70">
        <v>24.9</v>
      </c>
      <c r="V179" s="67" t="s">
        <v>390</v>
      </c>
      <c r="W179" s="67">
        <v>19.8</v>
      </c>
      <c r="X179" s="70" t="s">
        <v>445</v>
      </c>
      <c r="Y179" s="70">
        <v>0.0</v>
      </c>
      <c r="Z179" s="67" t="s">
        <v>445</v>
      </c>
      <c r="AA179" s="67">
        <v>28.0</v>
      </c>
      <c r="AB179" s="70" t="s">
        <v>445</v>
      </c>
      <c r="AC179" s="70">
        <v>17.4</v>
      </c>
      <c r="AD179" s="77"/>
      <c r="AE179" s="80"/>
    </row>
    <row r="180" ht="15.75" hidden="1" customHeight="1">
      <c r="A180" s="31" t="s">
        <v>117</v>
      </c>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80"/>
    </row>
    <row r="181" ht="15.75" customHeight="1">
      <c r="A181" s="53" t="s">
        <v>132</v>
      </c>
      <c r="B181" s="67" t="s">
        <v>446</v>
      </c>
      <c r="C181" s="67">
        <v>12.5</v>
      </c>
      <c r="D181" s="70" t="s">
        <v>446</v>
      </c>
      <c r="E181" s="70">
        <v>0.0</v>
      </c>
      <c r="F181" s="67" t="s">
        <v>447</v>
      </c>
      <c r="G181" s="67">
        <v>6.8</v>
      </c>
      <c r="H181" s="70" t="s">
        <v>447</v>
      </c>
      <c r="I181" s="70">
        <v>6.1</v>
      </c>
      <c r="J181" s="67" t="s">
        <v>447</v>
      </c>
      <c r="K181" s="67">
        <v>0.0</v>
      </c>
      <c r="L181" s="70" t="s">
        <v>447</v>
      </c>
      <c r="M181" s="70">
        <v>16.3</v>
      </c>
      <c r="N181" s="67" t="s">
        <v>447</v>
      </c>
      <c r="O181" s="67">
        <v>12.7</v>
      </c>
      <c r="P181" s="70" t="s">
        <v>446</v>
      </c>
      <c r="Q181" s="70">
        <v>14.3</v>
      </c>
      <c r="R181" s="67" t="s">
        <v>446</v>
      </c>
      <c r="S181" s="67">
        <v>7.0</v>
      </c>
      <c r="T181" s="70" t="s">
        <v>446</v>
      </c>
      <c r="U181" s="70">
        <v>23.4</v>
      </c>
      <c r="V181" s="67" t="s">
        <v>446</v>
      </c>
      <c r="W181" s="67">
        <v>24.7</v>
      </c>
      <c r="X181" s="70" t="s">
        <v>446</v>
      </c>
      <c r="Y181" s="70">
        <v>13.8</v>
      </c>
      <c r="Z181" s="67" t="s">
        <v>446</v>
      </c>
      <c r="AA181" s="67">
        <v>10.7</v>
      </c>
      <c r="AB181" s="70" t="s">
        <v>447</v>
      </c>
      <c r="AC181" s="70">
        <v>2.1</v>
      </c>
      <c r="AD181" s="77"/>
      <c r="AE181" s="80"/>
    </row>
    <row r="182" ht="15.75" customHeight="1">
      <c r="A182" s="53" t="s">
        <v>136</v>
      </c>
      <c r="B182" s="67" t="s">
        <v>442</v>
      </c>
      <c r="C182" s="67">
        <v>6.0</v>
      </c>
      <c r="D182" s="70" t="s">
        <v>442</v>
      </c>
      <c r="E182" s="70">
        <v>17.8</v>
      </c>
      <c r="F182" s="67" t="s">
        <v>442</v>
      </c>
      <c r="G182" s="67">
        <v>17.8</v>
      </c>
      <c r="H182" s="70" t="s">
        <v>442</v>
      </c>
      <c r="I182" s="70">
        <v>34.4</v>
      </c>
      <c r="J182" s="67" t="s">
        <v>442</v>
      </c>
      <c r="K182" s="67">
        <v>13.7</v>
      </c>
      <c r="L182" s="70" t="s">
        <v>442</v>
      </c>
      <c r="M182" s="70">
        <v>32.8</v>
      </c>
      <c r="N182" s="67" t="s">
        <v>442</v>
      </c>
      <c r="O182" s="67">
        <v>12.2</v>
      </c>
      <c r="P182" s="70" t="s">
        <v>442</v>
      </c>
      <c r="Q182" s="70">
        <v>14.8</v>
      </c>
      <c r="R182" s="67" t="s">
        <v>442</v>
      </c>
      <c r="S182" s="67">
        <v>13.9</v>
      </c>
      <c r="T182" s="70" t="s">
        <v>447</v>
      </c>
      <c r="U182" s="70">
        <v>9.4</v>
      </c>
      <c r="V182" s="67" t="s">
        <v>447</v>
      </c>
      <c r="W182" s="67">
        <v>8.2</v>
      </c>
      <c r="X182" s="70" t="s">
        <v>448</v>
      </c>
      <c r="Y182" s="70">
        <v>9.9</v>
      </c>
      <c r="Z182" s="67" t="s">
        <v>448</v>
      </c>
      <c r="AA182" s="67">
        <v>18.4</v>
      </c>
      <c r="AB182" s="70" t="s">
        <v>448</v>
      </c>
      <c r="AC182" s="70">
        <v>24.9</v>
      </c>
      <c r="AD182" s="77"/>
      <c r="AE182" s="80"/>
    </row>
    <row r="183" ht="15.75" customHeight="1">
      <c r="A183" s="53" t="s">
        <v>139</v>
      </c>
      <c r="B183" s="67" t="s">
        <v>449</v>
      </c>
      <c r="C183" s="67">
        <v>31.86</v>
      </c>
      <c r="D183" s="70" t="s">
        <v>449</v>
      </c>
      <c r="E183" s="70">
        <v>-1.9</v>
      </c>
      <c r="F183" s="67" t="s">
        <v>449</v>
      </c>
      <c r="G183" s="67">
        <v>28.53</v>
      </c>
      <c r="H183" s="70" t="s">
        <v>449</v>
      </c>
      <c r="I183" s="70">
        <v>17.82</v>
      </c>
      <c r="J183" s="67" t="s">
        <v>449</v>
      </c>
      <c r="K183" s="67">
        <v>20.51</v>
      </c>
      <c r="L183" s="70" t="s">
        <v>449</v>
      </c>
      <c r="M183" s="70">
        <v>33.08</v>
      </c>
      <c r="N183" s="67" t="s">
        <v>449</v>
      </c>
      <c r="O183" s="67">
        <v>13.12</v>
      </c>
      <c r="P183" s="70" t="s">
        <v>449</v>
      </c>
      <c r="Q183" s="70">
        <v>19.03</v>
      </c>
      <c r="R183" s="67" t="s">
        <v>449</v>
      </c>
      <c r="S183" s="67">
        <v>17.2</v>
      </c>
      <c r="T183" s="70" t="s">
        <v>449</v>
      </c>
      <c r="U183" s="70">
        <v>27.67</v>
      </c>
      <c r="V183" s="67" t="s">
        <v>449</v>
      </c>
      <c r="W183" s="67">
        <v>24.03</v>
      </c>
      <c r="X183" s="70" t="s">
        <v>451</v>
      </c>
      <c r="Y183" s="70">
        <v>5.1</v>
      </c>
      <c r="Z183" s="67" t="s">
        <v>449</v>
      </c>
      <c r="AA183" s="67">
        <v>12.7</v>
      </c>
      <c r="AB183" s="70" t="s">
        <v>449</v>
      </c>
      <c r="AC183" s="70">
        <v>22.79</v>
      </c>
      <c r="AD183" s="77"/>
      <c r="AE183" s="80"/>
    </row>
    <row r="184" ht="15.75" customHeight="1">
      <c r="A184" s="53" t="s">
        <v>146</v>
      </c>
      <c r="B184" s="67" t="s">
        <v>371</v>
      </c>
      <c r="C184" s="67">
        <v>7.0</v>
      </c>
      <c r="D184" s="70" t="s">
        <v>371</v>
      </c>
      <c r="E184" s="70">
        <v>9.0</v>
      </c>
      <c r="F184" s="67" t="s">
        <v>371</v>
      </c>
      <c r="G184" s="67">
        <v>8.5</v>
      </c>
      <c r="H184" s="70" t="s">
        <v>371</v>
      </c>
      <c r="I184" s="70">
        <v>14.0</v>
      </c>
      <c r="J184" s="67" t="s">
        <v>371</v>
      </c>
      <c r="K184" s="67">
        <v>5.0</v>
      </c>
      <c r="L184" s="70" t="s">
        <v>371</v>
      </c>
      <c r="M184" s="70">
        <v>5.0</v>
      </c>
      <c r="N184" s="67" t="s">
        <v>371</v>
      </c>
      <c r="O184" s="67">
        <v>8.0</v>
      </c>
      <c r="P184" s="70" t="s">
        <v>453</v>
      </c>
      <c r="Q184" s="70">
        <v>9.0</v>
      </c>
      <c r="R184" s="67" t="s">
        <v>453</v>
      </c>
      <c r="S184" s="67">
        <v>3.0</v>
      </c>
      <c r="T184" s="70" t="s">
        <v>453</v>
      </c>
      <c r="U184" s="70">
        <v>3.0</v>
      </c>
      <c r="V184" s="67" t="s">
        <v>453</v>
      </c>
      <c r="W184" s="67">
        <v>19.0</v>
      </c>
      <c r="X184" s="70" t="s">
        <v>454</v>
      </c>
      <c r="Y184" s="70">
        <v>14.0</v>
      </c>
      <c r="Z184" s="67" t="s">
        <v>454</v>
      </c>
      <c r="AA184" s="67">
        <v>4.0</v>
      </c>
      <c r="AB184" s="70" t="s">
        <v>454</v>
      </c>
      <c r="AC184" s="70">
        <v>9.0</v>
      </c>
      <c r="AD184" s="77"/>
      <c r="AE184" s="80"/>
    </row>
    <row r="185" ht="15.75" customHeight="1">
      <c r="A185" s="225" t="s">
        <v>162</v>
      </c>
      <c r="B185" s="67" t="s">
        <v>455</v>
      </c>
      <c r="C185" s="67">
        <v>3.3</v>
      </c>
      <c r="D185" s="70" t="s">
        <v>455</v>
      </c>
      <c r="E185" s="70">
        <v>3.1</v>
      </c>
      <c r="F185" s="67" t="s">
        <v>455</v>
      </c>
      <c r="G185" s="67">
        <v>10.6</v>
      </c>
      <c r="H185" s="70" t="s">
        <v>456</v>
      </c>
      <c r="I185" s="70">
        <v>11.0</v>
      </c>
      <c r="J185" s="67" t="s">
        <v>455</v>
      </c>
      <c r="K185" s="67">
        <v>6.4</v>
      </c>
      <c r="L185" s="70" t="s">
        <v>455</v>
      </c>
      <c r="M185" s="70">
        <v>13.0</v>
      </c>
      <c r="N185" s="67" t="s">
        <v>455</v>
      </c>
      <c r="O185" s="67">
        <v>21.3</v>
      </c>
      <c r="P185" s="70" t="s">
        <v>455</v>
      </c>
      <c r="Q185" s="70">
        <v>16.4</v>
      </c>
      <c r="R185" s="67" t="s">
        <v>455</v>
      </c>
      <c r="S185" s="67">
        <v>3.3</v>
      </c>
      <c r="T185" s="70" t="s">
        <v>456</v>
      </c>
      <c r="U185" s="70">
        <v>0.1</v>
      </c>
      <c r="V185" s="67" t="s">
        <v>456</v>
      </c>
      <c r="W185" s="67">
        <v>11.1</v>
      </c>
      <c r="X185" s="70" t="s">
        <v>456</v>
      </c>
      <c r="Y185" s="70">
        <v>12.9</v>
      </c>
      <c r="Z185" s="67" t="s">
        <v>456</v>
      </c>
      <c r="AA185" s="67">
        <v>12.3</v>
      </c>
      <c r="AB185" s="70" t="s">
        <v>456</v>
      </c>
      <c r="AC185" s="70">
        <v>11.4</v>
      </c>
      <c r="AD185" s="228"/>
      <c r="AE185" s="229"/>
    </row>
    <row r="186" ht="15.75" customHeight="1">
      <c r="A186" s="148" t="s">
        <v>167</v>
      </c>
      <c r="B186" s="151">
        <f>SUM(C173:C185)</f>
        <v>151.12</v>
      </c>
      <c r="C186" s="24"/>
      <c r="D186" s="151">
        <f>SUM(E173:E185)</f>
        <v>120.12</v>
      </c>
      <c r="E186" s="24"/>
      <c r="F186" s="151">
        <f>SUM(G173:G185)</f>
        <v>135.25</v>
      </c>
      <c r="G186" s="24"/>
      <c r="H186" s="151">
        <f>SUM(I173:I185)</f>
        <v>183.68</v>
      </c>
      <c r="I186" s="24"/>
      <c r="J186" s="151">
        <f>SUM(K173:K185)</f>
        <v>141.58</v>
      </c>
      <c r="K186" s="24"/>
      <c r="L186" s="151">
        <f>SUM(M173:M185)</f>
        <v>175.13</v>
      </c>
      <c r="M186" s="24"/>
      <c r="N186" s="151">
        <f>SUM(O173:O185)</f>
        <v>153.49</v>
      </c>
      <c r="O186" s="24"/>
      <c r="P186" s="151">
        <f>SUM(Q173:Q185)</f>
        <v>169.16</v>
      </c>
      <c r="Q186" s="24"/>
      <c r="R186" s="151">
        <f>SUM(S173:S185)</f>
        <v>109.13</v>
      </c>
      <c r="S186" s="24"/>
      <c r="T186" s="151">
        <f>SUM(U173:U185)</f>
        <v>151.36</v>
      </c>
      <c r="U186" s="24"/>
      <c r="V186" s="151">
        <f>SUM(W173:W185)</f>
        <v>216.31</v>
      </c>
      <c r="W186" s="24"/>
      <c r="X186" s="151">
        <f>SUM(Y173:Y185)</f>
        <v>122.72</v>
      </c>
      <c r="Y186" s="24"/>
      <c r="Z186" s="151">
        <f>SUM(AA173:AA185)</f>
        <v>160.82</v>
      </c>
      <c r="AA186" s="24"/>
      <c r="AB186" s="151">
        <f>SUM(AC173:AC185)</f>
        <v>185.68</v>
      </c>
      <c r="AC186" s="24"/>
      <c r="AD186" s="158">
        <f>SUM(AE173:AE185)</f>
        <v>0</v>
      </c>
      <c r="AE186" s="24"/>
    </row>
    <row r="187" ht="15.75" customHeight="1">
      <c r="A187" s="159" t="s">
        <v>168</v>
      </c>
      <c r="B187" s="159" t="str">
        <f t="array" ref="B187">IFERROR(INDEX(B173:B185,MATCH(LARGE(C173:C185,1),C173:C185,0)),"N/A")</f>
        <v>J. ALLEN</v>
      </c>
      <c r="C187" s="159">
        <f>IFERROR(LARGE(C173:C185,1),0)</f>
        <v>49.16</v>
      </c>
      <c r="D187" s="159" t="str">
        <f t="array" ref="D187">IFERROR(INDEX(D173:D185,MATCH(LARGE(E173:E185,1),E173:E185,0)),"N/A")</f>
        <v>M. NABERS</v>
      </c>
      <c r="E187" s="159">
        <f>IFERROR(LARGE(E173:E185,1),0)</f>
        <v>38.7</v>
      </c>
      <c r="F187" s="159" t="str">
        <f t="array" ref="F187">IFERROR(INDEX(F173:F185,MATCH(LARGE(G173:G185,1),G173:G185,0)),"N/A")</f>
        <v>J. ALLEN</v>
      </c>
      <c r="G187" s="159">
        <f>IFERROR(LARGE(G173:G185,1),0)</f>
        <v>32.62</v>
      </c>
      <c r="H187" s="159" t="str">
        <f t="array" ref="H187">IFERROR(INDEX(H173:H185,MATCH(LARGE(I173:I185,1),I173:I185,0)),"N/A")</f>
        <v>G. PICKENS</v>
      </c>
      <c r="I187" s="159">
        <f>IFERROR(LARGE(I173:I185,1),0)</f>
        <v>34.4</v>
      </c>
      <c r="J187" s="159" t="str">
        <f t="array" ref="J187">IFERROR(INDEX(J173:J185,MATCH(LARGE(K173:K185,1),K173:K185,0)),"N/A")</f>
        <v>J. WILLIAMS</v>
      </c>
      <c r="K187" s="159">
        <f>IFERROR(LARGE(K173:K185,1),0)</f>
        <v>29.5</v>
      </c>
      <c r="L187" s="159" t="str">
        <f t="array" ref="L187">IFERROR(INDEX(L173:L185,MATCH(LARGE(M173:M185,1),M173:M185,0)),"N/A")</f>
        <v>DEN D/ST</v>
      </c>
      <c r="M187" s="159">
        <f>IFERROR(LARGE(M173:M185,1),0)</f>
        <v>33.08</v>
      </c>
      <c r="N187" s="159" t="str">
        <f t="array" ref="N187">IFERROR(INDEX(N173:N185,MATCH(LARGE(O173:O185,1),O173:O185,0)),"N/A")</f>
        <v>D. JONES</v>
      </c>
      <c r="O187" s="159">
        <f>IFERROR(LARGE(O173:O185,1),0)</f>
        <v>29.12</v>
      </c>
      <c r="P187" s="159" t="str">
        <f t="array" ref="P187">IFERROR(INDEX(P173:P185,MATCH(LARGE(Q173:Q185,1),Q173:Q185,0)),"N/A")</f>
        <v>D. JONES</v>
      </c>
      <c r="Q187" s="159">
        <f>IFERROR(LARGE(Q173:Q185,1),0)</f>
        <v>31.88</v>
      </c>
      <c r="R187" s="159" t="str">
        <f t="array" ref="R187">IFERROR(INDEX(R173:R185,MATCH(LARGE(S173:S185,1),S173:S185,0)),"N/A")</f>
        <v>D. JONES</v>
      </c>
      <c r="S187" s="159">
        <f>IFERROR(LARGE(S173:S185,1),0)</f>
        <v>17.38</v>
      </c>
      <c r="T187" s="159" t="str">
        <f t="array" ref="T187">IFERROR(INDEX(T173:T185,MATCH(LARGE(U173:U185,1),U173:U185,0)),"N/A")</f>
        <v>DEN D/ST</v>
      </c>
      <c r="U187" s="159">
        <f>IFERROR(LARGE(U173:U185,1),0)</f>
        <v>27.67</v>
      </c>
      <c r="V187" s="159" t="str">
        <f t="array" ref="V187">IFERROR(INDEX(V173:V185,MATCH(LARGE(W173:W185,1),W173:W185,0)),"N/A")</f>
        <v>J. ALLEN</v>
      </c>
      <c r="W187" s="159">
        <f>IFERROR(LARGE(W173:W185,1),0)</f>
        <v>50.28</v>
      </c>
      <c r="X187" s="159" t="str">
        <f t="array" ref="X187">IFERROR(INDEX(X173:X185,MATCH(LARGE(Y173:Y185,1),Y173:Y185,0)),"N/A")</f>
        <v>G. PICKENS</v>
      </c>
      <c r="Y187" s="159">
        <f>IFERROR(LARGE(Y173:Y185,1),0)</f>
        <v>30.6</v>
      </c>
      <c r="Z187" s="159" t="str">
        <f t="array" ref="Z187">IFERROR(INDEX(Z173:Z185,MATCH(LARGE(AA173:AA185,1),AA173:AA185,0)),"N/A")</f>
        <v>JM. WILLIAMS</v>
      </c>
      <c r="AA187" s="159">
        <f>IFERROR(LARGE(AA173:AA185,1),0)</f>
        <v>28</v>
      </c>
      <c r="AB187" s="159" t="str">
        <f t="array" ref="AB187">IFERROR(INDEX(AB173:AB185,MATCH(LARGE(AC173:AC185,1),AC173:AC185,0)),"N/A")</f>
        <v>J. ALLEN</v>
      </c>
      <c r="AC187" s="159">
        <f>IFERROR(LARGE(AC173:AC185,1),0)</f>
        <v>47.94</v>
      </c>
      <c r="AD187" s="77" t="str">
        <f t="array" ref="AD187">INDEX(AD173:AD185,MATCH(LARGE(AE173:AE185,1),AE173:AE185,0))</f>
        <v>#NUM!</v>
      </c>
      <c r="AE187" s="77" t="str">
        <f>LARGE(AE173:AE185,1)</f>
        <v>#NUM!</v>
      </c>
    </row>
    <row r="188" ht="15.75" customHeight="1">
      <c r="A188" s="186" t="s">
        <v>171</v>
      </c>
      <c r="B188" s="186" t="str">
        <f t="array" ref="B188">IFERROR(INDEX(B173:B185,MATCH(LARGE(C173:C185,2),C173:C185,0)),"N/A")</f>
        <v>DEN D/ST</v>
      </c>
      <c r="C188" s="188">
        <f>IFERROR(LARGE(C173:C185,2),0)</f>
        <v>31.86</v>
      </c>
      <c r="D188" s="186" t="str">
        <f t="array" ref="D188">IFERROR(INDEX(D173:D185,MATCH(LARGE(E173:E185,2),E173:E185,0)),"N/A")</f>
        <v>A. KAMARA</v>
      </c>
      <c r="E188" s="188">
        <f>IFERROR(LARGE(E173:E185,2),0)</f>
        <v>18.1</v>
      </c>
      <c r="F188" s="186" t="str">
        <f t="array" ref="F188">IFERROR(INDEX(F173:F185,MATCH(LARGE(G173:G185,2),G173:G185,0)),"N/A")</f>
        <v>DEN D/ST</v>
      </c>
      <c r="G188" s="188">
        <f>IFERROR(LARGE(G173:G185,2),0)</f>
        <v>28.53</v>
      </c>
      <c r="H188" s="186" t="str">
        <f t="array" ref="H188">IFERROR(INDEX(H173:H185,MATCH(LARGE(I173:I185,2),I173:I185,0)),"N/A")</f>
        <v>J. ALLEN</v>
      </c>
      <c r="I188" s="188">
        <f>IFERROR(LARGE(I173:I185,2),0)</f>
        <v>30.76</v>
      </c>
      <c r="J188" s="186" t="str">
        <f t="array" ref="J188">IFERROR(INDEX(J173:J185,MATCH(LARGE(K173:K185,2),K173:K185,0)),"N/A")</f>
        <v>J. ALLEN</v>
      </c>
      <c r="K188" s="188">
        <f>IFERROR(LARGE(K173:K185,2),0)</f>
        <v>26.12</v>
      </c>
      <c r="L188" s="186" t="str">
        <f t="array" ref="L188">IFERROR(INDEX(L173:L185,MATCH(LARGE(M173:M185,2),M173:M185,0)),"N/A")</f>
        <v>G. PICKENS</v>
      </c>
      <c r="M188" s="188">
        <f>IFERROR(LARGE(M173:M185,2),0)</f>
        <v>32.8</v>
      </c>
      <c r="N188" s="186" t="str">
        <f t="array" ref="N188">IFERROR(INDEX(N173:N185,MATCH(LARGE(O173:O185,2),O173:O185,0)),"N/A")</f>
        <v>J. WILLIAMS</v>
      </c>
      <c r="O188" s="188">
        <f>IFERROR(LARGE(O173:O185,2),0)</f>
        <v>21.7</v>
      </c>
      <c r="P188" s="186" t="str">
        <f t="array" ref="P188">IFERROR(INDEX(P173:P185,MATCH(LARGE(Q173:Q185,2),Q173:Q185,0)),"N/A")</f>
        <v>J. WILLIAMS</v>
      </c>
      <c r="Q188" s="188">
        <f>IFERROR(LARGE(Q173:Q185,2),0)</f>
        <v>19.2</v>
      </c>
      <c r="R188" s="186" t="str">
        <f t="array" ref="R188">IFERROR(INDEX(R173:R185,MATCH(LARGE(S173:S185,2),S173:S185,0)),"N/A")</f>
        <v>DEN D/ST</v>
      </c>
      <c r="S188" s="188">
        <f>IFERROR(LARGE(S173:S185,2),0)</f>
        <v>17.2</v>
      </c>
      <c r="T188" s="186" t="str">
        <f t="array" ref="T188">IFERROR(INDEX(T173:T185,MATCH(LARGE(U173:U185,2),U173:U185,0)),"N/A")</f>
        <v>J. ALLEN</v>
      </c>
      <c r="U188" s="188">
        <f>IFERROR(LARGE(U173:U185,2),0)</f>
        <v>27.14</v>
      </c>
      <c r="V188" s="186" t="str">
        <f t="array" ref="V188">IFERROR(INDEX(V173:V185,MATCH(LARGE(W173:W185,2),W173:W185,0)),"N/A")</f>
        <v>G. PICKENS</v>
      </c>
      <c r="W188" s="188">
        <f>IFERROR(LARGE(W173:W185,2),0)</f>
        <v>30.4</v>
      </c>
      <c r="X188" s="186" t="str">
        <f t="array" ref="X188">IFERROR(INDEX(X173:X185,MATCH(LARGE(Y173:Y185,2),Y173:Y185,0)),"N/A")</f>
        <v>JA. WILLIAMS</v>
      </c>
      <c r="Y188" s="188">
        <f>IFERROR(LARGE(Y173:Y185,2),0)</f>
        <v>14.1</v>
      </c>
      <c r="Z188" s="186" t="str">
        <f t="array" ref="Z188">IFERROR(INDEX(Z173:Z185,MATCH(LARGE(AA173:AA185,2),AA173:AA185,0)),"N/A")</f>
        <v>J. ALLEN</v>
      </c>
      <c r="AA188" s="188">
        <f>IFERROR(LARGE(AA173:AA185,2),0)</f>
        <v>20.12</v>
      </c>
      <c r="AB188" s="186" t="str">
        <f t="array" ref="AB188">IFERROR(INDEX(AB173:AB185,MATCH(LARGE(AC173:AC185,2),AC173:AC185,0)),"N/A")</f>
        <v>C. WATSON</v>
      </c>
      <c r="AC188" s="188">
        <f>IFERROR(LARGE(AC173:AC185,2),0)</f>
        <v>24.9</v>
      </c>
      <c r="AD188" s="201"/>
      <c r="AE188" s="201"/>
    </row>
    <row r="189" ht="15.75" customHeight="1">
      <c r="A189" s="202" t="s">
        <v>173</v>
      </c>
      <c r="B189" s="202" t="str">
        <f t="array" ref="B189">IFERROR(INDEX(B173:B185,MATCH(LARGE(C173:C185,3),C173:C185,0)),"N/A")</f>
        <v>A. KAMARA</v>
      </c>
      <c r="C189" s="204">
        <f>IFERROR(LARGE(C173:C185,3),0)</f>
        <v>14.8</v>
      </c>
      <c r="D189" s="202" t="str">
        <f t="array" ref="D189">IFERROR(INDEX(D173:D185,MATCH(LARGE(E173:E185,3),E173:E185,0)),"N/A")</f>
        <v>G. PICKENS</v>
      </c>
      <c r="E189" s="204">
        <f>IFERROR(LARGE(E173:E185,3),0)</f>
        <v>17.8</v>
      </c>
      <c r="F189" s="202" t="str">
        <f t="array" ref="F189">IFERROR(INDEX(F173:F185,MATCH(LARGE(G173:G185,3),G173:G185,0)),"N/A")</f>
        <v>G. PICKENS</v>
      </c>
      <c r="G189" s="204">
        <f>IFERROR(LARGE(G173:G185,3),0)</f>
        <v>17.8</v>
      </c>
      <c r="H189" s="202" t="str">
        <f t="array" ref="H189">IFERROR(INDEX(H173:H185,MATCH(LARGE(I173:I185,3),I173:I185,0)),"N/A")</f>
        <v>J. WILLIAMS</v>
      </c>
      <c r="I189" s="204">
        <f>IFERROR(LARGE(I173:I185,3),0)</f>
        <v>21</v>
      </c>
      <c r="J189" s="202" t="str">
        <f t="array" ref="J189">IFERROR(INDEX(J173:J185,MATCH(LARGE(K173:K185,3),K173:K185,0)),"N/A")</f>
        <v>DEN D/ST</v>
      </c>
      <c r="K189" s="204">
        <f>IFERROR(LARGE(K173:K185,3),0)</f>
        <v>20.51</v>
      </c>
      <c r="L189" s="202" t="str">
        <f t="array" ref="L189">IFERROR(INDEX(L173:L185,MATCH(LARGE(M173:M185,3),M173:M185,0)),"N/A")</f>
        <v>J. ALLEN</v>
      </c>
      <c r="M189" s="204">
        <f>IFERROR(LARGE(M173:M185,3),0)</f>
        <v>19.2</v>
      </c>
      <c r="N189" s="202" t="str">
        <f t="array" ref="N189">IFERROR(INDEX(N173:N185,MATCH(LARGE(O173:O185,3),O173:O185,0)),"N/A")</f>
        <v>KC HC</v>
      </c>
      <c r="O189" s="204">
        <f>IFERROR(LARGE(O173:O185,3),0)</f>
        <v>21.3</v>
      </c>
      <c r="P189" s="202" t="str">
        <f t="array" ref="P189">IFERROR(INDEX(P173:P185,MATCH(LARGE(Q173:Q185,3),Q173:Q185,0)),"N/A")</f>
        <v>DEN D/ST</v>
      </c>
      <c r="Q189" s="204">
        <f>IFERROR(LARGE(Q173:Q185,3),0)</f>
        <v>19.03</v>
      </c>
      <c r="R189" s="202" t="str">
        <f t="array" ref="R189">IFERROR(INDEX(R173:R185,MATCH(LARGE(S173:S185,3),S173:S185,0)),"N/A")</f>
        <v>J. DOWNS</v>
      </c>
      <c r="S189" s="204">
        <f>IFERROR(LARGE(S173:S185,3),0)</f>
        <v>16.85</v>
      </c>
      <c r="T189" s="202" t="str">
        <f t="array" ref="T189">IFERROR(INDEX(T173:T185,MATCH(LARGE(U173:U185,3),U173:U185,0)),"N/A")</f>
        <v>J. WILLIAMS</v>
      </c>
      <c r="U189" s="204">
        <f>IFERROR(LARGE(U173:U185,3),0)</f>
        <v>24.9</v>
      </c>
      <c r="V189" s="202" t="str">
        <f t="array" ref="V189">IFERROR(INDEX(V173:V185,MATCH(LARGE(W173:W185,3),W173:W185,0)),"N/A")</f>
        <v>G. KITTLE</v>
      </c>
      <c r="W189" s="204">
        <f>IFERROR(LARGE(W173:W185,3),0)</f>
        <v>24.7</v>
      </c>
      <c r="X189" s="202" t="str">
        <f t="array" ref="X189">IFERROR(INDEX(X173:X185,MATCH(LARGE(Y173:Y185,3),Y173:Y185,0)),"N/A")</f>
        <v>H. MEVIS</v>
      </c>
      <c r="Y189" s="204">
        <f>IFERROR(LARGE(Y173:Y185,3),0)</f>
        <v>14</v>
      </c>
      <c r="Z189" s="202" t="str">
        <f t="array" ref="Z189">IFERROR(INDEX(Z173:Z185,MATCH(LARGE(AA173:AA185,3),AA173:AA185,0)),"N/A")</f>
        <v>JA. WILLIAMS</v>
      </c>
      <c r="AA189" s="204">
        <f>IFERROR(LARGE(AA173:AA185,3),0)</f>
        <v>18.7</v>
      </c>
      <c r="AB189" s="202" t="str">
        <f t="array" ref="AB189">IFERROR(INDEX(AB173:AB185,MATCH(LARGE(AC173:AC185,3),AC173:AC185,0)),"N/A")</f>
        <v>DEN D/ST</v>
      </c>
      <c r="AC189" s="204">
        <f>IFERROR(LARGE(AC173:AC185,3),0)</f>
        <v>22.79</v>
      </c>
      <c r="AD189" s="201"/>
      <c r="AE189" s="201"/>
    </row>
    <row r="190" ht="15.75" customHeight="1"/>
    <row r="191" ht="15.75" customHeight="1">
      <c r="A191" s="520" t="str">
        <f>Settings!A12</f>
        <v>KINGS</v>
      </c>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9"/>
    </row>
    <row r="192" ht="15.75" customHeight="1">
      <c r="A192" s="31"/>
      <c r="B192" s="33" t="s">
        <v>48</v>
      </c>
      <c r="C192" s="24"/>
      <c r="D192" s="34" t="s">
        <v>51</v>
      </c>
      <c r="E192" s="24"/>
      <c r="F192" s="33" t="s">
        <v>55</v>
      </c>
      <c r="G192" s="24"/>
      <c r="H192" s="34" t="s">
        <v>58</v>
      </c>
      <c r="I192" s="24"/>
      <c r="J192" s="33" t="s">
        <v>60</v>
      </c>
      <c r="K192" s="24"/>
      <c r="L192" s="34" t="s">
        <v>62</v>
      </c>
      <c r="M192" s="24"/>
      <c r="N192" s="33" t="s">
        <v>64</v>
      </c>
      <c r="O192" s="24"/>
      <c r="P192" s="34" t="s">
        <v>66</v>
      </c>
      <c r="Q192" s="24"/>
      <c r="R192" s="33" t="s">
        <v>68</v>
      </c>
      <c r="S192" s="24"/>
      <c r="T192" s="34" t="s">
        <v>70</v>
      </c>
      <c r="U192" s="24"/>
      <c r="V192" s="33" t="s">
        <v>73</v>
      </c>
      <c r="W192" s="24"/>
      <c r="X192" s="34" t="s">
        <v>76</v>
      </c>
      <c r="Y192" s="24"/>
      <c r="Z192" s="33" t="s">
        <v>78</v>
      </c>
      <c r="AA192" s="24"/>
      <c r="AB192" s="34" t="s">
        <v>79</v>
      </c>
      <c r="AC192" s="24"/>
      <c r="AD192" s="49" t="s">
        <v>83</v>
      </c>
      <c r="AE192" s="50"/>
    </row>
    <row r="193" ht="15.75" customHeight="1">
      <c r="A193" s="53" t="s">
        <v>85</v>
      </c>
      <c r="B193" s="54">
        <v>10.0</v>
      </c>
      <c r="C193" s="24"/>
      <c r="D193" s="55">
        <v>6.0</v>
      </c>
      <c r="E193" s="24"/>
      <c r="F193" s="54">
        <v>7.0</v>
      </c>
      <c r="G193" s="24"/>
      <c r="H193" s="55">
        <v>9.0</v>
      </c>
      <c r="I193" s="24"/>
      <c r="J193" s="54">
        <v>9.0</v>
      </c>
      <c r="K193" s="24"/>
      <c r="L193" s="55">
        <v>9.0</v>
      </c>
      <c r="M193" s="24"/>
      <c r="N193" s="54">
        <v>9.0</v>
      </c>
      <c r="O193" s="24"/>
      <c r="P193" s="55">
        <v>8.0</v>
      </c>
      <c r="Q193" s="24"/>
      <c r="R193" s="54">
        <v>6.0</v>
      </c>
      <c r="S193" s="24"/>
      <c r="T193" s="55">
        <v>9.0</v>
      </c>
      <c r="U193" s="24"/>
      <c r="V193" s="54">
        <v>9.0</v>
      </c>
      <c r="W193" s="24"/>
      <c r="X193" s="55">
        <v>10.0</v>
      </c>
      <c r="Y193" s="24"/>
      <c r="Z193" s="54">
        <v>7.0</v>
      </c>
      <c r="AA193" s="24"/>
      <c r="AB193" s="55">
        <v>7.0</v>
      </c>
      <c r="AC193" s="24"/>
      <c r="AD193" s="66"/>
      <c r="AE193" s="50"/>
    </row>
    <row r="194" ht="15.75" customHeight="1">
      <c r="A194" s="53" t="s">
        <v>100</v>
      </c>
      <c r="B194" s="67" t="s">
        <v>470</v>
      </c>
      <c r="C194" s="67">
        <v>30.42</v>
      </c>
      <c r="D194" s="70" t="s">
        <v>470</v>
      </c>
      <c r="E194" s="70">
        <v>24.58</v>
      </c>
      <c r="F194" s="67" t="s">
        <v>470</v>
      </c>
      <c r="G194" s="67">
        <v>17.06</v>
      </c>
      <c r="H194" s="70" t="s">
        <v>470</v>
      </c>
      <c r="I194" s="70">
        <v>38.3</v>
      </c>
      <c r="J194" s="67" t="s">
        <v>470</v>
      </c>
      <c r="K194" s="67">
        <v>32.92</v>
      </c>
      <c r="L194" s="70" t="s">
        <v>470</v>
      </c>
      <c r="M194" s="70">
        <v>41.28</v>
      </c>
      <c r="N194" s="67" t="s">
        <v>470</v>
      </c>
      <c r="O194" s="67">
        <v>36.04</v>
      </c>
      <c r="P194" s="70" t="s">
        <v>470</v>
      </c>
      <c r="Q194" s="70">
        <v>30.96</v>
      </c>
      <c r="R194" s="67" t="s">
        <v>470</v>
      </c>
      <c r="S194" s="67">
        <v>9.0</v>
      </c>
      <c r="T194" s="70" t="s">
        <v>218</v>
      </c>
      <c r="U194" s="70">
        <v>15.22</v>
      </c>
      <c r="V194" s="67" t="s">
        <v>470</v>
      </c>
      <c r="W194" s="67">
        <v>17.24</v>
      </c>
      <c r="X194" s="70" t="s">
        <v>470</v>
      </c>
      <c r="Y194" s="70">
        <v>20.08</v>
      </c>
      <c r="Z194" s="67" t="s">
        <v>470</v>
      </c>
      <c r="AA194" s="67">
        <v>40.14</v>
      </c>
      <c r="AB194" s="70" t="s">
        <v>470</v>
      </c>
      <c r="AC194" s="70">
        <v>3.6</v>
      </c>
      <c r="AD194" s="77"/>
      <c r="AE194" s="80"/>
    </row>
    <row r="195" ht="15.75" customHeight="1">
      <c r="A195" s="53" t="s">
        <v>106</v>
      </c>
      <c r="B195" s="67" t="s">
        <v>471</v>
      </c>
      <c r="C195" s="67">
        <v>25.4</v>
      </c>
      <c r="D195" s="70" t="s">
        <v>471</v>
      </c>
      <c r="E195" s="70">
        <v>24.0</v>
      </c>
      <c r="F195" s="67" t="s">
        <v>471</v>
      </c>
      <c r="G195" s="67">
        <v>25.7</v>
      </c>
      <c r="H195" s="70" t="s">
        <v>471</v>
      </c>
      <c r="I195" s="70">
        <v>27.8</v>
      </c>
      <c r="J195" s="67" t="s">
        <v>471</v>
      </c>
      <c r="K195" s="67">
        <v>30.1</v>
      </c>
      <c r="L195" s="70" t="s">
        <v>471</v>
      </c>
      <c r="M195" s="70">
        <v>25.8</v>
      </c>
      <c r="N195" s="67" t="s">
        <v>471</v>
      </c>
      <c r="O195" s="67">
        <v>42.5</v>
      </c>
      <c r="P195" s="70" t="s">
        <v>471</v>
      </c>
      <c r="Q195" s="70">
        <v>10.6</v>
      </c>
      <c r="R195" s="67" t="s">
        <v>471</v>
      </c>
      <c r="S195" s="67">
        <v>38.1</v>
      </c>
      <c r="T195" s="70" t="s">
        <v>471</v>
      </c>
      <c r="U195" s="70">
        <v>18.8</v>
      </c>
      <c r="V195" s="67" t="s">
        <v>471</v>
      </c>
      <c r="W195" s="67">
        <v>36.4</v>
      </c>
      <c r="X195" s="70" t="s">
        <v>471</v>
      </c>
      <c r="Y195" s="70">
        <v>29.6</v>
      </c>
      <c r="Z195" s="67" t="s">
        <v>471</v>
      </c>
      <c r="AA195" s="67">
        <v>19.2</v>
      </c>
      <c r="AB195" s="70" t="s">
        <v>473</v>
      </c>
      <c r="AC195" s="70">
        <v>0.4</v>
      </c>
      <c r="AD195" s="77"/>
      <c r="AE195" s="80"/>
    </row>
    <row r="196" ht="15.75" customHeight="1">
      <c r="A196" s="53" t="s">
        <v>106</v>
      </c>
      <c r="B196" s="67" t="s">
        <v>473</v>
      </c>
      <c r="C196" s="67">
        <v>7.3</v>
      </c>
      <c r="D196" s="70" t="s">
        <v>473</v>
      </c>
      <c r="E196" s="70">
        <v>16.4</v>
      </c>
      <c r="F196" s="67" t="s">
        <v>473</v>
      </c>
      <c r="G196" s="67">
        <v>7.9</v>
      </c>
      <c r="H196" s="70" t="s">
        <v>473</v>
      </c>
      <c r="I196" s="70">
        <v>9.5</v>
      </c>
      <c r="J196" s="67" t="s">
        <v>473</v>
      </c>
      <c r="K196" s="67">
        <v>13.2</v>
      </c>
      <c r="L196" s="70" t="s">
        <v>475</v>
      </c>
      <c r="M196" s="70">
        <v>5.9</v>
      </c>
      <c r="N196" s="67" t="s">
        <v>475</v>
      </c>
      <c r="O196" s="67">
        <v>20.7</v>
      </c>
      <c r="P196" s="70" t="s">
        <v>388</v>
      </c>
      <c r="Q196" s="70">
        <v>8.5</v>
      </c>
      <c r="R196" s="67" t="s">
        <v>388</v>
      </c>
      <c r="S196" s="67">
        <v>7.7</v>
      </c>
      <c r="T196" s="70" t="s">
        <v>388</v>
      </c>
      <c r="U196" s="70">
        <v>5.45</v>
      </c>
      <c r="V196" s="67" t="s">
        <v>388</v>
      </c>
      <c r="W196" s="67">
        <v>31.6</v>
      </c>
      <c r="X196" s="70" t="s">
        <v>388</v>
      </c>
      <c r="Y196" s="70">
        <v>20.1</v>
      </c>
      <c r="Z196" s="67" t="s">
        <v>388</v>
      </c>
      <c r="AA196" s="67">
        <v>8.3</v>
      </c>
      <c r="AB196" s="70" t="s">
        <v>388</v>
      </c>
      <c r="AC196" s="70">
        <v>20.05</v>
      </c>
      <c r="AD196" s="77"/>
      <c r="AE196" s="80"/>
    </row>
    <row r="197" ht="15.75" hidden="1" customHeight="1">
      <c r="A197" s="31" t="s">
        <v>106</v>
      </c>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80"/>
    </row>
    <row r="198" ht="15.75" customHeight="1">
      <c r="A198" s="53" t="s">
        <v>117</v>
      </c>
      <c r="B198" s="67" t="s">
        <v>479</v>
      </c>
      <c r="C198" s="67">
        <v>8.0</v>
      </c>
      <c r="D198" s="70" t="s">
        <v>479</v>
      </c>
      <c r="E198" s="70">
        <v>18.85</v>
      </c>
      <c r="F198" s="67" t="s">
        <v>479</v>
      </c>
      <c r="G198" s="67">
        <v>15.9</v>
      </c>
      <c r="H198" s="70" t="s">
        <v>479</v>
      </c>
      <c r="I198" s="70">
        <v>12.7</v>
      </c>
      <c r="J198" s="67" t="s">
        <v>481</v>
      </c>
      <c r="K198" s="67">
        <v>14.9</v>
      </c>
      <c r="L198" s="70" t="s">
        <v>481</v>
      </c>
      <c r="M198" s="70">
        <v>24.0</v>
      </c>
      <c r="N198" s="67" t="s">
        <v>481</v>
      </c>
      <c r="O198" s="67">
        <v>15.7</v>
      </c>
      <c r="P198" s="70" t="s">
        <v>481</v>
      </c>
      <c r="Q198" s="70">
        <v>20.8</v>
      </c>
      <c r="R198" s="67" t="s">
        <v>481</v>
      </c>
      <c r="S198" s="67">
        <v>9.6</v>
      </c>
      <c r="T198" s="70" t="s">
        <v>481</v>
      </c>
      <c r="U198" s="70">
        <v>21.7</v>
      </c>
      <c r="V198" s="67" t="s">
        <v>481</v>
      </c>
      <c r="W198" s="67">
        <v>4.3</v>
      </c>
      <c r="X198" s="70" t="s">
        <v>482</v>
      </c>
      <c r="Y198" s="70">
        <v>23.4</v>
      </c>
      <c r="Z198" s="67" t="s">
        <v>482</v>
      </c>
      <c r="AA198" s="67">
        <v>4.8</v>
      </c>
      <c r="AB198" s="70" t="s">
        <v>481</v>
      </c>
      <c r="AC198" s="70">
        <v>2.2</v>
      </c>
      <c r="AD198" s="77"/>
      <c r="AE198" s="80"/>
    </row>
    <row r="199" ht="15.75" customHeight="1">
      <c r="A199" s="53" t="s">
        <v>117</v>
      </c>
      <c r="B199" s="67" t="s">
        <v>481</v>
      </c>
      <c r="C199" s="67">
        <v>13.4</v>
      </c>
      <c r="D199" s="70" t="s">
        <v>481</v>
      </c>
      <c r="E199" s="70">
        <v>9.8</v>
      </c>
      <c r="F199" s="67" t="s">
        <v>481</v>
      </c>
      <c r="G199" s="67">
        <v>8.6</v>
      </c>
      <c r="H199" s="70" t="s">
        <v>481</v>
      </c>
      <c r="I199" s="70">
        <v>2.1</v>
      </c>
      <c r="J199" s="67" t="s">
        <v>484</v>
      </c>
      <c r="K199" s="67">
        <v>15.1</v>
      </c>
      <c r="L199" s="70" t="s">
        <v>485</v>
      </c>
      <c r="M199" s="70">
        <v>12.0</v>
      </c>
      <c r="N199" s="67" t="s">
        <v>484</v>
      </c>
      <c r="O199" s="67">
        <v>22.8</v>
      </c>
      <c r="P199" s="70" t="s">
        <v>484</v>
      </c>
      <c r="Q199" s="70">
        <v>11.6</v>
      </c>
      <c r="R199" s="67" t="s">
        <v>486</v>
      </c>
      <c r="S199" s="67">
        <v>25.28</v>
      </c>
      <c r="T199" s="70" t="s">
        <v>482</v>
      </c>
      <c r="U199" s="70">
        <v>0.0</v>
      </c>
      <c r="V199" s="67" t="s">
        <v>484</v>
      </c>
      <c r="W199" s="67">
        <v>10.0</v>
      </c>
      <c r="X199" s="70" t="s">
        <v>484</v>
      </c>
      <c r="Y199" s="70">
        <v>0.0</v>
      </c>
      <c r="Z199" s="67" t="s">
        <v>484</v>
      </c>
      <c r="AA199" s="67">
        <v>8.6</v>
      </c>
      <c r="AB199" s="70" t="s">
        <v>482</v>
      </c>
      <c r="AC199" s="70">
        <v>0.6</v>
      </c>
      <c r="AD199" s="77"/>
      <c r="AE199" s="80"/>
    </row>
    <row r="200" ht="15.75" customHeight="1">
      <c r="A200" s="53" t="s">
        <v>117</v>
      </c>
      <c r="B200" s="67" t="s">
        <v>482</v>
      </c>
      <c r="C200" s="67">
        <v>8.9</v>
      </c>
      <c r="D200" s="70" t="s">
        <v>482</v>
      </c>
      <c r="E200" s="70">
        <v>9.6</v>
      </c>
      <c r="F200" s="67" t="s">
        <v>482</v>
      </c>
      <c r="G200" s="67">
        <v>13.1</v>
      </c>
      <c r="H200" s="70" t="s">
        <v>482</v>
      </c>
      <c r="I200" s="70">
        <v>7.8</v>
      </c>
      <c r="J200" s="67" t="s">
        <v>487</v>
      </c>
      <c r="K200" s="67">
        <v>11.1</v>
      </c>
      <c r="L200" s="70" t="s">
        <v>487</v>
      </c>
      <c r="M200" s="70">
        <v>6.3</v>
      </c>
      <c r="N200" s="67" t="s">
        <v>485</v>
      </c>
      <c r="O200" s="67">
        <v>8.3</v>
      </c>
      <c r="P200" s="70" t="s">
        <v>487</v>
      </c>
      <c r="Q200" s="70">
        <v>21.2</v>
      </c>
      <c r="R200" s="67" t="s">
        <v>484</v>
      </c>
      <c r="S200" s="67">
        <v>8.5</v>
      </c>
      <c r="T200" s="70" t="s">
        <v>484</v>
      </c>
      <c r="U200" s="70">
        <v>6.5</v>
      </c>
      <c r="V200" s="67" t="s">
        <v>485</v>
      </c>
      <c r="W200" s="67">
        <v>14.9</v>
      </c>
      <c r="X200" s="70" t="s">
        <v>485</v>
      </c>
      <c r="Y200" s="70">
        <v>5.8</v>
      </c>
      <c r="Z200" s="67" t="s">
        <v>485</v>
      </c>
      <c r="AA200" s="67">
        <v>5.0</v>
      </c>
      <c r="AB200" s="70" t="s">
        <v>484</v>
      </c>
      <c r="AC200" s="70">
        <v>10.2</v>
      </c>
      <c r="AD200" s="77"/>
      <c r="AE200" s="80"/>
    </row>
    <row r="201" ht="15.75" hidden="1" customHeight="1">
      <c r="A201" s="31" t="s">
        <v>117</v>
      </c>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80"/>
    </row>
    <row r="202" ht="15.75" customHeight="1">
      <c r="A202" s="53" t="s">
        <v>132</v>
      </c>
      <c r="B202" s="67" t="s">
        <v>488</v>
      </c>
      <c r="C202" s="67">
        <v>10.6</v>
      </c>
      <c r="D202" s="70" t="s">
        <v>488</v>
      </c>
      <c r="E202" s="70">
        <v>1.9</v>
      </c>
      <c r="F202" s="67" t="s">
        <v>488</v>
      </c>
      <c r="G202" s="67">
        <v>29.0</v>
      </c>
      <c r="H202" s="70" t="s">
        <v>488</v>
      </c>
      <c r="I202" s="70">
        <v>11.9</v>
      </c>
      <c r="J202" s="67" t="s">
        <v>488</v>
      </c>
      <c r="K202" s="67">
        <v>6.6</v>
      </c>
      <c r="L202" s="70" t="s">
        <v>488</v>
      </c>
      <c r="M202" s="70">
        <v>5.7</v>
      </c>
      <c r="N202" s="67" t="s">
        <v>488</v>
      </c>
      <c r="O202" s="67">
        <v>7.3</v>
      </c>
      <c r="P202" s="70" t="s">
        <v>489</v>
      </c>
      <c r="Q202" s="70">
        <v>8.0</v>
      </c>
      <c r="R202" s="67" t="s">
        <v>488</v>
      </c>
      <c r="S202" s="67">
        <v>9.1</v>
      </c>
      <c r="T202" s="70" t="s">
        <v>488</v>
      </c>
      <c r="U202" s="70">
        <v>1.9</v>
      </c>
      <c r="V202" s="67" t="s">
        <v>488</v>
      </c>
      <c r="W202" s="67">
        <v>8.5</v>
      </c>
      <c r="X202" s="70" t="s">
        <v>488</v>
      </c>
      <c r="Y202" s="70">
        <v>25.5</v>
      </c>
      <c r="Z202" s="67" t="s">
        <v>488</v>
      </c>
      <c r="AA202" s="67">
        <v>11.3</v>
      </c>
      <c r="AB202" s="70" t="s">
        <v>488</v>
      </c>
      <c r="AC202" s="70">
        <v>0.0</v>
      </c>
      <c r="AD202" s="77"/>
      <c r="AE202" s="80"/>
    </row>
    <row r="203" ht="15.75" customHeight="1">
      <c r="A203" s="53" t="s">
        <v>136</v>
      </c>
      <c r="B203" s="67" t="s">
        <v>490</v>
      </c>
      <c r="C203" s="67">
        <v>9.3</v>
      </c>
      <c r="D203" s="70" t="s">
        <v>490</v>
      </c>
      <c r="E203" s="70">
        <v>5.2</v>
      </c>
      <c r="F203" s="67" t="s">
        <v>490</v>
      </c>
      <c r="G203" s="67">
        <v>3.1</v>
      </c>
      <c r="H203" s="70" t="s">
        <v>485</v>
      </c>
      <c r="I203" s="70">
        <v>4.75</v>
      </c>
      <c r="J203" s="67" t="s">
        <v>485</v>
      </c>
      <c r="K203" s="67">
        <v>11.2</v>
      </c>
      <c r="L203" s="70" t="s">
        <v>388</v>
      </c>
      <c r="M203" s="70">
        <v>11.4</v>
      </c>
      <c r="N203" s="67" t="s">
        <v>388</v>
      </c>
      <c r="O203" s="67">
        <v>8.2</v>
      </c>
      <c r="P203" s="70" t="s">
        <v>486</v>
      </c>
      <c r="Q203" s="70">
        <v>11.8</v>
      </c>
      <c r="R203" s="67" t="s">
        <v>487</v>
      </c>
      <c r="S203" s="67">
        <v>12.0</v>
      </c>
      <c r="T203" s="70" t="s">
        <v>487</v>
      </c>
      <c r="U203" s="70">
        <v>13.15</v>
      </c>
      <c r="V203" s="67" t="s">
        <v>487</v>
      </c>
      <c r="W203" s="67">
        <v>0.7</v>
      </c>
      <c r="X203" s="70" t="s">
        <v>487</v>
      </c>
      <c r="Y203" s="70">
        <v>18.75</v>
      </c>
      <c r="Z203" s="67" t="s">
        <v>487</v>
      </c>
      <c r="AA203" s="67">
        <v>1.5</v>
      </c>
      <c r="AB203" s="70" t="s">
        <v>487</v>
      </c>
      <c r="AC203" s="70">
        <v>10.05</v>
      </c>
      <c r="AD203" s="77"/>
      <c r="AE203" s="80"/>
    </row>
    <row r="204" ht="15.75" customHeight="1">
      <c r="A204" s="53" t="s">
        <v>139</v>
      </c>
      <c r="B204" s="67" t="s">
        <v>491</v>
      </c>
      <c r="C204" s="67">
        <v>4.6</v>
      </c>
      <c r="D204" s="70" t="s">
        <v>491</v>
      </c>
      <c r="E204" s="70">
        <v>16.57</v>
      </c>
      <c r="F204" s="67" t="s">
        <v>491</v>
      </c>
      <c r="G204" s="67">
        <v>16.75</v>
      </c>
      <c r="H204" s="70" t="s">
        <v>491</v>
      </c>
      <c r="I204" s="70">
        <v>25.64</v>
      </c>
      <c r="J204" s="67" t="s">
        <v>491</v>
      </c>
      <c r="K204" s="67">
        <v>9.7</v>
      </c>
      <c r="L204" s="70" t="s">
        <v>491</v>
      </c>
      <c r="M204" s="70">
        <v>4.48</v>
      </c>
      <c r="N204" s="67" t="s">
        <v>491</v>
      </c>
      <c r="O204" s="67">
        <v>22.3</v>
      </c>
      <c r="P204" s="70" t="s">
        <v>491</v>
      </c>
      <c r="Q204" s="70">
        <v>18.31</v>
      </c>
      <c r="R204" s="67" t="s">
        <v>496</v>
      </c>
      <c r="S204" s="67">
        <v>12.32</v>
      </c>
      <c r="T204" s="70" t="s">
        <v>496</v>
      </c>
      <c r="U204" s="70">
        <v>-4.04</v>
      </c>
      <c r="V204" s="67" t="s">
        <v>496</v>
      </c>
      <c r="W204" s="67">
        <v>8.72</v>
      </c>
      <c r="X204" s="70" t="s">
        <v>496</v>
      </c>
      <c r="Y204" s="70">
        <v>21.0</v>
      </c>
      <c r="Z204" s="67" t="s">
        <v>496</v>
      </c>
      <c r="AA204" s="67">
        <v>21.72</v>
      </c>
      <c r="AB204" s="70" t="s">
        <v>491</v>
      </c>
      <c r="AC204" s="70">
        <v>37.27</v>
      </c>
      <c r="AD204" s="77"/>
      <c r="AE204" s="80"/>
    </row>
    <row r="205" ht="15.75" customHeight="1">
      <c r="A205" s="53" t="s">
        <v>146</v>
      </c>
      <c r="B205" s="67" t="s">
        <v>499</v>
      </c>
      <c r="C205" s="67">
        <v>12.0</v>
      </c>
      <c r="D205" s="70" t="s">
        <v>499</v>
      </c>
      <c r="E205" s="70">
        <v>7.0</v>
      </c>
      <c r="F205" s="67" t="s">
        <v>499</v>
      </c>
      <c r="G205" s="67">
        <v>12.5</v>
      </c>
      <c r="H205" s="70" t="s">
        <v>499</v>
      </c>
      <c r="I205" s="70">
        <v>12.0</v>
      </c>
      <c r="J205" s="67" t="s">
        <v>499</v>
      </c>
      <c r="K205" s="67">
        <v>4.0</v>
      </c>
      <c r="L205" s="70" t="s">
        <v>499</v>
      </c>
      <c r="M205" s="70">
        <v>6.0</v>
      </c>
      <c r="N205" s="67" t="s">
        <v>499</v>
      </c>
      <c r="O205" s="67">
        <v>7.0</v>
      </c>
      <c r="P205" s="70" t="s">
        <v>499</v>
      </c>
      <c r="Q205" s="70">
        <v>4.0</v>
      </c>
      <c r="R205" s="67" t="s">
        <v>499</v>
      </c>
      <c r="S205" s="67">
        <v>8.0</v>
      </c>
      <c r="T205" s="70" t="s">
        <v>240</v>
      </c>
      <c r="U205" s="70">
        <v>15.0</v>
      </c>
      <c r="V205" s="67" t="s">
        <v>240</v>
      </c>
      <c r="W205" s="67">
        <v>15.5</v>
      </c>
      <c r="X205" s="70" t="s">
        <v>240</v>
      </c>
      <c r="Y205" s="70">
        <v>13.0</v>
      </c>
      <c r="Z205" s="67" t="s">
        <v>240</v>
      </c>
      <c r="AA205" s="67">
        <v>21.0</v>
      </c>
      <c r="AB205" s="70" t="s">
        <v>240</v>
      </c>
      <c r="AC205" s="70">
        <v>14.0</v>
      </c>
      <c r="AD205" s="77"/>
      <c r="AE205" s="80"/>
    </row>
    <row r="206" ht="15.75" customHeight="1">
      <c r="A206" s="225" t="s">
        <v>162</v>
      </c>
      <c r="B206" s="67" t="s">
        <v>501</v>
      </c>
      <c r="C206" s="67">
        <v>12.3</v>
      </c>
      <c r="D206" s="70" t="s">
        <v>501</v>
      </c>
      <c r="E206" s="70">
        <v>2.4</v>
      </c>
      <c r="F206" s="67" t="s">
        <v>501</v>
      </c>
      <c r="G206" s="67">
        <v>18.3</v>
      </c>
      <c r="H206" s="70" t="s">
        <v>501</v>
      </c>
      <c r="I206" s="70">
        <v>5.1</v>
      </c>
      <c r="J206" s="67" t="s">
        <v>337</v>
      </c>
      <c r="K206" s="67">
        <v>24.0</v>
      </c>
      <c r="L206" s="70" t="s">
        <v>337</v>
      </c>
      <c r="M206" s="70">
        <v>11.3</v>
      </c>
      <c r="N206" s="67" t="s">
        <v>337</v>
      </c>
      <c r="O206" s="67">
        <v>15.4</v>
      </c>
      <c r="P206" s="70" t="s">
        <v>337</v>
      </c>
      <c r="Q206" s="70">
        <v>19.4</v>
      </c>
      <c r="R206" s="67" t="s">
        <v>337</v>
      </c>
      <c r="S206" s="67">
        <v>3.0</v>
      </c>
      <c r="T206" s="70" t="s">
        <v>337</v>
      </c>
      <c r="U206" s="70">
        <v>12.3</v>
      </c>
      <c r="V206" s="67" t="s">
        <v>501</v>
      </c>
      <c r="W206" s="67">
        <v>1.9</v>
      </c>
      <c r="X206" s="70" t="s">
        <v>337</v>
      </c>
      <c r="Y206" s="70">
        <v>4.0</v>
      </c>
      <c r="Z206" s="67" t="s">
        <v>337</v>
      </c>
      <c r="AA206" s="67">
        <v>2.8</v>
      </c>
      <c r="AB206" s="70" t="s">
        <v>337</v>
      </c>
      <c r="AC206" s="70">
        <v>-0.3</v>
      </c>
      <c r="AD206" s="228"/>
      <c r="AE206" s="229"/>
    </row>
    <row r="207" ht="15.75" customHeight="1">
      <c r="A207" s="148" t="s">
        <v>167</v>
      </c>
      <c r="B207" s="151">
        <f>SUM(C194:C206)</f>
        <v>142.22</v>
      </c>
      <c r="C207" s="24"/>
      <c r="D207" s="151">
        <f>SUM(E194:E206)</f>
        <v>136.3</v>
      </c>
      <c r="E207" s="24"/>
      <c r="F207" s="151">
        <f>SUM(G194:G206)</f>
        <v>167.91</v>
      </c>
      <c r="G207" s="24"/>
      <c r="H207" s="151">
        <f>SUM(I194:I206)</f>
        <v>157.59</v>
      </c>
      <c r="I207" s="24"/>
      <c r="J207" s="151">
        <f>SUM(K194:K206)</f>
        <v>172.82</v>
      </c>
      <c r="K207" s="24"/>
      <c r="L207" s="151">
        <f>SUM(M194:M206)</f>
        <v>154.16</v>
      </c>
      <c r="M207" s="24"/>
      <c r="N207" s="151">
        <f>SUM(O194:O206)</f>
        <v>206.24</v>
      </c>
      <c r="O207" s="24"/>
      <c r="P207" s="151">
        <f>SUM(Q194:Q206)</f>
        <v>165.17</v>
      </c>
      <c r="Q207" s="24"/>
      <c r="R207" s="151">
        <f>SUM(S194:S206)</f>
        <v>142.6</v>
      </c>
      <c r="S207" s="24"/>
      <c r="T207" s="151">
        <f>SUM(U194:U206)</f>
        <v>105.98</v>
      </c>
      <c r="U207" s="24"/>
      <c r="V207" s="151">
        <f>SUM(W194:W206)</f>
        <v>149.76</v>
      </c>
      <c r="W207" s="24"/>
      <c r="X207" s="151">
        <f>SUM(Y194:Y206)</f>
        <v>181.23</v>
      </c>
      <c r="Y207" s="24"/>
      <c r="Z207" s="151">
        <f>SUM(AA194:AA206)</f>
        <v>144.36</v>
      </c>
      <c r="AA207" s="24"/>
      <c r="AB207" s="151">
        <f>SUM(AC194:AC206)</f>
        <v>98.07</v>
      </c>
      <c r="AC207" s="24"/>
      <c r="AD207" s="158">
        <f>SUM(AE194:AE206)</f>
        <v>0</v>
      </c>
      <c r="AE207" s="24"/>
    </row>
    <row r="208" ht="15.75" customHeight="1">
      <c r="A208" s="159" t="s">
        <v>168</v>
      </c>
      <c r="B208" s="159" t="str">
        <f t="array" ref="B208">IFERROR(INDEX(B194:B206,MATCH(LARGE(C194:C206,1),C194:C206,0)),"N/A")</f>
        <v>P. MAHOMES</v>
      </c>
      <c r="C208" s="159">
        <f>IFERROR(LARGE(C194:C206,1),0)</f>
        <v>30.42</v>
      </c>
      <c r="D208" s="159" t="str">
        <f t="array" ref="D208">IFERROR(INDEX(D194:D206,MATCH(LARGE(E194:E206,1),E194:E206,0)),"N/A")</f>
        <v>P. MAHOMES</v>
      </c>
      <c r="E208" s="159">
        <f>IFERROR(LARGE(E194:E206,1),0)</f>
        <v>24.58</v>
      </c>
      <c r="F208" s="159" t="str">
        <f t="array" ref="F208">IFERROR(INDEX(F194:F206,MATCH(LARGE(G194:G206,1),G194:G206,0)),"N/A")</f>
        <v>H. HENRY</v>
      </c>
      <c r="G208" s="159">
        <f>IFERROR(LARGE(G194:G206,1),0)</f>
        <v>29</v>
      </c>
      <c r="H208" s="159" t="str">
        <f t="array" ref="H208">IFERROR(INDEX(H194:H206,MATCH(LARGE(I194:I206,1),I194:I206,0)),"N/A")</f>
        <v>P. MAHOMES</v>
      </c>
      <c r="I208" s="159">
        <f>IFERROR(LARGE(I194:I206,1),0)</f>
        <v>38.3</v>
      </c>
      <c r="J208" s="159" t="str">
        <f t="array" ref="J208">IFERROR(INDEX(J194:J206,MATCH(LARGE(K194:K206,1),K194:K206,0)),"N/A")</f>
        <v>P. MAHOMES</v>
      </c>
      <c r="K208" s="159">
        <f>IFERROR(LARGE(K194:K206,1),0)</f>
        <v>32.92</v>
      </c>
      <c r="L208" s="159" t="str">
        <f t="array" ref="L208">IFERROR(INDEX(L194:L206,MATCH(LARGE(M194:M206,1),M194:M206,0)),"N/A")</f>
        <v>P. MAHOMES</v>
      </c>
      <c r="M208" s="159">
        <f>IFERROR(LARGE(M194:M206,1),0)</f>
        <v>41.28</v>
      </c>
      <c r="N208" s="159" t="str">
        <f t="array" ref="N208">IFERROR(INDEX(N194:N206,MATCH(LARGE(O194:O206,1),O194:O206,0)),"N/A")</f>
        <v>C. MCCAFFREY</v>
      </c>
      <c r="O208" s="159">
        <f>IFERROR(LARGE(O194:O206,1),0)</f>
        <v>42.5</v>
      </c>
      <c r="P208" s="159" t="str">
        <f t="array" ref="P208">IFERROR(INDEX(P194:P206,MATCH(LARGE(Q194:Q206,1),Q194:Q206,0)),"N/A")</f>
        <v>P. MAHOMES</v>
      </c>
      <c r="Q208" s="159">
        <f>IFERROR(LARGE(Q194:Q206,1),0)</f>
        <v>30.96</v>
      </c>
      <c r="R208" s="159" t="str">
        <f t="array" ref="R208">IFERROR(INDEX(R194:R206,MATCH(LARGE(S194:S206,1),S194:S206,0)),"N/A")</f>
        <v>C. MCCAFFREY</v>
      </c>
      <c r="S208" s="159">
        <f>IFERROR(LARGE(S194:S206,1),0)</f>
        <v>38.1</v>
      </c>
      <c r="T208" s="159" t="str">
        <f t="array" ref="T208">IFERROR(INDEX(T194:T206,MATCH(LARGE(U194:U206,1),U194:U206,0)),"N/A")</f>
        <v>L. MCCONKEY</v>
      </c>
      <c r="U208" s="159">
        <f>IFERROR(LARGE(U194:U206,1),0)</f>
        <v>21.7</v>
      </c>
      <c r="V208" s="159" t="str">
        <f t="array" ref="V208">IFERROR(INDEX(V194:V206,MATCH(LARGE(W194:W206,1),W194:W206,0)),"N/A")</f>
        <v>C. MCCAFFREY</v>
      </c>
      <c r="W208" s="159">
        <f>IFERROR(LARGE(W194:W206,1),0)</f>
        <v>36.4</v>
      </c>
      <c r="X208" s="159" t="str">
        <f t="array" ref="X208">IFERROR(INDEX(X194:X206,MATCH(LARGE(Y194:Y206,1),Y194:Y206,0)),"N/A")</f>
        <v>C. MCCAFFREY</v>
      </c>
      <c r="Y208" s="159">
        <f>IFERROR(LARGE(Y194:Y206,1),0)</f>
        <v>29.6</v>
      </c>
      <c r="Z208" s="159" t="str">
        <f t="array" ref="Z208">IFERROR(INDEX(Z194:Z206,MATCH(LARGE(AA194:AA206,1),AA194:AA206,0)),"N/A")</f>
        <v>P. MAHOMES</v>
      </c>
      <c r="AA208" s="159">
        <f>IFERROR(LARGE(AA194:AA206,1),0)</f>
        <v>40.14</v>
      </c>
      <c r="AB208" s="159" t="str">
        <f t="array" ref="AB208">IFERROR(INDEX(AB194:AB206,MATCH(LARGE(AC194:AC206,1),AC194:AC206,0)),"N/A")</f>
        <v>PHI D/ST</v>
      </c>
      <c r="AC208" s="159">
        <f>IFERROR(LARGE(AC194:AC206,1),0)</f>
        <v>37.27</v>
      </c>
      <c r="AD208" s="77" t="str">
        <f t="array" ref="AD208">INDEX(AD194:AD206,MATCH(LARGE(AE194:AE206,1),AE194:AE206,0))</f>
        <v>#NUM!</v>
      </c>
      <c r="AE208" s="77" t="str">
        <f>LARGE(AE194:AE206,1)</f>
        <v>#NUM!</v>
      </c>
    </row>
    <row r="209" ht="15.75" customHeight="1">
      <c r="A209" s="186" t="s">
        <v>171</v>
      </c>
      <c r="B209" s="186" t="str">
        <f t="array" ref="B209">IFERROR(INDEX(B194:B206,MATCH(LARGE(C194:C206,2),C194:C206,0)),"N/A")</f>
        <v>C. MCCAFFREY</v>
      </c>
      <c r="C209" s="188">
        <f>IFERROR(LARGE(C194:C206,2),0)</f>
        <v>25.4</v>
      </c>
      <c r="D209" s="186" t="str">
        <f t="array" ref="D209">IFERROR(INDEX(D194:D206,MATCH(LARGE(E194:E206,2),E194:E206,0)),"N/A")</f>
        <v>C. MCCAFFREY</v>
      </c>
      <c r="E209" s="188">
        <f>IFERROR(LARGE(E194:E206,2),0)</f>
        <v>24</v>
      </c>
      <c r="F209" s="186" t="str">
        <f t="array" ref="F209">IFERROR(INDEX(F194:F206,MATCH(LARGE(G194:G206,2),G194:G206,0)),"N/A")</f>
        <v>C. MCCAFFREY</v>
      </c>
      <c r="G209" s="188">
        <f>IFERROR(LARGE(G194:G206,2),0)</f>
        <v>25.7</v>
      </c>
      <c r="H209" s="186" t="str">
        <f t="array" ref="H209">IFERROR(INDEX(H194:H206,MATCH(LARGE(I194:I206,2),I194:I206,0)),"N/A")</f>
        <v>C. MCCAFFREY</v>
      </c>
      <c r="I209" s="188">
        <f>IFERROR(LARGE(I194:I206,2),0)</f>
        <v>27.8</v>
      </c>
      <c r="J209" s="186" t="str">
        <f t="array" ref="J209">IFERROR(INDEX(J194:J206,MATCH(LARGE(K194:K206,2),K194:K206,0)),"N/A")</f>
        <v>C. MCCAFFREY</v>
      </c>
      <c r="K209" s="188">
        <f>IFERROR(LARGE(K194:K206,2),0)</f>
        <v>30.1</v>
      </c>
      <c r="L209" s="186" t="str">
        <f t="array" ref="L209">IFERROR(INDEX(L194:L206,MATCH(LARGE(M194:M206,2),M194:M206,0)),"N/A")</f>
        <v>C. MCCAFFREY</v>
      </c>
      <c r="M209" s="188">
        <f>IFERROR(LARGE(M194:M206,2),0)</f>
        <v>25.8</v>
      </c>
      <c r="N209" s="186" t="str">
        <f t="array" ref="N209">IFERROR(INDEX(N194:N206,MATCH(LARGE(O194:O206,2),O194:O206,0)),"N/A")</f>
        <v>P. MAHOMES</v>
      </c>
      <c r="O209" s="188">
        <f>IFERROR(LARGE(O194:O206,2),0)</f>
        <v>36.04</v>
      </c>
      <c r="P209" s="186" t="str">
        <f t="array" ref="P209">IFERROR(INDEX(P194:P206,MATCH(LARGE(Q194:Q206,2),Q194:Q206,0)),"N/A")</f>
        <v>K. SHAKIR</v>
      </c>
      <c r="Q209" s="188">
        <f>IFERROR(LARGE(Q194:Q206,2),0)</f>
        <v>21.2</v>
      </c>
      <c r="R209" s="186" t="str">
        <f t="array" ref="R209">IFERROR(INDEX(R194:R206,MATCH(LARGE(S194:S206,2),S194:S206,0)),"N/A")</f>
        <v>D.J. MOORE</v>
      </c>
      <c r="S209" s="188">
        <f>IFERROR(LARGE(S194:S206,2),0)</f>
        <v>25.28</v>
      </c>
      <c r="T209" s="186" t="str">
        <f t="array" ref="T209">IFERROR(INDEX(T194:T206,MATCH(LARGE(U194:U206,2),U194:U206,0)),"N/A")</f>
        <v>C. MCCAFFREY</v>
      </c>
      <c r="U209" s="188">
        <f>IFERROR(LARGE(U194:U206,2),0)</f>
        <v>18.8</v>
      </c>
      <c r="V209" s="186" t="str">
        <f t="array" ref="V209">IFERROR(INDEX(V194:V206,MATCH(LARGE(W194:W206,2),W194:W206,0)),"N/A")</f>
        <v>K. GAINWELL</v>
      </c>
      <c r="W209" s="188">
        <f>IFERROR(LARGE(W194:W206,2),0)</f>
        <v>31.6</v>
      </c>
      <c r="X209" s="186" t="str">
        <f t="array" ref="X209">IFERROR(INDEX(X194:X206,MATCH(LARGE(Y194:Y206,2),Y194:Y206,0)),"N/A")</f>
        <v>H. HENRY</v>
      </c>
      <c r="Y209" s="188">
        <f>IFERROR(LARGE(Y194:Y206,2),0)</f>
        <v>25.5</v>
      </c>
      <c r="Z209" s="186" t="str">
        <f t="array" ref="Z209">IFERROR(INDEX(Z194:Z206,MATCH(LARGE(AA194:AA206,2),AA194:AA206,0)),"N/A")</f>
        <v>SF D/ST</v>
      </c>
      <c r="AA209" s="188">
        <f>IFERROR(LARGE(AA194:AA206,2),0)</f>
        <v>21.72</v>
      </c>
      <c r="AB209" s="186" t="str">
        <f t="array" ref="AB209">IFERROR(INDEX(AB194:AB206,MATCH(LARGE(AC194:AC206,2),AC194:AC206,0)),"N/A")</f>
        <v>K. GAINWELL</v>
      </c>
      <c r="AC209" s="188">
        <f>IFERROR(LARGE(AC194:AC206,2),0)</f>
        <v>20.05</v>
      </c>
      <c r="AD209" s="201"/>
      <c r="AE209" s="201"/>
    </row>
    <row r="210" ht="15.75" customHeight="1">
      <c r="A210" s="202" t="s">
        <v>173</v>
      </c>
      <c r="B210" s="202" t="str">
        <f t="array" ref="B210">IFERROR(INDEX(B194:B206,MATCH(LARGE(C194:C206,3),C194:C206,0)),"N/A")</f>
        <v>L. MCCONKEY</v>
      </c>
      <c r="C210" s="204">
        <f>IFERROR(LARGE(C194:C206,3),0)</f>
        <v>13.4</v>
      </c>
      <c r="D210" s="202" t="str">
        <f t="array" ref="D210">IFERROR(INDEX(D194:D206,MATCH(LARGE(E194:E206,3),E194:E206,0)),"N/A")</f>
        <v>T. HILL</v>
      </c>
      <c r="E210" s="204">
        <f>IFERROR(LARGE(E194:E206,3),0)</f>
        <v>18.85</v>
      </c>
      <c r="F210" s="202" t="str">
        <f t="array" ref="F210">IFERROR(INDEX(F194:F206,MATCH(LARGE(G194:G206,3),G194:G206,0)),"N/A")</f>
        <v>WSH HC</v>
      </c>
      <c r="G210" s="204">
        <f>IFERROR(LARGE(G194:G206,3),0)</f>
        <v>18.3</v>
      </c>
      <c r="H210" s="202" t="str">
        <f t="array" ref="H210">IFERROR(INDEX(H194:H206,MATCH(LARGE(I194:I206,3),I194:I206,0)),"N/A")</f>
        <v>PHI D/ST</v>
      </c>
      <c r="I210" s="204">
        <f>IFERROR(LARGE(I194:I206,3),0)</f>
        <v>25.64</v>
      </c>
      <c r="J210" s="202" t="str">
        <f t="array" ref="J210">IFERROR(INDEX(J194:J206,MATCH(LARGE(K194:K206,3),K194:K206,0)),"N/A")</f>
        <v>IND HC</v>
      </c>
      <c r="K210" s="204">
        <f>IFERROR(LARGE(K194:K206,3),0)</f>
        <v>24</v>
      </c>
      <c r="L210" s="202" t="str">
        <f t="array" ref="L210">IFERROR(INDEX(L194:L206,MATCH(LARGE(M194:M206,3),M194:M206,0)),"N/A")</f>
        <v>L. MCCONKEY</v>
      </c>
      <c r="M210" s="204">
        <f>IFERROR(LARGE(M194:M206,3),0)</f>
        <v>24</v>
      </c>
      <c r="N210" s="202" t="str">
        <f t="array" ref="N210">IFERROR(INDEX(N194:N206,MATCH(LARGE(O194:O206,3),O194:O206,0)),"N/A")</f>
        <v>J. ADDISON</v>
      </c>
      <c r="O210" s="204">
        <f>IFERROR(LARGE(O194:O206,3),0)</f>
        <v>22.8</v>
      </c>
      <c r="P210" s="202" t="str">
        <f t="array" ref="P210">IFERROR(INDEX(P194:P206,MATCH(LARGE(Q194:Q206,3),Q194:Q206,0)),"N/A")</f>
        <v>L. MCCONKEY</v>
      </c>
      <c r="Q210" s="204">
        <f>IFERROR(LARGE(Q194:Q206,3),0)</f>
        <v>20.8</v>
      </c>
      <c r="R210" s="202" t="str">
        <f t="array" ref="R210">IFERROR(INDEX(R194:R206,MATCH(LARGE(S194:S206,3),S194:S206,0)),"N/A")</f>
        <v>SF D/ST</v>
      </c>
      <c r="S210" s="204">
        <f>IFERROR(LARGE(S194:S206,3),0)</f>
        <v>12.32</v>
      </c>
      <c r="T210" s="202" t="str">
        <f t="array" ref="T210">IFERROR(INDEX(T194:T206,MATCH(LARGE(U194:U206,3),U194:U206,0)),"N/A")</f>
        <v>J. MCCARTHY</v>
      </c>
      <c r="U210" s="204">
        <f>IFERROR(LARGE(U194:U206,3),0)</f>
        <v>15.22</v>
      </c>
      <c r="V210" s="202" t="str">
        <f t="array" ref="V210">IFERROR(INDEX(V194:V206,MATCH(LARGE(W194:W206,3),W194:W206,0)),"N/A")</f>
        <v>P. MAHOMES</v>
      </c>
      <c r="W210" s="204">
        <f>IFERROR(LARGE(W194:W206,3),0)</f>
        <v>17.24</v>
      </c>
      <c r="X210" s="202" t="str">
        <f t="array" ref="X210">IFERROR(INDEX(X194:X206,MATCH(LARGE(Y194:Y206,3),Y194:Y206,0)),"N/A")</f>
        <v>D. MOORE</v>
      </c>
      <c r="Y210" s="204">
        <f>IFERROR(LARGE(Y194:Y206,3),0)</f>
        <v>23.4</v>
      </c>
      <c r="Z210" s="202" t="str">
        <f t="array" ref="Z210">IFERROR(INDEX(Z194:Z206,MATCH(LARGE(AA194:AA206,3),AA194:AA206,0)),"N/A")</f>
        <v>J. MYERS</v>
      </c>
      <c r="AA210" s="204">
        <f>IFERROR(LARGE(AA194:AA206,3),0)</f>
        <v>21</v>
      </c>
      <c r="AB210" s="202" t="str">
        <f t="array" ref="AB210">IFERROR(INDEX(AB194:AB206,MATCH(LARGE(AC194:AC206,3),AC194:AC206,0)),"N/A")</f>
        <v>J. MYERS</v>
      </c>
      <c r="AC210" s="204">
        <f>IFERROR(LARGE(AC194:AC206,3),0)</f>
        <v>14</v>
      </c>
      <c r="AD210" s="201"/>
      <c r="AE210" s="201"/>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0">
    <mergeCell ref="Z18:AA18"/>
    <mergeCell ref="AB18:AC18"/>
    <mergeCell ref="L18:M18"/>
    <mergeCell ref="N18:O18"/>
    <mergeCell ref="P18:Q18"/>
    <mergeCell ref="R18:S18"/>
    <mergeCell ref="T18:U18"/>
    <mergeCell ref="V18:W18"/>
    <mergeCell ref="X18:Y18"/>
    <mergeCell ref="B18:C18"/>
    <mergeCell ref="B24:C24"/>
    <mergeCell ref="D24:E24"/>
    <mergeCell ref="F24:G24"/>
    <mergeCell ref="H24:I24"/>
    <mergeCell ref="J24:K24"/>
    <mergeCell ref="L24:M24"/>
    <mergeCell ref="R24:S24"/>
    <mergeCell ref="T24:U24"/>
    <mergeCell ref="V24:W24"/>
    <mergeCell ref="X24:Y24"/>
    <mergeCell ref="Z24:AA24"/>
    <mergeCell ref="AB24:AC24"/>
    <mergeCell ref="AD24:AE24"/>
    <mergeCell ref="L4:M4"/>
    <mergeCell ref="N4:O4"/>
    <mergeCell ref="D18:E18"/>
    <mergeCell ref="F18:G18"/>
    <mergeCell ref="H18:I18"/>
    <mergeCell ref="J18:K18"/>
    <mergeCell ref="A23:AE23"/>
    <mergeCell ref="R3:S3"/>
    <mergeCell ref="T3:U3"/>
    <mergeCell ref="V3:W3"/>
    <mergeCell ref="X3:Y3"/>
    <mergeCell ref="Z3:AA3"/>
    <mergeCell ref="AB3:AC3"/>
    <mergeCell ref="AD18:AE18"/>
    <mergeCell ref="A2:AE2"/>
    <mergeCell ref="B3:C3"/>
    <mergeCell ref="D3:E3"/>
    <mergeCell ref="F3:G3"/>
    <mergeCell ref="H3:I3"/>
    <mergeCell ref="J3:K3"/>
    <mergeCell ref="L3:M3"/>
    <mergeCell ref="AD3:AE3"/>
    <mergeCell ref="P4:Q4"/>
    <mergeCell ref="R4:S4"/>
    <mergeCell ref="T4:U4"/>
    <mergeCell ref="V4:W4"/>
    <mergeCell ref="X4:Y4"/>
    <mergeCell ref="Z4:AA4"/>
    <mergeCell ref="AB4:AC4"/>
    <mergeCell ref="AD4:AE4"/>
    <mergeCell ref="N3:O3"/>
    <mergeCell ref="P3:Q3"/>
    <mergeCell ref="B4:C4"/>
    <mergeCell ref="D4:E4"/>
    <mergeCell ref="F4:G4"/>
    <mergeCell ref="H4:I4"/>
    <mergeCell ref="J4:K4"/>
    <mergeCell ref="P25:Q25"/>
    <mergeCell ref="R25:S25"/>
    <mergeCell ref="T25:U25"/>
    <mergeCell ref="V25:W25"/>
    <mergeCell ref="X25:Y25"/>
    <mergeCell ref="Z25:AA25"/>
    <mergeCell ref="AB25:AC25"/>
    <mergeCell ref="AD25:AE25"/>
    <mergeCell ref="Z45:AA45"/>
    <mergeCell ref="AB45:AC45"/>
    <mergeCell ref="A44:AE44"/>
    <mergeCell ref="B45:C45"/>
    <mergeCell ref="D45:E45"/>
    <mergeCell ref="F45:G45"/>
    <mergeCell ref="H45:I45"/>
    <mergeCell ref="J45:K45"/>
    <mergeCell ref="L45:M45"/>
    <mergeCell ref="AD45:AE45"/>
    <mergeCell ref="N24:O24"/>
    <mergeCell ref="P24:Q24"/>
    <mergeCell ref="B25:C25"/>
    <mergeCell ref="D25:E25"/>
    <mergeCell ref="F25:G25"/>
    <mergeCell ref="H25:I25"/>
    <mergeCell ref="J25:K25"/>
    <mergeCell ref="L25:M25"/>
    <mergeCell ref="N25:O25"/>
    <mergeCell ref="B39:C39"/>
    <mergeCell ref="D39:E39"/>
    <mergeCell ref="F39:G39"/>
    <mergeCell ref="H39:I39"/>
    <mergeCell ref="J39:K39"/>
    <mergeCell ref="Z39:AA39"/>
    <mergeCell ref="AB39:AC39"/>
    <mergeCell ref="AD39:AE39"/>
    <mergeCell ref="L39:M39"/>
    <mergeCell ref="N39:O39"/>
    <mergeCell ref="P39:Q39"/>
    <mergeCell ref="R39:S39"/>
    <mergeCell ref="T39:U39"/>
    <mergeCell ref="V39:W39"/>
    <mergeCell ref="X39:Y39"/>
    <mergeCell ref="R45:S45"/>
    <mergeCell ref="T45:U45"/>
    <mergeCell ref="V45:W45"/>
    <mergeCell ref="X45:Y45"/>
    <mergeCell ref="P46:Q46"/>
    <mergeCell ref="R46:S46"/>
    <mergeCell ref="T46:U46"/>
    <mergeCell ref="V46:W46"/>
    <mergeCell ref="X46:Y46"/>
    <mergeCell ref="Z46:AA46"/>
    <mergeCell ref="AB46:AC46"/>
    <mergeCell ref="AD46:AE46"/>
    <mergeCell ref="Z66:AA66"/>
    <mergeCell ref="AB66:AC66"/>
    <mergeCell ref="A65:AE65"/>
    <mergeCell ref="B66:C66"/>
    <mergeCell ref="D66:E66"/>
    <mergeCell ref="F66:G66"/>
    <mergeCell ref="H66:I66"/>
    <mergeCell ref="J66:K66"/>
    <mergeCell ref="L66:M66"/>
    <mergeCell ref="AD66:AE66"/>
    <mergeCell ref="Z87:AA87"/>
    <mergeCell ref="AB87:AC87"/>
    <mergeCell ref="A86:AE86"/>
    <mergeCell ref="B87:C87"/>
    <mergeCell ref="D87:E87"/>
    <mergeCell ref="F87:G87"/>
    <mergeCell ref="H87:I87"/>
    <mergeCell ref="J87:K87"/>
    <mergeCell ref="L87:M87"/>
    <mergeCell ref="N108:O108"/>
    <mergeCell ref="P108:Q108"/>
    <mergeCell ref="B109:C109"/>
    <mergeCell ref="D109:E109"/>
    <mergeCell ref="F109:G109"/>
    <mergeCell ref="H109:I109"/>
    <mergeCell ref="J109:K109"/>
    <mergeCell ref="L109:M109"/>
    <mergeCell ref="N109:O109"/>
    <mergeCell ref="B123:C123"/>
    <mergeCell ref="D123:E123"/>
    <mergeCell ref="F123:G123"/>
    <mergeCell ref="H123:I123"/>
    <mergeCell ref="J123:K123"/>
    <mergeCell ref="Z123:AA123"/>
    <mergeCell ref="AB123:AC123"/>
    <mergeCell ref="AD123:AE123"/>
    <mergeCell ref="L123:M123"/>
    <mergeCell ref="N123:O123"/>
    <mergeCell ref="P123:Q123"/>
    <mergeCell ref="R123:S123"/>
    <mergeCell ref="T123:U123"/>
    <mergeCell ref="V123:W123"/>
    <mergeCell ref="X123:Y123"/>
    <mergeCell ref="R129:S129"/>
    <mergeCell ref="T129:U129"/>
    <mergeCell ref="V129:W129"/>
    <mergeCell ref="X129:Y129"/>
    <mergeCell ref="P130:Q130"/>
    <mergeCell ref="R130:S130"/>
    <mergeCell ref="T130:U130"/>
    <mergeCell ref="V130:W130"/>
    <mergeCell ref="X130:Y130"/>
    <mergeCell ref="Z130:AA130"/>
    <mergeCell ref="AB130:AC130"/>
    <mergeCell ref="AD130:AE130"/>
    <mergeCell ref="N129:O129"/>
    <mergeCell ref="P129:Q129"/>
    <mergeCell ref="B130:C130"/>
    <mergeCell ref="D130:E130"/>
    <mergeCell ref="F130:G130"/>
    <mergeCell ref="H130:I130"/>
    <mergeCell ref="J130:K130"/>
    <mergeCell ref="Z144:AA144"/>
    <mergeCell ref="AB144:AC144"/>
    <mergeCell ref="AD144:AE144"/>
    <mergeCell ref="L144:M144"/>
    <mergeCell ref="N144:O144"/>
    <mergeCell ref="P144:Q144"/>
    <mergeCell ref="R144:S144"/>
    <mergeCell ref="T144:U144"/>
    <mergeCell ref="V144:W144"/>
    <mergeCell ref="X144:Y144"/>
    <mergeCell ref="R150:S150"/>
    <mergeCell ref="T150:U150"/>
    <mergeCell ref="V150:W150"/>
    <mergeCell ref="X150:Y150"/>
    <mergeCell ref="P151:Q151"/>
    <mergeCell ref="R151:S151"/>
    <mergeCell ref="T151:U151"/>
    <mergeCell ref="V151:W151"/>
    <mergeCell ref="X151:Y151"/>
    <mergeCell ref="Z151:AA151"/>
    <mergeCell ref="AB151:AC151"/>
    <mergeCell ref="AD151:AE151"/>
    <mergeCell ref="L130:M130"/>
    <mergeCell ref="N130:O130"/>
    <mergeCell ref="B144:C144"/>
    <mergeCell ref="D144:E144"/>
    <mergeCell ref="F144:G144"/>
    <mergeCell ref="H144:I144"/>
    <mergeCell ref="J144:K144"/>
    <mergeCell ref="B165:C165"/>
    <mergeCell ref="D165:E165"/>
    <mergeCell ref="F165:G165"/>
    <mergeCell ref="H165:I165"/>
    <mergeCell ref="J165:K165"/>
    <mergeCell ref="L165:M165"/>
    <mergeCell ref="N165:O165"/>
    <mergeCell ref="P165:Q165"/>
    <mergeCell ref="R165:S165"/>
    <mergeCell ref="T165:U165"/>
    <mergeCell ref="V165:W165"/>
    <mergeCell ref="X165:Y165"/>
    <mergeCell ref="Z165:AA165"/>
    <mergeCell ref="AB165:AC165"/>
    <mergeCell ref="P171:Q171"/>
    <mergeCell ref="R171:S171"/>
    <mergeCell ref="T171:U171"/>
    <mergeCell ref="V171:W171"/>
    <mergeCell ref="X171:Y171"/>
    <mergeCell ref="Z171:AA171"/>
    <mergeCell ref="AB171:AC171"/>
    <mergeCell ref="AD171:AE171"/>
    <mergeCell ref="AD165:AE165"/>
    <mergeCell ref="A170:AE170"/>
    <mergeCell ref="B171:C171"/>
    <mergeCell ref="D171:E171"/>
    <mergeCell ref="F171:G171"/>
    <mergeCell ref="H171:I171"/>
    <mergeCell ref="J171:K171"/>
    <mergeCell ref="P186:Q186"/>
    <mergeCell ref="R186:S186"/>
    <mergeCell ref="T186:U186"/>
    <mergeCell ref="V186:W186"/>
    <mergeCell ref="X186:Y186"/>
    <mergeCell ref="Z186:AA186"/>
    <mergeCell ref="AB186:AC186"/>
    <mergeCell ref="X192:Y192"/>
    <mergeCell ref="Z192:AA192"/>
    <mergeCell ref="AB192:AC192"/>
    <mergeCell ref="AD192:AE192"/>
    <mergeCell ref="AD186:AE186"/>
    <mergeCell ref="A191:AE191"/>
    <mergeCell ref="B192:C192"/>
    <mergeCell ref="D192:E192"/>
    <mergeCell ref="F192:G192"/>
    <mergeCell ref="H192:I192"/>
    <mergeCell ref="J192:K192"/>
    <mergeCell ref="Z193:AA193"/>
    <mergeCell ref="AB193:AC193"/>
    <mergeCell ref="L193:M193"/>
    <mergeCell ref="N193:O193"/>
    <mergeCell ref="P193:Q193"/>
    <mergeCell ref="R193:S193"/>
    <mergeCell ref="T193:U193"/>
    <mergeCell ref="V193:W193"/>
    <mergeCell ref="X193:Y193"/>
    <mergeCell ref="P207:Q207"/>
    <mergeCell ref="R207:S207"/>
    <mergeCell ref="T207:U207"/>
    <mergeCell ref="V207:W207"/>
    <mergeCell ref="X207:Y207"/>
    <mergeCell ref="Z207:AA207"/>
    <mergeCell ref="AB207:AC207"/>
    <mergeCell ref="AD207:AE207"/>
    <mergeCell ref="B207:C207"/>
    <mergeCell ref="D207:E207"/>
    <mergeCell ref="F207:G207"/>
    <mergeCell ref="H207:I207"/>
    <mergeCell ref="J207:K207"/>
    <mergeCell ref="L207:M207"/>
    <mergeCell ref="N207:O207"/>
    <mergeCell ref="Z172:AA172"/>
    <mergeCell ref="AB172:AC172"/>
    <mergeCell ref="AD172:AE172"/>
    <mergeCell ref="L172:M172"/>
    <mergeCell ref="N172:O172"/>
    <mergeCell ref="P172:Q172"/>
    <mergeCell ref="R172:S172"/>
    <mergeCell ref="T172:U172"/>
    <mergeCell ref="V172:W172"/>
    <mergeCell ref="X172:Y172"/>
    <mergeCell ref="L171:M171"/>
    <mergeCell ref="N171:O171"/>
    <mergeCell ref="B172:C172"/>
    <mergeCell ref="D172:E172"/>
    <mergeCell ref="F172:G172"/>
    <mergeCell ref="H172:I172"/>
    <mergeCell ref="J172:K172"/>
    <mergeCell ref="B186:C186"/>
    <mergeCell ref="D186:E186"/>
    <mergeCell ref="F186:G186"/>
    <mergeCell ref="H186:I186"/>
    <mergeCell ref="J186:K186"/>
    <mergeCell ref="L186:M186"/>
    <mergeCell ref="N186:O186"/>
    <mergeCell ref="P192:Q192"/>
    <mergeCell ref="R192:S192"/>
    <mergeCell ref="T192:U192"/>
    <mergeCell ref="V192:W192"/>
    <mergeCell ref="AD193:AE193"/>
    <mergeCell ref="L192:M192"/>
    <mergeCell ref="N192:O192"/>
    <mergeCell ref="B193:C193"/>
    <mergeCell ref="D193:E193"/>
    <mergeCell ref="F193:G193"/>
    <mergeCell ref="H193:I193"/>
    <mergeCell ref="J193:K193"/>
    <mergeCell ref="N45:O45"/>
    <mergeCell ref="P45:Q45"/>
    <mergeCell ref="B46:C46"/>
    <mergeCell ref="D46:E46"/>
    <mergeCell ref="F46:G46"/>
    <mergeCell ref="H46:I46"/>
    <mergeCell ref="J46:K46"/>
    <mergeCell ref="L46:M46"/>
    <mergeCell ref="N46:O46"/>
    <mergeCell ref="B60:C60"/>
    <mergeCell ref="D60:E60"/>
    <mergeCell ref="F60:G60"/>
    <mergeCell ref="H60:I60"/>
    <mergeCell ref="J60:K60"/>
    <mergeCell ref="Z60:AA60"/>
    <mergeCell ref="AB60:AC60"/>
    <mergeCell ref="AD60:AE60"/>
    <mergeCell ref="L60:M60"/>
    <mergeCell ref="N60:O60"/>
    <mergeCell ref="P60:Q60"/>
    <mergeCell ref="R60:S60"/>
    <mergeCell ref="T60:U60"/>
    <mergeCell ref="V60:W60"/>
    <mergeCell ref="X60:Y60"/>
    <mergeCell ref="R66:S66"/>
    <mergeCell ref="T66:U66"/>
    <mergeCell ref="V66:W66"/>
    <mergeCell ref="X66:Y66"/>
    <mergeCell ref="P67:Q67"/>
    <mergeCell ref="R67:S67"/>
    <mergeCell ref="T67:U67"/>
    <mergeCell ref="V67:W67"/>
    <mergeCell ref="X67:Y67"/>
    <mergeCell ref="Z67:AA67"/>
    <mergeCell ref="AB67:AC67"/>
    <mergeCell ref="AD67:AE67"/>
    <mergeCell ref="N66:O66"/>
    <mergeCell ref="P66:Q66"/>
    <mergeCell ref="B67:C67"/>
    <mergeCell ref="D67:E67"/>
    <mergeCell ref="F67:G67"/>
    <mergeCell ref="H67:I67"/>
    <mergeCell ref="J67:K67"/>
    <mergeCell ref="L67:M67"/>
    <mergeCell ref="N67:O67"/>
    <mergeCell ref="B81:C81"/>
    <mergeCell ref="D81:E81"/>
    <mergeCell ref="F81:G81"/>
    <mergeCell ref="H81:I81"/>
    <mergeCell ref="J81:K81"/>
    <mergeCell ref="Z81:AA81"/>
    <mergeCell ref="AB81:AC81"/>
    <mergeCell ref="AD81:AE81"/>
    <mergeCell ref="L81:M81"/>
    <mergeCell ref="N81:O81"/>
    <mergeCell ref="P81:Q81"/>
    <mergeCell ref="R81:S81"/>
    <mergeCell ref="T81:U81"/>
    <mergeCell ref="V81:W81"/>
    <mergeCell ref="X81:Y81"/>
    <mergeCell ref="R87:S87"/>
    <mergeCell ref="T87:U87"/>
    <mergeCell ref="V87:W87"/>
    <mergeCell ref="X87:Y87"/>
    <mergeCell ref="AD87:AE87"/>
    <mergeCell ref="P88:Q88"/>
    <mergeCell ref="R88:S88"/>
    <mergeCell ref="T88:U88"/>
    <mergeCell ref="V88:W88"/>
    <mergeCell ref="X88:Y88"/>
    <mergeCell ref="Z88:AA88"/>
    <mergeCell ref="AB88:AC88"/>
    <mergeCell ref="AD88:AE88"/>
    <mergeCell ref="Z108:AA108"/>
    <mergeCell ref="AB108:AC108"/>
    <mergeCell ref="A107:AE107"/>
    <mergeCell ref="B108:C108"/>
    <mergeCell ref="D108:E108"/>
    <mergeCell ref="F108:G108"/>
    <mergeCell ref="H108:I108"/>
    <mergeCell ref="J108:K108"/>
    <mergeCell ref="L108:M108"/>
    <mergeCell ref="AD108:AE108"/>
    <mergeCell ref="N87:O87"/>
    <mergeCell ref="P87:Q87"/>
    <mergeCell ref="B88:C88"/>
    <mergeCell ref="D88:E88"/>
    <mergeCell ref="F88:G88"/>
    <mergeCell ref="H88:I88"/>
    <mergeCell ref="J88:K88"/>
    <mergeCell ref="L88:M88"/>
    <mergeCell ref="N88:O88"/>
    <mergeCell ref="B102:C102"/>
    <mergeCell ref="D102:E102"/>
    <mergeCell ref="F102:G102"/>
    <mergeCell ref="H102:I102"/>
    <mergeCell ref="J102:K102"/>
    <mergeCell ref="Z102:AA102"/>
    <mergeCell ref="AB102:AC102"/>
    <mergeCell ref="AD102:AE102"/>
    <mergeCell ref="L102:M102"/>
    <mergeCell ref="N102:O102"/>
    <mergeCell ref="P102:Q102"/>
    <mergeCell ref="R102:S102"/>
    <mergeCell ref="T102:U102"/>
    <mergeCell ref="V102:W102"/>
    <mergeCell ref="X102:Y102"/>
    <mergeCell ref="R108:S108"/>
    <mergeCell ref="T108:U108"/>
    <mergeCell ref="V108:W108"/>
    <mergeCell ref="X108:Y108"/>
    <mergeCell ref="P109:Q109"/>
    <mergeCell ref="R109:S109"/>
    <mergeCell ref="T109:U109"/>
    <mergeCell ref="V109:W109"/>
    <mergeCell ref="X109:Y109"/>
    <mergeCell ref="Z109:AA109"/>
    <mergeCell ref="AB109:AC109"/>
    <mergeCell ref="AD109:AE109"/>
    <mergeCell ref="Z129:AA129"/>
    <mergeCell ref="AB129:AC129"/>
    <mergeCell ref="A128:AE128"/>
    <mergeCell ref="B129:C129"/>
    <mergeCell ref="D129:E129"/>
    <mergeCell ref="F129:G129"/>
    <mergeCell ref="H129:I129"/>
    <mergeCell ref="J129:K129"/>
    <mergeCell ref="L129:M129"/>
    <mergeCell ref="AD129:AE129"/>
    <mergeCell ref="Z150:AA150"/>
    <mergeCell ref="AB150:AC150"/>
    <mergeCell ref="A149:AE149"/>
    <mergeCell ref="B150:C150"/>
    <mergeCell ref="D150:E150"/>
    <mergeCell ref="F150:G150"/>
    <mergeCell ref="H150:I150"/>
    <mergeCell ref="J150:K150"/>
    <mergeCell ref="L150:M150"/>
    <mergeCell ref="AD150:AE150"/>
    <mergeCell ref="L151:M151"/>
    <mergeCell ref="N151:O151"/>
    <mergeCell ref="N150:O150"/>
    <mergeCell ref="P150:Q150"/>
    <mergeCell ref="B151:C151"/>
    <mergeCell ref="D151:E151"/>
    <mergeCell ref="F151:G151"/>
    <mergeCell ref="H151:I151"/>
    <mergeCell ref="J151:K15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1839"/>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44"/>
    <col customWidth="1" min="2" max="2" width="15.11"/>
    <col customWidth="1" min="3" max="3" width="12.44"/>
    <col customWidth="1" min="4" max="4" width="18.0"/>
    <col customWidth="1" hidden="1" min="5" max="5" width="18.0"/>
    <col customWidth="1" min="6" max="6" width="24.67"/>
    <col customWidth="1" min="7" max="7" width="10.67"/>
    <col customWidth="1" min="8" max="8" width="20.33"/>
    <col customWidth="1" min="9" max="9" width="27.78"/>
    <col customWidth="1" hidden="1" min="10" max="10" width="27.78"/>
    <col customWidth="1" min="11" max="11" width="9.0"/>
    <col customWidth="1" min="12" max="13" width="11.67"/>
    <col customWidth="1" min="14" max="14" width="28.0"/>
    <col customWidth="1" hidden="1" min="15" max="15" width="28.0"/>
    <col customWidth="1" min="16" max="16" width="11.44"/>
    <col customWidth="1" min="17" max="17" width="12.78"/>
    <col customWidth="1" min="18" max="18" width="12.67"/>
    <col customWidth="1" min="19" max="19" width="14.0"/>
    <col customWidth="1" hidden="1" min="20" max="20" width="27.67"/>
    <col customWidth="1" min="21" max="21" width="8.89"/>
    <col customWidth="1" hidden="1" min="22" max="22" width="27.67"/>
    <col customWidth="1" hidden="1" min="23" max="25" width="10.56"/>
    <col customWidth="1" hidden="1" min="26" max="26" width="20.33"/>
    <col customWidth="1" hidden="1" min="27" max="27" width="18.33"/>
    <col customWidth="1" hidden="1" min="28" max="33" width="10.78"/>
    <col customWidth="1" min="34" max="51" width="10.78"/>
    <col customWidth="1" min="52" max="53" width="20.78"/>
    <col customWidth="1" min="54" max="54" width="26.67"/>
    <col customWidth="1" min="55" max="56" width="10.78"/>
    <col customWidth="1" min="57" max="57" width="13.78"/>
    <col customWidth="1" min="58" max="58" width="10.56"/>
    <col customWidth="1" hidden="1" min="59" max="59" width="7.44"/>
    <col customWidth="1" hidden="1" min="60" max="60" width="19.44"/>
    <col customWidth="1" hidden="1" min="61" max="63" width="8.78"/>
    <col customWidth="1" hidden="1" min="64" max="64" width="12.44"/>
    <col customWidth="1" hidden="1" min="65" max="65" width="17.11"/>
    <col customWidth="1" hidden="1" min="66" max="66" width="10.33"/>
    <col customWidth="1" hidden="1" min="67" max="67" width="10.67"/>
    <col customWidth="1" hidden="1" min="68" max="72" width="8.78"/>
    <col customWidth="1" hidden="1" min="73" max="73" width="9.0"/>
    <col customWidth="1" hidden="1" min="74" max="74" width="10.56"/>
    <col customWidth="1" hidden="1" min="75" max="82" width="13.0"/>
    <col customWidth="1" hidden="1" min="83" max="83" width="17.11"/>
    <col customWidth="1" hidden="1" min="84" max="86" width="10.56"/>
  </cols>
  <sheetData>
    <row r="1" ht="51.75" customHeight="1">
      <c r="A1" s="2" t="s">
        <v>1</v>
      </c>
      <c r="B1" s="3" t="s">
        <v>7</v>
      </c>
      <c r="C1" s="4" t="s">
        <v>9</v>
      </c>
      <c r="D1" s="5" t="s">
        <v>10</v>
      </c>
      <c r="E1" s="5" t="s">
        <v>11</v>
      </c>
      <c r="F1" s="6" t="s">
        <v>12</v>
      </c>
      <c r="G1" s="8" t="s">
        <v>13</v>
      </c>
      <c r="H1" s="9" t="s">
        <v>16</v>
      </c>
      <c r="I1" s="4" t="s">
        <v>18</v>
      </c>
      <c r="J1" s="4" t="s">
        <v>11</v>
      </c>
      <c r="K1" s="10" t="s">
        <v>19</v>
      </c>
      <c r="L1" s="11" t="s">
        <v>20</v>
      </c>
      <c r="M1" s="11" t="s">
        <v>21</v>
      </c>
      <c r="N1" s="12" t="s">
        <v>22</v>
      </c>
      <c r="O1" s="12" t="s">
        <v>23</v>
      </c>
      <c r="P1" s="12" t="s">
        <v>24</v>
      </c>
      <c r="Q1" s="14" t="s">
        <v>25</v>
      </c>
      <c r="R1" s="14" t="s">
        <v>26</v>
      </c>
      <c r="S1" s="12" t="s">
        <v>27</v>
      </c>
      <c r="T1" s="14" t="s">
        <v>28</v>
      </c>
      <c r="U1" s="14" t="s">
        <v>29</v>
      </c>
      <c r="V1" s="14" t="s">
        <v>30</v>
      </c>
      <c r="W1" s="16"/>
      <c r="X1" s="16"/>
      <c r="Y1" s="16"/>
      <c r="Z1" s="16"/>
      <c r="AA1" s="16"/>
      <c r="AB1" s="16"/>
      <c r="AC1" s="16"/>
      <c r="AD1" s="16"/>
      <c r="AE1" s="16"/>
      <c r="AF1" s="16"/>
      <c r="AG1" s="16"/>
      <c r="AH1" s="17" t="s">
        <v>31</v>
      </c>
      <c r="AI1" s="17" t="s">
        <v>32</v>
      </c>
      <c r="AJ1" s="17" t="s">
        <v>33</v>
      </c>
      <c r="AK1" s="17" t="s">
        <v>34</v>
      </c>
      <c r="AL1" s="17" t="s">
        <v>35</v>
      </c>
      <c r="AM1" s="17" t="s">
        <v>36</v>
      </c>
      <c r="AN1" s="17" t="s">
        <v>37</v>
      </c>
      <c r="AO1" s="17"/>
      <c r="AP1" s="17" t="s">
        <v>39</v>
      </c>
      <c r="AQ1" s="17" t="s">
        <v>20</v>
      </c>
      <c r="AR1" s="17" t="s">
        <v>40</v>
      </c>
      <c r="AS1" s="17" t="s">
        <v>41</v>
      </c>
      <c r="AT1" s="17"/>
      <c r="AU1" s="17"/>
      <c r="AV1" s="20" t="str">
        <f>"Top 5 Greatest "&amp; Settings!$R$3&amp; " MOTW Regular Season Games - PVE FFL"</f>
        <v>Top 5 Greatest 2025 MOTW Regular Season Games - PVE FFL</v>
      </c>
      <c r="AW1" s="21"/>
      <c r="AX1" s="21"/>
      <c r="AY1" s="21"/>
      <c r="AZ1" s="21"/>
      <c r="BA1" s="21"/>
      <c r="BB1" s="21"/>
      <c r="BC1" s="21"/>
      <c r="BD1" s="21"/>
      <c r="BE1" s="24"/>
      <c r="BF1" s="16"/>
      <c r="BG1" s="25" t="s">
        <v>42</v>
      </c>
      <c r="BH1" s="27" t="s">
        <v>43</v>
      </c>
      <c r="BI1" s="28" t="s">
        <v>44</v>
      </c>
      <c r="BJ1" s="28" t="s">
        <v>45</v>
      </c>
      <c r="BK1" s="28" t="s">
        <v>46</v>
      </c>
      <c r="BL1" s="27" t="s">
        <v>47</v>
      </c>
      <c r="BM1" s="32" t="s">
        <v>49</v>
      </c>
      <c r="BN1" s="32" t="s">
        <v>50</v>
      </c>
      <c r="BO1" s="32" t="s">
        <v>52</v>
      </c>
      <c r="BP1" s="35" t="s">
        <v>53</v>
      </c>
      <c r="BQ1" s="35" t="s">
        <v>54</v>
      </c>
      <c r="BR1" s="35" t="s">
        <v>56</v>
      </c>
      <c r="BS1" s="38" t="s">
        <v>59</v>
      </c>
      <c r="BT1" s="38" t="s">
        <v>61</v>
      </c>
      <c r="BU1" s="39" t="s">
        <v>63</v>
      </c>
      <c r="BV1" s="40"/>
      <c r="BW1" s="42" t="s">
        <v>65</v>
      </c>
      <c r="BX1" s="43" t="s">
        <v>67</v>
      </c>
      <c r="BY1" s="43" t="s">
        <v>69</v>
      </c>
      <c r="BZ1" s="43" t="s">
        <v>71</v>
      </c>
      <c r="CA1" s="45" t="s">
        <v>72</v>
      </c>
      <c r="CB1" s="45" t="s">
        <v>74</v>
      </c>
      <c r="CC1" s="45" t="s">
        <v>75</v>
      </c>
      <c r="CD1" s="46"/>
      <c r="CE1" s="47" t="s">
        <v>77</v>
      </c>
      <c r="CF1" s="16" t="s">
        <v>81</v>
      </c>
      <c r="CG1" s="16" t="s">
        <v>82</v>
      </c>
      <c r="CH1" s="16"/>
    </row>
    <row r="2" ht="34.5" customHeight="1">
      <c r="A2" s="52">
        <v>1.0</v>
      </c>
      <c r="B2" s="59" t="str">
        <f t="array" ref="B2">INDEX(Settings!H$2:H$72, ROW())</f>
        <v>WEEK 1</v>
      </c>
      <c r="C2" s="64" t="str">
        <f t="array" ref="C2">INDEX(Settings!I$2:I$72, ROW())</f>
        <v>GAME 1</v>
      </c>
      <c r="D2" s="73">
        <f t="array" ref="D2">INDEX('BACKEND 1'!$V$28:$AK$38, MATCH(F2, 'BACKEND 1'!$V$28:$V$38, 0), MATCH(B2, 'BACKEND 1'!$V$28:$AK$28, 0))</f>
        <v>10</v>
      </c>
      <c r="E2" s="73" t="str">
        <f>VLOOKUP(F2, Settings!$A$3:$C$12, 3, FALSE)</f>
        <v>PRODIGY</v>
      </c>
      <c r="F2" s="78" t="str">
        <f t="array" ref="F2">INDEX(Settings!J$2:J$72, ROW())</f>
        <v>KINGS</v>
      </c>
      <c r="G2" s="82">
        <f>SUMIFS('All-Stars'!E:E, 'All-Stars'!B:B, F2, 'All-Stars'!F:F, B2)</f>
        <v>142.22</v>
      </c>
      <c r="H2" s="85">
        <f>SUMIFS('All-Stars'!E:E, 'All-Stars'!B:B, I2, 'All-Stars'!F:F, B2)</f>
        <v>156.47</v>
      </c>
      <c r="I2" s="88" t="str">
        <f t="array" ref="I2">INDEX(Settings!K$2:K$72, ROW())</f>
        <v>YARDIES</v>
      </c>
      <c r="J2" s="88" t="str">
        <f>VLOOKUP(I2, Settings!$A$3:$C$12, 3, FALSE)</f>
        <v>ESTEEMED</v>
      </c>
      <c r="K2" s="88">
        <f t="array" ref="K2">INDEX('BACKEND 1'!$V$28:$AK$38, MATCH(I2, 'BACKEND 1'!$V$28:$V$38, 0), MATCH(B2, 'BACKEND 1'!$V$28:$AK$28, 0))</f>
        <v>9</v>
      </c>
      <c r="L2" s="95">
        <f t="array" ref="L2">IFERROR(IF(D2=0,"-",INDEX('BACKEND 1'!$V$54:$AF$64, MATCH(D2, 'BACKEND 1'!$V$54:$V$64, 0), MATCH(K2, 'BACKEND 1'!$V$54:$AF$54, 0))),"-")</f>
        <v>11.70710678</v>
      </c>
      <c r="M2" s="98">
        <f>_xlfn.RANK.EQ(L2,L2:L6,1)</f>
        <v>4</v>
      </c>
      <c r="N2" s="100" t="str">
        <f t="shared" ref="N2:N71" si="1">IF(G2 &gt; H2, F2, IF(H2 &gt; G2, I2, "Tie"))</f>
        <v>YARDIES</v>
      </c>
      <c r="O2" s="103" t="str">
        <f t="shared" ref="O2:O71" si="2">IF(G2 &lt; H2, F2, IF(H2 &lt; G2, I2, "Tie"))</f>
        <v>KINGS</v>
      </c>
      <c r="P2" s="105" t="str">
        <f t="shared" ref="P2:P71" si="3">IF(G2=0,"",IF(Q2 &gt; 40, "YES", ""))</f>
        <v/>
      </c>
      <c r="Q2" s="107">
        <f t="shared" ref="Q2:Q71" si="4">IF(G2=0,"-",ABS(G2 - H2))</f>
        <v>14.25</v>
      </c>
      <c r="R2" s="107">
        <f t="shared" ref="R2:R71" si="5">IF(G2=0,"-",G2 + H2)</f>
        <v>298.69</v>
      </c>
      <c r="S2" s="110" t="str">
        <f t="shared" ref="S2:S56" si="6">IF(AND(L2 &lt;&gt; 0, L2 = MINIFS(L$2:L$72, B$2:B$72, B2)), "MOTW", "")</f>
        <v/>
      </c>
      <c r="T2" s="111"/>
      <c r="U2" s="112" t="str">
        <f t="shared" ref="U2:U71" si="7">IF(OR(AND(K2&gt;D2,H2&gt;G2),AND(D2&gt;K2, G2&gt;H2)), "UPSET", "")</f>
        <v/>
      </c>
      <c r="V2" s="113">
        <v>1.0</v>
      </c>
      <c r="W2" s="114">
        <f t="shared" ref="W2:W71" si="8">IF(OR(N2=F2,N2=H2),1,0)</f>
        <v>0</v>
      </c>
      <c r="X2" s="114">
        <f t="shared" ref="X2:X71" si="9">IF(OR(N2="POPEYES"),
   IF(ROW()=2,1,IF(N1="POPEYES",X1+1,1)),
   0)
</f>
        <v>0</v>
      </c>
      <c r="Y2" s="114"/>
      <c r="Z2" s="116" t="s">
        <v>126</v>
      </c>
      <c r="AA2" s="21"/>
      <c r="AB2" s="24"/>
      <c r="AC2" s="119">
        <f t="array" ref="AC2">MIN(IF(Q2:Q71&lt;&gt;0,Q2:Q71))</f>
        <v>0.2</v>
      </c>
      <c r="AD2" s="120" t="str">
        <f t="array" ref="AD2">INDEX(N2:N71, MATCH(AC2, Q2:Q71, 0))</f>
        <v>MUTTS</v>
      </c>
      <c r="AE2" s="120" t="str">
        <f t="array" ref="AE2">INDEX(B2:B71, MATCH(AC2, Q2:Q71, 0))</f>
        <v>WEEK 10</v>
      </c>
      <c r="AF2" s="120"/>
      <c r="AG2" s="120"/>
      <c r="AH2" s="17">
        <f t="shared" ref="AH2:AH71" si="10">IFERROR(IF(G2=0,"-",_xlfn.RANK.EQ(Q2,$Q:$Q,1)+(COUNTIFS(Q:Q, Q2, G:G, "&gt;" &amp; G2))),"ERROR")</f>
        <v>14</v>
      </c>
      <c r="AI2" s="17">
        <f t="shared" ref="AI2:AI71" si="11">IFERROR(IF(G2=0,"-",_xlfn.RANK.EQ(Q2,$Q:$Q,0)+(COUNTIFS(Q:Q, Q2, AK:AK, "&lt;" &amp; AK2))),"ERROR")</f>
        <v>57</v>
      </c>
      <c r="AJ2" s="17">
        <f t="shared" ref="AJ2:AJ71" si="12">IFERROR(IF(G2=0,"-",_xlfn.RANK.EQ(R2,$R:$R,1)+(COUNTIFS(R:R, R2, AH:AH, "&lt;" &amp; AH2))),"ERROR")</f>
        <v>21</v>
      </c>
      <c r="AK2" s="17">
        <f t="shared" ref="AK2:AK71" si="13">IFERROR(IF(G2=0,"-",_xlfn.RANK.EQ(R2,$R:$R,0)+(COUNTIFS(R:R, R2, AH:AH, "&lt;" &amp; AH2))),"ERROR")</f>
        <v>50</v>
      </c>
      <c r="AL2" s="126">
        <f t="shared" ref="AL2:AL71" si="14">IFERROR(IF(G2=0,"-",AVERAGE(AH2,AK2)),"UPCOMING")</f>
        <v>32</v>
      </c>
      <c r="AM2" s="17">
        <f t="shared" ref="AM2:AM71" si="15">IFERROR(IF(G2=0,"-",_xlfn.RANK.EQ(AL2,AL:AL,1)+(COUNTIFS(AL:AL,AL2,AH:AH,"&lt;"&amp;AH2))),"UPCOMING")</f>
        <v>29</v>
      </c>
      <c r="AN2" s="17">
        <f t="shared" ref="AN2:AN71" si="16">IFERROR(IF(G2=0,"-",_xlfn.RANK.EQ(AL2,AL:AL,0)+(COUNTIFS(AL:AL,AL2,AI:AI,"&lt;"&amp;AI2))),"UPCOMING")</f>
        <v>42</v>
      </c>
      <c r="AO2" s="17" t="str">
        <f t="shared" ref="AO2:AO71" si="17">IFERROR(IF((AND(G2&lt;&gt;0, S2="MOTW")),AVERAGE(AH2,AK2),"-"),"UPCOMING")</f>
        <v>-</v>
      </c>
      <c r="AP2" s="17" t="str">
        <f t="shared" ref="AP2:AP71" si="18">IFERROR(IF(AND(G2&lt;&gt;0, S2="MOTW"), _xlfn.RANK.EQ(AO2, AO:AO, 1) + COUNTIFS(AO:AO, AO2, AH:AH, "&lt;" &amp; AH2), "UPCOMING"), "-")</f>
        <v>UPCOMING</v>
      </c>
      <c r="AQ2" s="131">
        <f t="shared" ref="AQ2:AQ71" si="19">_xlfn.RANK.EQ(L2,$L$2:$L$70,1)+COUNTIFS($L$2:$L$70,L2,$AM$2:$AM$70,"&lt;"&amp;AM2)</f>
        <v>28</v>
      </c>
      <c r="AR2" s="131" t="str">
        <f t="shared" ref="AR2:AR71" si="20">IFERROR(IF(AND(G2&lt;&gt;0, U2="UPSET"), L2,"NO UPSET"),"-")</f>
        <v>NO UPSET</v>
      </c>
      <c r="AS2" s="131" t="str">
        <f t="shared" ref="AS2:AS71" si="21">IFERROR(IF(AL2="NO UPSET","-",_xlfn.RANK.EQ(AR2,$AR$2:$AR$70,0)+COUNTIFS($AR$2:$AR$70,AR2,$AL$2:$AL$70,"&lt;"&amp;AL2)),"-")</f>
        <v>-</v>
      </c>
      <c r="AT2" s="131"/>
      <c r="AU2" s="133"/>
      <c r="AV2" s="134" t="s">
        <v>148</v>
      </c>
      <c r="AW2" s="134" t="s">
        <v>151</v>
      </c>
      <c r="AX2" s="134" t="s">
        <v>153</v>
      </c>
      <c r="AY2" s="134" t="s">
        <v>30</v>
      </c>
      <c r="AZ2" s="134" t="s">
        <v>155</v>
      </c>
      <c r="BA2" s="134" t="s">
        <v>156</v>
      </c>
      <c r="BB2" s="134" t="s">
        <v>157</v>
      </c>
      <c r="BC2" s="134" t="s">
        <v>159</v>
      </c>
      <c r="BD2" s="134" t="s">
        <v>161</v>
      </c>
      <c r="BE2" s="134" t="s">
        <v>27</v>
      </c>
      <c r="BF2" s="120"/>
      <c r="BG2" s="135">
        <f t="shared" ref="BG2:BG11" si="22">_xlfn.RANK.EQ(BK2, $BK$2:$BK$10, 0)</f>
        <v>2</v>
      </c>
      <c r="BH2" s="138" t="str">
        <f>Settings!A3</f>
        <v>DECOUPES</v>
      </c>
      <c r="BI2" s="144">
        <f>COUNTIFS('Weekly Scores'!$N$2:$N$71, $BH2, 'Weekly Scores'!$G$2:$G$71, "&lt;&gt;", 'Weekly Scores'!$H$2:$H$71, "&lt;&gt;")</f>
        <v>9</v>
      </c>
      <c r="BJ2" s="144">
        <f t="array" ref="BJ2">(SUMPRODUCT(((($F$1:$F$71=BH2)*($G$1:$G$71&lt;$H$1:$H$71))+(($I$1:$I$71=BH2)*($H$1:$H$71&lt;$G$1:$G$71)))*($G$1:$H$71&lt;&gt;"")))/2</f>
        <v>5</v>
      </c>
      <c r="BK2" s="152">
        <f t="shared" ref="BK2:BK11" si="23">IFERROR(BI2 / (BI2 + BJ2),0)</f>
        <v>0.6428571429</v>
      </c>
      <c r="BL2" s="138" t="str">
        <f>VLOOKUP(BH2, Settings!A3:C10, 3, FALSE)</f>
        <v>PRODIGY</v>
      </c>
      <c r="BM2" s="154">
        <f>COUNTIFS($E$2:$E$71,BL2,$J$2:$J$71,BL2,$N$2:$N$71,BH2,'Weekly Scores'!$G$2:$G$71, "&lt;&gt;")</f>
        <v>5</v>
      </c>
      <c r="BN2" s="154">
        <f>ABS(COUNTIFS($E$2:$E$71,BL2,$J$2:$J$71,BL2,$F$2:$F$71,BH2,'Weekly Scores'!$G$2:$G$71, "&lt;&gt;0")+COUNTIFS($E$2:$E$71,BL2,$J$2:$J$71,BL2,$I$2:$I$71,BH2,'Weekly Scores'!$G$2:$G$71, "&lt;&gt;0")-BM2)</f>
        <v>3</v>
      </c>
      <c r="BO2" s="155">
        <f t="shared" ref="BO2:BO11" si="24">IFERROR(BM2 / (BM2 + BN2),0)</f>
        <v>0.625</v>
      </c>
      <c r="BP2" s="156">
        <f>COUNTIFS($N$2:$N$71,$BH2,$S$2:$S$71,"MOTW",'Weekly Scores'!$G$2:$G$71, "&lt;&gt;")</f>
        <v>0</v>
      </c>
      <c r="BQ2" s="156">
        <f>COUNTIFS($O$2:$O$71,$BH2,$S$2:$S$71,"MOTW",'Weekly Scores'!$G$2:$G$71, "&lt;&gt;")</f>
        <v>2</v>
      </c>
      <c r="BR2" s="155">
        <f t="shared" ref="BR2:BR11" si="25">IFERROR(BP2 / (BP2 + BQ2),0)</f>
        <v>0</v>
      </c>
      <c r="BS2" s="160">
        <f t="shared" ref="BS2:BS11" si="26">BP2+BQ2</f>
        <v>2</v>
      </c>
      <c r="BT2" s="161">
        <f t="shared" ref="BT2:BT11" si="27">_xlfn.RANK.EQ(BS2,$BS$2:$BS$11,0)+COUNTIFS($BS$2:$BS$11,BS2,$BR$2:$BR$11,"&gt;"&amp;BR2)</f>
        <v>6</v>
      </c>
      <c r="BU2" s="163">
        <f>COUNTIFS($N$2:$N$71,$BH2,$U$2:$U$71,"UPSET",'Weekly Scores'!$G$2:$G$71, "&lt;&gt;")</f>
        <v>4</v>
      </c>
      <c r="BV2" s="163"/>
      <c r="BW2" s="163">
        <f>COUNTIFS($N$2:$N$71,$BH2,$P$2:$P$71,"YES",'Weekly Scores'!$G$2:$G$71, "&lt;&gt;")</f>
        <v>4</v>
      </c>
      <c r="BX2" s="167">
        <f>COUNTIFS('Weekly Scores'!$N$2:$N$71, $BH2, 'Weekly Scores'!$G$2:$G$71, "&lt;&gt;", 'Weekly Scores'!$H$2:$H$71, "&lt;&gt;", $F$2:$F$71, $BH2)</f>
        <v>5</v>
      </c>
      <c r="BY2" s="167">
        <f>(COUNTIFS('Weekly Scores'!$F$2:$F$71, $BH2, 'Weekly Scores'!$G$2:$G$71, "&lt;&gt;0", 'Weekly Scores'!$H$2:$H$71,"&lt;&gt;0"))-BX2</f>
        <v>2</v>
      </c>
      <c r="BZ2" s="169">
        <f t="shared" ref="BZ2:BZ11" si="28">IFERROR(BX2 / (BX2 + BY2),0)</f>
        <v>0.7142857143</v>
      </c>
      <c r="CA2" s="172">
        <f>COUNTIFS('Weekly Scores'!$N$2:$N$71, $BH2, 'Weekly Scores'!$G$2:$G$71, "&lt;&gt;", 'Weekly Scores'!$H$2:$H$71, "&lt;&gt;", $I$2:$I$71, $BH2)</f>
        <v>4</v>
      </c>
      <c r="CB2" s="172">
        <f>(COUNTIFS('Weekly Scores'!$I$2:$I$71, $BH2, 'Weekly Scores'!$G$2:$G$71, "&lt;&gt;0", 'Weekly Scores'!$H$2:$H$71,"&lt;&gt;0"))-CA2</f>
        <v>3</v>
      </c>
      <c r="CC2" s="169">
        <f t="shared" ref="CC2:CC11" si="29">IFERROR(CA2 / (CA2 + CB2),0)</f>
        <v>0.5714285714</v>
      </c>
      <c r="CD2" s="173"/>
      <c r="CE2" s="175">
        <f t="shared" ref="CE2:CE11" si="30">IF(AND(CF2=0, CG2=0), 0, (CF2+CG2)/IF(CF2=0, 1, IF(CG2=0, 1, 2)))</f>
        <v>12.30242991</v>
      </c>
      <c r="CF2" s="120">
        <f t="shared" ref="CF2:CF11" si="31">IFERROR(AVERAGEIFS(L:L,I:I,BH2),0)</f>
        <v>10.83560606</v>
      </c>
      <c r="CG2" s="120">
        <f t="shared" ref="CG2:CG11" si="32">IFERROR(AVERAGEIFS(L:L,F:F,BH2),0)</f>
        <v>13.76925376</v>
      </c>
      <c r="CH2" s="177">
        <f t="shared" ref="CH2:CH11" si="33">RANK(CE2,CE$2:CE$11,1)</f>
        <v>4</v>
      </c>
    </row>
    <row r="3" ht="34.5" customHeight="1">
      <c r="A3" s="178">
        <v>2.0</v>
      </c>
      <c r="B3" s="181" t="str">
        <f t="array" ref="B3">INDEX(Settings!H$2:H$72, ROW())</f>
        <v>WEEK 1</v>
      </c>
      <c r="C3" s="182" t="str">
        <f t="array" ref="C3">INDEX(Settings!I$2:I$72, ROW())</f>
        <v>GAME 2</v>
      </c>
      <c r="D3" s="184">
        <f t="array" ref="D3">INDEX('BACKEND 1'!$V$28:$AK$38, MATCH(F3, 'BACKEND 1'!$V$28:$V$38, 0), MATCH(B3, 'BACKEND 1'!$V$28:$AK$28, 0))</f>
        <v>8</v>
      </c>
      <c r="E3" s="73" t="str">
        <f>VLOOKUP(F3, Settings!$A$3:$C$12, 3, FALSE)</f>
        <v>ESTEEMED</v>
      </c>
      <c r="F3" s="187" t="str">
        <f t="array" ref="F3">INDEX(Settings!J$2:J$72, ROW())</f>
        <v>MUTTS</v>
      </c>
      <c r="G3" s="189">
        <f>SUMIFS('All-Stars'!E:E, 'All-Stars'!B:B, F3, 'All-Stars'!F:F, B3)</f>
        <v>175.61</v>
      </c>
      <c r="H3" s="190">
        <f>SUMIFS('All-Stars'!E:E, 'All-Stars'!B:B, I3, 'All-Stars'!F:F, B3)</f>
        <v>151.79</v>
      </c>
      <c r="I3" s="191" t="str">
        <f t="array" ref="I3">INDEX(Settings!K$2:K$72, ROW())</f>
        <v>METAMOOKDAWGS</v>
      </c>
      <c r="J3" s="88" t="str">
        <f>VLOOKUP(I3, Settings!$A$3:$C$12, 3, FALSE)</f>
        <v>ESTEEMED</v>
      </c>
      <c r="K3" s="191">
        <f t="array" ref="K3">INDEX('BACKEND 1'!$V$28:$AK$38, MATCH(I3, 'BACKEND 1'!$V$28:$V$38, 0), MATCH(B3, 'BACKEND 1'!$V$28:$AK$28, 0))</f>
        <v>3</v>
      </c>
      <c r="L3" s="95">
        <f t="array" ref="L3">IFERROR(IF(D3=0,"-",INDEX('BACKEND 1'!$V$54:$AF$64, MATCH(D3, 'BACKEND 1'!$V$54:$V$64, 0), MATCH(K3, 'BACKEND 1'!$V$54:$AF$54, 0))),"-")</f>
        <v>16.53553391</v>
      </c>
      <c r="M3" s="192">
        <f>_xlfn.RANK.EQ(L3,L2:L6,1)</f>
        <v>5</v>
      </c>
      <c r="N3" s="193" t="str">
        <f t="shared" si="1"/>
        <v>MUTTS</v>
      </c>
      <c r="O3" s="194" t="str">
        <f t="shared" si="2"/>
        <v>METAMOOKDAWGS</v>
      </c>
      <c r="P3" s="195" t="str">
        <f t="shared" si="3"/>
        <v/>
      </c>
      <c r="Q3" s="196">
        <f t="shared" si="4"/>
        <v>23.82</v>
      </c>
      <c r="R3" s="196">
        <f t="shared" si="5"/>
        <v>327.4</v>
      </c>
      <c r="S3" s="197" t="str">
        <f t="shared" si="6"/>
        <v/>
      </c>
      <c r="T3" s="113"/>
      <c r="U3" s="198" t="str">
        <f t="shared" si="7"/>
        <v>UPSET</v>
      </c>
      <c r="V3" s="113">
        <v>1.0</v>
      </c>
      <c r="W3" s="114">
        <f t="shared" si="8"/>
        <v>1</v>
      </c>
      <c r="X3" s="114">
        <f t="shared" si="9"/>
        <v>0</v>
      </c>
      <c r="Y3" s="114"/>
      <c r="Z3" s="199" t="s">
        <v>172</v>
      </c>
      <c r="AA3" s="21"/>
      <c r="AB3" s="24"/>
      <c r="AC3" s="119">
        <f>MAX(Q2:Q71)</f>
        <v>136.87</v>
      </c>
      <c r="AD3" s="120" t="str">
        <f t="array" ref="AD3">INDEX(N2:N71, MATCH(AC3, Q2:Q71, 0))</f>
        <v>CHAMPS</v>
      </c>
      <c r="AE3" s="120" t="str">
        <f t="array" ref="AE3">INDEX(B2:B71, MATCH(AC3, Q2:Q71, 0))</f>
        <v>WEEK 3</v>
      </c>
      <c r="AF3" s="120"/>
      <c r="AG3" s="120"/>
      <c r="AH3" s="17">
        <f t="shared" si="10"/>
        <v>21</v>
      </c>
      <c r="AI3" s="17">
        <f t="shared" si="11"/>
        <v>50</v>
      </c>
      <c r="AJ3" s="17">
        <f t="shared" si="12"/>
        <v>40</v>
      </c>
      <c r="AK3" s="17">
        <f t="shared" si="13"/>
        <v>31</v>
      </c>
      <c r="AL3" s="126">
        <f t="shared" si="14"/>
        <v>26</v>
      </c>
      <c r="AM3" s="17">
        <f t="shared" si="15"/>
        <v>18</v>
      </c>
      <c r="AN3" s="17">
        <f t="shared" si="16"/>
        <v>53</v>
      </c>
      <c r="AO3" s="17" t="str">
        <f t="shared" si="17"/>
        <v>-</v>
      </c>
      <c r="AP3" s="17" t="str">
        <f t="shared" si="18"/>
        <v>UPCOMING</v>
      </c>
      <c r="AQ3" s="131">
        <f t="shared" si="19"/>
        <v>50</v>
      </c>
      <c r="AR3" s="131">
        <f t="shared" si="20"/>
        <v>16.53553391</v>
      </c>
      <c r="AS3" s="131">
        <f t="shared" si="21"/>
        <v>12</v>
      </c>
      <c r="AT3" s="131"/>
      <c r="AU3" s="133"/>
      <c r="AV3" s="200">
        <v>1.0</v>
      </c>
      <c r="AW3" s="203">
        <f t="shared" ref="AW3:AW7" si="34">INDEX($AL:$AL, MATCH(AV3,$AP:$AP,0))</f>
        <v>6.5</v>
      </c>
      <c r="AX3" s="200">
        <f>Settings!$R$3</f>
        <v>2025</v>
      </c>
      <c r="AY3" s="200" t="str">
        <f t="shared" ref="AY3:AY7" si="35">INDEX($B:$B, MATCH(AV3,$AP:$AP,0))</f>
        <v>WEEK 3</v>
      </c>
      <c r="AZ3" s="205" t="str">
        <f t="shared" ref="AZ3:AZ7" si="36">INDEX($N:$N, MATCH(AV3,$AP:$AP,0))</f>
        <v>POPEYES</v>
      </c>
      <c r="BA3" s="200" t="str">
        <f t="shared" ref="BA3:BA7" si="37">INDEX($O:$O, MATCH(AV3,$AP:$AP,0))</f>
        <v>MUTTS</v>
      </c>
      <c r="BB3" s="200" t="str">
        <f t="array" ref="BB3">Settings!$R$3 &amp; " REG, PVE FFL GAME " &amp; INDEX($A:$A, MATCH(AV3,$AP:$AP,0))</f>
        <v>2025 REG, PVE FFL GAME 12</v>
      </c>
      <c r="BC3" s="203">
        <f t="shared" ref="BC3:BC7" si="38">INDEX($Q:$Q, MATCH(AV3,$AP:$AP,0))</f>
        <v>10.51</v>
      </c>
      <c r="BD3" s="203">
        <f t="shared" ref="BD3:BD7" si="39">INDEX($R:$R, MATCH(AV3,$AP:$AP,0))</f>
        <v>381.93</v>
      </c>
      <c r="BE3" s="207" t="str">
        <f t="shared" ref="BE3:BE7" si="40">INDEX($S:$S, MATCH(AV3,$AP:$AP,0))</f>
        <v>MOTW</v>
      </c>
      <c r="BF3" s="120"/>
      <c r="BG3" s="208">
        <f t="shared" si="22"/>
        <v>4</v>
      </c>
      <c r="BH3" s="209" t="str">
        <f>Settings!A4</f>
        <v>POPEYES</v>
      </c>
      <c r="BI3" s="210">
        <f>COUNTIFS('Weekly Scores'!$N$2:$N$71, $BH3, 'Weekly Scores'!$G$2:$G$71, "&lt;&gt;", 'Weekly Scores'!$H$2:$H$71, "&lt;&gt;")</f>
        <v>7</v>
      </c>
      <c r="BJ3" s="210">
        <f t="array" ref="BJ3">(SUMPRODUCT(((($F$1:$F$71=BH3)*($G$1:$G$71&lt;$H$1:$H$71))+(($I$1:$I$71=BH3)*($H$1:$H$71&lt;$G$1:$G$71)))*($G$1:$H$71&lt;&gt;"")))/2</f>
        <v>7</v>
      </c>
      <c r="BK3" s="211">
        <f t="shared" si="23"/>
        <v>0.5</v>
      </c>
      <c r="BL3" s="209" t="str">
        <f>VLOOKUP(BH3, Settings!A4:C11, 3, FALSE)</f>
        <v>PRODIGY</v>
      </c>
      <c r="BM3" s="212">
        <f>COUNTIFS($E$2:$E$71,BL3,$J$2:$J$71,BL3,$N$2:$N$71,BH3,'Weekly Scores'!$G$2:$G$71, "&lt;&gt;")</f>
        <v>2</v>
      </c>
      <c r="BN3" s="212">
        <f>ABS(COUNTIFS($E$2:$E$71,BL3,$J$2:$J$71,BL3,$F$2:$F$71,BH3,'Weekly Scores'!$G$2:$G$71, "&lt;&gt;0")+COUNTIFS($E$2:$E$71,BL3,$J$2:$J$71,BL3,$I$2:$I$71,BH3,'Weekly Scores'!$G$2:$G$71, "&lt;&gt;0")-BM3)</f>
        <v>6</v>
      </c>
      <c r="BO3" s="213">
        <f t="shared" si="24"/>
        <v>0.25</v>
      </c>
      <c r="BP3" s="214">
        <f>COUNTIFS($N$2:$N$71,$BH3,$S$2:$S$71,"MOTW",'Weekly Scores'!$G$2:$G$71, "&lt;&gt;")</f>
        <v>3</v>
      </c>
      <c r="BQ3" s="214">
        <f>COUNTIFS($O$2:$O$71,$BH3,$S$2:$S$71,"MOTW",'Weekly Scores'!$G$2:$G$71, "&lt;&gt;")</f>
        <v>1</v>
      </c>
      <c r="BR3" s="213">
        <f t="shared" si="25"/>
        <v>0.75</v>
      </c>
      <c r="BS3" s="215">
        <f t="shared" si="26"/>
        <v>4</v>
      </c>
      <c r="BT3" s="161">
        <f t="shared" si="27"/>
        <v>3</v>
      </c>
      <c r="BU3" s="217">
        <f>COUNTIFS($N$2:$N$71,$BH3,$U$2:$U$71,"UPSET",'Weekly Scores'!$G$2:$G$71, "&lt;&gt;")</f>
        <v>2</v>
      </c>
      <c r="BV3" s="217"/>
      <c r="BW3" s="217">
        <f>COUNTIFS($N$2:$N$71,$BH3,$P$2:$P$71,"YES",'Weekly Scores'!$G$2:$G$71, "&lt;&gt;")</f>
        <v>2</v>
      </c>
      <c r="BX3" s="167">
        <f>COUNTIFS('Weekly Scores'!$N$2:$N$71, $BH3, 'Weekly Scores'!$G$2:$G$71, "&lt;&gt;", 'Weekly Scores'!$H$2:$H$71, "&lt;&gt;", $F$2:$F$71, $BH3)</f>
        <v>4</v>
      </c>
      <c r="BY3" s="167">
        <f>(COUNTIFS('Weekly Scores'!$F$2:$F$71, $BH3, 'Weekly Scores'!$G$2:$G$71, "&lt;&gt;0", 'Weekly Scores'!$H$2:$H$71,"&lt;&gt;0"))-BX3</f>
        <v>3</v>
      </c>
      <c r="BZ3" s="169">
        <f t="shared" si="28"/>
        <v>0.5714285714</v>
      </c>
      <c r="CA3" s="172">
        <f>COUNTIFS('Weekly Scores'!$N$2:$N$71, $BH3, 'Weekly Scores'!$G$2:$G$71, "&lt;&gt;", 'Weekly Scores'!$H$2:$H$71, "&lt;&gt;", $I$2:$I$71, $BH3)</f>
        <v>3</v>
      </c>
      <c r="CB3" s="172">
        <f>(COUNTIFS('Weekly Scores'!$I$2:$I$71, $BH3, 'Weekly Scores'!$G$2:$G$71, "&lt;&gt;0", 'Weekly Scores'!$H$2:$H$71,"&lt;&gt;0"))-CA3</f>
        <v>4</v>
      </c>
      <c r="CC3" s="169">
        <f t="shared" si="29"/>
        <v>0.4285714286</v>
      </c>
      <c r="CD3" s="218"/>
      <c r="CE3" s="219">
        <f t="shared" si="30"/>
        <v>11.42436611</v>
      </c>
      <c r="CF3" s="120">
        <f t="shared" si="31"/>
        <v>11.9121109</v>
      </c>
      <c r="CG3" s="120">
        <f t="shared" si="32"/>
        <v>10.93662131</v>
      </c>
      <c r="CH3" s="177">
        <f t="shared" si="33"/>
        <v>1</v>
      </c>
    </row>
    <row r="4" ht="34.5" customHeight="1">
      <c r="A4" s="178">
        <v>3.0</v>
      </c>
      <c r="B4" s="181" t="str">
        <f t="array" ref="B4">INDEX(Settings!H$2:H$72, ROW())</f>
        <v>WEEK 1</v>
      </c>
      <c r="C4" s="182" t="str">
        <f t="array" ref="C4">INDEX(Settings!I$2:I$72, ROW())</f>
        <v>GAME 3</v>
      </c>
      <c r="D4" s="184">
        <f t="array" ref="D4">INDEX('BACKEND 1'!$V$28:$AK$38, MATCH(F4, 'BACKEND 1'!$V$28:$V$38, 0), MATCH(B4, 'BACKEND 1'!$V$28:$AK$28, 0))</f>
        <v>7</v>
      </c>
      <c r="E4" s="73" t="str">
        <f>VLOOKUP(F4, Settings!$A$3:$C$12, 3, FALSE)</f>
        <v>ESTEEMED</v>
      </c>
      <c r="F4" s="187" t="str">
        <f t="array" ref="F4">INDEX(Settings!J$2:J$72, ROW())</f>
        <v>EAGLES</v>
      </c>
      <c r="G4" s="189">
        <f>SUMIFS('All-Stars'!E:E, 'All-Stars'!B:B, F4, 'All-Stars'!F:F, B4)</f>
        <v>151.12</v>
      </c>
      <c r="H4" s="190">
        <f>SUMIFS('All-Stars'!E:E, 'All-Stars'!B:B, I4, 'All-Stars'!F:F, B4)</f>
        <v>177.91</v>
      </c>
      <c r="I4" s="191" t="str">
        <f t="array" ref="I4">INDEX(Settings!K$2:K$72, ROW())</f>
        <v>CHAMPS</v>
      </c>
      <c r="J4" s="88" t="str">
        <f>VLOOKUP(I4, Settings!$A$3:$C$12, 3, FALSE)</f>
        <v>ESTEEMED</v>
      </c>
      <c r="K4" s="191">
        <f t="array" ref="K4">INDEX('BACKEND 1'!$V$28:$AK$38, MATCH(I4, 'BACKEND 1'!$V$28:$V$38, 0), MATCH(B4, 'BACKEND 1'!$V$28:$AK$28, 0))</f>
        <v>6</v>
      </c>
      <c r="L4" s="95">
        <f t="array" ref="L4">IFERROR(IF(D4=0,"-",INDEX('BACKEND 1'!$V$54:$AF$64, MATCH(D4, 'BACKEND 1'!$V$54:$V$64, 0), MATCH(K4, 'BACKEND 1'!$V$54:$AF$54, 0))),"-")</f>
        <v>8.707106781</v>
      </c>
      <c r="M4" s="192">
        <f>_xlfn.RANK.EQ(L4,L2:L6,1)</f>
        <v>3</v>
      </c>
      <c r="N4" s="193" t="str">
        <f t="shared" si="1"/>
        <v>CHAMPS</v>
      </c>
      <c r="O4" s="194" t="str">
        <f t="shared" si="2"/>
        <v>EAGLES</v>
      </c>
      <c r="P4" s="195" t="str">
        <f t="shared" si="3"/>
        <v/>
      </c>
      <c r="Q4" s="196">
        <f t="shared" si="4"/>
        <v>26.79</v>
      </c>
      <c r="R4" s="196">
        <f t="shared" si="5"/>
        <v>329.03</v>
      </c>
      <c r="S4" s="197" t="str">
        <f t="shared" si="6"/>
        <v/>
      </c>
      <c r="T4" s="113"/>
      <c r="U4" s="198" t="str">
        <f t="shared" si="7"/>
        <v/>
      </c>
      <c r="V4" s="113">
        <v>1.0</v>
      </c>
      <c r="W4" s="114">
        <f t="shared" si="8"/>
        <v>0</v>
      </c>
      <c r="X4" s="114">
        <f t="shared" si="9"/>
        <v>0</v>
      </c>
      <c r="Y4" s="114"/>
      <c r="Z4" s="116" t="s">
        <v>184</v>
      </c>
      <c r="AA4" s="21"/>
      <c r="AB4" s="24"/>
      <c r="AC4" s="119">
        <f>MAX(R2:R71)</f>
        <v>422.51</v>
      </c>
      <c r="AD4" s="120" t="str">
        <f t="array" ref="AD4">INDEX(N2:N71, MATCH(AC4, R2:R71, 0))</f>
        <v>DECOUPES</v>
      </c>
      <c r="AE4" s="120" t="str">
        <f t="array" ref="AE4">INDEX(B2:B71, MATCH(AC4, R2:R71, 0))</f>
        <v>WEEK 12</v>
      </c>
      <c r="AF4" s="120"/>
      <c r="AG4" s="120"/>
      <c r="AH4" s="17">
        <f t="shared" si="10"/>
        <v>25</v>
      </c>
      <c r="AI4" s="17">
        <f t="shared" si="11"/>
        <v>46</v>
      </c>
      <c r="AJ4" s="17">
        <f t="shared" si="12"/>
        <v>42</v>
      </c>
      <c r="AK4" s="17">
        <f t="shared" si="13"/>
        <v>29</v>
      </c>
      <c r="AL4" s="126">
        <f t="shared" si="14"/>
        <v>27</v>
      </c>
      <c r="AM4" s="17">
        <f t="shared" si="15"/>
        <v>22</v>
      </c>
      <c r="AN4" s="17">
        <f t="shared" si="16"/>
        <v>49</v>
      </c>
      <c r="AO4" s="17" t="str">
        <f t="shared" si="17"/>
        <v>-</v>
      </c>
      <c r="AP4" s="17" t="str">
        <f t="shared" si="18"/>
        <v>UPCOMING</v>
      </c>
      <c r="AQ4" s="131">
        <f t="shared" si="19"/>
        <v>14</v>
      </c>
      <c r="AR4" s="131" t="str">
        <f t="shared" si="20"/>
        <v>NO UPSET</v>
      </c>
      <c r="AS4" s="131" t="str">
        <f t="shared" si="21"/>
        <v>-</v>
      </c>
      <c r="AT4" s="131"/>
      <c r="AU4" s="133"/>
      <c r="AV4" s="217">
        <v>2.0</v>
      </c>
      <c r="AW4" s="203">
        <f t="shared" si="34"/>
        <v>14.5</v>
      </c>
      <c r="AX4" s="200">
        <f>Settings!$R$3</f>
        <v>2025</v>
      </c>
      <c r="AY4" s="200" t="str">
        <f t="shared" si="35"/>
        <v>WEEK 10</v>
      </c>
      <c r="AZ4" s="205" t="str">
        <f t="shared" si="36"/>
        <v>POPEYES</v>
      </c>
      <c r="BA4" s="200" t="str">
        <f t="shared" si="37"/>
        <v>YARDIES</v>
      </c>
      <c r="BB4" s="200" t="str">
        <f t="array" ref="BB4">Settings!$R$3 &amp; " REG, PVE FFL GAME " &amp; INDEX($A:$A, MATCH(AV4,$AP:$AP,0))</f>
        <v>2025 REG, PVE FFL GAME 47</v>
      </c>
      <c r="BC4" s="203">
        <f t="shared" si="38"/>
        <v>24.14</v>
      </c>
      <c r="BD4" s="203">
        <f t="shared" si="39"/>
        <v>380.12</v>
      </c>
      <c r="BE4" s="207" t="str">
        <f t="shared" si="40"/>
        <v>MOTW</v>
      </c>
      <c r="BF4" s="120"/>
      <c r="BG4" s="208">
        <f t="shared" si="22"/>
        <v>1</v>
      </c>
      <c r="BH4" s="209" t="str">
        <f>Settings!A5</f>
        <v>GREEN</v>
      </c>
      <c r="BI4" s="210">
        <f>COUNTIFS('Weekly Scores'!$N$2:$N$71, $BH4, 'Weekly Scores'!$G$2:$G$71, "&lt;&gt;", 'Weekly Scores'!$H$2:$H$71, "&lt;&gt;")</f>
        <v>12</v>
      </c>
      <c r="BJ4" s="210">
        <f t="array" ref="BJ4">(SUMPRODUCT(((($F$1:$F$71=BH4)*($G$1:$G$71&lt;$H$1:$H$71))+(($I$1:$I$71=BH4)*($H$1:$H$71&lt;$G$1:$G$71)))*($G$1:$H$71&lt;&gt;"")))/2</f>
        <v>2</v>
      </c>
      <c r="BK4" s="211">
        <f t="shared" si="23"/>
        <v>0.8571428571</v>
      </c>
      <c r="BL4" s="209" t="str">
        <f>VLOOKUP(BH4, Settings!A5:C12, 3, FALSE)</f>
        <v>PRODIGY</v>
      </c>
      <c r="BM4" s="212">
        <f>COUNTIFS($E$2:$E$71,BL4,$J$2:$J$71,BL4,$N$2:$N$71,BH4,'Weekly Scores'!$G$2:$G$71, "&lt;&gt;")</f>
        <v>6</v>
      </c>
      <c r="BN4" s="212">
        <f>ABS(COUNTIFS($E$2:$E$71,BL4,$J$2:$J$71,BL4,$F$2:$F$71,BH4,'Weekly Scores'!$G$2:$G$71, "&lt;&gt;0")+COUNTIFS($E$2:$E$71,BL4,$J$2:$J$71,BL4,$I$2:$I$71,BH4,'Weekly Scores'!$G$2:$G$71, "&lt;&gt;0")-BM4)</f>
        <v>2</v>
      </c>
      <c r="BO4" s="213">
        <f t="shared" si="24"/>
        <v>0.75</v>
      </c>
      <c r="BP4" s="214">
        <f>COUNTIFS($N$2:$N$71,$BH4,$S$2:$S$71,"MOTW",'Weekly Scores'!$G$2:$G$71, "&lt;&gt;")</f>
        <v>4</v>
      </c>
      <c r="BQ4" s="214">
        <f>COUNTIFS($O$2:$O$71,$BH4,$S$2:$S$71,"MOTW",'Weekly Scores'!$G$2:$G$71, "&lt;&gt;")</f>
        <v>0</v>
      </c>
      <c r="BR4" s="213">
        <f t="shared" si="25"/>
        <v>1</v>
      </c>
      <c r="BS4" s="215">
        <f t="shared" si="26"/>
        <v>4</v>
      </c>
      <c r="BT4" s="161">
        <f t="shared" si="27"/>
        <v>2</v>
      </c>
      <c r="BU4" s="217">
        <f>COUNTIFS($N$2:$N$71,$BH4,$U$2:$U$71,"UPSET",'Weekly Scores'!$G$2:$G$71, "&lt;&gt;")</f>
        <v>2</v>
      </c>
      <c r="BV4" s="217"/>
      <c r="BW4" s="217">
        <f>COUNTIFS($N$2:$N$71,$BH4,$P$2:$P$71,"YES",'Weekly Scores'!$G$2:$G$71, "&lt;&gt;")</f>
        <v>5</v>
      </c>
      <c r="BX4" s="167">
        <f>COUNTIFS('Weekly Scores'!$N$2:$N$71, $BH4, 'Weekly Scores'!$G$2:$G$71, "&lt;&gt;", 'Weekly Scores'!$H$2:$H$71, "&lt;&gt;", $F$2:$F$71, $BH4)</f>
        <v>6</v>
      </c>
      <c r="BY4" s="167">
        <f>(COUNTIFS('Weekly Scores'!$F$2:$F$71, $BH4, 'Weekly Scores'!$G$2:$G$71, "&lt;&gt;0", 'Weekly Scores'!$H$2:$H$71,"&lt;&gt;0"))-BX4</f>
        <v>1</v>
      </c>
      <c r="BZ4" s="169">
        <f t="shared" si="28"/>
        <v>0.8571428571</v>
      </c>
      <c r="CA4" s="172">
        <f>COUNTIFS('Weekly Scores'!$N$2:$N$71, $BH4, 'Weekly Scores'!$G$2:$G$71, "&lt;&gt;", 'Weekly Scores'!$H$2:$H$71, "&lt;&gt;", $I$2:$I$71, $BH4)</f>
        <v>6</v>
      </c>
      <c r="CB4" s="172">
        <f>(COUNTIFS('Weekly Scores'!$I$2:$I$71, $BH4, 'Weekly Scores'!$G$2:$G$71, "&lt;&gt;0", 'Weekly Scores'!$H$2:$H$71,"&lt;&gt;0"))-CA4</f>
        <v>1</v>
      </c>
      <c r="CC4" s="169">
        <f t="shared" si="29"/>
        <v>0.8571428571</v>
      </c>
      <c r="CD4" s="218"/>
      <c r="CE4" s="219">
        <f t="shared" si="30"/>
        <v>12.10906514</v>
      </c>
      <c r="CF4" s="120">
        <f t="shared" si="31"/>
        <v>10.63357555</v>
      </c>
      <c r="CG4" s="120">
        <f t="shared" si="32"/>
        <v>13.58455473</v>
      </c>
      <c r="CH4" s="177">
        <f t="shared" si="33"/>
        <v>3</v>
      </c>
    </row>
    <row r="5" ht="34.5" customHeight="1">
      <c r="A5" s="52">
        <v>4.0</v>
      </c>
      <c r="B5" s="181" t="str">
        <f t="array" ref="B5">INDEX(Settings!H$2:H$72, ROW())</f>
        <v>WEEK 1</v>
      </c>
      <c r="C5" s="182" t="str">
        <f t="array" ref="C5">INDEX(Settings!I$2:I$72, ROW())</f>
        <v>GAME 4</v>
      </c>
      <c r="D5" s="184">
        <f t="array" ref="D5">INDEX('BACKEND 1'!$V$28:$AK$38, MATCH(F5, 'BACKEND 1'!$V$28:$V$38, 0), MATCH(B5, 'BACKEND 1'!$V$28:$AK$28, 0))</f>
        <v>5</v>
      </c>
      <c r="E5" s="73" t="str">
        <f>VLOOKUP(F5, Settings!$A$3:$C$12, 3, FALSE)</f>
        <v>PRODIGY</v>
      </c>
      <c r="F5" s="187" t="str">
        <f t="array" ref="F5">INDEX(Settings!J$2:J$72, ROW())</f>
        <v>DECOUPES</v>
      </c>
      <c r="G5" s="189">
        <f>SUMIFS('All-Stars'!E:E, 'All-Stars'!B:B, F5, 'All-Stars'!F:F, B5)</f>
        <v>161.6</v>
      </c>
      <c r="H5" s="190">
        <f>SUMIFS('All-Stars'!E:E, 'All-Stars'!B:B, I5, 'All-Stars'!F:F, B5)</f>
        <v>132.31</v>
      </c>
      <c r="I5" s="191" t="str">
        <f t="array" ref="I5">INDEX(Settings!K$2:K$72, ROW())</f>
        <v>GREEN</v>
      </c>
      <c r="J5" s="88" t="str">
        <f>VLOOKUP(I5, Settings!$A$3:$C$12, 3, FALSE)</f>
        <v>PRODIGY</v>
      </c>
      <c r="K5" s="191">
        <f t="array" ref="K5">INDEX('BACKEND 1'!$V$28:$AK$38, MATCH(I5, 'BACKEND 1'!$V$28:$V$38, 0), MATCH(B5, 'BACKEND 1'!$V$28:$AK$28, 0))</f>
        <v>4</v>
      </c>
      <c r="L5" s="95">
        <f t="array" ref="L5">IFERROR(IF(D5=0,"-",INDEX('BACKEND 1'!$V$54:$AF$64, MATCH(D5, 'BACKEND 1'!$V$54:$V$64, 0), MATCH(K5, 'BACKEND 1'!$V$54:$AF$54, 0))),"-")</f>
        <v>6.707106781</v>
      </c>
      <c r="M5" s="192">
        <f>_xlfn.RANK.EQ(L5,L2:L6,1)</f>
        <v>2</v>
      </c>
      <c r="N5" s="193" t="str">
        <f t="shared" si="1"/>
        <v>DECOUPES</v>
      </c>
      <c r="O5" s="194" t="str">
        <f t="shared" si="2"/>
        <v>GREEN</v>
      </c>
      <c r="P5" s="195" t="str">
        <f t="shared" si="3"/>
        <v/>
      </c>
      <c r="Q5" s="196">
        <f t="shared" si="4"/>
        <v>29.29</v>
      </c>
      <c r="R5" s="196">
        <f t="shared" si="5"/>
        <v>293.91</v>
      </c>
      <c r="S5" s="197" t="str">
        <f t="shared" si="6"/>
        <v/>
      </c>
      <c r="T5" s="113"/>
      <c r="U5" s="198" t="str">
        <f t="shared" si="7"/>
        <v>UPSET</v>
      </c>
      <c r="V5" s="113">
        <v>1.0</v>
      </c>
      <c r="W5" s="114">
        <f t="shared" si="8"/>
        <v>1</v>
      </c>
      <c r="X5" s="114">
        <f t="shared" si="9"/>
        <v>0</v>
      </c>
      <c r="Y5" s="114"/>
      <c r="Z5" s="232"/>
      <c r="AA5" s="233"/>
      <c r="AB5" s="233"/>
      <c r="AC5" s="119"/>
      <c r="AD5" s="120"/>
      <c r="AE5" s="120"/>
      <c r="AF5" s="120"/>
      <c r="AG5" s="120"/>
      <c r="AH5" s="17">
        <f t="shared" si="10"/>
        <v>27</v>
      </c>
      <c r="AI5" s="17">
        <f t="shared" si="11"/>
        <v>44</v>
      </c>
      <c r="AJ5" s="17">
        <f t="shared" si="12"/>
        <v>19</v>
      </c>
      <c r="AK5" s="17">
        <f t="shared" si="13"/>
        <v>52</v>
      </c>
      <c r="AL5" s="126">
        <f t="shared" si="14"/>
        <v>39.5</v>
      </c>
      <c r="AM5" s="17">
        <f t="shared" si="15"/>
        <v>45</v>
      </c>
      <c r="AN5" s="17">
        <f t="shared" si="16"/>
        <v>26</v>
      </c>
      <c r="AO5" s="17" t="str">
        <f t="shared" si="17"/>
        <v>-</v>
      </c>
      <c r="AP5" s="17" t="str">
        <f t="shared" si="18"/>
        <v>UPCOMING</v>
      </c>
      <c r="AQ5" s="131">
        <f t="shared" si="19"/>
        <v>7</v>
      </c>
      <c r="AR5" s="131">
        <f t="shared" si="20"/>
        <v>6.707106781</v>
      </c>
      <c r="AS5" s="131">
        <f t="shared" si="21"/>
        <v>28</v>
      </c>
      <c r="AT5" s="131"/>
      <c r="AU5" s="133"/>
      <c r="AV5" s="200">
        <v>3.0</v>
      </c>
      <c r="AW5" s="203">
        <f t="shared" si="34"/>
        <v>15.5</v>
      </c>
      <c r="AX5" s="200">
        <f>Settings!$R$3</f>
        <v>2025</v>
      </c>
      <c r="AY5" s="200" t="str">
        <f t="shared" si="35"/>
        <v>WEEK 5</v>
      </c>
      <c r="AZ5" s="205" t="str">
        <f t="shared" si="36"/>
        <v>GREEN</v>
      </c>
      <c r="BA5" s="200" t="str">
        <f t="shared" si="37"/>
        <v>CHAMPS</v>
      </c>
      <c r="BB5" s="200" t="str">
        <f t="array" ref="BB5">Settings!$R$3 &amp; " REG, PVE FFL GAME " &amp; INDEX($A:$A, MATCH(AV5,$AP:$AP,0))</f>
        <v>2025 REG, PVE FFL GAME 25</v>
      </c>
      <c r="BC5" s="203">
        <f t="shared" si="38"/>
        <v>2.3</v>
      </c>
      <c r="BD5" s="203">
        <f t="shared" si="39"/>
        <v>332.02</v>
      </c>
      <c r="BE5" s="207" t="str">
        <f t="shared" si="40"/>
        <v>MOTW</v>
      </c>
      <c r="BF5" s="120"/>
      <c r="BG5" s="208">
        <f t="shared" si="22"/>
        <v>7</v>
      </c>
      <c r="BH5" s="209" t="str">
        <f>Settings!A6</f>
        <v>SAVAGES</v>
      </c>
      <c r="BI5" s="210">
        <f>COUNTIFS('Weekly Scores'!$N$2:$N$71, $BH5, 'Weekly Scores'!$G$2:$G$71, "&lt;&gt;", 'Weekly Scores'!$H$2:$H$71, "&lt;&gt;")</f>
        <v>5</v>
      </c>
      <c r="BJ5" s="210">
        <f t="array" ref="BJ5">(SUMPRODUCT(((($F$1:$F$71=BH5)*($G$1:$G$71&lt;$H$1:$H$71))+(($I$1:$I$71=BH5)*($H$1:$H$71&lt;$G$1:$G$71)))*($G$1:$H$71&lt;&gt;"")))/2</f>
        <v>9</v>
      </c>
      <c r="BK5" s="211">
        <f t="shared" si="23"/>
        <v>0.3571428571</v>
      </c>
      <c r="BL5" s="209" t="str">
        <f>VLOOKUP(BH5, Settings!A6:C13, 3, FALSE)</f>
        <v>PRODIGY</v>
      </c>
      <c r="BM5" s="212">
        <f>COUNTIFS($E$2:$E$71,BL5,$J$2:$J$71,BL5,$N$2:$N$71,BH5,'Weekly Scores'!$G$2:$G$71, "&lt;&gt;")</f>
        <v>2</v>
      </c>
      <c r="BN5" s="212">
        <f>ABS(COUNTIFS($E$2:$E$71,BL5,$J$2:$J$71,BL5,$F$2:$F$71,BH5,'Weekly Scores'!$G$2:$G$71, "&lt;&gt;0")+COUNTIFS($E$2:$E$71,BL5,$J$2:$J$71,BL5,$I$2:$I$71,BH5,'Weekly Scores'!$G$2:$G$71, "&lt;&gt;0")-BM5)</f>
        <v>6</v>
      </c>
      <c r="BO5" s="213">
        <f t="shared" si="24"/>
        <v>0.25</v>
      </c>
      <c r="BP5" s="214">
        <f>COUNTIFS($N$2:$N$71,$BH5,$S$2:$S$71,"MOTW",'Weekly Scores'!$G$2:$G$71, "&lt;&gt;")</f>
        <v>0</v>
      </c>
      <c r="BQ5" s="214">
        <f>COUNTIFS($O$2:$O$71,$BH5,$S$2:$S$71,"MOTW",'Weekly Scores'!$G$2:$G$71, "&lt;&gt;")</f>
        <v>2</v>
      </c>
      <c r="BR5" s="213">
        <f t="shared" si="25"/>
        <v>0</v>
      </c>
      <c r="BS5" s="215">
        <f t="shared" si="26"/>
        <v>2</v>
      </c>
      <c r="BT5" s="161">
        <f t="shared" si="27"/>
        <v>6</v>
      </c>
      <c r="BU5" s="217">
        <f>COUNTIFS($N$2:$N$71,$BH5,$U$2:$U$71,"UPSET",'Weekly Scores'!$G$2:$G$71, "&lt;&gt;")</f>
        <v>3</v>
      </c>
      <c r="BV5" s="217"/>
      <c r="BW5" s="217">
        <f>COUNTIFS($N$2:$N$71,$BH5,$P$2:$P$71,"YES",'Weekly Scores'!$G$2:$G$71, "&lt;&gt;")</f>
        <v>2</v>
      </c>
      <c r="BX5" s="167">
        <f>COUNTIFS('Weekly Scores'!$N$2:$N$71, $BH5, 'Weekly Scores'!$G$2:$G$71, "&lt;&gt;", 'Weekly Scores'!$H$2:$H$71, "&lt;&gt;", $F$2:$F$71, $BH5)</f>
        <v>2</v>
      </c>
      <c r="BY5" s="167">
        <f>(COUNTIFS('Weekly Scores'!$F$2:$F$71, $BH5, 'Weekly Scores'!$G$2:$G$71, "&lt;&gt;0", 'Weekly Scores'!$H$2:$H$71,"&lt;&gt;0"))-BX5</f>
        <v>5</v>
      </c>
      <c r="BZ5" s="169">
        <f t="shared" si="28"/>
        <v>0.2857142857</v>
      </c>
      <c r="CA5" s="172">
        <f>COUNTIFS('Weekly Scores'!$N$2:$N$71, $BH5, 'Weekly Scores'!$G$2:$G$71, "&lt;&gt;", 'Weekly Scores'!$H$2:$H$71, "&lt;&gt;", $I$2:$I$71, $BH5)</f>
        <v>3</v>
      </c>
      <c r="CB5" s="172">
        <f>(COUNTIFS('Weekly Scores'!$I$2:$I$71, $BH5, 'Weekly Scores'!$G$2:$G$71, "&lt;&gt;0", 'Weekly Scores'!$H$2:$H$71,"&lt;&gt;0"))-CA5</f>
        <v>4</v>
      </c>
      <c r="CC5" s="169">
        <f t="shared" si="29"/>
        <v>0.4285714286</v>
      </c>
      <c r="CD5" s="218"/>
      <c r="CE5" s="219">
        <f t="shared" si="30"/>
        <v>12.80601937</v>
      </c>
      <c r="CF5" s="120">
        <f t="shared" si="31"/>
        <v>14.07947846</v>
      </c>
      <c r="CG5" s="120">
        <f t="shared" si="32"/>
        <v>11.53256029</v>
      </c>
      <c r="CH5" s="177">
        <f t="shared" si="33"/>
        <v>6</v>
      </c>
    </row>
    <row r="6" ht="34.5" customHeight="1">
      <c r="A6" s="178">
        <v>5.0</v>
      </c>
      <c r="B6" s="235" t="str">
        <f t="array" ref="B6">INDEX(Settings!H$2:H$72, ROW())</f>
        <v>WEEK 1</v>
      </c>
      <c r="C6" s="236" t="str">
        <f t="array" ref="C6">INDEX(Settings!I$2:I$72, ROW())</f>
        <v>GAME 5</v>
      </c>
      <c r="D6" s="237">
        <f t="array" ref="D6">INDEX('BACKEND 1'!$V$28:$AK$38, MATCH(F6, 'BACKEND 1'!$V$28:$V$38, 0), MATCH(B6, 'BACKEND 1'!$V$28:$AK$28, 0))</f>
        <v>2</v>
      </c>
      <c r="E6" s="73" t="str">
        <f>VLOOKUP(F6, Settings!$A$3:$C$12, 3, FALSE)</f>
        <v>PRODIGY</v>
      </c>
      <c r="F6" s="238" t="str">
        <f t="array" ref="F6">INDEX(Settings!J$2:J$72, ROW())</f>
        <v>SAVAGES</v>
      </c>
      <c r="G6" s="239">
        <f>SUMIFS('All-Stars'!E:E, 'All-Stars'!B:B, F6, 'All-Stars'!F:F, B6)</f>
        <v>116.99</v>
      </c>
      <c r="H6" s="240">
        <f>SUMIFS('All-Stars'!E:E, 'All-Stars'!B:B, I6, 'All-Stars'!F:F, B6)</f>
        <v>156.56</v>
      </c>
      <c r="I6" s="241" t="str">
        <f t="array" ref="I6">INDEX(Settings!K$2:K$72, ROW())</f>
        <v>POPEYES</v>
      </c>
      <c r="J6" s="88" t="str">
        <f>VLOOKUP(I6, Settings!$A$3:$C$12, 3, FALSE)</f>
        <v>PRODIGY</v>
      </c>
      <c r="K6" s="241">
        <f t="array" ref="K6">INDEX('BACKEND 1'!$V$28:$AK$38, MATCH(I6, 'BACKEND 1'!$V$28:$V$38, 0), MATCH(B6, 'BACKEND 1'!$V$28:$AK$28, 0))</f>
        <v>1</v>
      </c>
      <c r="L6" s="95">
        <f t="array" ref="L6">IFERROR(IF(D6=0,"-",INDEX('BACKEND 1'!$V$54:$AF$64, MATCH(D6, 'BACKEND 1'!$V$54:$V$64, 0), MATCH(K6, 'BACKEND 1'!$V$54:$AF$54, 0))),"-")</f>
        <v>3.707106781</v>
      </c>
      <c r="M6" s="242">
        <f>_xlfn.RANK.EQ(L6,L2:L6,1)</f>
        <v>1</v>
      </c>
      <c r="N6" s="243" t="str">
        <f t="shared" si="1"/>
        <v>POPEYES</v>
      </c>
      <c r="O6" s="244" t="str">
        <f t="shared" si="2"/>
        <v>SAVAGES</v>
      </c>
      <c r="P6" s="245" t="str">
        <f t="shared" si="3"/>
        <v/>
      </c>
      <c r="Q6" s="246">
        <f t="shared" si="4"/>
        <v>39.57</v>
      </c>
      <c r="R6" s="246">
        <f t="shared" si="5"/>
        <v>273.55</v>
      </c>
      <c r="S6" s="247" t="str">
        <f t="shared" si="6"/>
        <v>MOTW</v>
      </c>
      <c r="T6" s="248"/>
      <c r="U6" s="249" t="str">
        <f t="shared" si="7"/>
        <v/>
      </c>
      <c r="V6" s="113">
        <v>1.0</v>
      </c>
      <c r="W6" s="114">
        <f t="shared" si="8"/>
        <v>0</v>
      </c>
      <c r="X6" s="114">
        <f t="shared" si="9"/>
        <v>1</v>
      </c>
      <c r="Y6" s="114"/>
      <c r="Z6" s="199" t="s">
        <v>216</v>
      </c>
      <c r="AA6" s="21"/>
      <c r="AB6" s="24"/>
      <c r="AC6" s="119">
        <f>MAX(R2:R71)</f>
        <v>422.51</v>
      </c>
      <c r="AD6" s="120" t="str">
        <f>IF(AF6 &lt;&gt; AD4, AF6, IF(AG6 &lt;&gt; AD4, AG6, ""))</f>
        <v>METAMOOKDAWGS</v>
      </c>
      <c r="AE6" s="120"/>
      <c r="AF6" s="120" t="str">
        <f t="array" ref="AF6">INDEX(F2:F71, MATCH(AC6, R2:R71, 0))</f>
        <v>DECOUPES</v>
      </c>
      <c r="AG6" s="120" t="str">
        <f t="array" ref="AG6">INDEX(I2:I71, MATCH(AC6, R2:R71, 0))</f>
        <v>METAMOOKDAWGS</v>
      </c>
      <c r="AH6" s="17">
        <f t="shared" si="10"/>
        <v>42</v>
      </c>
      <c r="AI6" s="17">
        <f t="shared" si="11"/>
        <v>29</v>
      </c>
      <c r="AJ6" s="17">
        <f t="shared" si="12"/>
        <v>7</v>
      </c>
      <c r="AK6" s="17">
        <f t="shared" si="13"/>
        <v>64</v>
      </c>
      <c r="AL6" s="126">
        <f t="shared" si="14"/>
        <v>53</v>
      </c>
      <c r="AM6" s="17">
        <f t="shared" si="15"/>
        <v>62</v>
      </c>
      <c r="AN6" s="17">
        <f t="shared" si="16"/>
        <v>9</v>
      </c>
      <c r="AO6" s="17">
        <f t="shared" si="17"/>
        <v>53</v>
      </c>
      <c r="AP6" s="17">
        <f t="shared" si="18"/>
        <v>14</v>
      </c>
      <c r="AQ6" s="131">
        <f t="shared" si="19"/>
        <v>2</v>
      </c>
      <c r="AR6" s="131" t="str">
        <f t="shared" si="20"/>
        <v>NO UPSET</v>
      </c>
      <c r="AS6" s="131" t="str">
        <f t="shared" si="21"/>
        <v>-</v>
      </c>
      <c r="AT6" s="131"/>
      <c r="AU6" s="133"/>
      <c r="AV6" s="217">
        <v>4.0</v>
      </c>
      <c r="AW6" s="203">
        <f t="shared" si="34"/>
        <v>18.5</v>
      </c>
      <c r="AX6" s="200">
        <f>Settings!$R$3</f>
        <v>2025</v>
      </c>
      <c r="AY6" s="200" t="str">
        <f t="shared" si="35"/>
        <v>WEEK 9</v>
      </c>
      <c r="AZ6" s="205" t="str">
        <f t="shared" si="36"/>
        <v>GREEN</v>
      </c>
      <c r="BA6" s="200" t="str">
        <f t="shared" si="37"/>
        <v>POPEYES</v>
      </c>
      <c r="BB6" s="200" t="str">
        <f t="array" ref="BB6">Settings!$R$3 &amp; " REG, PVE FFL GAME " &amp; INDEX($A:$A, MATCH(AV6,$AP:$AP,0))</f>
        <v>2025 REG, PVE FFL GAME 41</v>
      </c>
      <c r="BC6" s="203">
        <f t="shared" si="38"/>
        <v>12.62</v>
      </c>
      <c r="BD6" s="203">
        <f t="shared" si="39"/>
        <v>338.36</v>
      </c>
      <c r="BE6" s="207" t="str">
        <f t="shared" si="40"/>
        <v>MOTW</v>
      </c>
      <c r="BF6" s="120"/>
      <c r="BG6" s="251">
        <f t="shared" si="22"/>
        <v>7</v>
      </c>
      <c r="BH6" s="252" t="str">
        <f>Settings!A12</f>
        <v>KINGS</v>
      </c>
      <c r="BI6" s="254">
        <f>COUNTIFS('Weekly Scores'!$N$2:$N$71, $BH6, 'Weekly Scores'!$G$2:$G$71, "&lt;&gt;", 'Weekly Scores'!$H$2:$H$71, "&lt;&gt;")</f>
        <v>5</v>
      </c>
      <c r="BJ6" s="254">
        <f t="array" ref="BJ6">(SUMPRODUCT(((($F$1:$F$71=BH6)*($G$1:$G$71&lt;$H$1:$H$71))+(($I$1:$I$71=BH6)*($H$1:$H$71&lt;$G$1:$G$71)))*($G$1:$H$71&lt;&gt;"")))/2</f>
        <v>9</v>
      </c>
      <c r="BK6" s="255">
        <f t="shared" si="23"/>
        <v>0.3571428571</v>
      </c>
      <c r="BL6" s="252" t="str">
        <f>VLOOKUP(BH6, Settings!A12:C19, 3, FALSE)</f>
        <v>PRODIGY</v>
      </c>
      <c r="BM6" s="256">
        <f>COUNTIFS($E$2:$E$71,BL6,$J$2:$J$71,BL6,$N$2:$N$71,BH6,'Weekly Scores'!$G$2:$G$71, "&lt;&gt;")</f>
        <v>5</v>
      </c>
      <c r="BN6" s="256">
        <f>ABS(COUNTIFS($E$2:$E$71,BL6,$J$2:$J$71,BL6,$F$2:$F$71,BH6,'Weekly Scores'!$G$2:$G$71, "&lt;&gt;0")+COUNTIFS($E$2:$E$71,BL6,$J$2:$J$71,BL6,$I$2:$I$71,BH6,'Weekly Scores'!$G$2:$G$71, "&lt;&gt;0")-BM6)</f>
        <v>3</v>
      </c>
      <c r="BO6" s="257">
        <f t="shared" si="24"/>
        <v>0.625</v>
      </c>
      <c r="BP6" s="258">
        <f>COUNTIFS($N$2:$N$71,$BH6,$S$2:$S$71,"MOTW",'Weekly Scores'!$G$2:$G$71, "&lt;&gt;")</f>
        <v>0</v>
      </c>
      <c r="BQ6" s="258">
        <f>COUNTIFS($O$2:$O$71,$BH6,$S$2:$S$71,"MOTW",'Weekly Scores'!$G$2:$G$71, "&lt;&gt;")</f>
        <v>1</v>
      </c>
      <c r="BR6" s="257">
        <f t="shared" si="25"/>
        <v>0</v>
      </c>
      <c r="BS6" s="259">
        <f t="shared" si="26"/>
        <v>1</v>
      </c>
      <c r="BT6" s="161">
        <f t="shared" si="27"/>
        <v>9</v>
      </c>
      <c r="BU6" s="260">
        <f>COUNTIFS($N$2:$N$71,$BH6,$U$2:$U$71,"UPSET",'Weekly Scores'!$G$2:$G$71, "&lt;&gt;")</f>
        <v>5</v>
      </c>
      <c r="BV6" s="260"/>
      <c r="BW6" s="260">
        <f>COUNTIFS($N$2:$N$71,$BH6,$P$2:$P$71,"YES",'Weekly Scores'!$G$2:$G$71, "&lt;&gt;")</f>
        <v>5</v>
      </c>
      <c r="BX6" s="167">
        <f>COUNTIFS('Weekly Scores'!$N$2:$N$71, $BH6, 'Weekly Scores'!$G$2:$G$71, "&lt;&gt;", 'Weekly Scores'!$H$2:$H$71, "&lt;&gt;", $F$2:$F$71, $BH6)</f>
        <v>2</v>
      </c>
      <c r="BY6" s="167">
        <f>(COUNTIFS('Weekly Scores'!$F$2:$F$71, $BH6, 'Weekly Scores'!$G$2:$G$71, "&lt;&gt;0", 'Weekly Scores'!$H$2:$H$71,"&lt;&gt;0"))-BX6</f>
        <v>5</v>
      </c>
      <c r="BZ6" s="169">
        <f t="shared" si="28"/>
        <v>0.2857142857</v>
      </c>
      <c r="CA6" s="172">
        <f>COUNTIFS('Weekly Scores'!$N$2:$N$71, $BH6, 'Weekly Scores'!$G$2:$G$71, "&lt;&gt;", 'Weekly Scores'!$H$2:$H$71, "&lt;&gt;", $I$2:$I$71, $BH6)</f>
        <v>3</v>
      </c>
      <c r="CB6" s="172">
        <f>(COUNTIFS('Weekly Scores'!$I$2:$I$71, $BH6, 'Weekly Scores'!$G$2:$G$71, "&lt;&gt;0", 'Weekly Scores'!$H$2:$H$71,"&lt;&gt;0"))-CA6</f>
        <v>4</v>
      </c>
      <c r="CC6" s="169">
        <f t="shared" si="29"/>
        <v>0.4285714286</v>
      </c>
      <c r="CD6" s="263"/>
      <c r="CE6" s="265">
        <f t="shared" si="30"/>
        <v>14.28150896</v>
      </c>
      <c r="CF6" s="120">
        <f t="shared" si="31"/>
        <v>12.87744795</v>
      </c>
      <c r="CG6" s="120">
        <f t="shared" si="32"/>
        <v>15.68556998</v>
      </c>
      <c r="CH6" s="177">
        <f t="shared" si="33"/>
        <v>9</v>
      </c>
    </row>
    <row r="7" ht="34.5" customHeight="1">
      <c r="A7" s="178">
        <v>6.0</v>
      </c>
      <c r="B7" s="268" t="str">
        <f t="array" ref="B7">INDEX(Settings!H$2:H$72, ROW())</f>
        <v>WEEK 2</v>
      </c>
      <c r="C7" s="270" t="str">
        <f t="array" ref="C7">INDEX(Settings!I$2:I$72, ROW())</f>
        <v>GAME 1</v>
      </c>
      <c r="D7" s="273">
        <f t="array" ref="D7">INDEX('BACKEND 1'!$V$28:$AK$38, MATCH(F7, 'BACKEND 1'!$V$28:$V$38, 0), MATCH(B7, 'BACKEND 1'!$V$28:$AK$28, 0))</f>
        <v>7</v>
      </c>
      <c r="E7" s="73" t="str">
        <f>VLOOKUP(F7, Settings!$A$3:$C$12, 3, FALSE)</f>
        <v>ESTEEMED</v>
      </c>
      <c r="F7" s="275" t="str">
        <f t="array" ref="F7">INDEX(Settings!J$2:J$72, ROW())</f>
        <v>METAMOOKDAWGS</v>
      </c>
      <c r="G7" s="277">
        <f>SUMIFS('All-Stars'!E:E, 'All-Stars'!B:B, F7, 'All-Stars'!F:F, B7)</f>
        <v>133.69</v>
      </c>
      <c r="H7" s="280">
        <f>SUMIFS('All-Stars'!E:E, 'All-Stars'!B:B, I7, 'All-Stars'!F:F, B7)</f>
        <v>178.73</v>
      </c>
      <c r="I7" s="281" t="str">
        <f t="array" ref="I7">INDEX(Settings!K$2:K$72, ROW())</f>
        <v>YARDIES</v>
      </c>
      <c r="J7" s="88" t="str">
        <f>VLOOKUP(I7, Settings!$A$3:$C$12, 3, FALSE)</f>
        <v>ESTEEMED</v>
      </c>
      <c r="K7" s="281">
        <f t="array" ref="K7">INDEX('BACKEND 1'!$V$28:$AK$38, MATCH(I7, 'BACKEND 1'!$V$28:$V$38, 0), MATCH(B7, 'BACKEND 1'!$V$28:$AK$28, 0))</f>
        <v>5</v>
      </c>
      <c r="L7" s="95">
        <f t="array" ref="L7">IFERROR(IF(D7=0,"-",INDEX('BACKEND 1'!$V$54:$AF$64, MATCH(D7, 'BACKEND 1'!$V$54:$V$64, 0), MATCH(K7, 'BACKEND 1'!$V$54:$AF$54, 0))),"-")</f>
        <v>10.41421356</v>
      </c>
      <c r="M7" s="98">
        <f>_xlfn.RANK.EQ(L7,L7:L11,1)</f>
        <v>2</v>
      </c>
      <c r="N7" s="100" t="str">
        <f t="shared" si="1"/>
        <v>YARDIES</v>
      </c>
      <c r="O7" s="103" t="str">
        <f t="shared" si="2"/>
        <v>METAMOOKDAWGS</v>
      </c>
      <c r="P7" s="105" t="str">
        <f t="shared" si="3"/>
        <v>YES</v>
      </c>
      <c r="Q7" s="107">
        <f t="shared" si="4"/>
        <v>45.04</v>
      </c>
      <c r="R7" s="107">
        <f t="shared" si="5"/>
        <v>312.42</v>
      </c>
      <c r="S7" s="110" t="str">
        <f t="shared" si="6"/>
        <v/>
      </c>
      <c r="T7" s="111"/>
      <c r="U7" s="112" t="str">
        <f t="shared" si="7"/>
        <v/>
      </c>
      <c r="V7" s="113">
        <v>2.0</v>
      </c>
      <c r="W7" s="114">
        <f t="shared" si="8"/>
        <v>0</v>
      </c>
      <c r="X7" s="114">
        <f t="shared" si="9"/>
        <v>0</v>
      </c>
      <c r="Y7" s="114"/>
      <c r="Z7" s="116" t="s">
        <v>233</v>
      </c>
      <c r="AA7" s="21"/>
      <c r="AB7" s="24"/>
      <c r="AC7" s="119">
        <f t="array" ref="AC7">MIN(IF(L2:L71&lt;&gt;0,L2:L71))</f>
        <v>3.707106781</v>
      </c>
      <c r="AD7" s="120" t="str">
        <f t="array" ref="AD7">INDEX(N2:N71, MATCH(AC7, L2:L71, 0))</f>
        <v>POPEYES</v>
      </c>
      <c r="AE7" s="120" t="str">
        <f t="array" ref="AE7">INDEX(B2:B71, MATCH(AC7, L2:L71, 0))</f>
        <v>WEEK 1</v>
      </c>
      <c r="AF7" s="120"/>
      <c r="AG7" s="120"/>
      <c r="AH7" s="17">
        <f t="shared" si="10"/>
        <v>48</v>
      </c>
      <c r="AI7" s="17">
        <f t="shared" si="11"/>
        <v>23</v>
      </c>
      <c r="AJ7" s="17">
        <f t="shared" si="12"/>
        <v>32</v>
      </c>
      <c r="AK7" s="17">
        <f t="shared" si="13"/>
        <v>39</v>
      </c>
      <c r="AL7" s="126">
        <f t="shared" si="14"/>
        <v>43.5</v>
      </c>
      <c r="AM7" s="17">
        <f t="shared" si="15"/>
        <v>48</v>
      </c>
      <c r="AN7" s="17">
        <f t="shared" si="16"/>
        <v>23</v>
      </c>
      <c r="AO7" s="17" t="str">
        <f t="shared" si="17"/>
        <v>-</v>
      </c>
      <c r="AP7" s="17" t="str">
        <f t="shared" si="18"/>
        <v>UPCOMING</v>
      </c>
      <c r="AQ7" s="131">
        <f t="shared" si="19"/>
        <v>22</v>
      </c>
      <c r="AR7" s="131" t="str">
        <f t="shared" si="20"/>
        <v>NO UPSET</v>
      </c>
      <c r="AS7" s="131" t="str">
        <f t="shared" si="21"/>
        <v>-</v>
      </c>
      <c r="AT7" s="131"/>
      <c r="AU7" s="133"/>
      <c r="AV7" s="200">
        <v>5.0</v>
      </c>
      <c r="AW7" s="203">
        <f t="shared" si="34"/>
        <v>20</v>
      </c>
      <c r="AX7" s="200">
        <f>Settings!$R$3</f>
        <v>2025</v>
      </c>
      <c r="AY7" s="200" t="str">
        <f t="shared" si="35"/>
        <v>WEEK 8</v>
      </c>
      <c r="AZ7" s="205" t="str">
        <f t="shared" si="36"/>
        <v>GREEN</v>
      </c>
      <c r="BA7" s="200" t="str">
        <f t="shared" si="37"/>
        <v>DECOUPES</v>
      </c>
      <c r="BB7" s="200" t="str">
        <f t="array" ref="BB7">Settings!$R$3 &amp; " REG, PVE FFL GAME " &amp; INDEX($A:$A, MATCH(AV7,$AP:$AP,0))</f>
        <v>2025 REG, PVE FFL GAME 37</v>
      </c>
      <c r="BC7" s="203">
        <f t="shared" si="38"/>
        <v>22.65</v>
      </c>
      <c r="BD7" s="203">
        <f t="shared" si="39"/>
        <v>344.37</v>
      </c>
      <c r="BE7" s="207" t="str">
        <f t="shared" si="40"/>
        <v>MOTW</v>
      </c>
      <c r="BF7" s="120"/>
      <c r="BG7" s="208">
        <f t="shared" si="22"/>
        <v>6</v>
      </c>
      <c r="BH7" s="209" t="str">
        <f>Settings!A7</f>
        <v>CHAMPS</v>
      </c>
      <c r="BI7" s="210">
        <f>COUNTIFS('Weekly Scores'!$N$2:$N$71, $BH7, 'Weekly Scores'!$G$2:$G$71, "&lt;&gt;", 'Weekly Scores'!$H$2:$H$71, "&lt;&gt;")</f>
        <v>6</v>
      </c>
      <c r="BJ7" s="210">
        <f t="array" ref="BJ7">(SUMPRODUCT(((($F$1:$F$71=BH7)*($G$1:$G$71&lt;$H$1:$H$71))+(($I$1:$I$71=BH7)*($H$1:$H$71&lt;$G$1:$G$71)))*($G$1:$H$71&lt;&gt;"")))/2</f>
        <v>8</v>
      </c>
      <c r="BK7" s="211">
        <f t="shared" si="23"/>
        <v>0.4285714286</v>
      </c>
      <c r="BL7" s="209" t="str">
        <f>VLOOKUP(BH7, Settings!A7:C14, 3, FALSE)</f>
        <v>ESTEEMED</v>
      </c>
      <c r="BM7" s="212">
        <f>COUNTIFS($E$2:$E$71,BL7,$J$2:$J$71,BL7,$N$2:$N$71,BH7,'Weekly Scores'!$G$2:$G$71, "&lt;&gt;")</f>
        <v>4</v>
      </c>
      <c r="BN7" s="212">
        <f>ABS(COUNTIFS($E$2:$E$71,BL7,$J$2:$J$71,BL7,$F$2:$F$71,BH7,'Weekly Scores'!$G$2:$G$71, "&lt;&gt;0")+COUNTIFS($E$2:$E$71,BL7,$J$2:$J$71,BL7,$I$2:$I$71,BH7,'Weekly Scores'!$G$2:$G$71, "&lt;&gt;0")-BM7)</f>
        <v>4</v>
      </c>
      <c r="BO7" s="213">
        <f t="shared" si="24"/>
        <v>0.5</v>
      </c>
      <c r="BP7" s="214">
        <f>COUNTIFS($N$2:$N$71,$BH7,$S$2:$S$71,"MOTW",'Weekly Scores'!$G$2:$G$71, "&lt;&gt;")</f>
        <v>1</v>
      </c>
      <c r="BQ7" s="214">
        <f>COUNTIFS($O$2:$O$71,$BH7,$S$2:$S$71,"MOTW",'Weekly Scores'!$G$2:$G$71, "&lt;&gt;")</f>
        <v>3</v>
      </c>
      <c r="BR7" s="213">
        <f t="shared" si="25"/>
        <v>0.25</v>
      </c>
      <c r="BS7" s="215">
        <f t="shared" si="26"/>
        <v>4</v>
      </c>
      <c r="BT7" s="161">
        <f t="shared" si="27"/>
        <v>5</v>
      </c>
      <c r="BU7" s="217">
        <f>COUNTIFS($N$2:$N$71,$BH7,$U$2:$U$71,"UPSET",'Weekly Scores'!$G$2:$G$71, "&lt;&gt;")</f>
        <v>2</v>
      </c>
      <c r="BV7" s="217"/>
      <c r="BW7" s="217">
        <f>COUNTIFS($N$2:$N$71,$BH7,$P$2:$P$71,"YES",'Weekly Scores'!$G$2:$G$71, "&lt;&gt;")</f>
        <v>3</v>
      </c>
      <c r="BX7" s="167">
        <f>COUNTIFS('Weekly Scores'!$N$2:$N$71, $BH7, 'Weekly Scores'!$G$2:$G$71, "&lt;&gt;", 'Weekly Scores'!$H$2:$H$71, "&lt;&gt;", $F$2:$F$71, $BH7)</f>
        <v>2</v>
      </c>
      <c r="BY7" s="167">
        <f>(COUNTIFS('Weekly Scores'!$F$2:$F$71, $BH7, 'Weekly Scores'!$G$2:$G$71, "&lt;&gt;0", 'Weekly Scores'!$H$2:$H$71,"&lt;&gt;0"))-BX7</f>
        <v>5</v>
      </c>
      <c r="BZ7" s="169">
        <f t="shared" si="28"/>
        <v>0.2857142857</v>
      </c>
      <c r="CA7" s="172">
        <f>COUNTIFS('Weekly Scores'!$N$2:$N$71, $BH7, 'Weekly Scores'!$G$2:$G$71, "&lt;&gt;", 'Weekly Scores'!$H$2:$H$71, "&lt;&gt;", $I$2:$I$71, $BH7)</f>
        <v>4</v>
      </c>
      <c r="CB7" s="172">
        <f>(COUNTIFS('Weekly Scores'!$I$2:$I$71, $BH7, 'Weekly Scores'!$G$2:$G$71, "&lt;&gt;0", 'Weekly Scores'!$H$2:$H$71,"&lt;&gt;0"))-CA7</f>
        <v>3</v>
      </c>
      <c r="CC7" s="169">
        <f t="shared" si="29"/>
        <v>0.5714285714</v>
      </c>
      <c r="CD7" s="218"/>
      <c r="CE7" s="219">
        <f t="shared" si="30"/>
        <v>12.04989177</v>
      </c>
      <c r="CF7" s="120">
        <f t="shared" si="31"/>
        <v>12.40703463</v>
      </c>
      <c r="CG7" s="120">
        <f t="shared" si="32"/>
        <v>11.69274891</v>
      </c>
      <c r="CH7" s="177">
        <f t="shared" si="33"/>
        <v>2</v>
      </c>
    </row>
    <row r="8" ht="34.5" customHeight="1">
      <c r="A8" s="52">
        <v>7.0</v>
      </c>
      <c r="B8" s="300" t="str">
        <f t="array" ref="B8">INDEX(Settings!H$2:H$72, ROW())</f>
        <v>WEEK 2</v>
      </c>
      <c r="C8" s="302" t="str">
        <f t="array" ref="C8">INDEX(Settings!I$2:I$72, ROW())</f>
        <v>GAME 2</v>
      </c>
      <c r="D8" s="304">
        <f t="array" ref="D8">INDEX('BACKEND 1'!$V$28:$AK$38, MATCH(F8, 'BACKEND 1'!$V$28:$V$38, 0), MATCH(B8, 'BACKEND 1'!$V$28:$AK$28, 0))</f>
        <v>1</v>
      </c>
      <c r="E8" s="73" t="str">
        <f>VLOOKUP(F8, Settings!$A$3:$C$12, 3, FALSE)</f>
        <v>ESTEEMED</v>
      </c>
      <c r="F8" s="306" t="str">
        <f t="array" ref="F8">INDEX(Settings!J$2:J$72, ROW())</f>
        <v>CHAMPS</v>
      </c>
      <c r="G8" s="308">
        <f>SUMIFS('All-Stars'!E:E, 'All-Stars'!B:B, F8, 'All-Stars'!F:F, B8)</f>
        <v>154.71</v>
      </c>
      <c r="H8" s="309">
        <f>SUMIFS('All-Stars'!E:E, 'All-Stars'!B:B, I8, 'All-Stars'!F:F, B8)</f>
        <v>234.4</v>
      </c>
      <c r="I8" s="310" t="str">
        <f t="array" ref="I8">INDEX(Settings!K$2:K$72, ROW())</f>
        <v>MUTTS</v>
      </c>
      <c r="J8" s="88" t="str">
        <f>VLOOKUP(I8, Settings!$A$3:$C$12, 3, FALSE)</f>
        <v>ESTEEMED</v>
      </c>
      <c r="K8" s="310">
        <f t="array" ref="K8">INDEX('BACKEND 1'!$V$28:$AK$38, MATCH(I8, 'BACKEND 1'!$V$28:$V$38, 0), MATCH(B8, 'BACKEND 1'!$V$28:$AK$28, 0))</f>
        <v>2</v>
      </c>
      <c r="L8" s="95">
        <f t="array" ref="L8">IFERROR(IF(D8=0,"-",INDEX('BACKEND 1'!$V$54:$AF$64, MATCH(D8, 'BACKEND 1'!$V$54:$V$64, 0), MATCH(K8, 'BACKEND 1'!$V$54:$AF$54, 0))),"-")</f>
        <v>3.707106781</v>
      </c>
      <c r="M8" s="192">
        <f>_xlfn.RANK.EQ(L8,L7:L11,1)</f>
        <v>1</v>
      </c>
      <c r="N8" s="193" t="str">
        <f t="shared" si="1"/>
        <v>MUTTS</v>
      </c>
      <c r="O8" s="194" t="str">
        <f t="shared" si="2"/>
        <v>CHAMPS</v>
      </c>
      <c r="P8" s="195" t="str">
        <f t="shared" si="3"/>
        <v>YES</v>
      </c>
      <c r="Q8" s="196">
        <f t="shared" si="4"/>
        <v>79.69</v>
      </c>
      <c r="R8" s="196">
        <f t="shared" si="5"/>
        <v>389.11</v>
      </c>
      <c r="S8" s="197" t="str">
        <f t="shared" si="6"/>
        <v>MOTW</v>
      </c>
      <c r="T8" s="113"/>
      <c r="U8" s="198" t="str">
        <f t="shared" si="7"/>
        <v>UPSET</v>
      </c>
      <c r="V8" s="113">
        <v>2.0</v>
      </c>
      <c r="W8" s="114">
        <f t="shared" si="8"/>
        <v>0</v>
      </c>
      <c r="X8" s="114">
        <f t="shared" si="9"/>
        <v>0</v>
      </c>
      <c r="Y8" s="114"/>
      <c r="Z8" s="199" t="s">
        <v>257</v>
      </c>
      <c r="AA8" s="21"/>
      <c r="AB8" s="24"/>
      <c r="AC8" s="119">
        <f t="array" ref="AC8">MIN(IF(L2:L71&lt;&gt;0,L2:L71))</f>
        <v>3.707106781</v>
      </c>
      <c r="AD8" s="120" t="str">
        <f>IF(AF8 &lt;&gt; AD7, AF8, IF(AG8 &lt;&gt; AD7, AG8, ""))</f>
        <v>SAVAGES</v>
      </c>
      <c r="AE8" s="120"/>
      <c r="AF8" s="120" t="str">
        <f t="array" ref="AF8">INDEX(F2:F71, MATCH(AC8, L2:L71, 0))</f>
        <v>SAVAGES</v>
      </c>
      <c r="AG8" s="120" t="str">
        <f t="array" ref="AG8">INDEX(I2:I71, MATCH(AC8, L2:L71, 0))</f>
        <v>POPEYES</v>
      </c>
      <c r="AH8" s="17">
        <f t="shared" si="10"/>
        <v>67</v>
      </c>
      <c r="AI8" s="17">
        <f t="shared" si="11"/>
        <v>4</v>
      </c>
      <c r="AJ8" s="17">
        <f t="shared" si="12"/>
        <v>68</v>
      </c>
      <c r="AK8" s="17">
        <f t="shared" si="13"/>
        <v>3</v>
      </c>
      <c r="AL8" s="126">
        <f t="shared" si="14"/>
        <v>35</v>
      </c>
      <c r="AM8" s="17">
        <f t="shared" si="15"/>
        <v>37</v>
      </c>
      <c r="AN8" s="17">
        <f t="shared" si="16"/>
        <v>34</v>
      </c>
      <c r="AO8" s="17">
        <f t="shared" si="17"/>
        <v>35</v>
      </c>
      <c r="AP8" s="17">
        <f t="shared" si="18"/>
        <v>9</v>
      </c>
      <c r="AQ8" s="131">
        <f t="shared" si="19"/>
        <v>1</v>
      </c>
      <c r="AR8" s="131">
        <f t="shared" si="20"/>
        <v>3.707106781</v>
      </c>
      <c r="AS8" s="131">
        <f t="shared" si="21"/>
        <v>30</v>
      </c>
      <c r="AT8" s="131"/>
      <c r="AU8" s="133"/>
      <c r="AV8" s="313"/>
      <c r="AW8" s="313"/>
      <c r="AX8" s="313"/>
      <c r="AY8" s="313"/>
      <c r="AZ8" s="313"/>
      <c r="BA8" s="313"/>
      <c r="BB8" s="313"/>
      <c r="BC8" s="313"/>
      <c r="BD8" s="313"/>
      <c r="BE8" s="314"/>
      <c r="BF8" s="120"/>
      <c r="BG8" s="208">
        <f t="shared" si="22"/>
        <v>9</v>
      </c>
      <c r="BH8" s="209" t="str">
        <f>Settings!A8</f>
        <v>METAMOOKDAWGS</v>
      </c>
      <c r="BI8" s="210">
        <f>COUNTIFS('Weekly Scores'!$N$2:$N$71, $BH8, 'Weekly Scores'!$G$2:$G$71, "&lt;&gt;", 'Weekly Scores'!$H$2:$H$71, "&lt;&gt;")</f>
        <v>4</v>
      </c>
      <c r="BJ8" s="210">
        <f t="array" ref="BJ8">(SUMPRODUCT(((($F$1:$F$71=BH8)*($G$1:$G$71&lt;$H$1:$H$71))+(($I$1:$I$71=BH8)*($H$1:$H$71&lt;$G$1:$G$71)))*($G$1:$H$71&lt;&gt;"")))/2</f>
        <v>10</v>
      </c>
      <c r="BK8" s="211">
        <f t="shared" si="23"/>
        <v>0.2857142857</v>
      </c>
      <c r="BL8" s="209" t="str">
        <f>VLOOKUP(BH8, Settings!A8:C15, 3, FALSE)</f>
        <v>ESTEEMED</v>
      </c>
      <c r="BM8" s="212">
        <f>COUNTIFS($E$2:$E$71,BL8,$J$2:$J$71,BL8,$N$2:$N$71,BH8,'Weekly Scores'!$G$2:$G$71, "&lt;&gt;")</f>
        <v>2</v>
      </c>
      <c r="BN8" s="212">
        <f>ABS(COUNTIFS($E$2:$E$71,BL8,$J$2:$J$71,BL8,$F$2:$F$71,BH8,'Weekly Scores'!$G$2:$G$71, "&lt;&gt;0")+COUNTIFS($E$2:$E$71,BL8,$J$2:$J$71,BL8,$I$2:$I$71,BH8,'Weekly Scores'!$G$2:$G$71, "&lt;&gt;0")-BM8)</f>
        <v>6</v>
      </c>
      <c r="BO8" s="213">
        <f t="shared" si="24"/>
        <v>0.25</v>
      </c>
      <c r="BP8" s="214">
        <f>COUNTIFS($N$2:$N$71,$BH8,$S$2:$S$71,"MOTW",'Weekly Scores'!$G$2:$G$71, "&lt;&gt;")</f>
        <v>0</v>
      </c>
      <c r="BQ8" s="214">
        <f>COUNTIFS($O$2:$O$71,$BH8,$S$2:$S$71,"MOTW",'Weekly Scores'!$G$2:$G$71, "&lt;&gt;")</f>
        <v>1</v>
      </c>
      <c r="BR8" s="213">
        <f t="shared" si="25"/>
        <v>0</v>
      </c>
      <c r="BS8" s="215">
        <f t="shared" si="26"/>
        <v>1</v>
      </c>
      <c r="BT8" s="161">
        <f t="shared" si="27"/>
        <v>9</v>
      </c>
      <c r="BU8" s="217">
        <f>COUNTIFS($N$2:$N$71,$BH8,$U$2:$U$71,"UPSET",'Weekly Scores'!$G$2:$G$71, "&lt;&gt;")</f>
        <v>4</v>
      </c>
      <c r="BV8" s="217"/>
      <c r="BW8" s="217">
        <f>COUNTIFS($N$2:$N$71,$BH8,$P$2:$P$71,"YES",'Weekly Scores'!$G$2:$G$71, "&lt;&gt;")</f>
        <v>2</v>
      </c>
      <c r="BX8" s="167">
        <f>COUNTIFS('Weekly Scores'!$N$2:$N$71, $BH8, 'Weekly Scores'!$G$2:$G$71, "&lt;&gt;", 'Weekly Scores'!$H$2:$H$71, "&lt;&gt;", $F$2:$F$71, $BH8)</f>
        <v>3</v>
      </c>
      <c r="BY8" s="167">
        <f>(COUNTIFS('Weekly Scores'!$F$2:$F$71, $BH8, 'Weekly Scores'!$G$2:$G$71, "&lt;&gt;0", 'Weekly Scores'!$H$2:$H$71,"&lt;&gt;0"))-BX8</f>
        <v>4</v>
      </c>
      <c r="BZ8" s="169">
        <f t="shared" si="28"/>
        <v>0.4285714286</v>
      </c>
      <c r="CA8" s="172">
        <f>COUNTIFS('Weekly Scores'!$N$2:$N$71, $BH8, 'Weekly Scores'!$G$2:$G$71, "&lt;&gt;", 'Weekly Scores'!$H$2:$H$71, "&lt;&gt;", $I$2:$I$71, $BH8)</f>
        <v>1</v>
      </c>
      <c r="CB8" s="172">
        <f>(COUNTIFS('Weekly Scores'!$I$2:$I$71, $BH8, 'Weekly Scores'!$G$2:$G$71, "&lt;&gt;0", 'Weekly Scores'!$H$2:$H$71,"&lt;&gt;0"))-CA8</f>
        <v>6</v>
      </c>
      <c r="CC8" s="169">
        <f t="shared" si="29"/>
        <v>0.1428571429</v>
      </c>
      <c r="CD8" s="218"/>
      <c r="CE8" s="219">
        <f t="shared" si="30"/>
        <v>13.12132034</v>
      </c>
      <c r="CF8" s="120">
        <f t="shared" si="31"/>
        <v>13.2223356</v>
      </c>
      <c r="CG8" s="120">
        <f t="shared" si="32"/>
        <v>13.02030509</v>
      </c>
      <c r="CH8" s="177">
        <f t="shared" si="33"/>
        <v>7</v>
      </c>
    </row>
    <row r="9" ht="34.5" customHeight="1">
      <c r="A9" s="178">
        <v>8.0</v>
      </c>
      <c r="B9" s="300" t="str">
        <f t="array" ref="B9">INDEX(Settings!H$2:H$72, ROW())</f>
        <v>WEEK 2</v>
      </c>
      <c r="C9" s="302" t="str">
        <f t="array" ref="C9">INDEX(Settings!I$2:I$72, ROW())</f>
        <v>GAME 3</v>
      </c>
      <c r="D9" s="304">
        <f t="array" ref="D9">INDEX('BACKEND 1'!$V$28:$AK$38, MATCH(F9, 'BACKEND 1'!$V$28:$V$38, 0), MATCH(B9, 'BACKEND 1'!$V$28:$AK$28, 0))</f>
        <v>4</v>
      </c>
      <c r="E9" s="73" t="str">
        <f>VLOOKUP(F9, Settings!$A$3:$C$12, 3, FALSE)</f>
        <v>PRODIGY</v>
      </c>
      <c r="F9" s="306" t="str">
        <f t="array" ref="F9">INDEX(Settings!J$2:J$72, ROW())</f>
        <v>POPEYES</v>
      </c>
      <c r="G9" s="308">
        <f>SUMIFS('All-Stars'!E:E, 'All-Stars'!B:B, F9, 'All-Stars'!F:F, B9)</f>
        <v>156.22</v>
      </c>
      <c r="H9" s="309">
        <f>SUMIFS('All-Stars'!E:E, 'All-Stars'!B:B, I9, 'All-Stars'!F:F, B9)</f>
        <v>120.12</v>
      </c>
      <c r="I9" s="310" t="str">
        <f t="array" ref="I9">INDEX(Settings!K$2:K$72, ROW())</f>
        <v>EAGLES</v>
      </c>
      <c r="J9" s="88" t="str">
        <f>VLOOKUP(I9, Settings!$A$3:$C$12, 3, FALSE)</f>
        <v>ESTEEMED</v>
      </c>
      <c r="K9" s="310">
        <f t="array" ref="K9">INDEX('BACKEND 1'!$V$28:$AK$38, MATCH(I9, 'BACKEND 1'!$V$28:$V$38, 0), MATCH(B9, 'BACKEND 1'!$V$28:$AK$28, 0))</f>
        <v>8</v>
      </c>
      <c r="L9" s="95">
        <f t="array" ref="L9">IFERROR(IF(D9=0,"-",INDEX('BACKEND 1'!$V$54:$AF$64, MATCH(D9, 'BACKEND 1'!$V$54:$V$64, 0), MATCH(K9, 'BACKEND 1'!$V$54:$AF$54, 0))),"-")</f>
        <v>14.82842712</v>
      </c>
      <c r="M9" s="192">
        <f>_xlfn.RANK.EQ(L9,L7:L11,1)</f>
        <v>5</v>
      </c>
      <c r="N9" s="193" t="str">
        <f t="shared" si="1"/>
        <v>POPEYES</v>
      </c>
      <c r="O9" s="194" t="str">
        <f t="shared" si="2"/>
        <v>EAGLES</v>
      </c>
      <c r="P9" s="195" t="str">
        <f t="shared" si="3"/>
        <v/>
      </c>
      <c r="Q9" s="196">
        <f t="shared" si="4"/>
        <v>36.1</v>
      </c>
      <c r="R9" s="196">
        <f t="shared" si="5"/>
        <v>276.34</v>
      </c>
      <c r="S9" s="197" t="str">
        <f t="shared" si="6"/>
        <v/>
      </c>
      <c r="T9" s="113"/>
      <c r="U9" s="198" t="str">
        <f t="shared" si="7"/>
        <v/>
      </c>
      <c r="V9" s="113">
        <v>2.0</v>
      </c>
      <c r="W9" s="114">
        <f t="shared" si="8"/>
        <v>1</v>
      </c>
      <c r="X9" s="114">
        <f t="shared" si="9"/>
        <v>1</v>
      </c>
      <c r="Y9" s="114"/>
      <c r="Z9" s="199" t="s">
        <v>260</v>
      </c>
      <c r="AA9" s="21"/>
      <c r="AB9" s="24"/>
      <c r="AC9" s="119">
        <f>MAXIFS(L2:L71, U2:U71, "UPSET")</f>
        <v>25.36396103</v>
      </c>
      <c r="AD9" s="120" t="str">
        <f t="array" ref="AD9">INDEX(N2:N71, MATCH(MAX(IF((U2:U71="UPSET") * (L2:L71=AC9), V2:V71)), V2:V71, 0))</f>
        <v>KINGS</v>
      </c>
      <c r="AE9" s="120" t="str">
        <f t="array" ref="AE9">IFERROR(INDEX(N2:N71, SMALL(IF((U2:U71="UPSET") * (L2:L71=AC9), ROW(N2:N71)-ROW(N2)+1), ROW(INDIRECT("1:4")))),"")</f>
        <v>METAMOOKDAWGS</v>
      </c>
      <c r="AF9" s="120" t="str">
        <f t="array" ref="AF9">IFERROR(INDEX(B2:B71, SMALL(IF((U2:U71="UPSET") * (L2:L71=AC9), ROW(B2:B71)-ROW(B2)+1), ROW(INDIRECT("1:4")))),"")</f>
        <v>WEEK 8</v>
      </c>
      <c r="AG9" s="120"/>
      <c r="AH9" s="17">
        <f t="shared" si="10"/>
        <v>38</v>
      </c>
      <c r="AI9" s="17">
        <f t="shared" si="11"/>
        <v>33</v>
      </c>
      <c r="AJ9" s="17">
        <f t="shared" si="12"/>
        <v>9</v>
      </c>
      <c r="AK9" s="17">
        <f t="shared" si="13"/>
        <v>62</v>
      </c>
      <c r="AL9" s="126">
        <f t="shared" si="14"/>
        <v>50</v>
      </c>
      <c r="AM9" s="17">
        <f t="shared" si="15"/>
        <v>60</v>
      </c>
      <c r="AN9" s="17">
        <f t="shared" si="16"/>
        <v>11</v>
      </c>
      <c r="AO9" s="17" t="str">
        <f t="shared" si="17"/>
        <v>-</v>
      </c>
      <c r="AP9" s="17" t="str">
        <f t="shared" si="18"/>
        <v>UPCOMING</v>
      </c>
      <c r="AQ9" s="131">
        <f t="shared" si="19"/>
        <v>47</v>
      </c>
      <c r="AR9" s="131" t="str">
        <f t="shared" si="20"/>
        <v>NO UPSET</v>
      </c>
      <c r="AS9" s="131" t="str">
        <f t="shared" si="21"/>
        <v>-</v>
      </c>
      <c r="AT9" s="131"/>
      <c r="AU9" s="133"/>
      <c r="AV9" s="333" t="str">
        <f>"Top 5 Greatest "&amp; Settings!$R$3&amp; " Regular Season Games - PVE FFL"</f>
        <v>Top 5 Greatest 2025 Regular Season Games - PVE FFL</v>
      </c>
      <c r="AW9" s="21"/>
      <c r="AX9" s="21"/>
      <c r="AY9" s="21"/>
      <c r="AZ9" s="21"/>
      <c r="BA9" s="21"/>
      <c r="BB9" s="21"/>
      <c r="BC9" s="21"/>
      <c r="BD9" s="21"/>
      <c r="BE9" s="24"/>
      <c r="BF9" s="120"/>
      <c r="BG9" s="208">
        <f t="shared" si="22"/>
        <v>2</v>
      </c>
      <c r="BH9" s="209" t="str">
        <f>Settings!A9</f>
        <v>YARDIES</v>
      </c>
      <c r="BI9" s="210">
        <f>COUNTIFS('Weekly Scores'!$N$2:$N$71, $BH9, 'Weekly Scores'!$G$2:$G$71, "&lt;&gt;", 'Weekly Scores'!$H$2:$H$71, "&lt;&gt;")</f>
        <v>9</v>
      </c>
      <c r="BJ9" s="210">
        <f t="array" ref="BJ9">(SUMPRODUCT(((($F$1:$F$71=BH9)*($G$1:$G$71&lt;$H$1:$H$71))+(($I$1:$I$71=BH9)*($H$1:$H$71&lt;$G$1:$G$71)))*($G$1:$H$71&lt;&gt;"")))/2</f>
        <v>5</v>
      </c>
      <c r="BK9" s="211">
        <f t="shared" si="23"/>
        <v>0.6428571429</v>
      </c>
      <c r="BL9" s="209" t="str">
        <f>VLOOKUP(BH9, Settings!A9:C16, 3, FALSE)</f>
        <v>ESTEEMED</v>
      </c>
      <c r="BM9" s="212">
        <f>COUNTIFS($E$2:$E$71,BL9,$J$2:$J$71,BL9,$N$2:$N$71,BH9,'Weekly Scores'!$G$2:$G$71, "&lt;&gt;")</f>
        <v>5</v>
      </c>
      <c r="BN9" s="212">
        <f>ABS(COUNTIFS($E$2:$E$71,BL9,$J$2:$J$71,BL9,$F$2:$F$71,BH9,'Weekly Scores'!$G$2:$G$71, "&lt;&gt;0")+COUNTIFS($E$2:$E$71,BL9,$J$2:$J$71,BL9,$I$2:$I$71,BH9,'Weekly Scores'!$G$2:$G$71, "&lt;&gt;0")-BM9)</f>
        <v>3</v>
      </c>
      <c r="BO9" s="213">
        <f t="shared" si="24"/>
        <v>0.625</v>
      </c>
      <c r="BP9" s="214">
        <f>COUNTIFS($N$2:$N$71,$BH9,$S$2:$S$71,"MOTW",'Weekly Scores'!$G$2:$G$71, "&lt;&gt;")</f>
        <v>3</v>
      </c>
      <c r="BQ9" s="214">
        <f>COUNTIFS($O$2:$O$71,$BH9,$S$2:$S$71,"MOTW",'Weekly Scores'!$G$2:$G$71, "&lt;&gt;")</f>
        <v>2</v>
      </c>
      <c r="BR9" s="213">
        <f t="shared" si="25"/>
        <v>0.6</v>
      </c>
      <c r="BS9" s="215">
        <f t="shared" si="26"/>
        <v>5</v>
      </c>
      <c r="BT9" s="161">
        <f t="shared" si="27"/>
        <v>1</v>
      </c>
      <c r="BU9" s="217">
        <f>COUNTIFS($N$2:$N$71,$BH9,$U$2:$U$71,"UPSET",'Weekly Scores'!$G$2:$G$71, "&lt;&gt;")</f>
        <v>1</v>
      </c>
      <c r="BV9" s="217"/>
      <c r="BW9" s="217">
        <f>COUNTIFS($N$2:$N$71,$BH9,$P$2:$P$71,"YES",'Weekly Scores'!$G$2:$G$71, "&lt;&gt;")</f>
        <v>2</v>
      </c>
      <c r="BX9" s="167">
        <f>COUNTIFS('Weekly Scores'!$N$2:$N$71, $BH9, 'Weekly Scores'!$G$2:$G$71, "&lt;&gt;", 'Weekly Scores'!$H$2:$H$71, "&lt;&gt;", $F$2:$F$71, $BH9)</f>
        <v>6</v>
      </c>
      <c r="BY9" s="167">
        <f>(COUNTIFS('Weekly Scores'!$F$2:$F$71, $BH9, 'Weekly Scores'!$G$2:$G$71, "&lt;&gt;0", 'Weekly Scores'!$H$2:$H$71,"&lt;&gt;0"))-BX9</f>
        <v>1</v>
      </c>
      <c r="BZ9" s="169">
        <f t="shared" si="28"/>
        <v>0.8571428571</v>
      </c>
      <c r="CA9" s="172">
        <f>COUNTIFS('Weekly Scores'!$N$2:$N$71, $BH9, 'Weekly Scores'!$G$2:$G$71, "&lt;&gt;", 'Weekly Scores'!$H$2:$H$71, "&lt;&gt;", $I$2:$I$71, $BH9)</f>
        <v>3</v>
      </c>
      <c r="CB9" s="172">
        <f>(COUNTIFS('Weekly Scores'!$I$2:$I$71, $BH9, 'Weekly Scores'!$G$2:$G$71, "&lt;&gt;0", 'Weekly Scores'!$H$2:$H$71,"&lt;&gt;0"))-CA9</f>
        <v>4</v>
      </c>
      <c r="CC9" s="169">
        <f t="shared" si="29"/>
        <v>0.4285714286</v>
      </c>
      <c r="CD9" s="218"/>
      <c r="CE9" s="219">
        <f t="shared" si="30"/>
        <v>12.44528705</v>
      </c>
      <c r="CF9" s="120">
        <f t="shared" si="31"/>
        <v>12.99579468</v>
      </c>
      <c r="CG9" s="120">
        <f t="shared" si="32"/>
        <v>11.89477942</v>
      </c>
      <c r="CH9" s="177">
        <f t="shared" si="33"/>
        <v>5</v>
      </c>
    </row>
    <row r="10" ht="34.5" customHeight="1">
      <c r="A10" s="178">
        <v>9.0</v>
      </c>
      <c r="B10" s="300" t="str">
        <f t="array" ref="B10">INDEX(Settings!H$2:H$72, ROW())</f>
        <v>WEEK 2</v>
      </c>
      <c r="C10" s="302" t="str">
        <f t="array" ref="C10">INDEX(Settings!I$2:I$72, ROW())</f>
        <v>GAME 4</v>
      </c>
      <c r="D10" s="304">
        <f t="array" ref="D10">INDEX('BACKEND 1'!$V$28:$AK$38, MATCH(F10, 'BACKEND 1'!$V$28:$V$38, 0), MATCH(B10, 'BACKEND 1'!$V$28:$AK$28, 0))</f>
        <v>6</v>
      </c>
      <c r="E10" s="73" t="str">
        <f>VLOOKUP(F10, Settings!$A$3:$C$12, 3, FALSE)</f>
        <v>PRODIGY</v>
      </c>
      <c r="F10" s="306" t="str">
        <f t="array" ref="F10">INDEX(Settings!J$2:J$72, ROW())</f>
        <v>KINGS</v>
      </c>
      <c r="G10" s="308">
        <f>SUMIFS('All-Stars'!E:E, 'All-Stars'!B:B, F10, 'All-Stars'!F:F, B10)</f>
        <v>136.3</v>
      </c>
      <c r="H10" s="309">
        <f>SUMIFS('All-Stars'!E:E, 'All-Stars'!B:B, I10, 'All-Stars'!F:F, B10)</f>
        <v>165.71</v>
      </c>
      <c r="I10" s="310" t="str">
        <f t="array" ref="I10">INDEX(Settings!K$2:K$72, ROW())</f>
        <v>DECOUPES</v>
      </c>
      <c r="J10" s="88" t="str">
        <f>VLOOKUP(I10, Settings!$A$3:$C$12, 3, FALSE)</f>
        <v>PRODIGY</v>
      </c>
      <c r="K10" s="310">
        <f t="array" ref="K10">INDEX('BACKEND 1'!$V$28:$AK$38, MATCH(I10, 'BACKEND 1'!$V$28:$V$38, 0), MATCH(B10, 'BACKEND 1'!$V$28:$AK$28, 0))</f>
        <v>3</v>
      </c>
      <c r="L10" s="95">
        <f t="array" ref="L10">IFERROR(IF(D10=0,"-",INDEX('BACKEND 1'!$V$54:$AF$64, MATCH(D10, 'BACKEND 1'!$V$54:$V$64, 0), MATCH(K10, 'BACKEND 1'!$V$54:$AF$54, 0))),"-")</f>
        <v>11.12132034</v>
      </c>
      <c r="M10" s="192">
        <f>_xlfn.RANK.EQ(L10,L7:L11,1)</f>
        <v>3</v>
      </c>
      <c r="N10" s="193" t="str">
        <f t="shared" si="1"/>
        <v>DECOUPES</v>
      </c>
      <c r="O10" s="194" t="str">
        <f t="shared" si="2"/>
        <v>KINGS</v>
      </c>
      <c r="P10" s="195" t="str">
        <f t="shared" si="3"/>
        <v/>
      </c>
      <c r="Q10" s="196">
        <f t="shared" si="4"/>
        <v>29.41</v>
      </c>
      <c r="R10" s="196">
        <f t="shared" si="5"/>
        <v>302.01</v>
      </c>
      <c r="S10" s="197" t="str">
        <f t="shared" si="6"/>
        <v/>
      </c>
      <c r="T10" s="113"/>
      <c r="U10" s="198" t="str">
        <f t="shared" si="7"/>
        <v/>
      </c>
      <c r="V10" s="113">
        <v>2.0</v>
      </c>
      <c r="W10" s="114">
        <f t="shared" si="8"/>
        <v>0</v>
      </c>
      <c r="X10" s="114">
        <f t="shared" si="9"/>
        <v>0</v>
      </c>
      <c r="Y10" s="114"/>
      <c r="Z10" s="335"/>
      <c r="AA10" s="335"/>
      <c r="AB10" s="335"/>
      <c r="AC10" s="119"/>
      <c r="AD10" s="120"/>
      <c r="AE10" s="120"/>
      <c r="AF10" s="120"/>
      <c r="AG10" s="120"/>
      <c r="AH10" s="17">
        <f t="shared" si="10"/>
        <v>28</v>
      </c>
      <c r="AI10" s="17">
        <f t="shared" si="11"/>
        <v>43</v>
      </c>
      <c r="AJ10" s="17">
        <f t="shared" si="12"/>
        <v>23</v>
      </c>
      <c r="AK10" s="17">
        <f t="shared" si="13"/>
        <v>48</v>
      </c>
      <c r="AL10" s="126">
        <f t="shared" si="14"/>
        <v>38</v>
      </c>
      <c r="AM10" s="17">
        <f t="shared" si="15"/>
        <v>41</v>
      </c>
      <c r="AN10" s="17">
        <f t="shared" si="16"/>
        <v>30</v>
      </c>
      <c r="AO10" s="17" t="str">
        <f t="shared" si="17"/>
        <v>-</v>
      </c>
      <c r="AP10" s="17" t="str">
        <f t="shared" si="18"/>
        <v>UPCOMING</v>
      </c>
      <c r="AQ10" s="131">
        <f t="shared" si="19"/>
        <v>25</v>
      </c>
      <c r="AR10" s="131" t="str">
        <f t="shared" si="20"/>
        <v>NO UPSET</v>
      </c>
      <c r="AS10" s="131" t="str">
        <f t="shared" si="21"/>
        <v>-</v>
      </c>
      <c r="AT10" s="131"/>
      <c r="AU10" s="133"/>
      <c r="AV10" s="134" t="s">
        <v>148</v>
      </c>
      <c r="AW10" s="134" t="s">
        <v>151</v>
      </c>
      <c r="AX10" s="134" t="s">
        <v>153</v>
      </c>
      <c r="AY10" s="134" t="s">
        <v>30</v>
      </c>
      <c r="AZ10" s="134" t="s">
        <v>155</v>
      </c>
      <c r="BA10" s="134" t="s">
        <v>156</v>
      </c>
      <c r="BB10" s="134" t="s">
        <v>157</v>
      </c>
      <c r="BC10" s="134" t="s">
        <v>159</v>
      </c>
      <c r="BD10" s="134" t="s">
        <v>161</v>
      </c>
      <c r="BE10" s="134" t="s">
        <v>27</v>
      </c>
      <c r="BF10" s="120"/>
      <c r="BG10" s="208">
        <f t="shared" si="22"/>
        <v>4</v>
      </c>
      <c r="BH10" s="209" t="str">
        <f>Settings!A10</f>
        <v>MUTTS</v>
      </c>
      <c r="BI10" s="210">
        <f>COUNTIFS('Weekly Scores'!$N$2:$N$71, $BH10, 'Weekly Scores'!$G$2:$G$71, "&lt;&gt;", 'Weekly Scores'!$H$2:$H$71, "&lt;&gt;")</f>
        <v>7</v>
      </c>
      <c r="BJ10" s="210">
        <f t="array" ref="BJ10">(SUMPRODUCT(((($F$1:$F$71=BH10)*($G$1:$G$71&lt;$H$1:$H$71))+(($I$1:$I$71=BH10)*($H$1:$H$71&lt;$G$1:$G$71)))*($G$1:$H$71&lt;&gt;"")))/2</f>
        <v>7</v>
      </c>
      <c r="BK10" s="211">
        <f t="shared" si="23"/>
        <v>0.5</v>
      </c>
      <c r="BL10" s="209" t="str">
        <f>VLOOKUP(BH10, Settings!A10:C17, 3, FALSE)</f>
        <v>ESTEEMED</v>
      </c>
      <c r="BM10" s="212">
        <f>COUNTIFS($E$2:$E$71,BL10,$J$2:$J$71,BL10,$N$2:$N$71,BH10,'Weekly Scores'!$G$2:$G$71, "&lt;&gt;")</f>
        <v>5</v>
      </c>
      <c r="BN10" s="212">
        <f>ABS(COUNTIFS($E$2:$E$71,BL10,$J$2:$J$71,BL10,$F$2:$F$71,BH10,'Weekly Scores'!$G$2:$G$71, "&lt;&gt;0")+COUNTIFS($E$2:$E$71,BL10,$J$2:$J$71,BL10,$I$2:$I$71,BH10,'Weekly Scores'!$G$2:$G$71, "&lt;&gt;0")-BM10)</f>
        <v>3</v>
      </c>
      <c r="BO10" s="213">
        <f t="shared" si="24"/>
        <v>0.625</v>
      </c>
      <c r="BP10" s="214">
        <f>COUNTIFS($N$2:$N$71,$BH10,$S$2:$S$71,"MOTW",'Weekly Scores'!$G$2:$G$71, "&lt;&gt;")</f>
        <v>2</v>
      </c>
      <c r="BQ10" s="214">
        <f>COUNTIFS($O$2:$O$71,$BH10,$S$2:$S$71,"MOTW",'Weekly Scores'!$G$2:$G$71, "&lt;&gt;")</f>
        <v>2</v>
      </c>
      <c r="BR10" s="213">
        <f t="shared" si="25"/>
        <v>0.5</v>
      </c>
      <c r="BS10" s="215">
        <f t="shared" si="26"/>
        <v>4</v>
      </c>
      <c r="BT10" s="161">
        <f t="shared" si="27"/>
        <v>4</v>
      </c>
      <c r="BU10" s="217">
        <f>COUNTIFS($N$2:$N$71,$BH10,$U$2:$U$71,"UPSET",'Weekly Scores'!$G$2:$G$71, "&lt;&gt;")</f>
        <v>2</v>
      </c>
      <c r="BV10" s="217"/>
      <c r="BW10" s="217">
        <f>COUNTIFS($N$2:$N$71,$BH10,$P$2:$P$71,"YES",'Weekly Scores'!$G$2:$G$71, "&lt;&gt;")</f>
        <v>1</v>
      </c>
      <c r="BX10" s="167">
        <f>COUNTIFS('Weekly Scores'!$N$2:$N$71, $BH10, 'Weekly Scores'!$G$2:$G$71, "&lt;&gt;", 'Weekly Scores'!$H$2:$H$71, "&lt;&gt;", $F$2:$F$71, $BH10)</f>
        <v>3</v>
      </c>
      <c r="BY10" s="167">
        <f>(COUNTIFS('Weekly Scores'!$F$2:$F$71, $BH10, 'Weekly Scores'!$G$2:$G$71, "&lt;&gt;0", 'Weekly Scores'!$H$2:$H$71,"&lt;&gt;0"))-BX10</f>
        <v>4</v>
      </c>
      <c r="BZ10" s="169">
        <f t="shared" si="28"/>
        <v>0.4285714286</v>
      </c>
      <c r="CA10" s="172">
        <f>COUNTIFS('Weekly Scores'!$N$2:$N$71, $BH10, 'Weekly Scores'!$G$2:$G$71, "&lt;&gt;", 'Weekly Scores'!$H$2:$H$71, "&lt;&gt;", $I$2:$I$71, $BH10)</f>
        <v>4</v>
      </c>
      <c r="CB10" s="172">
        <f>(COUNTIFS('Weekly Scores'!$I$2:$I$71, $BH10, 'Weekly Scores'!$G$2:$G$71, "&lt;&gt;0", 'Weekly Scores'!$H$2:$H$71,"&lt;&gt;0"))-CA10</f>
        <v>3</v>
      </c>
      <c r="CC10" s="169">
        <f t="shared" si="29"/>
        <v>0.5714285714</v>
      </c>
      <c r="CD10" s="218"/>
      <c r="CE10" s="219">
        <f t="shared" si="30"/>
        <v>13.53045763</v>
      </c>
      <c r="CF10" s="120">
        <f t="shared" si="31"/>
        <v>13.98861575</v>
      </c>
      <c r="CG10" s="120">
        <f t="shared" si="32"/>
        <v>13.07229952</v>
      </c>
      <c r="CH10" s="177">
        <f t="shared" si="33"/>
        <v>8</v>
      </c>
    </row>
    <row r="11" ht="34.5" customHeight="1">
      <c r="A11" s="52">
        <v>10.0</v>
      </c>
      <c r="B11" s="340" t="str">
        <f t="array" ref="B11">INDEX(Settings!H$2:H$72, ROW())</f>
        <v>WEEK 2</v>
      </c>
      <c r="C11" s="343" t="str">
        <f t="array" ref="C11">INDEX(Settings!I$2:I$72, ROW())</f>
        <v>GAME 5</v>
      </c>
      <c r="D11" s="347">
        <f t="array" ref="D11">INDEX('BACKEND 1'!$V$28:$AK$38, MATCH(F11, 'BACKEND 1'!$V$28:$V$38, 0), MATCH(B11, 'BACKEND 1'!$V$28:$AK$28, 0))</f>
        <v>9</v>
      </c>
      <c r="E11" s="73" t="str">
        <f>VLOOKUP(F11, Settings!$A$3:$C$12, 3, FALSE)</f>
        <v>PRODIGY</v>
      </c>
      <c r="F11" s="353" t="str">
        <f t="array" ref="F11">INDEX(Settings!J$2:J$72, ROW())</f>
        <v>GREEN</v>
      </c>
      <c r="G11" s="356">
        <f>SUMIFS('All-Stars'!E:E, 'All-Stars'!B:B, F11, 'All-Stars'!F:F, B11)</f>
        <v>136.5</v>
      </c>
      <c r="H11" s="359">
        <f>SUMIFS('All-Stars'!E:E, 'All-Stars'!B:B, I11, 'All-Stars'!F:F, B11)</f>
        <v>181.62</v>
      </c>
      <c r="I11" s="363" t="str">
        <f t="array" ref="I11">INDEX(Settings!K$2:K$72, ROW())</f>
        <v>SAVAGES</v>
      </c>
      <c r="J11" s="88" t="str">
        <f>VLOOKUP(I11, Settings!$A$3:$C$12, 3, FALSE)</f>
        <v>PRODIGY</v>
      </c>
      <c r="K11" s="363">
        <f t="array" ref="K11">INDEX('BACKEND 1'!$V$28:$AK$38, MATCH(I11, 'BACKEND 1'!$V$28:$V$38, 0), MATCH(B11, 'BACKEND 1'!$V$28:$AK$28, 0))</f>
        <v>10</v>
      </c>
      <c r="L11" s="95">
        <f t="array" ref="L11">IFERROR(IF(D11=0,"-",INDEX('BACKEND 1'!$V$54:$AF$64, MATCH(D11, 'BACKEND 1'!$V$54:$V$64, 0), MATCH(K11, 'BACKEND 1'!$V$54:$AF$54, 0))),"-")</f>
        <v>11.70710678</v>
      </c>
      <c r="M11" s="242">
        <f>_xlfn.RANK.EQ(L11,L7:L11,1)</f>
        <v>4</v>
      </c>
      <c r="N11" s="243" t="str">
        <f t="shared" si="1"/>
        <v>SAVAGES</v>
      </c>
      <c r="O11" s="244" t="str">
        <f t="shared" si="2"/>
        <v>GREEN</v>
      </c>
      <c r="P11" s="245" t="str">
        <f t="shared" si="3"/>
        <v>YES</v>
      </c>
      <c r="Q11" s="246">
        <f t="shared" si="4"/>
        <v>45.12</v>
      </c>
      <c r="R11" s="246">
        <f t="shared" si="5"/>
        <v>318.12</v>
      </c>
      <c r="S11" s="247" t="str">
        <f t="shared" si="6"/>
        <v/>
      </c>
      <c r="T11" s="248"/>
      <c r="U11" s="249" t="str">
        <f t="shared" si="7"/>
        <v>UPSET</v>
      </c>
      <c r="V11" s="113">
        <v>2.0</v>
      </c>
      <c r="W11" s="114">
        <f t="shared" si="8"/>
        <v>0</v>
      </c>
      <c r="X11" s="114">
        <f t="shared" si="9"/>
        <v>0</v>
      </c>
      <c r="Y11" s="114"/>
      <c r="Z11" s="120"/>
      <c r="AA11" s="120"/>
      <c r="AB11" s="120"/>
      <c r="AC11" s="120"/>
      <c r="AD11" s="120" t="str">
        <f t="array" ref="AD11">INDEX(B2:B71, MATCH(MAX(IF((U2:U71="UPSET") * (L2:L71=AC9), V2:V71)), V2:V71, 0))</f>
        <v>WEEK 8</v>
      </c>
      <c r="AE11" s="120"/>
      <c r="AF11" s="120"/>
      <c r="AG11" s="120"/>
      <c r="AH11" s="17">
        <f t="shared" si="10"/>
        <v>49</v>
      </c>
      <c r="AI11" s="17">
        <f t="shared" si="11"/>
        <v>22</v>
      </c>
      <c r="AJ11" s="17">
        <f t="shared" si="12"/>
        <v>35</v>
      </c>
      <c r="AK11" s="17">
        <f t="shared" si="13"/>
        <v>36</v>
      </c>
      <c r="AL11" s="126">
        <f t="shared" si="14"/>
        <v>42.5</v>
      </c>
      <c r="AM11" s="17">
        <f t="shared" si="15"/>
        <v>46</v>
      </c>
      <c r="AN11" s="17">
        <f t="shared" si="16"/>
        <v>25</v>
      </c>
      <c r="AO11" s="17" t="str">
        <f t="shared" si="17"/>
        <v>-</v>
      </c>
      <c r="AP11" s="17" t="str">
        <f t="shared" si="18"/>
        <v>UPCOMING</v>
      </c>
      <c r="AQ11" s="131">
        <f t="shared" si="19"/>
        <v>30</v>
      </c>
      <c r="AR11" s="131">
        <f t="shared" si="20"/>
        <v>11.70710678</v>
      </c>
      <c r="AS11" s="131">
        <f t="shared" si="21"/>
        <v>20</v>
      </c>
      <c r="AT11" s="131"/>
      <c r="AU11" s="133"/>
      <c r="AV11" s="200">
        <v>1.0</v>
      </c>
      <c r="AW11" s="203">
        <f t="shared" ref="AW11:AW15" si="41">INDEX($AL:$AL, MATCH(AV11,$AM:$AM,0))</f>
        <v>6.5</v>
      </c>
      <c r="AX11" s="200">
        <f>Settings!$R$3</f>
        <v>2025</v>
      </c>
      <c r="AY11" s="200" t="str">
        <f t="shared" ref="AY11:AY15" si="42">INDEX($B:$B, MATCH(AV11,$AM:$AM,0))</f>
        <v>WEEK 3</v>
      </c>
      <c r="AZ11" s="205" t="str">
        <f t="shared" ref="AZ11:AZ15" si="43">INDEX($N:$N, MATCH(AV11,$AM:$AM,0))</f>
        <v>POPEYES</v>
      </c>
      <c r="BA11" s="200" t="str">
        <f t="shared" ref="BA11:BA15" si="44">INDEX($O:$O, MATCH(AV11,$AM:$AM,0))</f>
        <v>MUTTS</v>
      </c>
      <c r="BB11" s="200" t="str">
        <f t="array" ref="BB11">Settings!$R$3 &amp; " REG, PVE FFL GAME " &amp; INDEX($A:$A, MATCH(AV11,$AM:$AM,0))</f>
        <v>2025 REG, PVE FFL GAME 12</v>
      </c>
      <c r="BC11" s="203">
        <f t="shared" ref="BC11:BC15" si="45">INDEX($Q:$Q, MATCH(AV11,$AM:$AM,0))</f>
        <v>10.51</v>
      </c>
      <c r="BD11" s="203">
        <f t="shared" ref="BD11:BD15" si="46">INDEX($R:$R, MATCH(AV11,$AM:$AM,0))</f>
        <v>381.93</v>
      </c>
      <c r="BE11" s="375" t="str">
        <f t="shared" ref="BE11:BE15" si="47">INDEX($S:$S, MATCH(AV11,$AM:$AM,0))</f>
        <v>MOTW</v>
      </c>
      <c r="BF11" s="120"/>
      <c r="BG11" s="208">
        <f t="shared" si="22"/>
        <v>6</v>
      </c>
      <c r="BH11" s="209" t="str">
        <f>Settings!A11</f>
        <v>EAGLES</v>
      </c>
      <c r="BI11" s="210">
        <f>COUNTIFS('Weekly Scores'!$N$2:$N$71, $BH11, 'Weekly Scores'!$G$2:$G$71, "&lt;&gt;", 'Weekly Scores'!$H$2:$H$71, "&lt;&gt;")</f>
        <v>6</v>
      </c>
      <c r="BJ11" s="210">
        <f t="array" ref="BJ11">(SUMPRODUCT(((($F$1:$F$71=BH11)*($G$1:$G$71&lt;$H$1:$H$71))+(($I$1:$I$71=BH11)*($H$1:$H$71&lt;$G$1:$G$71)))*($G$1:$H$71&lt;&gt;"")))/2</f>
        <v>8</v>
      </c>
      <c r="BK11" s="211">
        <f t="shared" si="23"/>
        <v>0.4285714286</v>
      </c>
      <c r="BL11" s="209" t="str">
        <f>VLOOKUP(BH11, Settings!A11:C18, 3, FALSE)</f>
        <v>ESTEEMED</v>
      </c>
      <c r="BM11" s="212">
        <f>COUNTIFS($E$2:$E$71,BL11,$J$2:$J$71,BL11,$N$2:$N$71,BH11,'Weekly Scores'!$G$2:$G$71, "&lt;&gt;")</f>
        <v>4</v>
      </c>
      <c r="BN11" s="212">
        <f>ABS(COUNTIFS($E$2:$E$71,BL11,$J$2:$J$71,BL11,$F$2:$F$71,BH11,'Weekly Scores'!$G$2:$G$71, "&lt;&gt;0")+COUNTIFS($E$2:$E$71,BL11,$J$2:$J$71,BL11,$I$2:$I$71,BH11,'Weekly Scores'!$G$2:$G$71, "&lt;&gt;0")-BM11)</f>
        <v>4</v>
      </c>
      <c r="BO11" s="213">
        <f t="shared" si="24"/>
        <v>0.5</v>
      </c>
      <c r="BP11" s="214">
        <f>COUNTIFS($N$2:$N$71,$BH11,$S$2:$S$71,"MOTW",'Weekly Scores'!$G$2:$G$71, "&lt;&gt;")</f>
        <v>1</v>
      </c>
      <c r="BQ11" s="214">
        <f>COUNTIFS($O$2:$O$71,$BH11,$S$2:$S$71,"MOTW",'Weekly Scores'!$G$2:$G$71, "&lt;&gt;")</f>
        <v>0</v>
      </c>
      <c r="BR11" s="213">
        <f t="shared" si="25"/>
        <v>1</v>
      </c>
      <c r="BS11" s="215">
        <f t="shared" si="26"/>
        <v>1</v>
      </c>
      <c r="BT11" s="161">
        <f t="shared" si="27"/>
        <v>8</v>
      </c>
      <c r="BU11" s="217">
        <f>COUNTIFS($N$2:$N$71,$BH11,$U$2:$U$71,"UPSET",'Weekly Scores'!$G$2:$G$71, "&lt;&gt;")</f>
        <v>5</v>
      </c>
      <c r="BV11" s="217"/>
      <c r="BW11" s="217">
        <f>COUNTIFS($N$2:$N$71,$BH11,$P$2:$P$71,"YES",'Weekly Scores'!$G$2:$G$71, "&lt;&gt;")</f>
        <v>2</v>
      </c>
      <c r="BX11" s="167">
        <f>COUNTIFS('Weekly Scores'!$N$2:$N$71, $BH11, 'Weekly Scores'!$G$2:$G$71, "&lt;&gt;", 'Weekly Scores'!$H$2:$H$71, "&lt;&gt;", $F$2:$F$71, $BH11)</f>
        <v>3</v>
      </c>
      <c r="BY11" s="167">
        <f>(COUNTIFS('Weekly Scores'!$F$2:$F$71, $BH11, 'Weekly Scores'!$G$2:$G$71, "&lt;&gt;0", 'Weekly Scores'!$H$2:$H$71,"&lt;&gt;0"))-BX11</f>
        <v>4</v>
      </c>
      <c r="BZ11" s="169">
        <f t="shared" si="28"/>
        <v>0.4285714286</v>
      </c>
      <c r="CA11" s="172">
        <f>COUNTIFS('Weekly Scores'!$N$2:$N$71, $BH11, 'Weekly Scores'!$G$2:$G$71, "&lt;&gt;", 'Weekly Scores'!$H$2:$H$71, "&lt;&gt;", $I$2:$I$71, $BH11)</f>
        <v>3</v>
      </c>
      <c r="CB11" s="172">
        <f>(COUNTIFS('Weekly Scores'!$I$2:$I$71, $BH11, 'Weekly Scores'!$G$2:$G$71, "&lt;&gt;0", 'Weekly Scores'!$H$2:$H$71,"&lt;&gt;0"))-CA11</f>
        <v>4</v>
      </c>
      <c r="CC11" s="169">
        <f t="shared" si="29"/>
        <v>0.4285714286</v>
      </c>
      <c r="CD11" s="218"/>
      <c r="CE11" s="219">
        <f t="shared" si="30"/>
        <v>15.34068233</v>
      </c>
      <c r="CF11" s="120">
        <f t="shared" si="31"/>
        <v>16.45902906</v>
      </c>
      <c r="CG11" s="120">
        <f t="shared" si="32"/>
        <v>14.2223356</v>
      </c>
      <c r="CH11" s="177">
        <f t="shared" si="33"/>
        <v>10</v>
      </c>
    </row>
    <row r="12" ht="34.5" customHeight="1">
      <c r="A12" s="178">
        <v>11.0</v>
      </c>
      <c r="B12" s="383" t="str">
        <f t="array" ref="B12">INDEX(Settings!H$2:H$72, ROW())</f>
        <v>WEEK 3</v>
      </c>
      <c r="C12" s="384" t="str">
        <f t="array" ref="C12">INDEX(Settings!I$2:I$72, ROW())</f>
        <v>GAME 1</v>
      </c>
      <c r="D12" s="100">
        <f t="array" ref="D12">INDEX('BACKEND 1'!$V$28:$AK$38, MATCH(F12, 'BACKEND 1'!$V$28:$V$38, 0), MATCH(B12, 'BACKEND 1'!$V$28:$AK$28, 0))</f>
        <v>9</v>
      </c>
      <c r="E12" s="73" t="str">
        <f>VLOOKUP(F12, Settings!$A$3:$C$12, 3, FALSE)</f>
        <v>ESTEEMED</v>
      </c>
      <c r="F12" s="386" t="str">
        <f t="array" ref="F12">INDEX(Settings!J$2:J$72, ROW())</f>
        <v>METAMOOKDAWGS</v>
      </c>
      <c r="G12" s="387">
        <f>SUMIFS('All-Stars'!E:E, 'All-Stars'!B:B, F12, 'All-Stars'!F:F, B12)</f>
        <v>230.16</v>
      </c>
      <c r="H12" s="388">
        <f>SUMIFS('All-Stars'!E:E, 'All-Stars'!B:B, I12, 'All-Stars'!F:F, B12)</f>
        <v>167.91</v>
      </c>
      <c r="I12" s="390" t="str">
        <f t="array" ref="I12">INDEX(Settings!K$2:K$72, ROW())</f>
        <v>KINGS</v>
      </c>
      <c r="J12" s="88" t="str">
        <f>VLOOKUP(I12, Settings!$A$3:$C$12, 3, FALSE)</f>
        <v>PRODIGY</v>
      </c>
      <c r="K12" s="390">
        <f t="array" ref="K12">INDEX('BACKEND 1'!$V$28:$AK$38, MATCH(I12, 'BACKEND 1'!$V$28:$V$38, 0), MATCH(B12, 'BACKEND 1'!$V$28:$AK$28, 0))</f>
        <v>7</v>
      </c>
      <c r="L12" s="95">
        <f t="array" ref="L12">IFERROR(IF(D12=0,"-",INDEX('BACKEND 1'!$V$54:$AF$64, MATCH(D12, 'BACKEND 1'!$V$54:$V$64, 0), MATCH(K12, 'BACKEND 1'!$V$54:$AF$54, 0))),"-")</f>
        <v>12.41421356</v>
      </c>
      <c r="M12" s="98">
        <f>_xlfn.RANK.EQ(L12,L12:L16,1)</f>
        <v>4</v>
      </c>
      <c r="N12" s="100" t="str">
        <f t="shared" si="1"/>
        <v>METAMOOKDAWGS</v>
      </c>
      <c r="O12" s="103" t="str">
        <f t="shared" si="2"/>
        <v>KINGS</v>
      </c>
      <c r="P12" s="105" t="str">
        <f t="shared" si="3"/>
        <v>YES</v>
      </c>
      <c r="Q12" s="107">
        <f t="shared" si="4"/>
        <v>62.25</v>
      </c>
      <c r="R12" s="107">
        <f t="shared" si="5"/>
        <v>398.07</v>
      </c>
      <c r="S12" s="110" t="str">
        <f t="shared" si="6"/>
        <v/>
      </c>
      <c r="T12" s="111"/>
      <c r="U12" s="112" t="str">
        <f t="shared" si="7"/>
        <v>UPSET</v>
      </c>
      <c r="V12" s="113">
        <v>3.0</v>
      </c>
      <c r="W12" s="114">
        <f t="shared" si="8"/>
        <v>1</v>
      </c>
      <c r="X12" s="114">
        <f t="shared" si="9"/>
        <v>0</v>
      </c>
      <c r="Y12" s="114"/>
      <c r="Z12" s="120"/>
      <c r="AA12" s="120"/>
      <c r="AB12" s="120"/>
      <c r="AC12" s="120"/>
      <c r="AD12" s="120"/>
      <c r="AE12" s="120"/>
      <c r="AF12" s="120"/>
      <c r="AG12" s="120"/>
      <c r="AH12" s="17">
        <f t="shared" si="10"/>
        <v>62</v>
      </c>
      <c r="AI12" s="17">
        <f t="shared" si="11"/>
        <v>9</v>
      </c>
      <c r="AJ12" s="17">
        <f t="shared" si="12"/>
        <v>69</v>
      </c>
      <c r="AK12" s="17">
        <f t="shared" si="13"/>
        <v>2</v>
      </c>
      <c r="AL12" s="126">
        <f t="shared" si="14"/>
        <v>32</v>
      </c>
      <c r="AM12" s="17">
        <f t="shared" si="15"/>
        <v>30</v>
      </c>
      <c r="AN12" s="17">
        <f t="shared" si="16"/>
        <v>41</v>
      </c>
      <c r="AO12" s="17" t="str">
        <f t="shared" si="17"/>
        <v>-</v>
      </c>
      <c r="AP12" s="17" t="str">
        <f t="shared" si="18"/>
        <v>UPCOMING</v>
      </c>
      <c r="AQ12" s="131">
        <f t="shared" si="19"/>
        <v>38</v>
      </c>
      <c r="AR12" s="131">
        <f t="shared" si="20"/>
        <v>12.41421356</v>
      </c>
      <c r="AS12" s="131">
        <f t="shared" si="21"/>
        <v>15</v>
      </c>
      <c r="AT12" s="131"/>
      <c r="AU12" s="133"/>
      <c r="AV12" s="217">
        <v>2.0</v>
      </c>
      <c r="AW12" s="203">
        <f t="shared" si="41"/>
        <v>9.5</v>
      </c>
      <c r="AX12" s="200">
        <f>Settings!$R$3</f>
        <v>2025</v>
      </c>
      <c r="AY12" s="200" t="str">
        <f t="shared" si="42"/>
        <v>WEEK 4</v>
      </c>
      <c r="AZ12" s="205" t="str">
        <f t="shared" si="43"/>
        <v>GREEN</v>
      </c>
      <c r="BA12" s="200" t="str">
        <f t="shared" si="44"/>
        <v>EAGLES</v>
      </c>
      <c r="BB12" s="200" t="str">
        <f t="array" ref="BB12">Settings!$R$3 &amp; " REG, PVE FFL GAME " &amp; INDEX($A:$A, MATCH(AV12,$AM:$AM,0))</f>
        <v>2025 REG, PVE FFL GAME 19</v>
      </c>
      <c r="BC12" s="203">
        <f t="shared" si="45"/>
        <v>10.96</v>
      </c>
      <c r="BD12" s="203">
        <f t="shared" si="46"/>
        <v>378.32</v>
      </c>
      <c r="BE12" s="375" t="str">
        <f t="shared" si="47"/>
        <v/>
      </c>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0"/>
      <c r="CG12" s="120"/>
      <c r="CH12" s="120"/>
    </row>
    <row r="13" ht="34.5" customHeight="1">
      <c r="A13" s="178">
        <v>12.0</v>
      </c>
      <c r="B13" s="394" t="str">
        <f t="array" ref="B13">INDEX(Settings!H$2:H$72, ROW())</f>
        <v>WEEK 3</v>
      </c>
      <c r="C13" s="395" t="str">
        <f t="array" ref="C13">INDEX(Settings!I$2:I$72, ROW())</f>
        <v>GAME 2</v>
      </c>
      <c r="D13" s="193">
        <f t="array" ref="D13">INDEX('BACKEND 1'!$V$28:$AK$38, MATCH(F13, 'BACKEND 1'!$V$28:$V$38, 0), MATCH(B13, 'BACKEND 1'!$V$28:$AK$28, 0))</f>
        <v>1</v>
      </c>
      <c r="E13" s="73" t="str">
        <f>VLOOKUP(F13, Settings!$A$3:$C$12, 3, FALSE)</f>
        <v>ESTEEMED</v>
      </c>
      <c r="F13" s="396" t="str">
        <f t="array" ref="F13">INDEX(Settings!J$2:J$72, ROW())</f>
        <v>MUTTS</v>
      </c>
      <c r="G13" s="397">
        <f>SUMIFS('All-Stars'!E:E, 'All-Stars'!B:B, F13, 'All-Stars'!F:F, B13)</f>
        <v>185.71</v>
      </c>
      <c r="H13" s="398">
        <f>SUMIFS('All-Stars'!E:E, 'All-Stars'!B:B, I13, 'All-Stars'!F:F, B13)</f>
        <v>196.22</v>
      </c>
      <c r="I13" s="399" t="str">
        <f t="array" ref="I13">INDEX(Settings!K$2:K$72, ROW())</f>
        <v>POPEYES</v>
      </c>
      <c r="J13" s="88" t="str">
        <f>VLOOKUP(I13, Settings!$A$3:$C$12, 3, FALSE)</f>
        <v>PRODIGY</v>
      </c>
      <c r="K13" s="399">
        <f t="array" ref="K13">INDEX('BACKEND 1'!$V$28:$AK$38, MATCH(I13, 'BACKEND 1'!$V$28:$V$38, 0), MATCH(B13, 'BACKEND 1'!$V$28:$AK$28, 0))</f>
        <v>4</v>
      </c>
      <c r="L13" s="95">
        <f t="array" ref="L13">IFERROR(IF(D13=0,"-",INDEX('BACKEND 1'!$V$54:$AF$64, MATCH(D13, 'BACKEND 1'!$V$54:$V$64, 0), MATCH(K13, 'BACKEND 1'!$V$54:$AF$54, 0))),"-")</f>
        <v>9.121320344</v>
      </c>
      <c r="M13" s="192">
        <f>_xlfn.RANK.EQ(L13,L12:L16,1)</f>
        <v>1</v>
      </c>
      <c r="N13" s="193" t="str">
        <f t="shared" si="1"/>
        <v>POPEYES</v>
      </c>
      <c r="O13" s="194" t="str">
        <f t="shared" si="2"/>
        <v>MUTTS</v>
      </c>
      <c r="P13" s="195" t="str">
        <f t="shared" si="3"/>
        <v/>
      </c>
      <c r="Q13" s="196">
        <f t="shared" si="4"/>
        <v>10.51</v>
      </c>
      <c r="R13" s="196">
        <f t="shared" si="5"/>
        <v>381.93</v>
      </c>
      <c r="S13" s="197" t="str">
        <f t="shared" si="6"/>
        <v>MOTW</v>
      </c>
      <c r="T13" s="113"/>
      <c r="U13" s="198" t="str">
        <f t="shared" si="7"/>
        <v>UPSET</v>
      </c>
      <c r="V13" s="113">
        <v>3.0</v>
      </c>
      <c r="W13" s="114">
        <f t="shared" si="8"/>
        <v>0</v>
      </c>
      <c r="X13" s="114">
        <f t="shared" si="9"/>
        <v>1</v>
      </c>
      <c r="Y13" s="120"/>
      <c r="Z13" s="120"/>
      <c r="AA13" s="120"/>
      <c r="AB13" s="120"/>
      <c r="AC13" s="120"/>
      <c r="AD13" s="120"/>
      <c r="AE13" s="120"/>
      <c r="AF13" s="120"/>
      <c r="AG13" s="120"/>
      <c r="AH13" s="17">
        <f t="shared" si="10"/>
        <v>8</v>
      </c>
      <c r="AI13" s="17">
        <f t="shared" si="11"/>
        <v>63</v>
      </c>
      <c r="AJ13" s="17">
        <f t="shared" si="12"/>
        <v>66</v>
      </c>
      <c r="AK13" s="17">
        <f t="shared" si="13"/>
        <v>5</v>
      </c>
      <c r="AL13" s="126">
        <f t="shared" si="14"/>
        <v>6.5</v>
      </c>
      <c r="AM13" s="17">
        <f t="shared" si="15"/>
        <v>1</v>
      </c>
      <c r="AN13" s="17">
        <f t="shared" si="16"/>
        <v>70</v>
      </c>
      <c r="AO13" s="17">
        <f t="shared" si="17"/>
        <v>6.5</v>
      </c>
      <c r="AP13" s="17">
        <f t="shared" si="18"/>
        <v>1</v>
      </c>
      <c r="AQ13" s="131">
        <f t="shared" si="19"/>
        <v>15</v>
      </c>
      <c r="AR13" s="131">
        <f t="shared" si="20"/>
        <v>9.121320344</v>
      </c>
      <c r="AS13" s="131">
        <f t="shared" si="21"/>
        <v>25</v>
      </c>
      <c r="AT13" s="131"/>
      <c r="AU13" s="133"/>
      <c r="AV13" s="200">
        <v>3.0</v>
      </c>
      <c r="AW13" s="203">
        <f t="shared" si="41"/>
        <v>12.5</v>
      </c>
      <c r="AX13" s="200">
        <f>Settings!$R$3</f>
        <v>2025</v>
      </c>
      <c r="AY13" s="200" t="str">
        <f t="shared" si="42"/>
        <v>WEEK 14</v>
      </c>
      <c r="AZ13" s="205" t="str">
        <f t="shared" si="43"/>
        <v>EAGLES</v>
      </c>
      <c r="BA13" s="200" t="str">
        <f t="shared" si="44"/>
        <v>METAMOOKDAWGS</v>
      </c>
      <c r="BB13" s="200" t="str">
        <f t="array" ref="BB13">Settings!$R$3 &amp; " REG, PVE FFL GAME " &amp; INDEX($A:$A, MATCH(AV13,$AM:$AM,0))</f>
        <v>2025 REG, PVE FFL GAME 70</v>
      </c>
      <c r="BC13" s="203">
        <f t="shared" si="45"/>
        <v>11.88</v>
      </c>
      <c r="BD13" s="203">
        <f t="shared" si="46"/>
        <v>359.48</v>
      </c>
      <c r="BE13" s="375" t="str">
        <f t="shared" si="47"/>
        <v/>
      </c>
      <c r="BF13" s="120"/>
      <c r="BG13" s="120"/>
      <c r="BH13" s="120"/>
      <c r="BI13" s="120"/>
      <c r="BJ13" s="120"/>
      <c r="BK13" s="120"/>
      <c r="BL13" s="120"/>
      <c r="BM13" s="120"/>
      <c r="BN13" s="120"/>
      <c r="BO13" s="120"/>
      <c r="BP13" s="120"/>
      <c r="BQ13" s="120"/>
      <c r="BR13" s="120"/>
      <c r="BS13" s="120"/>
      <c r="BT13" s="120"/>
      <c r="BU13" s="120"/>
      <c r="BV13" s="120"/>
      <c r="BW13" s="313"/>
      <c r="BX13" s="313"/>
      <c r="BY13" s="313"/>
      <c r="BZ13" s="313"/>
      <c r="CA13" s="313"/>
      <c r="CB13" s="313"/>
      <c r="CC13" s="313"/>
      <c r="CD13" s="313"/>
      <c r="CE13" s="120"/>
      <c r="CF13" s="120"/>
      <c r="CG13" s="120"/>
      <c r="CH13" s="120"/>
    </row>
    <row r="14" ht="34.5" customHeight="1">
      <c r="A14" s="52">
        <v>13.0</v>
      </c>
      <c r="B14" s="394" t="str">
        <f t="array" ref="B14">INDEX(Settings!H$2:H$72, ROW())</f>
        <v>WEEK 3</v>
      </c>
      <c r="C14" s="395" t="str">
        <f t="array" ref="C14">INDEX(Settings!I$2:I$72, ROW())</f>
        <v>GAME 3</v>
      </c>
      <c r="D14" s="193">
        <f t="array" ref="D14">INDEX('BACKEND 1'!$V$28:$AK$38, MATCH(F14, 'BACKEND 1'!$V$28:$V$38, 0), MATCH(B14, 'BACKEND 1'!$V$28:$AK$28, 0))</f>
        <v>5</v>
      </c>
      <c r="E14" s="73" t="str">
        <f>VLOOKUP(F14, Settings!$A$3:$C$12, 3, FALSE)</f>
        <v>ESTEEMED</v>
      </c>
      <c r="F14" s="396" t="str">
        <f t="array" ref="F14">INDEX(Settings!J$2:J$72, ROW())</f>
        <v>CHAMPS</v>
      </c>
      <c r="G14" s="397">
        <f>SUMIFS('All-Stars'!E:E, 'All-Stars'!B:B, F14, 'All-Stars'!F:F, B14)</f>
        <v>232.94</v>
      </c>
      <c r="H14" s="398">
        <f>SUMIFS('All-Stars'!E:E, 'All-Stars'!B:B, I14, 'All-Stars'!F:F, B14)</f>
        <v>96.07</v>
      </c>
      <c r="I14" s="399" t="str">
        <f t="array" ref="I14">INDEX(Settings!K$2:K$72, ROW())</f>
        <v>DECOUPES</v>
      </c>
      <c r="J14" s="88" t="str">
        <f>VLOOKUP(I14, Settings!$A$3:$C$12, 3, FALSE)</f>
        <v>PRODIGY</v>
      </c>
      <c r="K14" s="399">
        <f t="array" ref="K14">INDEX('BACKEND 1'!$V$28:$AK$38, MATCH(I14, 'BACKEND 1'!$V$28:$V$38, 0), MATCH(B14, 'BACKEND 1'!$V$28:$AK$28, 0))</f>
        <v>2</v>
      </c>
      <c r="L14" s="95">
        <f t="array" ref="L14">IFERROR(IF(D14=0,"-",INDEX('BACKEND 1'!$V$54:$AF$64, MATCH(D14, 'BACKEND 1'!$V$54:$V$64, 0), MATCH(K14, 'BACKEND 1'!$V$54:$AF$54, 0))),"-")</f>
        <v>10.12132034</v>
      </c>
      <c r="M14" s="192">
        <f>_xlfn.RANK.EQ(L14,L12:L16,1)</f>
        <v>2</v>
      </c>
      <c r="N14" s="193" t="str">
        <f t="shared" si="1"/>
        <v>CHAMPS</v>
      </c>
      <c r="O14" s="194" t="str">
        <f t="shared" si="2"/>
        <v>DECOUPES</v>
      </c>
      <c r="P14" s="195" t="str">
        <f t="shared" si="3"/>
        <v>YES</v>
      </c>
      <c r="Q14" s="196">
        <f t="shared" si="4"/>
        <v>136.87</v>
      </c>
      <c r="R14" s="196">
        <f t="shared" si="5"/>
        <v>329.01</v>
      </c>
      <c r="S14" s="197" t="str">
        <f t="shared" si="6"/>
        <v/>
      </c>
      <c r="T14" s="113"/>
      <c r="U14" s="198" t="str">
        <f t="shared" si="7"/>
        <v>UPSET</v>
      </c>
      <c r="V14" s="113">
        <v>3.0</v>
      </c>
      <c r="W14" s="114">
        <f t="shared" si="8"/>
        <v>1</v>
      </c>
      <c r="X14" s="114">
        <f t="shared" si="9"/>
        <v>0</v>
      </c>
      <c r="Y14" s="120"/>
      <c r="Z14" s="120"/>
      <c r="AA14" s="120"/>
      <c r="AB14" s="120"/>
      <c r="AC14" s="120"/>
      <c r="AD14" s="120"/>
      <c r="AE14" s="120"/>
      <c r="AF14" s="120"/>
      <c r="AG14" s="120"/>
      <c r="AH14" s="17">
        <f t="shared" si="10"/>
        <v>70</v>
      </c>
      <c r="AI14" s="17">
        <f t="shared" si="11"/>
        <v>1</v>
      </c>
      <c r="AJ14" s="17">
        <f t="shared" si="12"/>
        <v>41</v>
      </c>
      <c r="AK14" s="17">
        <f t="shared" si="13"/>
        <v>30</v>
      </c>
      <c r="AL14" s="126">
        <f t="shared" si="14"/>
        <v>50</v>
      </c>
      <c r="AM14" s="17">
        <f t="shared" si="15"/>
        <v>61</v>
      </c>
      <c r="AN14" s="17">
        <f t="shared" si="16"/>
        <v>10</v>
      </c>
      <c r="AO14" s="17" t="str">
        <f t="shared" si="17"/>
        <v>-</v>
      </c>
      <c r="AP14" s="17" t="str">
        <f t="shared" si="18"/>
        <v>UPCOMING</v>
      </c>
      <c r="AQ14" s="131">
        <f t="shared" si="19"/>
        <v>21</v>
      </c>
      <c r="AR14" s="131">
        <f t="shared" si="20"/>
        <v>10.12132034</v>
      </c>
      <c r="AS14" s="131">
        <f t="shared" si="21"/>
        <v>23</v>
      </c>
      <c r="AT14" s="131"/>
      <c r="AU14" s="133"/>
      <c r="AV14" s="217">
        <v>4.0</v>
      </c>
      <c r="AW14" s="203">
        <f t="shared" si="41"/>
        <v>14.5</v>
      </c>
      <c r="AX14" s="200">
        <f>Settings!$R$3</f>
        <v>2025</v>
      </c>
      <c r="AY14" s="200" t="str">
        <f t="shared" si="42"/>
        <v>WEEK 10</v>
      </c>
      <c r="AZ14" s="205" t="str">
        <f t="shared" si="43"/>
        <v>POPEYES</v>
      </c>
      <c r="BA14" s="200" t="str">
        <f t="shared" si="44"/>
        <v>YARDIES</v>
      </c>
      <c r="BB14" s="200" t="str">
        <f t="array" ref="BB14">Settings!$R$3 &amp; " REG, PVE FFL GAME " &amp; INDEX($A:$A, MATCH(AV14,$AM:$AM,0))</f>
        <v>2025 REG, PVE FFL GAME 47</v>
      </c>
      <c r="BC14" s="203">
        <f t="shared" si="45"/>
        <v>24.14</v>
      </c>
      <c r="BD14" s="203">
        <f t="shared" si="46"/>
        <v>380.12</v>
      </c>
      <c r="BE14" s="375" t="str">
        <f t="shared" si="47"/>
        <v>MOTW</v>
      </c>
      <c r="BF14" s="120"/>
      <c r="BG14" s="120"/>
      <c r="BH14" s="120"/>
      <c r="BI14" s="120"/>
      <c r="BJ14" s="120"/>
      <c r="BK14" s="120"/>
      <c r="BL14" s="120"/>
      <c r="BM14" s="120"/>
      <c r="BN14" s="120"/>
      <c r="BO14" s="120"/>
      <c r="BP14" s="120"/>
      <c r="BQ14" s="120"/>
      <c r="BR14" s="120"/>
      <c r="BS14" s="120"/>
      <c r="BT14" s="120"/>
      <c r="BU14" s="120"/>
      <c r="BV14" s="120"/>
      <c r="BW14" s="313"/>
      <c r="BX14" s="313"/>
      <c r="BY14" s="313"/>
      <c r="BZ14" s="313"/>
      <c r="CA14" s="313"/>
      <c r="CB14" s="313"/>
      <c r="CC14" s="313"/>
      <c r="CD14" s="313"/>
      <c r="CE14" s="120"/>
      <c r="CF14" s="120"/>
      <c r="CG14" s="120"/>
      <c r="CH14" s="120"/>
    </row>
    <row r="15" ht="34.5" customHeight="1">
      <c r="A15" s="178">
        <v>14.0</v>
      </c>
      <c r="B15" s="394" t="str">
        <f t="array" ref="B15">INDEX(Settings!H$2:H$72, ROW())</f>
        <v>WEEK 3</v>
      </c>
      <c r="C15" s="395" t="str">
        <f t="array" ref="C15">INDEX(Settings!I$2:I$72, ROW())</f>
        <v>GAME 4</v>
      </c>
      <c r="D15" s="193">
        <f t="array" ref="D15">INDEX('BACKEND 1'!$V$28:$AK$38, MATCH(F15, 'BACKEND 1'!$V$28:$V$38, 0), MATCH(B15, 'BACKEND 1'!$V$28:$AK$28, 0))</f>
        <v>10</v>
      </c>
      <c r="E15" s="73" t="str">
        <f>VLOOKUP(F15, Settings!$A$3:$C$12, 3, FALSE)</f>
        <v>PRODIGY</v>
      </c>
      <c r="F15" s="396" t="str">
        <f t="array" ref="F15">INDEX(Settings!J$2:J$72, ROW())</f>
        <v>GREEN</v>
      </c>
      <c r="G15" s="397">
        <f>SUMIFS('All-Stars'!E:E, 'All-Stars'!B:B, F15, 'All-Stars'!F:F, B15)</f>
        <v>204.24</v>
      </c>
      <c r="H15" s="398">
        <f>SUMIFS('All-Stars'!E:E, 'All-Stars'!B:B, I15, 'All-Stars'!F:F, B15)</f>
        <v>107.2</v>
      </c>
      <c r="I15" s="399" t="str">
        <f t="array" ref="I15">INDEX(Settings!K$2:K$72, ROW())</f>
        <v>YARDIES</v>
      </c>
      <c r="J15" s="88" t="str">
        <f>VLOOKUP(I15, Settings!$A$3:$C$12, 3, FALSE)</f>
        <v>ESTEEMED</v>
      </c>
      <c r="K15" s="399">
        <f t="array" ref="K15">INDEX('BACKEND 1'!$V$28:$AK$38, MATCH(I15, 'BACKEND 1'!$V$28:$V$38, 0), MATCH(B15, 'BACKEND 1'!$V$28:$AK$28, 0))</f>
        <v>3</v>
      </c>
      <c r="L15" s="95">
        <f t="array" ref="L15">IFERROR(IF(D15=0,"-",INDEX('BACKEND 1'!$V$54:$AF$64, MATCH(D15, 'BACKEND 1'!$V$54:$V$64, 0), MATCH(K15, 'BACKEND 1'!$V$54:$AF$54, 0))),"-")</f>
        <v>21.94974747</v>
      </c>
      <c r="M15" s="192">
        <f>_xlfn.RANK.EQ(L15,L12:L16,1)</f>
        <v>5</v>
      </c>
      <c r="N15" s="193" t="str">
        <f t="shared" si="1"/>
        <v>GREEN</v>
      </c>
      <c r="O15" s="194" t="str">
        <f t="shared" si="2"/>
        <v>YARDIES</v>
      </c>
      <c r="P15" s="195" t="str">
        <f t="shared" si="3"/>
        <v>YES</v>
      </c>
      <c r="Q15" s="196">
        <f t="shared" si="4"/>
        <v>97.04</v>
      </c>
      <c r="R15" s="196">
        <f t="shared" si="5"/>
        <v>311.44</v>
      </c>
      <c r="S15" s="197" t="str">
        <f t="shared" si="6"/>
        <v/>
      </c>
      <c r="T15" s="113"/>
      <c r="U15" s="198" t="str">
        <f t="shared" si="7"/>
        <v>UPSET</v>
      </c>
      <c r="V15" s="113">
        <v>3.0</v>
      </c>
      <c r="W15" s="114">
        <f t="shared" si="8"/>
        <v>1</v>
      </c>
      <c r="X15" s="114">
        <f t="shared" si="9"/>
        <v>0</v>
      </c>
      <c r="Y15" s="120"/>
      <c r="Z15" s="120"/>
      <c r="AA15" s="120"/>
      <c r="AB15" s="120"/>
      <c r="AC15" s="120"/>
      <c r="AD15" s="120"/>
      <c r="AE15" s="120"/>
      <c r="AF15" s="120"/>
      <c r="AG15" s="120"/>
      <c r="AH15" s="17">
        <f t="shared" si="10"/>
        <v>69</v>
      </c>
      <c r="AI15" s="17">
        <f t="shared" si="11"/>
        <v>2</v>
      </c>
      <c r="AJ15" s="17">
        <f t="shared" si="12"/>
        <v>30</v>
      </c>
      <c r="AK15" s="17">
        <f t="shared" si="13"/>
        <v>41</v>
      </c>
      <c r="AL15" s="126">
        <f t="shared" si="14"/>
        <v>55</v>
      </c>
      <c r="AM15" s="17">
        <f t="shared" si="15"/>
        <v>66</v>
      </c>
      <c r="AN15" s="17">
        <f t="shared" si="16"/>
        <v>5</v>
      </c>
      <c r="AO15" s="17" t="str">
        <f t="shared" si="17"/>
        <v>-</v>
      </c>
      <c r="AP15" s="17" t="str">
        <f t="shared" si="18"/>
        <v>UPCOMING</v>
      </c>
      <c r="AQ15" s="131">
        <f t="shared" si="19"/>
        <v>67</v>
      </c>
      <c r="AR15" s="131">
        <f t="shared" si="20"/>
        <v>21.94974747</v>
      </c>
      <c r="AS15" s="131">
        <f t="shared" si="21"/>
        <v>3</v>
      </c>
      <c r="AT15" s="131"/>
      <c r="AU15" s="133"/>
      <c r="AV15" s="200">
        <v>5.0</v>
      </c>
      <c r="AW15" s="203">
        <f t="shared" si="41"/>
        <v>15.5</v>
      </c>
      <c r="AX15" s="200">
        <f>Settings!$R$3</f>
        <v>2025</v>
      </c>
      <c r="AY15" s="200" t="str">
        <f t="shared" si="42"/>
        <v>WEEK 5</v>
      </c>
      <c r="AZ15" s="205" t="str">
        <f t="shared" si="43"/>
        <v>GREEN</v>
      </c>
      <c r="BA15" s="200" t="str">
        <f t="shared" si="44"/>
        <v>CHAMPS</v>
      </c>
      <c r="BB15" s="200" t="str">
        <f t="array" ref="BB15">Settings!$R$3 &amp; " REG, PVE FFL GAME " &amp; INDEX($A:$A, MATCH(AV15,$AM:$AM,0))</f>
        <v>2025 REG, PVE FFL GAME 25</v>
      </c>
      <c r="BC15" s="203">
        <f t="shared" si="45"/>
        <v>2.3</v>
      </c>
      <c r="BD15" s="203">
        <f t="shared" si="46"/>
        <v>332.02</v>
      </c>
      <c r="BE15" s="375" t="str">
        <f t="shared" si="47"/>
        <v>MOTW</v>
      </c>
      <c r="BF15" s="120"/>
      <c r="BG15" s="120"/>
      <c r="BH15" s="120"/>
      <c r="BI15" s="120"/>
      <c r="BJ15" s="120"/>
      <c r="BK15" s="120"/>
      <c r="BL15" s="120"/>
      <c r="BM15" s="120"/>
      <c r="BN15" s="120"/>
      <c r="BO15" s="120"/>
      <c r="BP15" s="120"/>
      <c r="BQ15" s="120"/>
      <c r="BR15" s="120"/>
      <c r="BS15" s="120"/>
      <c r="BT15" s="120"/>
      <c r="BU15" s="120"/>
      <c r="BV15" s="120"/>
      <c r="BW15" s="313"/>
      <c r="BX15" s="313"/>
      <c r="BY15" s="313"/>
      <c r="BZ15" s="313"/>
      <c r="CA15" s="313"/>
      <c r="CB15" s="313"/>
      <c r="CC15" s="313"/>
      <c r="CD15" s="313"/>
      <c r="CE15" s="120"/>
      <c r="CF15" s="120"/>
      <c r="CG15" s="120"/>
      <c r="CH15" s="120"/>
    </row>
    <row r="16" ht="34.5" customHeight="1">
      <c r="A16" s="178">
        <v>15.0</v>
      </c>
      <c r="B16" s="413" t="str">
        <f t="array" ref="B16">INDEX(Settings!H$2:H$72, ROW())</f>
        <v>WEEK 3</v>
      </c>
      <c r="C16" s="414" t="str">
        <f t="array" ref="C16">INDEX(Settings!I$2:I$72, ROW())</f>
        <v>GAME 5</v>
      </c>
      <c r="D16" s="243">
        <f t="array" ref="D16">INDEX('BACKEND 1'!$V$28:$AK$38, MATCH(F16, 'BACKEND 1'!$V$28:$V$38, 0), MATCH(B16, 'BACKEND 1'!$V$28:$AK$28, 0))</f>
        <v>6</v>
      </c>
      <c r="E16" s="73" t="str">
        <f>VLOOKUP(F16, Settings!$A$3:$C$12, 3, FALSE)</f>
        <v>PRODIGY</v>
      </c>
      <c r="F16" s="415" t="str">
        <f t="array" ref="F16">INDEX(Settings!J$2:J$72, ROW())</f>
        <v>SAVAGES</v>
      </c>
      <c r="G16" s="416">
        <f>SUMIFS('All-Stars'!E:E, 'All-Stars'!B:B, F16, 'All-Stars'!F:F, B16)</f>
        <v>147.28</v>
      </c>
      <c r="H16" s="417">
        <f>SUMIFS('All-Stars'!E:E, 'All-Stars'!B:B, I16, 'All-Stars'!F:F, B16)</f>
        <v>135.25</v>
      </c>
      <c r="I16" s="418" t="str">
        <f t="array" ref="I16">INDEX(Settings!K$2:K$72, ROW())</f>
        <v>EAGLES</v>
      </c>
      <c r="J16" s="88" t="str">
        <f>VLOOKUP(I16, Settings!$A$3:$C$12, 3, FALSE)</f>
        <v>ESTEEMED</v>
      </c>
      <c r="K16" s="418">
        <f t="array" ref="K16">INDEX('BACKEND 1'!$V$28:$AK$38, MATCH(I16, 'BACKEND 1'!$V$28:$V$38, 0), MATCH(B16, 'BACKEND 1'!$V$28:$AK$28, 0))</f>
        <v>8</v>
      </c>
      <c r="L16" s="95">
        <f t="array" ref="L16">IFERROR(IF(D16=0,"-",INDEX('BACKEND 1'!$V$54:$AF$64, MATCH(D16, 'BACKEND 1'!$V$54:$V$64, 0), MATCH(K16, 'BACKEND 1'!$V$54:$AF$54, 0))),"-")</f>
        <v>11.41421356</v>
      </c>
      <c r="M16" s="242">
        <f>_xlfn.RANK.EQ(L16,L12:L16,1)</f>
        <v>3</v>
      </c>
      <c r="N16" s="243" t="str">
        <f t="shared" si="1"/>
        <v>SAVAGES</v>
      </c>
      <c r="O16" s="244" t="str">
        <f t="shared" si="2"/>
        <v>EAGLES</v>
      </c>
      <c r="P16" s="245" t="str">
        <f t="shared" si="3"/>
        <v/>
      </c>
      <c r="Q16" s="246">
        <f t="shared" si="4"/>
        <v>12.03</v>
      </c>
      <c r="R16" s="246">
        <f t="shared" si="5"/>
        <v>282.53</v>
      </c>
      <c r="S16" s="247" t="str">
        <f t="shared" si="6"/>
        <v/>
      </c>
      <c r="T16" s="248"/>
      <c r="U16" s="249" t="str">
        <f t="shared" si="7"/>
        <v/>
      </c>
      <c r="V16" s="113">
        <v>3.0</v>
      </c>
      <c r="W16" s="114">
        <f t="shared" si="8"/>
        <v>1</v>
      </c>
      <c r="X16" s="114">
        <f t="shared" si="9"/>
        <v>0</v>
      </c>
      <c r="Y16" s="120"/>
      <c r="Z16" s="120"/>
      <c r="AA16" s="120"/>
      <c r="AB16" s="120"/>
      <c r="AC16" s="120"/>
      <c r="AD16" s="120"/>
      <c r="AE16" s="120"/>
      <c r="AF16" s="120"/>
      <c r="AG16" s="120"/>
      <c r="AH16" s="17">
        <f t="shared" si="10"/>
        <v>11</v>
      </c>
      <c r="AI16" s="17">
        <f t="shared" si="11"/>
        <v>60</v>
      </c>
      <c r="AJ16" s="17">
        <f t="shared" si="12"/>
        <v>12</v>
      </c>
      <c r="AK16" s="17">
        <f t="shared" si="13"/>
        <v>59</v>
      </c>
      <c r="AL16" s="126">
        <f t="shared" si="14"/>
        <v>35</v>
      </c>
      <c r="AM16" s="17">
        <f t="shared" si="15"/>
        <v>36</v>
      </c>
      <c r="AN16" s="17">
        <f t="shared" si="16"/>
        <v>35</v>
      </c>
      <c r="AO16" s="17" t="str">
        <f t="shared" si="17"/>
        <v>-</v>
      </c>
      <c r="AP16" s="17" t="str">
        <f t="shared" si="18"/>
        <v>UPCOMING</v>
      </c>
      <c r="AQ16" s="131">
        <f t="shared" si="19"/>
        <v>26</v>
      </c>
      <c r="AR16" s="131" t="str">
        <f t="shared" si="20"/>
        <v>NO UPSET</v>
      </c>
      <c r="AS16" s="131" t="str">
        <f t="shared" si="21"/>
        <v>-</v>
      </c>
      <c r="AT16" s="131"/>
      <c r="AU16" s="133"/>
      <c r="AV16" s="313"/>
      <c r="AW16" s="313"/>
      <c r="AX16" s="313"/>
      <c r="AY16" s="313"/>
      <c r="AZ16" s="313"/>
      <c r="BA16" s="313"/>
      <c r="BB16" s="313"/>
      <c r="BC16" s="313"/>
      <c r="BD16" s="313"/>
      <c r="BE16" s="313"/>
      <c r="BF16" s="120"/>
      <c r="BG16" s="120"/>
      <c r="BH16" s="120"/>
      <c r="BI16" s="120"/>
      <c r="BJ16" s="120"/>
      <c r="BK16" s="120"/>
      <c r="BL16" s="120"/>
      <c r="BM16" s="120"/>
      <c r="BN16" s="120"/>
      <c r="BO16" s="120"/>
      <c r="BP16" s="120"/>
      <c r="BQ16" s="120"/>
      <c r="BR16" s="120"/>
      <c r="BS16" s="120"/>
      <c r="BT16" s="120"/>
      <c r="BU16" s="120"/>
      <c r="BV16" s="120"/>
      <c r="BW16" s="313"/>
      <c r="BX16" s="313"/>
      <c r="BY16" s="313"/>
      <c r="BZ16" s="313"/>
      <c r="CA16" s="313"/>
      <c r="CB16" s="313"/>
      <c r="CC16" s="313"/>
      <c r="CD16" s="313"/>
      <c r="CE16" s="120"/>
      <c r="CF16" s="120"/>
      <c r="CG16" s="120"/>
      <c r="CH16" s="120"/>
    </row>
    <row r="17" ht="34.5" customHeight="1">
      <c r="A17" s="52">
        <v>16.0</v>
      </c>
      <c r="B17" s="421" t="str">
        <f t="array" ref="B17">INDEX(Settings!H$2:H$72, ROW())</f>
        <v>WEEK 4</v>
      </c>
      <c r="C17" s="422" t="str">
        <f t="array" ref="C17">INDEX(Settings!I$2:I$72, ROW())</f>
        <v>GAME 1</v>
      </c>
      <c r="D17" s="423">
        <f t="array" ref="D17">INDEX('BACKEND 1'!$V$28:$AK$38, MATCH(F17, 'BACKEND 1'!$V$28:$V$38, 0), MATCH(B17, 'BACKEND 1'!$V$28:$AK$28, 0))</f>
        <v>9</v>
      </c>
      <c r="E17" s="73" t="str">
        <f>VLOOKUP(F17, Settings!$A$3:$C$12, 3, FALSE)</f>
        <v>PRODIGY</v>
      </c>
      <c r="F17" s="424" t="str">
        <f t="array" ref="F17">INDEX(Settings!J$2:J$72, ROW())</f>
        <v>KINGS</v>
      </c>
      <c r="G17" s="425">
        <f>SUMIFS('All-Stars'!E:E, 'All-Stars'!B:B, F17, 'All-Stars'!F:F, B17)</f>
        <v>157.59</v>
      </c>
      <c r="H17" s="426">
        <f>SUMIFS('All-Stars'!E:E, 'All-Stars'!B:B, I17, 'All-Stars'!F:F, B17)</f>
        <v>191.2</v>
      </c>
      <c r="I17" s="427" t="str">
        <f t="array" ref="I17">INDEX(Settings!K$2:K$72, ROW())</f>
        <v>MUTTS</v>
      </c>
      <c r="J17" s="88" t="str">
        <f>VLOOKUP(I17, Settings!$A$3:$C$12, 3, FALSE)</f>
        <v>ESTEEMED</v>
      </c>
      <c r="K17" s="427">
        <f t="array" ref="K17">INDEX('BACKEND 1'!$V$28:$AK$38, MATCH(I17, 'BACKEND 1'!$V$28:$V$38, 0), MATCH(B17, 'BACKEND 1'!$V$28:$AK$28, 0))</f>
        <v>2</v>
      </c>
      <c r="L17" s="95">
        <f t="array" ref="L17">IFERROR(IF(D17=0,"-",INDEX('BACKEND 1'!$V$54:$AF$64, MATCH(D17, 'BACKEND 1'!$V$54:$V$64, 0), MATCH(K17, 'BACKEND 1'!$V$54:$AF$54, 0))),"-")</f>
        <v>20.94974747</v>
      </c>
      <c r="M17" s="98">
        <f>_xlfn.RANK.EQ(L17,L17:L21,1)</f>
        <v>5</v>
      </c>
      <c r="N17" s="100" t="str">
        <f t="shared" si="1"/>
        <v>MUTTS</v>
      </c>
      <c r="O17" s="103" t="str">
        <f t="shared" si="2"/>
        <v>KINGS</v>
      </c>
      <c r="P17" s="105" t="str">
        <f t="shared" si="3"/>
        <v/>
      </c>
      <c r="Q17" s="107">
        <f t="shared" si="4"/>
        <v>33.61</v>
      </c>
      <c r="R17" s="107">
        <f t="shared" si="5"/>
        <v>348.79</v>
      </c>
      <c r="S17" s="110" t="str">
        <f t="shared" si="6"/>
        <v/>
      </c>
      <c r="T17" s="111"/>
      <c r="U17" s="112" t="str">
        <f t="shared" si="7"/>
        <v/>
      </c>
      <c r="V17" s="113">
        <v>4.0</v>
      </c>
      <c r="W17" s="114">
        <f t="shared" si="8"/>
        <v>0</v>
      </c>
      <c r="X17" s="114">
        <f t="shared" si="9"/>
        <v>0</v>
      </c>
      <c r="Y17" s="120"/>
      <c r="Z17" s="120"/>
      <c r="AA17" s="120"/>
      <c r="AB17" s="120"/>
      <c r="AC17" s="120"/>
      <c r="AD17" s="120"/>
      <c r="AE17" s="120"/>
      <c r="AF17" s="120"/>
      <c r="AG17" s="120"/>
      <c r="AH17" s="17">
        <f t="shared" si="10"/>
        <v>33</v>
      </c>
      <c r="AI17" s="17">
        <f t="shared" si="11"/>
        <v>38</v>
      </c>
      <c r="AJ17" s="17">
        <f t="shared" si="12"/>
        <v>53</v>
      </c>
      <c r="AK17" s="17">
        <f t="shared" si="13"/>
        <v>18</v>
      </c>
      <c r="AL17" s="126">
        <f t="shared" si="14"/>
        <v>25.5</v>
      </c>
      <c r="AM17" s="17">
        <f t="shared" si="15"/>
        <v>17</v>
      </c>
      <c r="AN17" s="17">
        <f t="shared" si="16"/>
        <v>54</v>
      </c>
      <c r="AO17" s="17" t="str">
        <f t="shared" si="17"/>
        <v>-</v>
      </c>
      <c r="AP17" s="17" t="str">
        <f t="shared" si="18"/>
        <v>UPCOMING</v>
      </c>
      <c r="AQ17" s="131">
        <f t="shared" si="19"/>
        <v>63</v>
      </c>
      <c r="AR17" s="131" t="str">
        <f t="shared" si="20"/>
        <v>NO UPSET</v>
      </c>
      <c r="AS17" s="131" t="str">
        <f t="shared" si="21"/>
        <v>-</v>
      </c>
      <c r="AT17" s="131"/>
      <c r="AU17" s="133"/>
      <c r="AV17" s="333" t="str">
        <f>"Top 5 Closest "&amp; Settings!$R$3&amp; " Regular Season Games - PVE FFL"</f>
        <v>Top 5 Closest 2025 Regular Season Games - PVE FFL</v>
      </c>
      <c r="AW17" s="21"/>
      <c r="AX17" s="21"/>
      <c r="AY17" s="21"/>
      <c r="AZ17" s="21"/>
      <c r="BA17" s="21"/>
      <c r="BB17" s="21"/>
      <c r="BC17" s="24"/>
      <c r="BD17" s="313"/>
      <c r="BE17" s="313"/>
      <c r="BF17" s="120"/>
      <c r="BG17" s="120"/>
      <c r="BH17" s="120"/>
      <c r="BI17" s="120"/>
      <c r="BJ17" s="120"/>
      <c r="BK17" s="120"/>
      <c r="BL17" s="120"/>
      <c r="BM17" s="120"/>
      <c r="BN17" s="120"/>
      <c r="BO17" s="120"/>
      <c r="BP17" s="120"/>
      <c r="BQ17" s="120"/>
      <c r="BR17" s="120"/>
      <c r="BS17" s="120"/>
      <c r="BT17" s="120"/>
      <c r="BU17" s="120"/>
      <c r="BV17" s="120"/>
      <c r="BW17" s="313"/>
      <c r="BX17" s="313"/>
      <c r="BY17" s="313"/>
      <c r="BZ17" s="313"/>
      <c r="CA17" s="313"/>
      <c r="CB17" s="313"/>
      <c r="CC17" s="313"/>
      <c r="CD17" s="313"/>
      <c r="CE17" s="120"/>
      <c r="CF17" s="120"/>
      <c r="CG17" s="120"/>
      <c r="CH17" s="120"/>
    </row>
    <row r="18" ht="34.5" customHeight="1">
      <c r="A18" s="178">
        <v>17.0</v>
      </c>
      <c r="B18" s="433" t="str">
        <f t="array" ref="B18">INDEX(Settings!H$2:H$72, ROW())</f>
        <v>WEEK 4</v>
      </c>
      <c r="C18" s="434" t="str">
        <f t="array" ref="C18">INDEX(Settings!I$2:I$72, ROW())</f>
        <v>GAME 2</v>
      </c>
      <c r="D18" s="435">
        <f t="array" ref="D18">INDEX('BACKEND 1'!$V$28:$AK$38, MATCH(F18, 'BACKEND 1'!$V$28:$V$38, 0), MATCH(B18, 'BACKEND 1'!$V$28:$AK$28, 0))</f>
        <v>1</v>
      </c>
      <c r="E18" s="73" t="str">
        <f>VLOOKUP(F18, Settings!$A$3:$C$12, 3, FALSE)</f>
        <v>PRODIGY</v>
      </c>
      <c r="F18" s="436" t="str">
        <f t="array" ref="F18">INDEX(Settings!J$2:J$72, ROW())</f>
        <v>POPEYES</v>
      </c>
      <c r="G18" s="437">
        <f>SUMIFS('All-Stars'!E:E, 'All-Stars'!B:B, F18, 'All-Stars'!F:F, B18)</f>
        <v>219.36</v>
      </c>
      <c r="H18" s="438">
        <f>SUMIFS('All-Stars'!E:E, 'All-Stars'!B:B, I18, 'All-Stars'!F:F, B18)</f>
        <v>159.16</v>
      </c>
      <c r="I18" s="439" t="str">
        <f t="array" ref="I18">INDEX(Settings!K$2:K$72, ROW())</f>
        <v>CHAMPS</v>
      </c>
      <c r="J18" s="88" t="str">
        <f>VLOOKUP(I18, Settings!$A$3:$C$12, 3, FALSE)</f>
        <v>ESTEEMED</v>
      </c>
      <c r="K18" s="439">
        <f t="array" ref="K18">INDEX('BACKEND 1'!$V$28:$AK$38, MATCH(I18, 'BACKEND 1'!$V$28:$V$38, 0), MATCH(B18, 'BACKEND 1'!$V$28:$AK$28, 0))</f>
        <v>5</v>
      </c>
      <c r="L18" s="95">
        <f t="array" ref="L18">IFERROR(IF(D18=0,"-",INDEX('BACKEND 1'!$V$54:$AF$64, MATCH(D18, 'BACKEND 1'!$V$54:$V$64, 0), MATCH(K18, 'BACKEND 1'!$V$54:$AF$54, 0))),"-")</f>
        <v>11.82842712</v>
      </c>
      <c r="M18" s="192">
        <f>_xlfn.RANK.EQ(L18,L17:L21,1)</f>
        <v>3</v>
      </c>
      <c r="N18" s="193" t="str">
        <f t="shared" si="1"/>
        <v>POPEYES</v>
      </c>
      <c r="O18" s="194" t="str">
        <f t="shared" si="2"/>
        <v>CHAMPS</v>
      </c>
      <c r="P18" s="195" t="str">
        <f t="shared" si="3"/>
        <v>YES</v>
      </c>
      <c r="Q18" s="196">
        <f t="shared" si="4"/>
        <v>60.2</v>
      </c>
      <c r="R18" s="196">
        <f t="shared" si="5"/>
        <v>378.52</v>
      </c>
      <c r="S18" s="197" t="str">
        <f t="shared" si="6"/>
        <v/>
      </c>
      <c r="T18" s="113"/>
      <c r="U18" s="198" t="str">
        <f t="shared" si="7"/>
        <v/>
      </c>
      <c r="V18" s="113">
        <v>4.0</v>
      </c>
      <c r="W18" s="114">
        <f t="shared" si="8"/>
        <v>1</v>
      </c>
      <c r="X18" s="114">
        <f t="shared" si="9"/>
        <v>1</v>
      </c>
      <c r="Y18" s="120"/>
      <c r="Z18" s="120"/>
      <c r="AA18" s="120"/>
      <c r="AB18" s="120"/>
      <c r="AC18" s="120"/>
      <c r="AD18" s="120"/>
      <c r="AE18" s="120"/>
      <c r="AF18" s="120"/>
      <c r="AG18" s="120"/>
      <c r="AH18" s="17">
        <f t="shared" si="10"/>
        <v>58</v>
      </c>
      <c r="AI18" s="17">
        <f t="shared" si="11"/>
        <v>13</v>
      </c>
      <c r="AJ18" s="17">
        <f t="shared" si="12"/>
        <v>62</v>
      </c>
      <c r="AK18" s="17">
        <f t="shared" si="13"/>
        <v>9</v>
      </c>
      <c r="AL18" s="126">
        <f t="shared" si="14"/>
        <v>33.5</v>
      </c>
      <c r="AM18" s="17">
        <f t="shared" si="15"/>
        <v>33</v>
      </c>
      <c r="AN18" s="17">
        <f t="shared" si="16"/>
        <v>38</v>
      </c>
      <c r="AO18" s="17" t="str">
        <f t="shared" si="17"/>
        <v>-</v>
      </c>
      <c r="AP18" s="17" t="str">
        <f t="shared" si="18"/>
        <v>UPCOMING</v>
      </c>
      <c r="AQ18" s="131">
        <f t="shared" si="19"/>
        <v>33</v>
      </c>
      <c r="AR18" s="131" t="str">
        <f t="shared" si="20"/>
        <v>NO UPSET</v>
      </c>
      <c r="AS18" s="131" t="str">
        <f t="shared" si="21"/>
        <v>-</v>
      </c>
      <c r="AT18" s="131"/>
      <c r="AU18" s="133"/>
      <c r="AV18" s="134" t="s">
        <v>374</v>
      </c>
      <c r="AW18" s="134" t="s">
        <v>375</v>
      </c>
      <c r="AX18" s="134" t="s">
        <v>153</v>
      </c>
      <c r="AY18" s="134" t="s">
        <v>30</v>
      </c>
      <c r="AZ18" s="134" t="s">
        <v>155</v>
      </c>
      <c r="BA18" s="134" t="s">
        <v>156</v>
      </c>
      <c r="BB18" s="134" t="s">
        <v>157</v>
      </c>
      <c r="BC18" s="134" t="s">
        <v>27</v>
      </c>
      <c r="BD18" s="313"/>
      <c r="BE18" s="313"/>
      <c r="BF18" s="120"/>
      <c r="BG18" s="120"/>
      <c r="BH18" s="120"/>
      <c r="BI18" s="120"/>
      <c r="BJ18" s="120"/>
      <c r="BK18" s="120"/>
      <c r="BL18" s="120"/>
      <c r="BM18" s="120"/>
      <c r="BN18" s="120"/>
      <c r="BO18" s="120"/>
      <c r="BP18" s="120"/>
      <c r="BQ18" s="120"/>
      <c r="BR18" s="120"/>
      <c r="BS18" s="120"/>
      <c r="BT18" s="120"/>
      <c r="BU18" s="120"/>
      <c r="BV18" s="120"/>
      <c r="BW18" s="313"/>
      <c r="BX18" s="313"/>
      <c r="BY18" s="313"/>
      <c r="BZ18" s="313"/>
      <c r="CA18" s="313"/>
      <c r="CB18" s="313"/>
      <c r="CC18" s="313"/>
      <c r="CD18" s="313"/>
      <c r="CE18" s="120"/>
      <c r="CF18" s="120"/>
      <c r="CG18" s="120"/>
      <c r="CH18" s="120"/>
    </row>
    <row r="19" ht="34.5" customHeight="1">
      <c r="A19" s="178">
        <v>18.0</v>
      </c>
      <c r="B19" s="433" t="str">
        <f t="array" ref="B19">INDEX(Settings!H$2:H$72, ROW())</f>
        <v>WEEK 4</v>
      </c>
      <c r="C19" s="434" t="str">
        <f t="array" ref="C19">INDEX(Settings!I$2:I$72, ROW())</f>
        <v>GAME 3</v>
      </c>
      <c r="D19" s="435">
        <f t="array" ref="D19">INDEX('BACKEND 1'!$V$28:$AK$38, MATCH(F19, 'BACKEND 1'!$V$28:$V$38, 0), MATCH(B19, 'BACKEND 1'!$V$28:$AK$28, 0))</f>
        <v>4</v>
      </c>
      <c r="E19" s="73" t="str">
        <f>VLOOKUP(F19, Settings!$A$3:$C$12, 3, FALSE)</f>
        <v>ESTEEMED</v>
      </c>
      <c r="F19" s="436" t="str">
        <f t="array" ref="F19">INDEX(Settings!J$2:J$72, ROW())</f>
        <v>YARDIES</v>
      </c>
      <c r="G19" s="437">
        <f>SUMIFS('All-Stars'!E:E, 'All-Stars'!B:B, F19, 'All-Stars'!F:F, B19)</f>
        <v>169.98</v>
      </c>
      <c r="H19" s="438">
        <f>SUMIFS('All-Stars'!E:E, 'All-Stars'!B:B, I19, 'All-Stars'!F:F, B19)</f>
        <v>137.07</v>
      </c>
      <c r="I19" s="439" t="str">
        <f t="array" ref="I19">INDEX(Settings!K$2:K$72, ROW())</f>
        <v>DECOUPES</v>
      </c>
      <c r="J19" s="88" t="str">
        <f>VLOOKUP(I19, Settings!$A$3:$C$12, 3, FALSE)</f>
        <v>PRODIGY</v>
      </c>
      <c r="K19" s="439">
        <f t="array" ref="K19">INDEX('BACKEND 1'!$V$28:$AK$38, MATCH(I19, 'BACKEND 1'!$V$28:$V$38, 0), MATCH(B19, 'BACKEND 1'!$V$28:$AK$28, 0))</f>
        <v>3</v>
      </c>
      <c r="L19" s="95">
        <f t="array" ref="L19">IFERROR(IF(D19=0,"-",INDEX('BACKEND 1'!$V$54:$AF$64, MATCH(D19, 'BACKEND 1'!$V$54:$V$64, 0), MATCH(K19, 'BACKEND 1'!$V$54:$AF$54, 0))),"-")</f>
        <v>5.707106781</v>
      </c>
      <c r="M19" s="192">
        <f>_xlfn.RANK.EQ(L19,L17:L21,1)</f>
        <v>1</v>
      </c>
      <c r="N19" s="193" t="str">
        <f t="shared" si="1"/>
        <v>YARDIES</v>
      </c>
      <c r="O19" s="194" t="str">
        <f t="shared" si="2"/>
        <v>DECOUPES</v>
      </c>
      <c r="P19" s="195" t="str">
        <f t="shared" si="3"/>
        <v/>
      </c>
      <c r="Q19" s="196">
        <f t="shared" si="4"/>
        <v>32.91</v>
      </c>
      <c r="R19" s="196">
        <f t="shared" si="5"/>
        <v>307.05</v>
      </c>
      <c r="S19" s="197" t="str">
        <f t="shared" si="6"/>
        <v>MOTW</v>
      </c>
      <c r="T19" s="113"/>
      <c r="U19" s="198" t="str">
        <f t="shared" si="7"/>
        <v>UPSET</v>
      </c>
      <c r="V19" s="113">
        <v>4.0</v>
      </c>
      <c r="W19" s="114">
        <f t="shared" si="8"/>
        <v>1</v>
      </c>
      <c r="X19" s="114">
        <f t="shared" si="9"/>
        <v>0</v>
      </c>
      <c r="Y19" s="120"/>
      <c r="Z19" s="120"/>
      <c r="AA19" s="120"/>
      <c r="AB19" s="120"/>
      <c r="AC19" s="120"/>
      <c r="AD19" s="120"/>
      <c r="AE19" s="120"/>
      <c r="AF19" s="120"/>
      <c r="AG19" s="120"/>
      <c r="AH19" s="17">
        <f t="shared" si="10"/>
        <v>31</v>
      </c>
      <c r="AI19" s="17">
        <f t="shared" si="11"/>
        <v>40</v>
      </c>
      <c r="AJ19" s="17">
        <f t="shared" si="12"/>
        <v>26</v>
      </c>
      <c r="AK19" s="17">
        <f t="shared" si="13"/>
        <v>45</v>
      </c>
      <c r="AL19" s="126">
        <f t="shared" si="14"/>
        <v>38</v>
      </c>
      <c r="AM19" s="17">
        <f t="shared" si="15"/>
        <v>42</v>
      </c>
      <c r="AN19" s="17">
        <f t="shared" si="16"/>
        <v>29</v>
      </c>
      <c r="AO19" s="17">
        <f t="shared" si="17"/>
        <v>38</v>
      </c>
      <c r="AP19" s="17">
        <f t="shared" si="18"/>
        <v>11</v>
      </c>
      <c r="AQ19" s="131">
        <f t="shared" si="19"/>
        <v>4</v>
      </c>
      <c r="AR19" s="131">
        <f t="shared" si="20"/>
        <v>5.707106781</v>
      </c>
      <c r="AS19" s="131">
        <f t="shared" si="21"/>
        <v>29</v>
      </c>
      <c r="AT19" s="131"/>
      <c r="AU19" s="133"/>
      <c r="AV19" s="217">
        <v>1.0</v>
      </c>
      <c r="AW19" s="203">
        <f t="shared" ref="AW19:AW23" si="48">INDEX($Q:$Q, MATCH(AV11,$AH:$AH,0))</f>
        <v>0.2</v>
      </c>
      <c r="AX19" s="200">
        <f>Settings!$R$3</f>
        <v>2025</v>
      </c>
      <c r="AY19" s="217" t="str">
        <f t="shared" ref="AY19:AY23" si="49">INDEX($B:$B, MATCH(AV11,$AH:$AH,0))</f>
        <v>WEEK 10</v>
      </c>
      <c r="AZ19" s="205" t="str">
        <f t="shared" ref="AZ19:AZ23" si="50">INDEX($N:$N, MATCH(AV19,$AH:$AH,0))</f>
        <v>MUTTS</v>
      </c>
      <c r="BA19" s="200" t="str">
        <f t="shared" ref="BA19:BA23" si="51">INDEX($O:$O, MATCH(AV19,$AH:$AH,0))</f>
        <v>SAVAGES</v>
      </c>
      <c r="BB19" s="200" t="str">
        <f t="array" ref="BB19">Settings!$R$3 &amp; " REG, PVE FFL GAME " &amp; INDEX($A:$A, MATCH(AV19,$AH:$AH,0))</f>
        <v>2025 REG, PVE FFL GAME 50</v>
      </c>
      <c r="BC19" s="375" t="str">
        <f t="shared" ref="BC19:BC23" si="52">INDEX($S:$S, MATCH(AV19,$AH:$AH,0))</f>
        <v/>
      </c>
      <c r="BD19" s="313"/>
      <c r="BE19" s="313"/>
      <c r="BF19" s="120"/>
      <c r="BG19" s="120"/>
      <c r="BH19" s="120"/>
      <c r="BI19" s="120"/>
      <c r="BJ19" s="120"/>
      <c r="BK19" s="120"/>
      <c r="BL19" s="120"/>
      <c r="BM19" s="120"/>
      <c r="BN19" s="120"/>
      <c r="BO19" s="120"/>
      <c r="BP19" s="120"/>
      <c r="BQ19" s="120"/>
      <c r="BR19" s="120"/>
      <c r="BS19" s="120"/>
      <c r="BT19" s="120"/>
      <c r="BU19" s="120"/>
      <c r="BV19" s="120"/>
      <c r="BW19" s="313"/>
      <c r="BX19" s="313"/>
      <c r="BY19" s="313"/>
      <c r="BZ19" s="313"/>
      <c r="CA19" s="313"/>
      <c r="CB19" s="313"/>
      <c r="CC19" s="313"/>
      <c r="CD19" s="313"/>
      <c r="CE19" s="120"/>
      <c r="CF19" s="120"/>
      <c r="CG19" s="120"/>
      <c r="CH19" s="120"/>
    </row>
    <row r="20" ht="34.5" customHeight="1">
      <c r="A20" s="52">
        <v>19.0</v>
      </c>
      <c r="B20" s="433" t="str">
        <f t="array" ref="B20">INDEX(Settings!H$2:H$72, ROW())</f>
        <v>WEEK 4</v>
      </c>
      <c r="C20" s="434" t="str">
        <f t="array" ref="C20">INDEX(Settings!I$2:I$72, ROW())</f>
        <v>GAME 4</v>
      </c>
      <c r="D20" s="435">
        <f t="array" ref="D20">INDEX('BACKEND 1'!$V$28:$AK$38, MATCH(F20, 'BACKEND 1'!$V$28:$V$38, 0), MATCH(B20, 'BACKEND 1'!$V$28:$AK$28, 0))</f>
        <v>10</v>
      </c>
      <c r="E20" s="73" t="str">
        <f>VLOOKUP(F20, Settings!$A$3:$C$12, 3, FALSE)</f>
        <v>ESTEEMED</v>
      </c>
      <c r="F20" s="436" t="str">
        <f t="array" ref="F20">INDEX(Settings!J$2:J$72, ROW())</f>
        <v>EAGLES</v>
      </c>
      <c r="G20" s="437">
        <f>SUMIFS('All-Stars'!E:E, 'All-Stars'!B:B, F20, 'All-Stars'!F:F, B20)</f>
        <v>183.68</v>
      </c>
      <c r="H20" s="438">
        <f>SUMIFS('All-Stars'!E:E, 'All-Stars'!B:B, I20, 'All-Stars'!F:F, B20)</f>
        <v>194.64</v>
      </c>
      <c r="I20" s="439" t="str">
        <f t="array" ref="I20">INDEX(Settings!K$2:K$72, ROW())</f>
        <v>GREEN</v>
      </c>
      <c r="J20" s="88" t="str">
        <f>VLOOKUP(I20, Settings!$A$3:$C$12, 3, FALSE)</f>
        <v>PRODIGY</v>
      </c>
      <c r="K20" s="439">
        <f t="array" ref="K20">INDEX('BACKEND 1'!$V$28:$AK$38, MATCH(I20, 'BACKEND 1'!$V$28:$V$38, 0), MATCH(B20, 'BACKEND 1'!$V$28:$AK$28, 0))</f>
        <v>8</v>
      </c>
      <c r="L20" s="95">
        <f t="array" ref="L20">IFERROR(IF(D20=0,"-",INDEX('BACKEND 1'!$V$54:$AF$64, MATCH(D20, 'BACKEND 1'!$V$54:$V$64, 0), MATCH(K20, 'BACKEND 1'!$V$54:$AF$54, 0))),"-")</f>
        <v>13.41421356</v>
      </c>
      <c r="M20" s="192">
        <f>_xlfn.RANK.EQ(L20,L17:L21,1)</f>
        <v>4</v>
      </c>
      <c r="N20" s="193" t="str">
        <f t="shared" si="1"/>
        <v>GREEN</v>
      </c>
      <c r="O20" s="194" t="str">
        <f t="shared" si="2"/>
        <v>EAGLES</v>
      </c>
      <c r="P20" s="195" t="str">
        <f t="shared" si="3"/>
        <v/>
      </c>
      <c r="Q20" s="196">
        <f t="shared" si="4"/>
        <v>10.96</v>
      </c>
      <c r="R20" s="196">
        <f t="shared" si="5"/>
        <v>378.32</v>
      </c>
      <c r="S20" s="197" t="str">
        <f t="shared" si="6"/>
        <v/>
      </c>
      <c r="T20" s="113"/>
      <c r="U20" s="198" t="str">
        <f t="shared" si="7"/>
        <v/>
      </c>
      <c r="V20" s="113">
        <v>4.0</v>
      </c>
      <c r="W20" s="114">
        <f t="shared" si="8"/>
        <v>0</v>
      </c>
      <c r="X20" s="114">
        <f t="shared" si="9"/>
        <v>0</v>
      </c>
      <c r="Y20" s="120"/>
      <c r="Z20" s="120"/>
      <c r="AA20" s="120"/>
      <c r="AB20" s="120"/>
      <c r="AC20" s="120"/>
      <c r="AD20" s="120"/>
      <c r="AE20" s="120"/>
      <c r="AF20" s="120"/>
      <c r="AG20" s="120"/>
      <c r="AH20" s="17">
        <f t="shared" si="10"/>
        <v>9</v>
      </c>
      <c r="AI20" s="17">
        <f t="shared" si="11"/>
        <v>62</v>
      </c>
      <c r="AJ20" s="17">
        <f t="shared" si="12"/>
        <v>61</v>
      </c>
      <c r="AK20" s="17">
        <f t="shared" si="13"/>
        <v>10</v>
      </c>
      <c r="AL20" s="126">
        <f t="shared" si="14"/>
        <v>9.5</v>
      </c>
      <c r="AM20" s="17">
        <f t="shared" si="15"/>
        <v>2</v>
      </c>
      <c r="AN20" s="17">
        <f t="shared" si="16"/>
        <v>69</v>
      </c>
      <c r="AO20" s="17" t="str">
        <f t="shared" si="17"/>
        <v>-</v>
      </c>
      <c r="AP20" s="17" t="str">
        <f t="shared" si="18"/>
        <v>UPCOMING</v>
      </c>
      <c r="AQ20" s="131">
        <f t="shared" si="19"/>
        <v>44</v>
      </c>
      <c r="AR20" s="131" t="str">
        <f t="shared" si="20"/>
        <v>NO UPSET</v>
      </c>
      <c r="AS20" s="131" t="str">
        <f t="shared" si="21"/>
        <v>-</v>
      </c>
      <c r="AT20" s="131"/>
      <c r="AU20" s="133"/>
      <c r="AV20" s="217">
        <v>2.0</v>
      </c>
      <c r="AW20" s="203">
        <f t="shared" si="48"/>
        <v>1</v>
      </c>
      <c r="AX20" s="200">
        <f>Settings!$R$3</f>
        <v>2025</v>
      </c>
      <c r="AY20" s="217" t="str">
        <f t="shared" si="49"/>
        <v>WEEK 6</v>
      </c>
      <c r="AZ20" s="205" t="str">
        <f t="shared" si="50"/>
        <v>SAVAGES</v>
      </c>
      <c r="BA20" s="200" t="str">
        <f t="shared" si="51"/>
        <v>METAMOOKDAWGS</v>
      </c>
      <c r="BB20" s="200" t="str">
        <f t="array" ref="BB20">Settings!$R$3 &amp; " REG, PVE FFL GAME " &amp; INDEX($A:$A, MATCH(AV20,$AH:$AH,0))</f>
        <v>2025 REG, PVE FFL GAME 30</v>
      </c>
      <c r="BC20" s="375" t="str">
        <f t="shared" si="52"/>
        <v/>
      </c>
      <c r="BD20" s="313"/>
      <c r="BE20" s="313"/>
      <c r="BF20" s="120"/>
      <c r="BG20" s="120"/>
      <c r="BH20" s="120"/>
      <c r="BI20" s="120"/>
      <c r="BJ20" s="120"/>
      <c r="BK20" s="120"/>
      <c r="BL20" s="120"/>
      <c r="BM20" s="120"/>
      <c r="BN20" s="120"/>
      <c r="BO20" s="120"/>
      <c r="BP20" s="120"/>
      <c r="BQ20" s="120"/>
      <c r="BR20" s="120"/>
      <c r="BS20" s="120"/>
      <c r="BT20" s="120"/>
      <c r="BU20" s="120"/>
      <c r="BV20" s="120"/>
      <c r="BW20" s="313"/>
      <c r="BX20" s="313"/>
      <c r="BY20" s="313"/>
      <c r="BZ20" s="313"/>
      <c r="CA20" s="313"/>
      <c r="CB20" s="313"/>
      <c r="CC20" s="313"/>
      <c r="CD20" s="313"/>
      <c r="CE20" s="120"/>
      <c r="CF20" s="120"/>
      <c r="CG20" s="120"/>
      <c r="CH20" s="120"/>
    </row>
    <row r="21" ht="34.5" customHeight="1">
      <c r="A21" s="178">
        <v>20.0</v>
      </c>
      <c r="B21" s="449" t="str">
        <f t="array" ref="B21">INDEX(Settings!H$2:H$72, ROW())</f>
        <v>WEEK 4</v>
      </c>
      <c r="C21" s="450" t="str">
        <f t="array" ref="C21">INDEX(Settings!I$2:I$72, ROW())</f>
        <v>GAME 5</v>
      </c>
      <c r="D21" s="451">
        <f t="array" ref="D21">INDEX('BACKEND 1'!$V$28:$AK$38, MATCH(F21, 'BACKEND 1'!$V$28:$V$38, 0), MATCH(B21, 'BACKEND 1'!$V$28:$AK$28, 0))</f>
        <v>7</v>
      </c>
      <c r="E21" s="73" t="str">
        <f>VLOOKUP(F21, Settings!$A$3:$C$12, 3, FALSE)</f>
        <v>ESTEEMED</v>
      </c>
      <c r="F21" s="455" t="str">
        <f t="array" ref="F21">INDEX(Settings!J$2:J$72, ROW())</f>
        <v>METAMOOKDAWGS</v>
      </c>
      <c r="G21" s="456">
        <f>SUMIFS('All-Stars'!E:E, 'All-Stars'!B:B, F21, 'All-Stars'!F:F, B21)</f>
        <v>201.65</v>
      </c>
      <c r="H21" s="457">
        <f>SUMIFS('All-Stars'!E:E, 'All-Stars'!B:B, I21, 'All-Stars'!F:F, B21)</f>
        <v>175.05</v>
      </c>
      <c r="I21" s="458" t="str">
        <f t="array" ref="I21">INDEX(Settings!K$2:K$72, ROW())</f>
        <v>SAVAGES</v>
      </c>
      <c r="J21" s="88" t="str">
        <f>VLOOKUP(I21, Settings!$A$3:$C$12, 3, FALSE)</f>
        <v>PRODIGY</v>
      </c>
      <c r="K21" s="458">
        <f t="array" ref="K21">INDEX('BACKEND 1'!$V$28:$AK$38, MATCH(I21, 'BACKEND 1'!$V$28:$V$38, 0), MATCH(B21, 'BACKEND 1'!$V$28:$AK$28, 0))</f>
        <v>6</v>
      </c>
      <c r="L21" s="95">
        <f t="array" ref="L21">IFERROR(IF(D21=0,"-",INDEX('BACKEND 1'!$V$54:$AF$64, MATCH(D21, 'BACKEND 1'!$V$54:$V$64, 0), MATCH(K21, 'BACKEND 1'!$V$54:$AF$54, 0))),"-")</f>
        <v>8.707106781</v>
      </c>
      <c r="M21" s="242">
        <f>_xlfn.RANK.EQ(L21,L17:L21,1)</f>
        <v>2</v>
      </c>
      <c r="N21" s="243" t="str">
        <f t="shared" si="1"/>
        <v>METAMOOKDAWGS</v>
      </c>
      <c r="O21" s="244" t="str">
        <f t="shared" si="2"/>
        <v>SAVAGES</v>
      </c>
      <c r="P21" s="245" t="str">
        <f t="shared" si="3"/>
        <v/>
      </c>
      <c r="Q21" s="246">
        <f t="shared" si="4"/>
        <v>26.6</v>
      </c>
      <c r="R21" s="246">
        <f t="shared" si="5"/>
        <v>376.7</v>
      </c>
      <c r="S21" s="247" t="str">
        <f t="shared" si="6"/>
        <v/>
      </c>
      <c r="T21" s="248"/>
      <c r="U21" s="249" t="str">
        <f t="shared" si="7"/>
        <v>UPSET</v>
      </c>
      <c r="V21" s="113">
        <v>4.0</v>
      </c>
      <c r="W21" s="114">
        <f t="shared" si="8"/>
        <v>1</v>
      </c>
      <c r="X21" s="114">
        <f t="shared" si="9"/>
        <v>0</v>
      </c>
      <c r="Y21" s="120"/>
      <c r="Z21" s="120"/>
      <c r="AA21" s="120"/>
      <c r="AB21" s="120"/>
      <c r="AC21" s="120"/>
      <c r="AD21" s="120"/>
      <c r="AE21" s="120"/>
      <c r="AF21" s="120"/>
      <c r="AG21" s="120"/>
      <c r="AH21" s="17">
        <f t="shared" si="10"/>
        <v>24</v>
      </c>
      <c r="AI21" s="17">
        <f t="shared" si="11"/>
        <v>47</v>
      </c>
      <c r="AJ21" s="17">
        <f t="shared" si="12"/>
        <v>60</v>
      </c>
      <c r="AK21" s="17">
        <f t="shared" si="13"/>
        <v>11</v>
      </c>
      <c r="AL21" s="126">
        <f t="shared" si="14"/>
        <v>17.5</v>
      </c>
      <c r="AM21" s="17">
        <f t="shared" si="15"/>
        <v>7</v>
      </c>
      <c r="AN21" s="17">
        <f t="shared" si="16"/>
        <v>64</v>
      </c>
      <c r="AO21" s="17" t="str">
        <f t="shared" si="17"/>
        <v>-</v>
      </c>
      <c r="AP21" s="17" t="str">
        <f t="shared" si="18"/>
        <v>UPCOMING</v>
      </c>
      <c r="AQ21" s="131">
        <f t="shared" si="19"/>
        <v>13</v>
      </c>
      <c r="AR21" s="131">
        <f t="shared" si="20"/>
        <v>8.707106781</v>
      </c>
      <c r="AS21" s="131">
        <f t="shared" si="21"/>
        <v>26</v>
      </c>
      <c r="AT21" s="131"/>
      <c r="AU21" s="133"/>
      <c r="AV21" s="217">
        <v>3.0</v>
      </c>
      <c r="AW21" s="203">
        <f t="shared" si="48"/>
        <v>2.3</v>
      </c>
      <c r="AX21" s="200">
        <f>Settings!$R$3</f>
        <v>2025</v>
      </c>
      <c r="AY21" s="217" t="str">
        <f t="shared" si="49"/>
        <v>WEEK 5</v>
      </c>
      <c r="AZ21" s="205" t="str">
        <f t="shared" si="50"/>
        <v>GREEN</v>
      </c>
      <c r="BA21" s="200" t="str">
        <f t="shared" si="51"/>
        <v>CHAMPS</v>
      </c>
      <c r="BB21" s="200" t="str">
        <f t="array" ref="BB21">Settings!$R$3 &amp; " REG, PVE FFL GAME " &amp; INDEX($A:$A, MATCH(AV21,$AH:$AH,0))</f>
        <v>2025 REG, PVE FFL GAME 25</v>
      </c>
      <c r="BC21" s="375" t="str">
        <f t="shared" si="52"/>
        <v>MOTW</v>
      </c>
      <c r="BD21" s="313"/>
      <c r="BE21" s="313"/>
      <c r="BF21" s="120"/>
      <c r="BG21" s="120"/>
      <c r="BH21" s="120"/>
      <c r="BI21" s="120"/>
      <c r="BJ21" s="120"/>
      <c r="BK21" s="120"/>
      <c r="BL21" s="120"/>
      <c r="BM21" s="120"/>
      <c r="BN21" s="120"/>
      <c r="BO21" s="120"/>
      <c r="BP21" s="120"/>
      <c r="BQ21" s="120"/>
      <c r="BR21" s="120"/>
      <c r="BS21" s="120"/>
      <c r="BT21" s="120"/>
      <c r="BU21" s="120"/>
      <c r="BV21" s="120"/>
      <c r="BW21" s="313"/>
      <c r="BX21" s="313"/>
      <c r="BY21" s="313"/>
      <c r="BZ21" s="313"/>
      <c r="CA21" s="313"/>
      <c r="CB21" s="313"/>
      <c r="CC21" s="313"/>
      <c r="CD21" s="313"/>
      <c r="CE21" s="120"/>
      <c r="CF21" s="120"/>
      <c r="CG21" s="120"/>
      <c r="CH21" s="120"/>
    </row>
    <row r="22" ht="34.5" customHeight="1">
      <c r="A22" s="178">
        <v>21.0</v>
      </c>
      <c r="B22" s="468" t="str">
        <f t="array" ref="B22">INDEX(Settings!H$2:H$72, ROW())</f>
        <v>WEEK 5</v>
      </c>
      <c r="C22" s="469" t="str">
        <f t="array" ref="C22">INDEX(Settings!I$2:I$72, ROW())</f>
        <v>GAME 1</v>
      </c>
      <c r="D22" s="470">
        <f t="array" ref="D22">INDEX('BACKEND 1'!$V$28:$AK$38, MATCH(F22, 'BACKEND 1'!$V$28:$V$38, 0), MATCH(B22, 'BACKEND 1'!$V$28:$AK$28, 0))</f>
        <v>3</v>
      </c>
      <c r="E22" s="73" t="str">
        <f>VLOOKUP(F22, Settings!$A$3:$C$12, 3, FALSE)</f>
        <v>ESTEEMED</v>
      </c>
      <c r="F22" s="472" t="str">
        <f t="array" ref="F22">INDEX(Settings!J$2:J$72, ROW())</f>
        <v>YARDIES</v>
      </c>
      <c r="G22" s="473">
        <f>SUMIFS('All-Stars'!E:E, 'All-Stars'!B:B, F22, 'All-Stars'!F:F, B22)</f>
        <v>204.92</v>
      </c>
      <c r="H22" s="474">
        <f>SUMIFS('All-Stars'!E:E, 'All-Stars'!B:B, I22, 'All-Stars'!F:F, B22)</f>
        <v>143.9</v>
      </c>
      <c r="I22" s="476" t="str">
        <f t="array" ref="I22">INDEX(Settings!K$2:K$72, ROW())</f>
        <v>METAMOOKDAWGS</v>
      </c>
      <c r="J22" s="88" t="str">
        <f>VLOOKUP(I22, Settings!$A$3:$C$12, 3, FALSE)</f>
        <v>ESTEEMED</v>
      </c>
      <c r="K22" s="476">
        <f t="array" ref="K22">INDEX('BACKEND 1'!$V$28:$AK$38, MATCH(I22, 'BACKEND 1'!$V$28:$V$38, 0), MATCH(B22, 'BACKEND 1'!$V$28:$AK$28, 0))</f>
        <v>7</v>
      </c>
      <c r="L22" s="95">
        <f t="array" ref="L22">IFERROR(IF(D22=0,"-",INDEX('BACKEND 1'!$V$54:$AF$64, MATCH(D22, 'BACKEND 1'!$V$54:$V$64, 0), MATCH(K22, 'BACKEND 1'!$V$54:$AF$54, 0))),"-")</f>
        <v>13.82842712</v>
      </c>
      <c r="M22" s="98">
        <f>_xlfn.RANK.EQ(L22,L22:L26,1)</f>
        <v>2</v>
      </c>
      <c r="N22" s="100" t="str">
        <f t="shared" si="1"/>
        <v>YARDIES</v>
      </c>
      <c r="O22" s="103" t="str">
        <f t="shared" si="2"/>
        <v>METAMOOKDAWGS</v>
      </c>
      <c r="P22" s="105" t="str">
        <f t="shared" si="3"/>
        <v>YES</v>
      </c>
      <c r="Q22" s="107">
        <f t="shared" si="4"/>
        <v>61.02</v>
      </c>
      <c r="R22" s="107">
        <f t="shared" si="5"/>
        <v>348.82</v>
      </c>
      <c r="S22" s="110" t="str">
        <f t="shared" si="6"/>
        <v/>
      </c>
      <c r="T22" s="111"/>
      <c r="U22" s="112" t="str">
        <f t="shared" si="7"/>
        <v/>
      </c>
      <c r="V22" s="113">
        <v>5.0</v>
      </c>
      <c r="W22" s="114">
        <f t="shared" si="8"/>
        <v>1</v>
      </c>
      <c r="X22" s="114">
        <f t="shared" si="9"/>
        <v>0</v>
      </c>
      <c r="Y22" s="120"/>
      <c r="Z22" s="120"/>
      <c r="AA22" s="120"/>
      <c r="AB22" s="120"/>
      <c r="AC22" s="120"/>
      <c r="AD22" s="120"/>
      <c r="AE22" s="120"/>
      <c r="AF22" s="120"/>
      <c r="AG22" s="120"/>
      <c r="AH22" s="17">
        <f t="shared" si="10"/>
        <v>60</v>
      </c>
      <c r="AI22" s="17">
        <f t="shared" si="11"/>
        <v>11</v>
      </c>
      <c r="AJ22" s="17">
        <f t="shared" si="12"/>
        <v>54</v>
      </c>
      <c r="AK22" s="17">
        <f t="shared" si="13"/>
        <v>17</v>
      </c>
      <c r="AL22" s="126">
        <f t="shared" si="14"/>
        <v>38.5</v>
      </c>
      <c r="AM22" s="17">
        <f t="shared" si="15"/>
        <v>43</v>
      </c>
      <c r="AN22" s="17">
        <f t="shared" si="16"/>
        <v>28</v>
      </c>
      <c r="AO22" s="17" t="str">
        <f t="shared" si="17"/>
        <v>-</v>
      </c>
      <c r="AP22" s="17" t="str">
        <f t="shared" si="18"/>
        <v>UPCOMING</v>
      </c>
      <c r="AQ22" s="131">
        <f t="shared" si="19"/>
        <v>45</v>
      </c>
      <c r="AR22" s="131" t="str">
        <f t="shared" si="20"/>
        <v>NO UPSET</v>
      </c>
      <c r="AS22" s="131" t="str">
        <f t="shared" si="21"/>
        <v>-</v>
      </c>
      <c r="AT22" s="131"/>
      <c r="AU22" s="133"/>
      <c r="AV22" s="217">
        <v>4.0</v>
      </c>
      <c r="AW22" s="203">
        <f t="shared" si="48"/>
        <v>6.92</v>
      </c>
      <c r="AX22" s="200">
        <f>Settings!$R$3</f>
        <v>2025</v>
      </c>
      <c r="AY22" s="217" t="str">
        <f t="shared" si="49"/>
        <v>WEEK 14</v>
      </c>
      <c r="AZ22" s="205" t="str">
        <f t="shared" si="50"/>
        <v>SAVAGES</v>
      </c>
      <c r="BA22" s="200" t="str">
        <f t="shared" si="51"/>
        <v>CHAMPS</v>
      </c>
      <c r="BB22" s="200" t="str">
        <f t="array" ref="BB22">Settings!$R$3 &amp; " REG, PVE FFL GAME " &amp; INDEX($A:$A, MATCH(AV22,$AH:$AH,0))</f>
        <v>2025 REG, PVE FFL GAME 68</v>
      </c>
      <c r="BC22" s="375" t="str">
        <f t="shared" si="52"/>
        <v/>
      </c>
      <c r="BD22" s="313"/>
      <c r="BE22" s="313"/>
      <c r="BF22" s="120"/>
      <c r="BG22" s="120"/>
      <c r="BH22" s="120"/>
      <c r="BI22" s="120"/>
      <c r="BJ22" s="120"/>
      <c r="BK22" s="120"/>
      <c r="BL22" s="120"/>
      <c r="BM22" s="120"/>
      <c r="BN22" s="120"/>
      <c r="BO22" s="120"/>
      <c r="BP22" s="120"/>
      <c r="BQ22" s="120"/>
      <c r="BR22" s="120"/>
      <c r="BS22" s="120"/>
      <c r="BT22" s="120"/>
      <c r="BU22" s="120"/>
      <c r="BV22" s="120"/>
      <c r="BW22" s="313"/>
      <c r="BX22" s="313"/>
      <c r="BY22" s="313"/>
      <c r="BZ22" s="313"/>
      <c r="CA22" s="313"/>
      <c r="CB22" s="313"/>
      <c r="CC22" s="313"/>
      <c r="CD22" s="313"/>
      <c r="CE22" s="120"/>
      <c r="CF22" s="120"/>
      <c r="CG22" s="120"/>
      <c r="CH22" s="120"/>
    </row>
    <row r="23" ht="34.5" customHeight="1">
      <c r="A23" s="52">
        <v>22.0</v>
      </c>
      <c r="B23" s="482" t="str">
        <f t="array" ref="B23">INDEX(Settings!H$2:H$72, ROW())</f>
        <v>WEEK 5</v>
      </c>
      <c r="C23" s="483" t="str">
        <f t="array" ref="C23">INDEX(Settings!I$2:I$72, ROW())</f>
        <v>GAME 2</v>
      </c>
      <c r="D23" s="484">
        <f t="array" ref="D23">INDEX('BACKEND 1'!$V$28:$AK$38, MATCH(F23, 'BACKEND 1'!$V$28:$V$38, 0), MATCH(B23, 'BACKEND 1'!$V$28:$AK$28, 0))</f>
        <v>2</v>
      </c>
      <c r="E23" s="73" t="str">
        <f>VLOOKUP(F23, Settings!$A$3:$C$12, 3, FALSE)</f>
        <v>ESTEEMED</v>
      </c>
      <c r="F23" s="487" t="str">
        <f t="array" ref="F23">INDEX(Settings!J$2:J$72, ROW())</f>
        <v>MUTTS</v>
      </c>
      <c r="G23" s="488">
        <f>SUMIFS('All-Stars'!E:E, 'All-Stars'!B:B, F23, 'All-Stars'!F:F, B23)</f>
        <v>161.98</v>
      </c>
      <c r="H23" s="489">
        <f>SUMIFS('All-Stars'!E:E, 'All-Stars'!B:B, I23, 'All-Stars'!F:F, B23)</f>
        <v>141.58</v>
      </c>
      <c r="I23" s="490" t="str">
        <f t="array" ref="I23">INDEX(Settings!K$2:K$72, ROW())</f>
        <v>EAGLES</v>
      </c>
      <c r="J23" s="88" t="str">
        <f>VLOOKUP(I23, Settings!$A$3:$C$12, 3, FALSE)</f>
        <v>ESTEEMED</v>
      </c>
      <c r="K23" s="490">
        <f t="array" ref="K23">INDEX('BACKEND 1'!$V$28:$AK$38, MATCH(I23, 'BACKEND 1'!$V$28:$V$38, 0), MATCH(B23, 'BACKEND 1'!$V$28:$AK$28, 0))</f>
        <v>10</v>
      </c>
      <c r="L23" s="95">
        <f t="array" ref="L23">IFERROR(IF(D23=0,"-",INDEX('BACKEND 1'!$V$54:$AF$64, MATCH(D23, 'BACKEND 1'!$V$54:$V$64, 0), MATCH(K23, 'BACKEND 1'!$V$54:$AF$54, 0))),"-")</f>
        <v>23.65685425</v>
      </c>
      <c r="M23" s="192">
        <f>_xlfn.RANK.EQ(L23,L22:L26,1)</f>
        <v>5</v>
      </c>
      <c r="N23" s="193" t="str">
        <f t="shared" si="1"/>
        <v>MUTTS</v>
      </c>
      <c r="O23" s="194" t="str">
        <f t="shared" si="2"/>
        <v>EAGLES</v>
      </c>
      <c r="P23" s="195" t="str">
        <f t="shared" si="3"/>
        <v/>
      </c>
      <c r="Q23" s="196">
        <f t="shared" si="4"/>
        <v>20.4</v>
      </c>
      <c r="R23" s="196">
        <f t="shared" si="5"/>
        <v>303.56</v>
      </c>
      <c r="S23" s="197" t="str">
        <f t="shared" si="6"/>
        <v/>
      </c>
      <c r="T23" s="113"/>
      <c r="U23" s="198" t="str">
        <f t="shared" si="7"/>
        <v/>
      </c>
      <c r="V23" s="113">
        <v>5.0</v>
      </c>
      <c r="W23" s="114">
        <f t="shared" si="8"/>
        <v>1</v>
      </c>
      <c r="X23" s="114">
        <f t="shared" si="9"/>
        <v>0</v>
      </c>
      <c r="Y23" s="120"/>
      <c r="Z23" s="120"/>
      <c r="AA23" s="120"/>
      <c r="AB23" s="120"/>
      <c r="AC23" s="120"/>
      <c r="AD23" s="120"/>
      <c r="AE23" s="120"/>
      <c r="AF23" s="120"/>
      <c r="AG23" s="120"/>
      <c r="AH23" s="17">
        <f t="shared" si="10"/>
        <v>17</v>
      </c>
      <c r="AI23" s="17">
        <f t="shared" si="11"/>
        <v>54</v>
      </c>
      <c r="AJ23" s="17">
        <f t="shared" si="12"/>
        <v>25</v>
      </c>
      <c r="AK23" s="17">
        <f t="shared" si="13"/>
        <v>46</v>
      </c>
      <c r="AL23" s="126">
        <f t="shared" si="14"/>
        <v>31.5</v>
      </c>
      <c r="AM23" s="17">
        <f t="shared" si="15"/>
        <v>27</v>
      </c>
      <c r="AN23" s="17">
        <f t="shared" si="16"/>
        <v>44</v>
      </c>
      <c r="AO23" s="17" t="str">
        <f t="shared" si="17"/>
        <v>-</v>
      </c>
      <c r="AP23" s="17" t="str">
        <f t="shared" si="18"/>
        <v>UPCOMING</v>
      </c>
      <c r="AQ23" s="131">
        <f t="shared" si="19"/>
        <v>68</v>
      </c>
      <c r="AR23" s="131" t="str">
        <f t="shared" si="20"/>
        <v>NO UPSET</v>
      </c>
      <c r="AS23" s="131" t="str">
        <f t="shared" si="21"/>
        <v>-</v>
      </c>
      <c r="AT23" s="131"/>
      <c r="AU23" s="133"/>
      <c r="AV23" s="217">
        <v>5.0</v>
      </c>
      <c r="AW23" s="203">
        <f t="shared" si="48"/>
        <v>8.73</v>
      </c>
      <c r="AX23" s="200">
        <f>Settings!$R$3</f>
        <v>2025</v>
      </c>
      <c r="AY23" s="217" t="str">
        <f t="shared" si="49"/>
        <v>WEEK 11</v>
      </c>
      <c r="AZ23" s="205" t="str">
        <f t="shared" si="50"/>
        <v>YARDIES</v>
      </c>
      <c r="BA23" s="200" t="str">
        <f t="shared" si="51"/>
        <v>SAVAGES</v>
      </c>
      <c r="BB23" s="200" t="str">
        <f t="array" ref="BB23">Settings!$R$3 &amp; " REG, PVE FFL GAME " &amp; INDEX($A:$A, MATCH(AV23,$AH:$AH,0))</f>
        <v>2025 REG, PVE FFL GAME 55</v>
      </c>
      <c r="BC23" s="375" t="str">
        <f t="shared" si="52"/>
        <v/>
      </c>
      <c r="BD23" s="313"/>
      <c r="BE23" s="313"/>
      <c r="BF23" s="120"/>
      <c r="BG23" s="120"/>
      <c r="BH23" s="120"/>
      <c r="BI23" s="120"/>
      <c r="BJ23" s="120"/>
      <c r="BK23" s="120"/>
      <c r="BL23" s="120"/>
      <c r="BM23" s="120"/>
      <c r="BN23" s="120"/>
      <c r="BO23" s="120"/>
      <c r="BP23" s="120"/>
      <c r="BQ23" s="120"/>
      <c r="BR23" s="120"/>
      <c r="BS23" s="120"/>
      <c r="BT23" s="120"/>
      <c r="BU23" s="120"/>
      <c r="BV23" s="120"/>
      <c r="BW23" s="313"/>
      <c r="BX23" s="313"/>
      <c r="BY23" s="313"/>
      <c r="BZ23" s="313"/>
      <c r="CA23" s="313"/>
      <c r="CB23" s="313"/>
      <c r="CC23" s="313"/>
      <c r="CD23" s="313"/>
      <c r="CE23" s="120"/>
      <c r="CF23" s="120"/>
      <c r="CG23" s="120"/>
      <c r="CH23" s="120"/>
    </row>
    <row r="24" ht="34.5" customHeight="1">
      <c r="A24" s="178">
        <v>23.0</v>
      </c>
      <c r="B24" s="482" t="str">
        <f t="array" ref="B24">INDEX(Settings!H$2:H$72, ROW())</f>
        <v>WEEK 5</v>
      </c>
      <c r="C24" s="483" t="str">
        <f t="array" ref="C24">INDEX(Settings!I$2:I$72, ROW())</f>
        <v>GAME 3</v>
      </c>
      <c r="D24" s="484">
        <f t="array" ref="D24">INDEX('BACKEND 1'!$V$28:$AK$38, MATCH(F24, 'BACKEND 1'!$V$28:$V$38, 0), MATCH(B24, 'BACKEND 1'!$V$28:$AK$28, 0))</f>
        <v>4</v>
      </c>
      <c r="E24" s="73" t="str">
        <f>VLOOKUP(F24, Settings!$A$3:$C$12, 3, FALSE)</f>
        <v>PRODIGY</v>
      </c>
      <c r="F24" s="487" t="str">
        <f t="array" ref="F24">INDEX(Settings!J$2:J$72, ROW())</f>
        <v>DECOUPES</v>
      </c>
      <c r="G24" s="488">
        <f>SUMIFS('All-Stars'!E:E, 'All-Stars'!B:B, F24, 'All-Stars'!F:F, B24)</f>
        <v>116.2</v>
      </c>
      <c r="H24" s="489">
        <f>SUMIFS('All-Stars'!E:E, 'All-Stars'!B:B, I24, 'All-Stars'!F:F, B24)</f>
        <v>172.82</v>
      </c>
      <c r="I24" s="490" t="str">
        <f t="array" ref="I24">INDEX(Settings!K$2:K$72, ROW())</f>
        <v>KINGS</v>
      </c>
      <c r="J24" s="88" t="str">
        <f>VLOOKUP(I24, Settings!$A$3:$C$12, 3, FALSE)</f>
        <v>PRODIGY</v>
      </c>
      <c r="K24" s="490">
        <f t="array" ref="K24">INDEX('BACKEND 1'!$V$28:$AK$38, MATCH(I24, 'BACKEND 1'!$V$28:$V$38, 0), MATCH(B24, 'BACKEND 1'!$V$28:$AK$28, 0))</f>
        <v>9</v>
      </c>
      <c r="L24" s="95">
        <f t="array" ref="L24">IFERROR(IF(D24=0,"-",INDEX('BACKEND 1'!$V$54:$AF$64, MATCH(D24, 'BACKEND 1'!$V$54:$V$64, 0), MATCH(K24, 'BACKEND 1'!$V$54:$AF$54, 0))),"-")</f>
        <v>17.53553391</v>
      </c>
      <c r="M24" s="192">
        <f>_xlfn.RANK.EQ(L24,L22:L26,1)</f>
        <v>4</v>
      </c>
      <c r="N24" s="193" t="str">
        <f t="shared" si="1"/>
        <v>KINGS</v>
      </c>
      <c r="O24" s="194" t="str">
        <f t="shared" si="2"/>
        <v>DECOUPES</v>
      </c>
      <c r="P24" s="195" t="str">
        <f t="shared" si="3"/>
        <v>YES</v>
      </c>
      <c r="Q24" s="196">
        <f t="shared" si="4"/>
        <v>56.62</v>
      </c>
      <c r="R24" s="196">
        <f t="shared" si="5"/>
        <v>289.02</v>
      </c>
      <c r="S24" s="197" t="str">
        <f t="shared" si="6"/>
        <v/>
      </c>
      <c r="T24" s="113"/>
      <c r="U24" s="198" t="str">
        <f t="shared" si="7"/>
        <v>UPSET</v>
      </c>
      <c r="V24" s="113">
        <v>5.0</v>
      </c>
      <c r="W24" s="114">
        <f t="shared" si="8"/>
        <v>0</v>
      </c>
      <c r="X24" s="114">
        <f t="shared" si="9"/>
        <v>0</v>
      </c>
      <c r="Y24" s="120"/>
      <c r="Z24" s="120"/>
      <c r="AA24" s="120"/>
      <c r="AB24" s="120"/>
      <c r="AC24" s="120"/>
      <c r="AD24" s="120"/>
      <c r="AE24" s="120"/>
      <c r="AF24" s="120"/>
      <c r="AG24" s="120"/>
      <c r="AH24" s="17">
        <f t="shared" si="10"/>
        <v>56</v>
      </c>
      <c r="AI24" s="17">
        <f t="shared" si="11"/>
        <v>15</v>
      </c>
      <c r="AJ24" s="17">
        <f t="shared" si="12"/>
        <v>17</v>
      </c>
      <c r="AK24" s="17">
        <f t="shared" si="13"/>
        <v>54</v>
      </c>
      <c r="AL24" s="126">
        <f t="shared" si="14"/>
        <v>55</v>
      </c>
      <c r="AM24" s="17">
        <f t="shared" si="15"/>
        <v>65</v>
      </c>
      <c r="AN24" s="17">
        <f t="shared" si="16"/>
        <v>6</v>
      </c>
      <c r="AO24" s="17" t="str">
        <f t="shared" si="17"/>
        <v>-</v>
      </c>
      <c r="AP24" s="17" t="str">
        <f t="shared" si="18"/>
        <v>UPCOMING</v>
      </c>
      <c r="AQ24" s="131">
        <f t="shared" si="19"/>
        <v>58</v>
      </c>
      <c r="AR24" s="131">
        <f t="shared" si="20"/>
        <v>17.53553391</v>
      </c>
      <c r="AS24" s="131">
        <f t="shared" si="21"/>
        <v>9</v>
      </c>
      <c r="AT24" s="131"/>
      <c r="AU24" s="133"/>
      <c r="AV24" s="313"/>
      <c r="AW24" s="313"/>
      <c r="AX24" s="313"/>
      <c r="AY24" s="313"/>
      <c r="AZ24" s="313"/>
      <c r="BA24" s="313"/>
      <c r="BB24" s="313"/>
      <c r="BC24" s="313"/>
      <c r="BD24" s="313"/>
      <c r="BE24" s="313"/>
      <c r="BF24" s="120"/>
      <c r="BG24" s="120"/>
      <c r="BH24" s="120"/>
      <c r="BI24" s="120"/>
      <c r="BJ24" s="120"/>
      <c r="BK24" s="120"/>
      <c r="BL24" s="120"/>
      <c r="BM24" s="120"/>
      <c r="BN24" s="120"/>
      <c r="BO24" s="120"/>
      <c r="BP24" s="120"/>
      <c r="BQ24" s="120"/>
      <c r="BR24" s="120"/>
      <c r="BS24" s="120"/>
      <c r="BT24" s="120"/>
      <c r="BU24" s="120"/>
      <c r="BV24" s="120"/>
      <c r="BW24" s="313"/>
      <c r="BX24" s="313"/>
      <c r="BY24" s="313"/>
      <c r="BZ24" s="313"/>
      <c r="CA24" s="313"/>
      <c r="CB24" s="313"/>
      <c r="CC24" s="313"/>
      <c r="CD24" s="313"/>
      <c r="CE24" s="120"/>
      <c r="CF24" s="120"/>
      <c r="CG24" s="120"/>
      <c r="CH24" s="120"/>
    </row>
    <row r="25" ht="34.5" customHeight="1">
      <c r="A25" s="178">
        <v>24.0</v>
      </c>
      <c r="B25" s="482" t="str">
        <f t="array" ref="B25">INDEX(Settings!H$2:H$72, ROW())</f>
        <v>WEEK 5</v>
      </c>
      <c r="C25" s="483" t="str">
        <f t="array" ref="C25">INDEX(Settings!I$2:I$72, ROW())</f>
        <v>GAME 4</v>
      </c>
      <c r="D25" s="484">
        <f t="array" ref="D25">INDEX('BACKEND 1'!$V$28:$AK$38, MATCH(F25, 'BACKEND 1'!$V$28:$V$38, 0), MATCH(B25, 'BACKEND 1'!$V$28:$AK$28, 0))</f>
        <v>1</v>
      </c>
      <c r="E25" s="73" t="str">
        <f>VLOOKUP(F25, Settings!$A$3:$C$12, 3, FALSE)</f>
        <v>PRODIGY</v>
      </c>
      <c r="F25" s="487" t="str">
        <f t="array" ref="F25">INDEX(Settings!J$2:J$72, ROW())</f>
        <v>POPEYES</v>
      </c>
      <c r="G25" s="488">
        <f>SUMIFS('All-Stars'!E:E, 'All-Stars'!B:B, F25, 'All-Stars'!F:F, B25)</f>
        <v>202.46</v>
      </c>
      <c r="H25" s="489">
        <f>SUMIFS('All-Stars'!E:E, 'All-Stars'!B:B, I25, 'All-Stars'!F:F, B25)</f>
        <v>156.15</v>
      </c>
      <c r="I25" s="490" t="str">
        <f t="array" ref="I25">INDEX(Settings!K$2:K$72, ROW())</f>
        <v>SAVAGES</v>
      </c>
      <c r="J25" s="88" t="str">
        <f>VLOOKUP(I25, Settings!$A$3:$C$12, 3, FALSE)</f>
        <v>PRODIGY</v>
      </c>
      <c r="K25" s="490">
        <f t="array" ref="K25">INDEX('BACKEND 1'!$V$28:$AK$38, MATCH(I25, 'BACKEND 1'!$V$28:$V$38, 0), MATCH(B25, 'BACKEND 1'!$V$28:$AK$28, 0))</f>
        <v>6</v>
      </c>
      <c r="L25" s="95">
        <f t="array" ref="L25">IFERROR(IF(D25=0,"-",INDEX('BACKEND 1'!$V$54:$AF$64, MATCH(D25, 'BACKEND 1'!$V$54:$V$64, 0), MATCH(K25, 'BACKEND 1'!$V$54:$AF$54, 0))),"-")</f>
        <v>14.53553391</v>
      </c>
      <c r="M25" s="192">
        <f>_xlfn.RANK.EQ(L25,L22:L26,1)</f>
        <v>3</v>
      </c>
      <c r="N25" s="193" t="str">
        <f t="shared" si="1"/>
        <v>POPEYES</v>
      </c>
      <c r="O25" s="194" t="str">
        <f t="shared" si="2"/>
        <v>SAVAGES</v>
      </c>
      <c r="P25" s="195" t="str">
        <f t="shared" si="3"/>
        <v>YES</v>
      </c>
      <c r="Q25" s="196">
        <f t="shared" si="4"/>
        <v>46.31</v>
      </c>
      <c r="R25" s="196">
        <f t="shared" si="5"/>
        <v>358.61</v>
      </c>
      <c r="S25" s="197" t="str">
        <f t="shared" si="6"/>
        <v/>
      </c>
      <c r="T25" s="113"/>
      <c r="U25" s="198" t="str">
        <f t="shared" si="7"/>
        <v/>
      </c>
      <c r="V25" s="113">
        <v>5.0</v>
      </c>
      <c r="W25" s="114">
        <f t="shared" si="8"/>
        <v>1</v>
      </c>
      <c r="X25" s="114">
        <f t="shared" si="9"/>
        <v>1</v>
      </c>
      <c r="Y25" s="120"/>
      <c r="Z25" s="120"/>
      <c r="AA25" s="120"/>
      <c r="AB25" s="120"/>
      <c r="AC25" s="120"/>
      <c r="AD25" s="120"/>
      <c r="AE25" s="120"/>
      <c r="AF25" s="120"/>
      <c r="AG25" s="120"/>
      <c r="AH25" s="17">
        <f t="shared" si="10"/>
        <v>51</v>
      </c>
      <c r="AI25" s="17">
        <f t="shared" si="11"/>
        <v>20</v>
      </c>
      <c r="AJ25" s="17">
        <f t="shared" si="12"/>
        <v>55</v>
      </c>
      <c r="AK25" s="17">
        <f t="shared" si="13"/>
        <v>16</v>
      </c>
      <c r="AL25" s="126">
        <f t="shared" si="14"/>
        <v>33.5</v>
      </c>
      <c r="AM25" s="17">
        <f t="shared" si="15"/>
        <v>31</v>
      </c>
      <c r="AN25" s="17">
        <f t="shared" si="16"/>
        <v>40</v>
      </c>
      <c r="AO25" s="17" t="str">
        <f t="shared" si="17"/>
        <v>-</v>
      </c>
      <c r="AP25" s="17" t="str">
        <f t="shared" si="18"/>
        <v>UPCOMING</v>
      </c>
      <c r="AQ25" s="131">
        <f t="shared" si="19"/>
        <v>46</v>
      </c>
      <c r="AR25" s="131" t="str">
        <f t="shared" si="20"/>
        <v>NO UPSET</v>
      </c>
      <c r="AS25" s="131" t="str">
        <f t="shared" si="21"/>
        <v>-</v>
      </c>
      <c r="AT25" s="131"/>
      <c r="AU25" s="133"/>
      <c r="AV25" s="333" t="str">
        <f>"Top 5 "&amp; Settings!$R$3&amp; " Regular Season Blowouts - PVE FFL"</f>
        <v>Top 5 2025 Regular Season Blowouts - PVE FFL</v>
      </c>
      <c r="AW25" s="21"/>
      <c r="AX25" s="21"/>
      <c r="AY25" s="21"/>
      <c r="AZ25" s="21"/>
      <c r="BA25" s="21"/>
      <c r="BB25" s="21"/>
      <c r="BC25" s="24"/>
      <c r="BD25" s="313"/>
      <c r="BE25" s="313"/>
      <c r="BF25" s="120"/>
      <c r="BG25" s="120"/>
      <c r="BH25" s="120"/>
      <c r="BI25" s="120"/>
      <c r="BJ25" s="120"/>
      <c r="BK25" s="120"/>
      <c r="BL25" s="120"/>
      <c r="BM25" s="120"/>
      <c r="BN25" s="120"/>
      <c r="BO25" s="120"/>
      <c r="BP25" s="120"/>
      <c r="BQ25" s="120"/>
      <c r="BR25" s="120"/>
      <c r="BS25" s="120"/>
      <c r="BT25" s="120"/>
      <c r="BU25" s="120"/>
      <c r="BV25" s="120"/>
      <c r="BW25" s="313"/>
      <c r="BX25" s="313"/>
      <c r="BY25" s="313"/>
      <c r="BZ25" s="313"/>
      <c r="CA25" s="313"/>
      <c r="CB25" s="313"/>
      <c r="CC25" s="313"/>
      <c r="CD25" s="313"/>
      <c r="CE25" s="120"/>
      <c r="CF25" s="120"/>
      <c r="CG25" s="120"/>
      <c r="CH25" s="120"/>
    </row>
    <row r="26" ht="34.5" customHeight="1">
      <c r="A26" s="52">
        <v>25.0</v>
      </c>
      <c r="B26" s="500" t="str">
        <f t="array" ref="B26">INDEX(Settings!H$2:H$72, ROW())</f>
        <v>WEEK 5</v>
      </c>
      <c r="C26" s="501" t="str">
        <f t="array" ref="C26">INDEX(Settings!I$2:I$72, ROW())</f>
        <v>GAME 5</v>
      </c>
      <c r="D26" s="502">
        <f t="array" ref="D26">INDEX('BACKEND 1'!$V$28:$AK$38, MATCH(F26, 'BACKEND 1'!$V$28:$V$38, 0), MATCH(B26, 'BACKEND 1'!$V$28:$AK$28, 0))</f>
        <v>8</v>
      </c>
      <c r="E26" s="73" t="str">
        <f>VLOOKUP(F26, Settings!$A$3:$C$12, 3, FALSE)</f>
        <v>PRODIGY</v>
      </c>
      <c r="F26" s="503" t="str">
        <f t="array" ref="F26">INDEX(Settings!J$2:J$72, ROW())</f>
        <v>GREEN</v>
      </c>
      <c r="G26" s="504">
        <f>SUMIFS('All-Stars'!E:E, 'All-Stars'!B:B, F26, 'All-Stars'!F:F, B26)</f>
        <v>167.16</v>
      </c>
      <c r="H26" s="505">
        <f>SUMIFS('All-Stars'!E:E, 'All-Stars'!B:B, I26, 'All-Stars'!F:F, B26)</f>
        <v>164.86</v>
      </c>
      <c r="I26" s="506" t="str">
        <f t="array" ref="I26">INDEX(Settings!K$2:K$72, ROW())</f>
        <v>CHAMPS</v>
      </c>
      <c r="J26" s="88" t="str">
        <f>VLOOKUP(I26, Settings!$A$3:$C$12, 3, FALSE)</f>
        <v>ESTEEMED</v>
      </c>
      <c r="K26" s="506">
        <f t="array" ref="K26">INDEX('BACKEND 1'!$V$28:$AK$38, MATCH(I26, 'BACKEND 1'!$V$28:$V$38, 0), MATCH(B26, 'BACKEND 1'!$V$28:$AK$28, 0))</f>
        <v>5</v>
      </c>
      <c r="L26" s="95">
        <f t="array" ref="L26">IFERROR(IF(D26=0,"-",INDEX('BACKEND 1'!$V$54:$AF$64, MATCH(D26, 'BACKEND 1'!$V$54:$V$64, 0), MATCH(K26, 'BACKEND 1'!$V$54:$AF$54, 0))),"-")</f>
        <v>13.12132034</v>
      </c>
      <c r="M26" s="242">
        <f>_xlfn.RANK.EQ(L26,L22:L26,1)</f>
        <v>1</v>
      </c>
      <c r="N26" s="243" t="str">
        <f t="shared" si="1"/>
        <v>GREEN</v>
      </c>
      <c r="O26" s="244" t="str">
        <f t="shared" si="2"/>
        <v>CHAMPS</v>
      </c>
      <c r="P26" s="245" t="str">
        <f t="shared" si="3"/>
        <v/>
      </c>
      <c r="Q26" s="246">
        <f t="shared" si="4"/>
        <v>2.3</v>
      </c>
      <c r="R26" s="246">
        <f t="shared" si="5"/>
        <v>332.02</v>
      </c>
      <c r="S26" s="247" t="str">
        <f t="shared" si="6"/>
        <v>MOTW</v>
      </c>
      <c r="T26" s="248"/>
      <c r="U26" s="249" t="str">
        <f t="shared" si="7"/>
        <v>UPSET</v>
      </c>
      <c r="V26" s="113">
        <v>5.0</v>
      </c>
      <c r="W26" s="114">
        <f t="shared" si="8"/>
        <v>1</v>
      </c>
      <c r="X26" s="114">
        <f t="shared" si="9"/>
        <v>0</v>
      </c>
      <c r="Y26" s="120"/>
      <c r="Z26" s="120"/>
      <c r="AA26" s="120"/>
      <c r="AB26" s="120"/>
      <c r="AC26" s="120"/>
      <c r="AD26" s="120"/>
      <c r="AE26" s="120"/>
      <c r="AF26" s="120"/>
      <c r="AG26" s="120"/>
      <c r="AH26" s="17">
        <f t="shared" si="10"/>
        <v>3</v>
      </c>
      <c r="AI26" s="17">
        <f t="shared" si="11"/>
        <v>68</v>
      </c>
      <c r="AJ26" s="17">
        <f t="shared" si="12"/>
        <v>43</v>
      </c>
      <c r="AK26" s="17">
        <f t="shared" si="13"/>
        <v>28</v>
      </c>
      <c r="AL26" s="126">
        <f t="shared" si="14"/>
        <v>15.5</v>
      </c>
      <c r="AM26" s="17">
        <f t="shared" si="15"/>
        <v>5</v>
      </c>
      <c r="AN26" s="17">
        <f t="shared" si="16"/>
        <v>66</v>
      </c>
      <c r="AO26" s="17">
        <f t="shared" si="17"/>
        <v>15.5</v>
      </c>
      <c r="AP26" s="17">
        <f t="shared" si="18"/>
        <v>3</v>
      </c>
      <c r="AQ26" s="131">
        <f t="shared" si="19"/>
        <v>42</v>
      </c>
      <c r="AR26" s="131">
        <f t="shared" si="20"/>
        <v>13.12132034</v>
      </c>
      <c r="AS26" s="131">
        <f t="shared" si="21"/>
        <v>13</v>
      </c>
      <c r="AT26" s="131"/>
      <c r="AU26" s="133"/>
      <c r="AV26" s="134" t="s">
        <v>374</v>
      </c>
      <c r="AW26" s="134" t="s">
        <v>375</v>
      </c>
      <c r="AX26" s="134" t="s">
        <v>153</v>
      </c>
      <c r="AY26" s="134" t="s">
        <v>30</v>
      </c>
      <c r="AZ26" s="134" t="s">
        <v>155</v>
      </c>
      <c r="BA26" s="134" t="s">
        <v>156</v>
      </c>
      <c r="BB26" s="134" t="s">
        <v>157</v>
      </c>
      <c r="BC26" s="134" t="s">
        <v>27</v>
      </c>
      <c r="BD26" s="313"/>
      <c r="BE26" s="313"/>
      <c r="BF26" s="120"/>
      <c r="BG26" s="120"/>
      <c r="BH26" s="120"/>
      <c r="BI26" s="120"/>
      <c r="BJ26" s="120"/>
      <c r="BK26" s="120"/>
      <c r="BL26" s="120"/>
      <c r="BM26" s="120"/>
      <c r="BN26" s="120"/>
      <c r="BO26" s="120"/>
      <c r="BP26" s="120"/>
      <c r="BQ26" s="120"/>
      <c r="BR26" s="120"/>
      <c r="BS26" s="120"/>
      <c r="BT26" s="120"/>
      <c r="BU26" s="120"/>
      <c r="BV26" s="120"/>
      <c r="BW26" s="313"/>
      <c r="BX26" s="313"/>
      <c r="BY26" s="313"/>
      <c r="BZ26" s="313"/>
      <c r="CA26" s="313"/>
      <c r="CB26" s="313"/>
      <c r="CC26" s="313"/>
      <c r="CD26" s="313"/>
      <c r="CE26" s="120"/>
      <c r="CF26" s="120"/>
      <c r="CG26" s="120"/>
      <c r="CH26" s="120"/>
    </row>
    <row r="27" ht="34.5" customHeight="1">
      <c r="A27" s="178">
        <v>26.0</v>
      </c>
      <c r="B27" s="59" t="str">
        <f t="array" ref="B27">INDEX(Settings!H$2:H$72, ROW())</f>
        <v>WEEK 6</v>
      </c>
      <c r="C27" s="64" t="str">
        <f t="array" ref="C27">INDEX(Settings!I$2:I$72, ROW())</f>
        <v>GAME 1</v>
      </c>
      <c r="D27" s="73">
        <f t="array" ref="D27">INDEX('BACKEND 1'!$V$28:$AK$38, MATCH(F27, 'BACKEND 1'!$V$28:$V$38, 0), MATCH(B27, 'BACKEND 1'!$V$28:$AK$28, 0))</f>
        <v>6</v>
      </c>
      <c r="E27" s="73" t="str">
        <f>VLOOKUP(F27, Settings!$A$3:$C$12, 3, FALSE)</f>
        <v>ESTEEMED</v>
      </c>
      <c r="F27" s="78" t="str">
        <f t="array" ref="F27">INDEX(Settings!J$2:J$72, ROW())</f>
        <v>CHAMPS</v>
      </c>
      <c r="G27" s="82">
        <f>SUMIFS('All-Stars'!E:E, 'All-Stars'!B:B, F27, 'All-Stars'!F:F, B27)</f>
        <v>149.44</v>
      </c>
      <c r="H27" s="85">
        <f>SUMIFS('All-Stars'!E:E, 'All-Stars'!B:B, I27, 'All-Stars'!F:F, B27)</f>
        <v>175.13</v>
      </c>
      <c r="I27" s="88" t="str">
        <f t="array" ref="I27">INDEX(Settings!K$2:K$72, ROW())</f>
        <v>EAGLES</v>
      </c>
      <c r="J27" s="88" t="str">
        <f>VLOOKUP(I27, Settings!$A$3:$C$12, 3, FALSE)</f>
        <v>ESTEEMED</v>
      </c>
      <c r="K27" s="88">
        <f t="array" ref="K27">INDEX('BACKEND 1'!$V$28:$AK$38, MATCH(I27, 'BACKEND 1'!$V$28:$V$38, 0), MATCH(B27, 'BACKEND 1'!$V$28:$AK$28, 0))</f>
        <v>10</v>
      </c>
      <c r="L27" s="95">
        <f t="array" ref="L27">IFERROR(IF(D27=0,"-",INDEX('BACKEND 1'!$V$54:$AF$64, MATCH(D27, 'BACKEND 1'!$V$54:$V$64, 0), MATCH(K27, 'BACKEND 1'!$V$54:$AF$54, 0))),"-")</f>
        <v>16.82842712</v>
      </c>
      <c r="M27" s="98">
        <f>_xlfn.RANK.EQ(L27,L27:L31,1)</f>
        <v>4</v>
      </c>
      <c r="N27" s="100" t="str">
        <f t="shared" si="1"/>
        <v>EAGLES</v>
      </c>
      <c r="O27" s="103" t="str">
        <f t="shared" si="2"/>
        <v>CHAMPS</v>
      </c>
      <c r="P27" s="105" t="str">
        <f t="shared" si="3"/>
        <v/>
      </c>
      <c r="Q27" s="107">
        <f t="shared" si="4"/>
        <v>25.69</v>
      </c>
      <c r="R27" s="107">
        <f t="shared" si="5"/>
        <v>324.57</v>
      </c>
      <c r="S27" s="110" t="str">
        <f t="shared" si="6"/>
        <v/>
      </c>
      <c r="T27" s="111"/>
      <c r="U27" s="112" t="str">
        <f t="shared" si="7"/>
        <v>UPSET</v>
      </c>
      <c r="V27" s="113">
        <v>6.0</v>
      </c>
      <c r="W27" s="114">
        <f t="shared" si="8"/>
        <v>0</v>
      </c>
      <c r="X27" s="114">
        <f t="shared" si="9"/>
        <v>0</v>
      </c>
      <c r="Y27" s="120"/>
      <c r="Z27" s="120"/>
      <c r="AA27" s="120"/>
      <c r="AB27" s="120"/>
      <c r="AC27" s="120"/>
      <c r="AD27" s="120"/>
      <c r="AE27" s="120"/>
      <c r="AF27" s="120"/>
      <c r="AG27" s="120"/>
      <c r="AH27" s="17">
        <f t="shared" si="10"/>
        <v>23</v>
      </c>
      <c r="AI27" s="17">
        <f t="shared" si="11"/>
        <v>48</v>
      </c>
      <c r="AJ27" s="17">
        <f t="shared" si="12"/>
        <v>39</v>
      </c>
      <c r="AK27" s="17">
        <f t="shared" si="13"/>
        <v>32</v>
      </c>
      <c r="AL27" s="126">
        <f t="shared" si="14"/>
        <v>27.5</v>
      </c>
      <c r="AM27" s="17">
        <f t="shared" si="15"/>
        <v>23</v>
      </c>
      <c r="AN27" s="17">
        <f t="shared" si="16"/>
        <v>48</v>
      </c>
      <c r="AO27" s="17" t="str">
        <f t="shared" si="17"/>
        <v>-</v>
      </c>
      <c r="AP27" s="17" t="str">
        <f t="shared" si="18"/>
        <v>UPCOMING</v>
      </c>
      <c r="AQ27" s="131">
        <f t="shared" si="19"/>
        <v>54</v>
      </c>
      <c r="AR27" s="131">
        <f t="shared" si="20"/>
        <v>16.82842712</v>
      </c>
      <c r="AS27" s="131">
        <f t="shared" si="21"/>
        <v>11</v>
      </c>
      <c r="AT27" s="131"/>
      <c r="AU27" s="133"/>
      <c r="AV27" s="217">
        <v>1.0</v>
      </c>
      <c r="AW27" s="203">
        <f t="shared" ref="AW27:AW31" si="53">INDEX($Q:$Q, MATCH(AV19,$AI:$AI,0))</f>
        <v>136.87</v>
      </c>
      <c r="AX27" s="200">
        <f>Settings!$R$3</f>
        <v>2025</v>
      </c>
      <c r="AY27" s="217" t="str">
        <f t="shared" ref="AY27:AY31" si="54">INDEX($B:$B, MATCH(AV19,$AI:$AI,0))</f>
        <v>WEEK 3</v>
      </c>
      <c r="AZ27" s="205" t="str">
        <f t="shared" ref="AZ27:AZ31" si="55">INDEX($N:$N, MATCH(AV27,$AI:$AI,0))</f>
        <v>CHAMPS</v>
      </c>
      <c r="BA27" s="200" t="str">
        <f t="shared" ref="BA27:BA31" si="56">INDEX($O:$O, MATCH(AV27,$AI:$AI,0))</f>
        <v>DECOUPES</v>
      </c>
      <c r="BB27" s="200" t="str">
        <f t="array" ref="BB27">Settings!$R$3 &amp; " REG, PVE FFL GAME " &amp; INDEX($A:$A, MATCH(AV27,$AI:$AI,0))</f>
        <v>2025 REG, PVE FFL GAME 13</v>
      </c>
      <c r="BC27" s="375" t="str">
        <f t="shared" ref="BC27:BC31" si="57">INDEX($S:$S, MATCH(AV27,$AI:$AI,0))</f>
        <v/>
      </c>
      <c r="BD27" s="313"/>
      <c r="BE27" s="313"/>
      <c r="BF27" s="120"/>
      <c r="BG27" s="120"/>
      <c r="BH27" s="120"/>
      <c r="BI27" s="120"/>
      <c r="BJ27" s="120"/>
      <c r="BK27" s="120"/>
      <c r="BL27" s="120"/>
      <c r="BM27" s="120"/>
      <c r="BN27" s="120"/>
      <c r="BO27" s="120"/>
      <c r="BP27" s="120"/>
      <c r="BQ27" s="120"/>
      <c r="BR27" s="120"/>
      <c r="BS27" s="120"/>
      <c r="BT27" s="120"/>
      <c r="BU27" s="120"/>
      <c r="BV27" s="120"/>
      <c r="BW27" s="313"/>
      <c r="BX27" s="313"/>
      <c r="BY27" s="313"/>
      <c r="BZ27" s="313"/>
      <c r="CA27" s="313"/>
      <c r="CB27" s="313"/>
      <c r="CC27" s="313"/>
      <c r="CD27" s="313"/>
      <c r="CE27" s="120"/>
      <c r="CF27" s="120"/>
      <c r="CG27" s="120"/>
      <c r="CH27" s="120"/>
    </row>
    <row r="28" ht="34.5" customHeight="1">
      <c r="A28" s="178">
        <v>27.0</v>
      </c>
      <c r="B28" s="181" t="str">
        <f t="array" ref="B28">INDEX(Settings!H$2:H$72, ROW())</f>
        <v>WEEK 6</v>
      </c>
      <c r="C28" s="182" t="str">
        <f t="array" ref="C28">INDEX(Settings!I$2:I$72, ROW())</f>
        <v>GAME 2</v>
      </c>
      <c r="D28" s="184">
        <f t="array" ref="D28">INDEX('BACKEND 1'!$V$28:$AK$38, MATCH(F28, 'BACKEND 1'!$V$28:$V$38, 0), MATCH(B28, 'BACKEND 1'!$V$28:$AK$28, 0))</f>
        <v>2</v>
      </c>
      <c r="E28" s="73" t="str">
        <f>VLOOKUP(F28, Settings!$A$3:$C$12, 3, FALSE)</f>
        <v>ESTEEMED</v>
      </c>
      <c r="F28" s="187" t="str">
        <f t="array" ref="F28">INDEX(Settings!J$2:J$72, ROW())</f>
        <v>MUTTS</v>
      </c>
      <c r="G28" s="189">
        <f>SUMIFS('All-Stars'!E:E, 'All-Stars'!B:B, F28, 'All-Stars'!F:F, B28)</f>
        <v>162.92</v>
      </c>
      <c r="H28" s="190">
        <f>SUMIFS('All-Stars'!E:E, 'All-Stars'!B:B, I28, 'All-Stars'!F:F, B28)</f>
        <v>127.98</v>
      </c>
      <c r="I28" s="191" t="str">
        <f t="array" ref="I28">INDEX(Settings!K$2:K$72, ROW())</f>
        <v>YARDIES</v>
      </c>
      <c r="J28" s="88" t="str">
        <f>VLOOKUP(I28, Settings!$A$3:$C$12, 3, FALSE)</f>
        <v>ESTEEMED</v>
      </c>
      <c r="K28" s="191">
        <f t="array" ref="K28">INDEX('BACKEND 1'!$V$28:$AK$38, MATCH(I28, 'BACKEND 1'!$V$28:$V$38, 0), MATCH(B28, 'BACKEND 1'!$V$28:$AK$28, 0))</f>
        <v>3</v>
      </c>
      <c r="L28" s="95">
        <f t="array" ref="L28">IFERROR(IF(D28=0,"-",INDEX('BACKEND 1'!$V$54:$AF$64, MATCH(D28, 'BACKEND 1'!$V$54:$V$64, 0), MATCH(K28, 'BACKEND 1'!$V$54:$AF$54, 0))),"-")</f>
        <v>4.707106781</v>
      </c>
      <c r="M28" s="192">
        <f>_xlfn.RANK.EQ(L28,L27:L31,1)</f>
        <v>1</v>
      </c>
      <c r="N28" s="193" t="str">
        <f t="shared" si="1"/>
        <v>MUTTS</v>
      </c>
      <c r="O28" s="194" t="str">
        <f t="shared" si="2"/>
        <v>YARDIES</v>
      </c>
      <c r="P28" s="195" t="str">
        <f t="shared" si="3"/>
        <v/>
      </c>
      <c r="Q28" s="196">
        <f t="shared" si="4"/>
        <v>34.94</v>
      </c>
      <c r="R28" s="196">
        <f t="shared" si="5"/>
        <v>290.9</v>
      </c>
      <c r="S28" s="197" t="str">
        <f t="shared" si="6"/>
        <v>MOTW</v>
      </c>
      <c r="T28" s="113"/>
      <c r="U28" s="198" t="str">
        <f t="shared" si="7"/>
        <v/>
      </c>
      <c r="V28" s="113">
        <v>6.0</v>
      </c>
      <c r="W28" s="114">
        <f t="shared" si="8"/>
        <v>1</v>
      </c>
      <c r="X28" s="114">
        <f t="shared" si="9"/>
        <v>0</v>
      </c>
      <c r="Y28" s="120"/>
      <c r="Z28" s="120"/>
      <c r="AA28" s="120"/>
      <c r="AB28" s="120"/>
      <c r="AC28" s="120"/>
      <c r="AD28" s="120"/>
      <c r="AE28" s="120"/>
      <c r="AF28" s="120"/>
      <c r="AG28" s="120"/>
      <c r="AH28" s="17">
        <f t="shared" si="10"/>
        <v>36</v>
      </c>
      <c r="AI28" s="17">
        <f t="shared" si="11"/>
        <v>35</v>
      </c>
      <c r="AJ28" s="17">
        <f t="shared" si="12"/>
        <v>18</v>
      </c>
      <c r="AK28" s="17">
        <f t="shared" si="13"/>
        <v>53</v>
      </c>
      <c r="AL28" s="126">
        <f t="shared" si="14"/>
        <v>44.5</v>
      </c>
      <c r="AM28" s="17">
        <f t="shared" si="15"/>
        <v>51</v>
      </c>
      <c r="AN28" s="17">
        <f t="shared" si="16"/>
        <v>20</v>
      </c>
      <c r="AO28" s="17">
        <f t="shared" si="17"/>
        <v>44.5</v>
      </c>
      <c r="AP28" s="17">
        <f t="shared" si="18"/>
        <v>13</v>
      </c>
      <c r="AQ28" s="131">
        <f t="shared" si="19"/>
        <v>3</v>
      </c>
      <c r="AR28" s="131" t="str">
        <f t="shared" si="20"/>
        <v>NO UPSET</v>
      </c>
      <c r="AS28" s="131" t="str">
        <f t="shared" si="21"/>
        <v>-</v>
      </c>
      <c r="AT28" s="131"/>
      <c r="AU28" s="133"/>
      <c r="AV28" s="217">
        <v>2.0</v>
      </c>
      <c r="AW28" s="203">
        <f t="shared" si="53"/>
        <v>97.04</v>
      </c>
      <c r="AX28" s="200">
        <f>Settings!$R$3</f>
        <v>2025</v>
      </c>
      <c r="AY28" s="217" t="str">
        <f t="shared" si="54"/>
        <v>WEEK 3</v>
      </c>
      <c r="AZ28" s="205" t="str">
        <f t="shared" si="55"/>
        <v>GREEN</v>
      </c>
      <c r="BA28" s="200" t="str">
        <f t="shared" si="56"/>
        <v>YARDIES</v>
      </c>
      <c r="BB28" s="200" t="str">
        <f t="array" ref="BB28">Settings!$R$3 &amp; " REG, PVE FFL GAME " &amp; INDEX($A:$A, MATCH(AV28,$AI:$AI,0))</f>
        <v>2025 REG, PVE FFL GAME 14</v>
      </c>
      <c r="BC28" s="375" t="str">
        <f t="shared" si="57"/>
        <v/>
      </c>
      <c r="BD28" s="313"/>
      <c r="BE28" s="313"/>
      <c r="BF28" s="120"/>
      <c r="BG28" s="120"/>
      <c r="BH28" s="120"/>
      <c r="BI28" s="120"/>
      <c r="BJ28" s="120"/>
      <c r="BK28" s="120"/>
      <c r="BL28" s="120"/>
      <c r="BM28" s="120"/>
      <c r="BN28" s="120"/>
      <c r="BO28" s="120"/>
      <c r="BP28" s="120"/>
      <c r="BQ28" s="120"/>
      <c r="BR28" s="120"/>
      <c r="BS28" s="120"/>
      <c r="BT28" s="120"/>
      <c r="BU28" s="120"/>
      <c r="BV28" s="120"/>
      <c r="BW28" s="313"/>
      <c r="BX28" s="313"/>
      <c r="BY28" s="313"/>
      <c r="BZ28" s="313"/>
      <c r="CA28" s="313"/>
      <c r="CB28" s="313"/>
      <c r="CC28" s="313"/>
      <c r="CD28" s="313"/>
      <c r="CE28" s="120"/>
      <c r="CF28" s="120"/>
      <c r="CG28" s="120"/>
      <c r="CH28" s="120"/>
    </row>
    <row r="29" ht="34.5" customHeight="1">
      <c r="A29" s="52">
        <v>28.0</v>
      </c>
      <c r="B29" s="181" t="str">
        <f t="array" ref="B29">INDEX(Settings!H$2:H$72, ROW())</f>
        <v>WEEK 6</v>
      </c>
      <c r="C29" s="182" t="str">
        <f t="array" ref="C29">INDEX(Settings!I$2:I$72, ROW())</f>
        <v>GAME 3</v>
      </c>
      <c r="D29" s="184">
        <f t="array" ref="D29">INDEX('BACKEND 1'!$V$28:$AK$38, MATCH(F29, 'BACKEND 1'!$V$28:$V$38, 0), MATCH(B29, 'BACKEND 1'!$V$28:$AK$28, 0))</f>
        <v>5</v>
      </c>
      <c r="E29" s="73" t="str">
        <f>VLOOKUP(F29, Settings!$A$3:$C$12, 3, FALSE)</f>
        <v>PRODIGY</v>
      </c>
      <c r="F29" s="187" t="str">
        <f t="array" ref="F29">INDEX(Settings!J$2:J$72, ROW())</f>
        <v>DECOUPES</v>
      </c>
      <c r="G29" s="189">
        <f>SUMIFS('All-Stars'!E:E, 'All-Stars'!B:B, F29, 'All-Stars'!F:F, B29)</f>
        <v>141.19</v>
      </c>
      <c r="H29" s="190">
        <f>SUMIFS('All-Stars'!E:E, 'All-Stars'!B:B, I29, 'All-Stars'!F:F, B29)</f>
        <v>110.89</v>
      </c>
      <c r="I29" s="191" t="str">
        <f t="array" ref="I29">INDEX(Settings!K$2:K$72, ROW())</f>
        <v>POPEYES</v>
      </c>
      <c r="J29" s="88" t="str">
        <f>VLOOKUP(I29, Settings!$A$3:$C$12, 3, FALSE)</f>
        <v>PRODIGY</v>
      </c>
      <c r="K29" s="191">
        <f t="array" ref="K29">INDEX('BACKEND 1'!$V$28:$AK$38, MATCH(I29, 'BACKEND 1'!$V$28:$V$38, 0), MATCH(B29, 'BACKEND 1'!$V$28:$AK$28, 0))</f>
        <v>1</v>
      </c>
      <c r="L29" s="95">
        <f t="array" ref="L29">IFERROR(IF(D29=0,"-",INDEX('BACKEND 1'!$V$54:$AF$64, MATCH(D29, 'BACKEND 1'!$V$54:$V$64, 0), MATCH(K29, 'BACKEND 1'!$V$54:$AF$54, 0))),"-")</f>
        <v>11.82842712</v>
      </c>
      <c r="M29" s="192">
        <f>_xlfn.RANK.EQ(L29,L27:L31,1)</f>
        <v>3</v>
      </c>
      <c r="N29" s="193" t="str">
        <f t="shared" si="1"/>
        <v>DECOUPES</v>
      </c>
      <c r="O29" s="194" t="str">
        <f t="shared" si="2"/>
        <v>POPEYES</v>
      </c>
      <c r="P29" s="195" t="str">
        <f t="shared" si="3"/>
        <v/>
      </c>
      <c r="Q29" s="196">
        <f t="shared" si="4"/>
        <v>30.3</v>
      </c>
      <c r="R29" s="196">
        <f t="shared" si="5"/>
        <v>252.08</v>
      </c>
      <c r="S29" s="197" t="str">
        <f t="shared" si="6"/>
        <v/>
      </c>
      <c r="T29" s="113"/>
      <c r="U29" s="198" t="str">
        <f t="shared" si="7"/>
        <v>UPSET</v>
      </c>
      <c r="V29" s="113">
        <v>6.0</v>
      </c>
      <c r="W29" s="114">
        <f t="shared" si="8"/>
        <v>1</v>
      </c>
      <c r="X29" s="114">
        <f t="shared" si="9"/>
        <v>0</v>
      </c>
      <c r="Y29" s="120"/>
      <c r="Z29" s="120"/>
      <c r="AA29" s="120"/>
      <c r="AB29" s="120"/>
      <c r="AC29" s="120"/>
      <c r="AD29" s="120"/>
      <c r="AE29" s="120"/>
      <c r="AF29" s="120"/>
      <c r="AG29" s="120"/>
      <c r="AH29" s="17">
        <f t="shared" si="10"/>
        <v>30</v>
      </c>
      <c r="AI29" s="17">
        <f t="shared" si="11"/>
        <v>41</v>
      </c>
      <c r="AJ29" s="17">
        <f t="shared" si="12"/>
        <v>2</v>
      </c>
      <c r="AK29" s="17">
        <f t="shared" si="13"/>
        <v>69</v>
      </c>
      <c r="AL29" s="126">
        <f t="shared" si="14"/>
        <v>49.5</v>
      </c>
      <c r="AM29" s="17">
        <f t="shared" si="15"/>
        <v>58</v>
      </c>
      <c r="AN29" s="17">
        <f t="shared" si="16"/>
        <v>13</v>
      </c>
      <c r="AO29" s="17" t="str">
        <f t="shared" si="17"/>
        <v>-</v>
      </c>
      <c r="AP29" s="17" t="str">
        <f t="shared" si="18"/>
        <v>UPCOMING</v>
      </c>
      <c r="AQ29" s="131">
        <f t="shared" si="19"/>
        <v>34</v>
      </c>
      <c r="AR29" s="131">
        <f t="shared" si="20"/>
        <v>11.82842712</v>
      </c>
      <c r="AS29" s="131">
        <f t="shared" si="21"/>
        <v>18</v>
      </c>
      <c r="AT29" s="131"/>
      <c r="AU29" s="133"/>
      <c r="AV29" s="217">
        <v>3.0</v>
      </c>
      <c r="AW29" s="203">
        <f t="shared" si="53"/>
        <v>84.55</v>
      </c>
      <c r="AX29" s="200">
        <f>Settings!$R$3</f>
        <v>2025</v>
      </c>
      <c r="AY29" s="217" t="str">
        <f t="shared" si="54"/>
        <v>WEEK 13</v>
      </c>
      <c r="AZ29" s="205" t="str">
        <f t="shared" si="55"/>
        <v>DECOUPES</v>
      </c>
      <c r="BA29" s="200" t="str">
        <f t="shared" si="56"/>
        <v>SAVAGES</v>
      </c>
      <c r="BB29" s="200" t="str">
        <f t="array" ref="BB29">Settings!$R$3 &amp; " REG, PVE FFL GAME " &amp; INDEX($A:$A, MATCH(AV29,$AI:$AI,0))</f>
        <v>2025 REG, PVE FFL GAME 62</v>
      </c>
      <c r="BC29" s="375" t="str">
        <f t="shared" si="57"/>
        <v/>
      </c>
      <c r="BD29" s="313"/>
      <c r="BE29" s="313"/>
      <c r="BF29" s="120"/>
      <c r="BG29" s="120"/>
      <c r="BH29" s="120"/>
      <c r="BI29" s="120"/>
      <c r="BJ29" s="120"/>
      <c r="BK29" s="120"/>
      <c r="BL29" s="120"/>
      <c r="BM29" s="120"/>
      <c r="BN29" s="120"/>
      <c r="BO29" s="120"/>
      <c r="BP29" s="120"/>
      <c r="BQ29" s="120"/>
      <c r="BR29" s="120"/>
      <c r="BS29" s="120"/>
      <c r="BT29" s="120"/>
      <c r="BU29" s="120"/>
      <c r="BV29" s="120"/>
      <c r="BW29" s="313"/>
      <c r="BX29" s="313"/>
      <c r="BY29" s="313"/>
      <c r="BZ29" s="313"/>
      <c r="CA29" s="313"/>
      <c r="CB29" s="313"/>
      <c r="CC29" s="313"/>
      <c r="CD29" s="313"/>
      <c r="CE29" s="120"/>
      <c r="CF29" s="120"/>
      <c r="CG29" s="120"/>
      <c r="CH29" s="120"/>
    </row>
    <row r="30" ht="34.5" customHeight="1">
      <c r="A30" s="178">
        <v>29.0</v>
      </c>
      <c r="B30" s="181" t="str">
        <f t="array" ref="B30">INDEX(Settings!H$2:H$72, ROW())</f>
        <v>WEEK 6</v>
      </c>
      <c r="C30" s="182" t="str">
        <f t="array" ref="C30">INDEX(Settings!I$2:I$72, ROW())</f>
        <v>GAME 4</v>
      </c>
      <c r="D30" s="184">
        <f t="array" ref="D30">INDEX('BACKEND 1'!$V$28:$AK$38, MATCH(F30, 'BACKEND 1'!$V$28:$V$38, 0), MATCH(B30, 'BACKEND 1'!$V$28:$AK$28, 0))</f>
        <v>9</v>
      </c>
      <c r="E30" s="73" t="str">
        <f>VLOOKUP(F30, Settings!$A$3:$C$12, 3, FALSE)</f>
        <v>PRODIGY</v>
      </c>
      <c r="F30" s="187" t="str">
        <f t="array" ref="F30">INDEX(Settings!J$2:J$72, ROW())</f>
        <v>KINGS</v>
      </c>
      <c r="G30" s="189">
        <f>SUMIFS('All-Stars'!E:E, 'All-Stars'!B:B, F30, 'All-Stars'!F:F, B30)</f>
        <v>154.16</v>
      </c>
      <c r="H30" s="190">
        <f>SUMIFS('All-Stars'!E:E, 'All-Stars'!B:B, I30, 'All-Stars'!F:F, B30)</f>
        <v>191</v>
      </c>
      <c r="I30" s="191" t="str">
        <f t="array" ref="I30">INDEX(Settings!K$2:K$72, ROW())</f>
        <v>GREEN</v>
      </c>
      <c r="J30" s="88" t="str">
        <f>VLOOKUP(I30, Settings!$A$3:$C$12, 3, FALSE)</f>
        <v>PRODIGY</v>
      </c>
      <c r="K30" s="191">
        <f t="array" ref="K30">INDEX('BACKEND 1'!$V$28:$AK$38, MATCH(I30, 'BACKEND 1'!$V$28:$V$38, 0), MATCH(B30, 'BACKEND 1'!$V$28:$AK$28, 0))</f>
        <v>4</v>
      </c>
      <c r="L30" s="95">
        <f t="array" ref="L30">IFERROR(IF(D30=0,"-",INDEX('BACKEND 1'!$V$54:$AF$64, MATCH(D30, 'BACKEND 1'!$V$54:$V$64, 0), MATCH(K30, 'BACKEND 1'!$V$54:$AF$54, 0))),"-")</f>
        <v>17.53553391</v>
      </c>
      <c r="M30" s="192">
        <f>_xlfn.RANK.EQ(L30,L27:L31,1)</f>
        <v>5</v>
      </c>
      <c r="N30" s="193" t="str">
        <f t="shared" si="1"/>
        <v>GREEN</v>
      </c>
      <c r="O30" s="194" t="str">
        <f t="shared" si="2"/>
        <v>KINGS</v>
      </c>
      <c r="P30" s="195" t="str">
        <f t="shared" si="3"/>
        <v/>
      </c>
      <c r="Q30" s="196">
        <f t="shared" si="4"/>
        <v>36.84</v>
      </c>
      <c r="R30" s="196">
        <f t="shared" si="5"/>
        <v>345.16</v>
      </c>
      <c r="S30" s="197" t="str">
        <f t="shared" si="6"/>
        <v/>
      </c>
      <c r="T30" s="113"/>
      <c r="U30" s="198" t="str">
        <f t="shared" si="7"/>
        <v/>
      </c>
      <c r="V30" s="113">
        <v>6.0</v>
      </c>
      <c r="W30" s="114">
        <f t="shared" si="8"/>
        <v>0</v>
      </c>
      <c r="X30" s="114">
        <f t="shared" si="9"/>
        <v>0</v>
      </c>
      <c r="Y30" s="120"/>
      <c r="Z30" s="120"/>
      <c r="AA30" s="120"/>
      <c r="AB30" s="120"/>
      <c r="AC30" s="120"/>
      <c r="AD30" s="120"/>
      <c r="AE30" s="120"/>
      <c r="AF30" s="120"/>
      <c r="AG30" s="120"/>
      <c r="AH30" s="17">
        <f t="shared" si="10"/>
        <v>39</v>
      </c>
      <c r="AI30" s="17">
        <f t="shared" si="11"/>
        <v>32</v>
      </c>
      <c r="AJ30" s="17">
        <f t="shared" si="12"/>
        <v>52</v>
      </c>
      <c r="AK30" s="17">
        <f t="shared" si="13"/>
        <v>19</v>
      </c>
      <c r="AL30" s="126">
        <f t="shared" si="14"/>
        <v>29</v>
      </c>
      <c r="AM30" s="17">
        <f t="shared" si="15"/>
        <v>24</v>
      </c>
      <c r="AN30" s="17">
        <f t="shared" si="16"/>
        <v>47</v>
      </c>
      <c r="AO30" s="17" t="str">
        <f t="shared" si="17"/>
        <v>-</v>
      </c>
      <c r="AP30" s="17" t="str">
        <f t="shared" si="18"/>
        <v>UPCOMING</v>
      </c>
      <c r="AQ30" s="131">
        <f t="shared" si="19"/>
        <v>57</v>
      </c>
      <c r="AR30" s="131" t="str">
        <f t="shared" si="20"/>
        <v>NO UPSET</v>
      </c>
      <c r="AS30" s="131" t="str">
        <f t="shared" si="21"/>
        <v>-</v>
      </c>
      <c r="AT30" s="131"/>
      <c r="AU30" s="133"/>
      <c r="AV30" s="217">
        <v>4.0</v>
      </c>
      <c r="AW30" s="203">
        <f t="shared" si="53"/>
        <v>79.69</v>
      </c>
      <c r="AX30" s="200">
        <f>Settings!$R$3</f>
        <v>2025</v>
      </c>
      <c r="AY30" s="217" t="str">
        <f t="shared" si="54"/>
        <v>WEEK 2</v>
      </c>
      <c r="AZ30" s="205" t="str">
        <f t="shared" si="55"/>
        <v>MUTTS</v>
      </c>
      <c r="BA30" s="200" t="str">
        <f t="shared" si="56"/>
        <v>CHAMPS</v>
      </c>
      <c r="BB30" s="200" t="str">
        <f t="array" ref="BB30">Settings!$R$3 &amp; " REG, PVE FFL GAME " &amp; INDEX($A:$A, MATCH(AV30,$AI:$AI,0))</f>
        <v>2025 REG, PVE FFL GAME 7</v>
      </c>
      <c r="BC30" s="375" t="str">
        <f t="shared" si="57"/>
        <v>MOTW</v>
      </c>
      <c r="BD30" s="313"/>
      <c r="BE30" s="313"/>
      <c r="BF30" s="120"/>
      <c r="BG30" s="120"/>
      <c r="BH30" s="120"/>
      <c r="BI30" s="120"/>
      <c r="BJ30" s="120"/>
      <c r="BK30" s="120"/>
      <c r="BL30" s="120"/>
      <c r="BM30" s="120"/>
      <c r="BN30" s="120"/>
      <c r="BO30" s="120"/>
      <c r="BP30" s="120"/>
      <c r="BQ30" s="120"/>
      <c r="BR30" s="120"/>
      <c r="BS30" s="120"/>
      <c r="BT30" s="120"/>
      <c r="BU30" s="120"/>
      <c r="BV30" s="120"/>
      <c r="BW30" s="313"/>
      <c r="BX30" s="313"/>
      <c r="BY30" s="313"/>
      <c r="BZ30" s="313"/>
      <c r="CA30" s="313"/>
      <c r="CB30" s="313"/>
      <c r="CC30" s="313"/>
      <c r="CD30" s="313"/>
      <c r="CE30" s="120"/>
      <c r="CF30" s="120"/>
      <c r="CG30" s="120"/>
      <c r="CH30" s="120"/>
    </row>
    <row r="31" ht="34.5" customHeight="1">
      <c r="A31" s="178">
        <v>30.0</v>
      </c>
      <c r="B31" s="235" t="str">
        <f t="array" ref="B31">INDEX(Settings!H$2:H$72, ROW())</f>
        <v>WEEK 6</v>
      </c>
      <c r="C31" s="236" t="str">
        <f t="array" ref="C31">INDEX(Settings!I$2:I$72, ROW())</f>
        <v>GAME 5</v>
      </c>
      <c r="D31" s="237">
        <f t="array" ref="D31">INDEX('BACKEND 1'!$V$28:$AK$38, MATCH(F31, 'BACKEND 1'!$V$28:$V$38, 0), MATCH(B31, 'BACKEND 1'!$V$28:$AK$28, 0))</f>
        <v>7</v>
      </c>
      <c r="E31" s="73" t="str">
        <f>VLOOKUP(F31, Settings!$A$3:$C$12, 3, FALSE)</f>
        <v>PRODIGY</v>
      </c>
      <c r="F31" s="238" t="str">
        <f t="array" ref="F31">INDEX(Settings!J$2:J$72, ROW())</f>
        <v>SAVAGES</v>
      </c>
      <c r="G31" s="239">
        <f>SUMIFS('All-Stars'!E:E, 'All-Stars'!B:B, F31, 'All-Stars'!F:F, B31)</f>
        <v>154.82</v>
      </c>
      <c r="H31" s="240">
        <f>SUMIFS('All-Stars'!E:E, 'All-Stars'!B:B, I31, 'All-Stars'!F:F, B31)</f>
        <v>153.82</v>
      </c>
      <c r="I31" s="241" t="str">
        <f t="array" ref="I31">INDEX(Settings!K$2:K$72, ROW())</f>
        <v>METAMOOKDAWGS</v>
      </c>
      <c r="J31" s="88" t="str">
        <f>VLOOKUP(I31, Settings!$A$3:$C$12, 3, FALSE)</f>
        <v>ESTEEMED</v>
      </c>
      <c r="K31" s="241">
        <f t="array" ref="K31">INDEX('BACKEND 1'!$V$28:$AK$38, MATCH(I31, 'BACKEND 1'!$V$28:$V$38, 0), MATCH(B31, 'BACKEND 1'!$V$28:$AK$28, 0))</f>
        <v>8</v>
      </c>
      <c r="L31" s="95">
        <f t="array" ref="L31">IFERROR(IF(D31=0,"-",INDEX('BACKEND 1'!$V$54:$AF$64, MATCH(D31, 'BACKEND 1'!$V$54:$V$64, 0), MATCH(K31, 'BACKEND 1'!$V$54:$AF$54, 0))),"-")</f>
        <v>9.707106781</v>
      </c>
      <c r="M31" s="242">
        <f>_xlfn.RANK.EQ(L31,L27:L31,1)</f>
        <v>2</v>
      </c>
      <c r="N31" s="243" t="str">
        <f t="shared" si="1"/>
        <v>SAVAGES</v>
      </c>
      <c r="O31" s="244" t="str">
        <f t="shared" si="2"/>
        <v>METAMOOKDAWGS</v>
      </c>
      <c r="P31" s="245" t="str">
        <f t="shared" si="3"/>
        <v/>
      </c>
      <c r="Q31" s="246">
        <f t="shared" si="4"/>
        <v>1</v>
      </c>
      <c r="R31" s="246">
        <f t="shared" si="5"/>
        <v>308.64</v>
      </c>
      <c r="S31" s="247" t="str">
        <f t="shared" si="6"/>
        <v/>
      </c>
      <c r="T31" s="248"/>
      <c r="U31" s="249" t="str">
        <f t="shared" si="7"/>
        <v/>
      </c>
      <c r="V31" s="113">
        <v>6.0</v>
      </c>
      <c r="W31" s="114">
        <f t="shared" si="8"/>
        <v>1</v>
      </c>
      <c r="X31" s="114">
        <f t="shared" si="9"/>
        <v>0</v>
      </c>
      <c r="Y31" s="120"/>
      <c r="Z31" s="120"/>
      <c r="AA31" s="120"/>
      <c r="AB31" s="120"/>
      <c r="AC31" s="120"/>
      <c r="AD31" s="120"/>
      <c r="AE31" s="120"/>
      <c r="AF31" s="120"/>
      <c r="AG31" s="120"/>
      <c r="AH31" s="17">
        <f t="shared" si="10"/>
        <v>2</v>
      </c>
      <c r="AI31" s="17">
        <f t="shared" si="11"/>
        <v>69</v>
      </c>
      <c r="AJ31" s="17">
        <f t="shared" si="12"/>
        <v>27</v>
      </c>
      <c r="AK31" s="17">
        <f t="shared" si="13"/>
        <v>44</v>
      </c>
      <c r="AL31" s="126">
        <f t="shared" si="14"/>
        <v>23</v>
      </c>
      <c r="AM31" s="17">
        <f t="shared" si="15"/>
        <v>12</v>
      </c>
      <c r="AN31" s="17">
        <f t="shared" si="16"/>
        <v>59</v>
      </c>
      <c r="AO31" s="17" t="str">
        <f t="shared" si="17"/>
        <v>-</v>
      </c>
      <c r="AP31" s="17" t="str">
        <f t="shared" si="18"/>
        <v>UPCOMING</v>
      </c>
      <c r="AQ31" s="131">
        <f t="shared" si="19"/>
        <v>18</v>
      </c>
      <c r="AR31" s="131" t="str">
        <f t="shared" si="20"/>
        <v>NO UPSET</v>
      </c>
      <c r="AS31" s="131" t="str">
        <f t="shared" si="21"/>
        <v>-</v>
      </c>
      <c r="AT31" s="131"/>
      <c r="AU31" s="133"/>
      <c r="AV31" s="217">
        <v>5.0</v>
      </c>
      <c r="AW31" s="203">
        <f t="shared" si="53"/>
        <v>72.39</v>
      </c>
      <c r="AX31" s="200">
        <f>Settings!$R$3</f>
        <v>2025</v>
      </c>
      <c r="AY31" s="217" t="str">
        <f t="shared" si="54"/>
        <v>WEEK 12</v>
      </c>
      <c r="AZ31" s="205" t="str">
        <f t="shared" si="55"/>
        <v>DECOUPES</v>
      </c>
      <c r="BA31" s="200" t="str">
        <f t="shared" si="56"/>
        <v>METAMOOKDAWGS</v>
      </c>
      <c r="BB31" s="200" t="str">
        <f t="array" ref="BB31">Settings!$R$3 &amp; " REG, PVE FFL GAME " &amp; INDEX($A:$A, MATCH(AV31,$AI:$AI,0))</f>
        <v>2025 REG, PVE FFL GAME 58</v>
      </c>
      <c r="BC31" s="375" t="str">
        <f t="shared" si="57"/>
        <v/>
      </c>
      <c r="BD31" s="313"/>
      <c r="BE31" s="313"/>
      <c r="BF31" s="120"/>
      <c r="BG31" s="120"/>
      <c r="BH31" s="120"/>
      <c r="BI31" s="120"/>
      <c r="BJ31" s="120"/>
      <c r="BK31" s="120"/>
      <c r="BL31" s="120"/>
      <c r="BM31" s="120"/>
      <c r="BN31" s="120"/>
      <c r="BO31" s="120"/>
      <c r="BP31" s="120"/>
      <c r="BQ31" s="120"/>
      <c r="BR31" s="120"/>
      <c r="BS31" s="120"/>
      <c r="BT31" s="120"/>
      <c r="BU31" s="120"/>
      <c r="BV31" s="120"/>
      <c r="BW31" s="313"/>
      <c r="BX31" s="313"/>
      <c r="BY31" s="313"/>
      <c r="BZ31" s="313"/>
      <c r="CA31" s="313"/>
      <c r="CB31" s="313"/>
      <c r="CC31" s="313"/>
      <c r="CD31" s="313"/>
      <c r="CE31" s="120"/>
      <c r="CF31" s="120"/>
      <c r="CG31" s="120"/>
      <c r="CH31" s="120"/>
    </row>
    <row r="32" ht="34.5" customHeight="1">
      <c r="A32" s="52">
        <v>31.0</v>
      </c>
      <c r="B32" s="268" t="str">
        <f t="array" ref="B32">INDEX(Settings!H$2:H$72, ROW())</f>
        <v>WEEK 7</v>
      </c>
      <c r="C32" s="270" t="str">
        <f t="array" ref="C32">INDEX(Settings!I$2:I$72, ROW())</f>
        <v>GAME 1</v>
      </c>
      <c r="D32" s="273">
        <f t="array" ref="D32">INDEX('BACKEND 1'!$V$28:$AK$38, MATCH(F32, 'BACKEND 1'!$V$28:$V$38, 0), MATCH(B32, 'BACKEND 1'!$V$28:$AK$28, 0))</f>
        <v>10</v>
      </c>
      <c r="E32" s="73" t="str">
        <f>VLOOKUP(F32, Settings!$A$3:$C$12, 3, FALSE)</f>
        <v>ESTEEMED</v>
      </c>
      <c r="F32" s="275" t="str">
        <f t="array" ref="F32">INDEX(Settings!J$2:J$72, ROW())</f>
        <v>EAGLES</v>
      </c>
      <c r="G32" s="277">
        <f>SUMIFS('All-Stars'!E:E, 'All-Stars'!B:B, F32, 'All-Stars'!F:F, B32)</f>
        <v>153.49</v>
      </c>
      <c r="H32" s="280">
        <f>SUMIFS('All-Stars'!E:E, 'All-Stars'!B:B, I32, 'All-Stars'!F:F, B32)</f>
        <v>131.61</v>
      </c>
      <c r="I32" s="281" t="str">
        <f t="array" ref="I32">INDEX(Settings!K$2:K$72, ROW())</f>
        <v>YARDIES</v>
      </c>
      <c r="J32" s="88" t="str">
        <f>VLOOKUP(I32, Settings!$A$3:$C$12, 3, FALSE)</f>
        <v>ESTEEMED</v>
      </c>
      <c r="K32" s="281">
        <f t="array" ref="K32">INDEX('BACKEND 1'!$V$28:$AK$38, MATCH(I32, 'BACKEND 1'!$V$28:$V$38, 0), MATCH(B32, 'BACKEND 1'!$V$28:$AK$28, 0))</f>
        <v>3</v>
      </c>
      <c r="L32" s="95">
        <f t="array" ref="L32">IFERROR(IF(D32=0,"-",INDEX('BACKEND 1'!$V$54:$AF$64, MATCH(D32, 'BACKEND 1'!$V$54:$V$64, 0), MATCH(K32, 'BACKEND 1'!$V$54:$AF$54, 0))),"-")</f>
        <v>21.94974747</v>
      </c>
      <c r="M32" s="98">
        <f>_xlfn.RANK.EQ(L32,L32:L36,1)</f>
        <v>5</v>
      </c>
      <c r="N32" s="100" t="str">
        <f t="shared" si="1"/>
        <v>EAGLES</v>
      </c>
      <c r="O32" s="103" t="str">
        <f t="shared" si="2"/>
        <v>YARDIES</v>
      </c>
      <c r="P32" s="105" t="str">
        <f t="shared" si="3"/>
        <v/>
      </c>
      <c r="Q32" s="107">
        <f t="shared" si="4"/>
        <v>21.88</v>
      </c>
      <c r="R32" s="107">
        <f t="shared" si="5"/>
        <v>285.1</v>
      </c>
      <c r="S32" s="110" t="str">
        <f t="shared" si="6"/>
        <v/>
      </c>
      <c r="T32" s="111"/>
      <c r="U32" s="112" t="str">
        <f t="shared" si="7"/>
        <v>UPSET</v>
      </c>
      <c r="V32" s="113">
        <v>7.0</v>
      </c>
      <c r="W32" s="114">
        <f t="shared" si="8"/>
        <v>1</v>
      </c>
      <c r="X32" s="114">
        <f t="shared" si="9"/>
        <v>0</v>
      </c>
      <c r="Y32" s="120"/>
      <c r="Z32" s="120"/>
      <c r="AA32" s="120"/>
      <c r="AB32" s="120"/>
      <c r="AC32" s="120"/>
      <c r="AD32" s="120"/>
      <c r="AE32" s="120"/>
      <c r="AF32" s="120"/>
      <c r="AG32" s="120"/>
      <c r="AH32" s="17">
        <f t="shared" si="10"/>
        <v>18</v>
      </c>
      <c r="AI32" s="17">
        <f t="shared" si="11"/>
        <v>53</v>
      </c>
      <c r="AJ32" s="17">
        <f t="shared" si="12"/>
        <v>14</v>
      </c>
      <c r="AK32" s="17">
        <f t="shared" si="13"/>
        <v>57</v>
      </c>
      <c r="AL32" s="126">
        <f t="shared" si="14"/>
        <v>37.5</v>
      </c>
      <c r="AM32" s="17">
        <f t="shared" si="15"/>
        <v>40</v>
      </c>
      <c r="AN32" s="17">
        <f t="shared" si="16"/>
        <v>31</v>
      </c>
      <c r="AO32" s="17" t="str">
        <f t="shared" si="17"/>
        <v>-</v>
      </c>
      <c r="AP32" s="17" t="str">
        <f t="shared" si="18"/>
        <v>UPCOMING</v>
      </c>
      <c r="AQ32" s="131">
        <f t="shared" si="19"/>
        <v>66</v>
      </c>
      <c r="AR32" s="131">
        <f t="shared" si="20"/>
        <v>21.94974747</v>
      </c>
      <c r="AS32" s="131">
        <f t="shared" si="21"/>
        <v>2</v>
      </c>
      <c r="AT32" s="131"/>
      <c r="AU32" s="133"/>
      <c r="AV32" s="313"/>
      <c r="AW32" s="313"/>
      <c r="AX32" s="313"/>
      <c r="AY32" s="313"/>
      <c r="AZ32" s="313"/>
      <c r="BA32" s="313"/>
      <c r="BB32" s="313"/>
      <c r="BC32" s="313"/>
      <c r="BD32" s="313"/>
      <c r="BE32" s="313"/>
      <c r="BF32" s="120"/>
      <c r="BG32" s="120"/>
      <c r="BH32" s="120"/>
      <c r="BI32" s="120"/>
      <c r="BJ32" s="120"/>
      <c r="BK32" s="120"/>
      <c r="BL32" s="120"/>
      <c r="BM32" s="120"/>
      <c r="BN32" s="120"/>
      <c r="BO32" s="120"/>
      <c r="BP32" s="120"/>
      <c r="BQ32" s="120"/>
      <c r="BR32" s="120"/>
      <c r="BS32" s="120"/>
      <c r="BT32" s="120"/>
      <c r="BU32" s="120"/>
      <c r="BV32" s="120"/>
      <c r="BW32" s="313"/>
      <c r="BX32" s="313"/>
      <c r="BY32" s="313"/>
      <c r="BZ32" s="313"/>
      <c r="CA32" s="313"/>
      <c r="CB32" s="313"/>
      <c r="CC32" s="313"/>
      <c r="CD32" s="313"/>
      <c r="CE32" s="120"/>
      <c r="CF32" s="120"/>
      <c r="CG32" s="120"/>
      <c r="CH32" s="120"/>
    </row>
    <row r="33" ht="34.5" customHeight="1">
      <c r="A33" s="178">
        <v>32.0</v>
      </c>
      <c r="B33" s="300" t="str">
        <f t="array" ref="B33">INDEX(Settings!H$2:H$72, ROW())</f>
        <v>WEEK 7</v>
      </c>
      <c r="C33" s="302" t="str">
        <f t="array" ref="C33">INDEX(Settings!I$2:I$72, ROW())</f>
        <v>GAME 2</v>
      </c>
      <c r="D33" s="304">
        <f t="array" ref="D33">INDEX('BACKEND 1'!$V$28:$AK$38, MATCH(F33, 'BACKEND 1'!$V$28:$V$38, 0), MATCH(B33, 'BACKEND 1'!$V$28:$AK$28, 0))</f>
        <v>7</v>
      </c>
      <c r="E33" s="73" t="str">
        <f>VLOOKUP(F33, Settings!$A$3:$C$12, 3, FALSE)</f>
        <v>ESTEEMED</v>
      </c>
      <c r="F33" s="306" t="str">
        <f t="array" ref="F33">INDEX(Settings!J$2:J$72, ROW())</f>
        <v>CHAMPS</v>
      </c>
      <c r="G33" s="308">
        <f>SUMIFS('All-Stars'!E:E, 'All-Stars'!B:B, F33, 'All-Stars'!F:F, B33)</f>
        <v>169.29</v>
      </c>
      <c r="H33" s="309">
        <f>SUMIFS('All-Stars'!E:E, 'All-Stars'!B:B, I33, 'All-Stars'!F:F, B33)</f>
        <v>139.8</v>
      </c>
      <c r="I33" s="310" t="str">
        <f t="array" ref="I33">INDEX(Settings!K$2:K$72, ROW())</f>
        <v>METAMOOKDAWGS</v>
      </c>
      <c r="J33" s="88" t="str">
        <f>VLOOKUP(I33, Settings!$A$3:$C$12, 3, FALSE)</f>
        <v>ESTEEMED</v>
      </c>
      <c r="K33" s="310">
        <f t="array" ref="K33">INDEX('BACKEND 1'!$V$28:$AK$38, MATCH(I33, 'BACKEND 1'!$V$28:$V$38, 0), MATCH(B33, 'BACKEND 1'!$V$28:$AK$28, 0))</f>
        <v>8</v>
      </c>
      <c r="L33" s="95">
        <f t="array" ref="L33">IFERROR(IF(D33=0,"-",INDEX('BACKEND 1'!$V$54:$AF$64, MATCH(D33, 'BACKEND 1'!$V$54:$V$64, 0), MATCH(K33, 'BACKEND 1'!$V$54:$AF$54, 0))),"-")</f>
        <v>9.707106781</v>
      </c>
      <c r="M33" s="192">
        <f>_xlfn.RANK.EQ(L33,L32:L36,1)</f>
        <v>2</v>
      </c>
      <c r="N33" s="193" t="str">
        <f t="shared" si="1"/>
        <v>CHAMPS</v>
      </c>
      <c r="O33" s="194" t="str">
        <f t="shared" si="2"/>
        <v>METAMOOKDAWGS</v>
      </c>
      <c r="P33" s="195" t="str">
        <f t="shared" si="3"/>
        <v/>
      </c>
      <c r="Q33" s="196">
        <f t="shared" si="4"/>
        <v>29.49</v>
      </c>
      <c r="R33" s="196">
        <f t="shared" si="5"/>
        <v>309.09</v>
      </c>
      <c r="S33" s="197" t="str">
        <f t="shared" si="6"/>
        <v/>
      </c>
      <c r="T33" s="113"/>
      <c r="U33" s="198" t="str">
        <f t="shared" si="7"/>
        <v/>
      </c>
      <c r="V33" s="113">
        <v>7.0</v>
      </c>
      <c r="W33" s="114">
        <f t="shared" si="8"/>
        <v>1</v>
      </c>
      <c r="X33" s="114">
        <f t="shared" si="9"/>
        <v>0</v>
      </c>
      <c r="Y33" s="120"/>
      <c r="Z33" s="120"/>
      <c r="AA33" s="120"/>
      <c r="AB33" s="120"/>
      <c r="AC33" s="120"/>
      <c r="AD33" s="120"/>
      <c r="AE33" s="120"/>
      <c r="AF33" s="120"/>
      <c r="AG33" s="120"/>
      <c r="AH33" s="17">
        <f t="shared" si="10"/>
        <v>29</v>
      </c>
      <c r="AI33" s="17">
        <f t="shared" si="11"/>
        <v>42</v>
      </c>
      <c r="AJ33" s="17">
        <f t="shared" si="12"/>
        <v>29</v>
      </c>
      <c r="AK33" s="17">
        <f t="shared" si="13"/>
        <v>42</v>
      </c>
      <c r="AL33" s="126">
        <f t="shared" si="14"/>
        <v>35.5</v>
      </c>
      <c r="AM33" s="17">
        <f t="shared" si="15"/>
        <v>38</v>
      </c>
      <c r="AN33" s="17">
        <f t="shared" si="16"/>
        <v>33</v>
      </c>
      <c r="AO33" s="17" t="str">
        <f t="shared" si="17"/>
        <v>-</v>
      </c>
      <c r="AP33" s="17" t="str">
        <f t="shared" si="18"/>
        <v>UPCOMING</v>
      </c>
      <c r="AQ33" s="131">
        <f t="shared" si="19"/>
        <v>19</v>
      </c>
      <c r="AR33" s="131" t="str">
        <f t="shared" si="20"/>
        <v>NO UPSET</v>
      </c>
      <c r="AS33" s="131" t="str">
        <f t="shared" si="21"/>
        <v>-</v>
      </c>
      <c r="AT33" s="131"/>
      <c r="AU33" s="133"/>
      <c r="AV33" s="513" t="str">
        <f>"Top 5 " &amp; Settings!$R$3 &amp; " Regular Season Biggest Combined Scores - PVE FFL"</f>
        <v>Top 5 2025 Regular Season Biggest Combined Scores - PVE FFL</v>
      </c>
      <c r="AW33" s="514"/>
      <c r="AX33" s="514"/>
      <c r="AY33" s="514"/>
      <c r="AZ33" s="514"/>
      <c r="BA33" s="514"/>
      <c r="BB33" s="514"/>
      <c r="BC33" s="515"/>
      <c r="BD33" s="313"/>
      <c r="BE33" s="313"/>
      <c r="BF33" s="120"/>
      <c r="BG33" s="120"/>
      <c r="BH33" s="120"/>
      <c r="BI33" s="120"/>
      <c r="BJ33" s="120"/>
      <c r="BK33" s="120"/>
      <c r="BL33" s="120"/>
      <c r="BM33" s="120"/>
      <c r="BN33" s="120"/>
      <c r="BO33" s="120"/>
      <c r="BP33" s="120"/>
      <c r="BQ33" s="120"/>
      <c r="BR33" s="120"/>
      <c r="BS33" s="120"/>
      <c r="BT33" s="120"/>
      <c r="BU33" s="120"/>
      <c r="BV33" s="120"/>
      <c r="BW33" s="313"/>
      <c r="BX33" s="313"/>
      <c r="BY33" s="313"/>
      <c r="BZ33" s="313"/>
      <c r="CA33" s="313"/>
      <c r="CB33" s="313"/>
      <c r="CC33" s="313"/>
      <c r="CD33" s="313"/>
      <c r="CE33" s="120"/>
      <c r="CF33" s="120"/>
      <c r="CG33" s="120"/>
      <c r="CH33" s="120"/>
    </row>
    <row r="34" ht="34.5" customHeight="1">
      <c r="A34" s="178">
        <v>33.0</v>
      </c>
      <c r="B34" s="300" t="str">
        <f t="array" ref="B34">INDEX(Settings!H$2:H$72, ROW())</f>
        <v>WEEK 7</v>
      </c>
      <c r="C34" s="302" t="str">
        <f t="array" ref="C34">INDEX(Settings!I$2:I$72, ROW())</f>
        <v>GAME 3</v>
      </c>
      <c r="D34" s="304">
        <f t="array" ref="D34">INDEX('BACKEND 1'!$V$28:$AK$38, MATCH(F34, 'BACKEND 1'!$V$28:$V$38, 0), MATCH(B34, 'BACKEND 1'!$V$28:$AK$28, 0))</f>
        <v>9</v>
      </c>
      <c r="E34" s="73" t="str">
        <f>VLOOKUP(F34, Settings!$A$3:$C$12, 3, FALSE)</f>
        <v>PRODIGY</v>
      </c>
      <c r="F34" s="306" t="str">
        <f t="array" ref="F34">INDEX(Settings!J$2:J$72, ROW())</f>
        <v>KINGS</v>
      </c>
      <c r="G34" s="308">
        <f>SUMIFS('All-Stars'!E:E, 'All-Stars'!B:B, F34, 'All-Stars'!F:F, B34)</f>
        <v>206.24</v>
      </c>
      <c r="H34" s="309">
        <f>SUMIFS('All-Stars'!E:E, 'All-Stars'!B:B, I34, 'All-Stars'!F:F, B34)</f>
        <v>156.92</v>
      </c>
      <c r="I34" s="310" t="str">
        <f t="array" ref="I34">INDEX(Settings!K$2:K$72, ROW())</f>
        <v>POPEYES</v>
      </c>
      <c r="J34" s="88" t="str">
        <f>VLOOKUP(I34, Settings!$A$3:$C$12, 3, FALSE)</f>
        <v>PRODIGY</v>
      </c>
      <c r="K34" s="310">
        <f t="array" ref="K34">INDEX('BACKEND 1'!$V$28:$AK$38, MATCH(I34, 'BACKEND 1'!$V$28:$V$38, 0), MATCH(B34, 'BACKEND 1'!$V$28:$AK$28, 0))</f>
        <v>2</v>
      </c>
      <c r="L34" s="95">
        <f t="array" ref="L34">IFERROR(IF(D34=0,"-",INDEX('BACKEND 1'!$V$54:$AF$64, MATCH(D34, 'BACKEND 1'!$V$54:$V$64, 0), MATCH(K34, 'BACKEND 1'!$V$54:$AF$54, 0))),"-")</f>
        <v>20.94974747</v>
      </c>
      <c r="M34" s="192">
        <f>_xlfn.RANK.EQ(L34,L32:L36,1)</f>
        <v>4</v>
      </c>
      <c r="N34" s="193" t="str">
        <f t="shared" si="1"/>
        <v>KINGS</v>
      </c>
      <c r="O34" s="194" t="str">
        <f t="shared" si="2"/>
        <v>POPEYES</v>
      </c>
      <c r="P34" s="195" t="str">
        <f t="shared" si="3"/>
        <v>YES</v>
      </c>
      <c r="Q34" s="196">
        <f t="shared" si="4"/>
        <v>49.32</v>
      </c>
      <c r="R34" s="196">
        <f t="shared" si="5"/>
        <v>363.16</v>
      </c>
      <c r="S34" s="197" t="str">
        <f t="shared" si="6"/>
        <v/>
      </c>
      <c r="T34" s="113"/>
      <c r="U34" s="198" t="str">
        <f t="shared" si="7"/>
        <v>UPSET</v>
      </c>
      <c r="V34" s="113">
        <v>7.0</v>
      </c>
      <c r="W34" s="114">
        <f t="shared" si="8"/>
        <v>1</v>
      </c>
      <c r="X34" s="114">
        <f t="shared" si="9"/>
        <v>0</v>
      </c>
      <c r="Y34" s="120"/>
      <c r="Z34" s="120"/>
      <c r="AA34" s="120"/>
      <c r="AB34" s="120"/>
      <c r="AC34" s="120"/>
      <c r="AD34" s="120"/>
      <c r="AE34" s="120"/>
      <c r="AF34" s="120"/>
      <c r="AG34" s="120"/>
      <c r="AH34" s="17">
        <f t="shared" si="10"/>
        <v>53</v>
      </c>
      <c r="AI34" s="17">
        <f t="shared" si="11"/>
        <v>18</v>
      </c>
      <c r="AJ34" s="17">
        <f t="shared" si="12"/>
        <v>57</v>
      </c>
      <c r="AK34" s="17">
        <f t="shared" si="13"/>
        <v>14</v>
      </c>
      <c r="AL34" s="126">
        <f t="shared" si="14"/>
        <v>33.5</v>
      </c>
      <c r="AM34" s="17">
        <f t="shared" si="15"/>
        <v>32</v>
      </c>
      <c r="AN34" s="17">
        <f t="shared" si="16"/>
        <v>39</v>
      </c>
      <c r="AO34" s="17" t="str">
        <f t="shared" si="17"/>
        <v>-</v>
      </c>
      <c r="AP34" s="17" t="str">
        <f t="shared" si="18"/>
        <v>UPCOMING</v>
      </c>
      <c r="AQ34" s="131">
        <f t="shared" si="19"/>
        <v>64</v>
      </c>
      <c r="AR34" s="131">
        <f t="shared" si="20"/>
        <v>20.94974747</v>
      </c>
      <c r="AS34" s="131">
        <f t="shared" si="21"/>
        <v>4</v>
      </c>
      <c r="AT34" s="131"/>
      <c r="AU34" s="133"/>
      <c r="AV34" s="516" t="s">
        <v>374</v>
      </c>
      <c r="AW34" s="134" t="s">
        <v>467</v>
      </c>
      <c r="AX34" s="134" t="s">
        <v>153</v>
      </c>
      <c r="AY34" s="134" t="s">
        <v>30</v>
      </c>
      <c r="AZ34" s="134" t="s">
        <v>155</v>
      </c>
      <c r="BA34" s="134" t="s">
        <v>156</v>
      </c>
      <c r="BB34" s="517" t="s">
        <v>157</v>
      </c>
      <c r="BC34" s="518" t="s">
        <v>27</v>
      </c>
      <c r="BD34" s="313"/>
      <c r="BE34" s="313"/>
      <c r="BF34" s="120"/>
      <c r="BG34" s="120"/>
      <c r="BH34" s="120"/>
      <c r="BI34" s="120"/>
      <c r="BJ34" s="120"/>
      <c r="BK34" s="120"/>
      <c r="BL34" s="120"/>
      <c r="BM34" s="120"/>
      <c r="BN34" s="120"/>
      <c r="BO34" s="120"/>
      <c r="BP34" s="120"/>
      <c r="BQ34" s="120"/>
      <c r="BR34" s="120"/>
      <c r="BS34" s="120"/>
      <c r="BT34" s="120"/>
      <c r="BU34" s="120"/>
      <c r="BV34" s="120"/>
      <c r="BW34" s="313"/>
      <c r="BX34" s="313"/>
      <c r="BY34" s="313"/>
      <c r="BZ34" s="313"/>
      <c r="CA34" s="313"/>
      <c r="CB34" s="313"/>
      <c r="CC34" s="313"/>
      <c r="CD34" s="313"/>
      <c r="CE34" s="120"/>
      <c r="CF34" s="120"/>
      <c r="CG34" s="120"/>
      <c r="CH34" s="120"/>
    </row>
    <row r="35" ht="34.5" customHeight="1">
      <c r="A35" s="52">
        <v>34.0</v>
      </c>
      <c r="B35" s="300" t="str">
        <f t="array" ref="B35">INDEX(Settings!H$2:H$72, ROW())</f>
        <v>WEEK 7</v>
      </c>
      <c r="C35" s="302" t="str">
        <f t="array" ref="C35">INDEX(Settings!I$2:I$72, ROW())</f>
        <v>GAME 4</v>
      </c>
      <c r="D35" s="304">
        <f t="array" ref="D35">INDEX('BACKEND 1'!$V$28:$AK$38, MATCH(F35, 'BACKEND 1'!$V$28:$V$38, 0), MATCH(B35, 'BACKEND 1'!$V$28:$AK$28, 0))</f>
        <v>5</v>
      </c>
      <c r="E35" s="73" t="str">
        <f>VLOOKUP(F35, Settings!$A$3:$C$12, 3, FALSE)</f>
        <v>PRODIGY</v>
      </c>
      <c r="F35" s="306" t="str">
        <f t="array" ref="F35">INDEX(Settings!J$2:J$72, ROW())</f>
        <v>DECOUPES</v>
      </c>
      <c r="G35" s="308">
        <f>SUMIFS('All-Stars'!E:E, 'All-Stars'!B:B, F35, 'All-Stars'!F:F, B35)</f>
        <v>215.41</v>
      </c>
      <c r="H35" s="309">
        <f>SUMIFS('All-Stars'!E:E, 'All-Stars'!B:B, I35, 'All-Stars'!F:F, B35)</f>
        <v>173.25</v>
      </c>
      <c r="I35" s="310" t="str">
        <f t="array" ref="I35">INDEX(Settings!K$2:K$72, ROW())</f>
        <v>MUTTS</v>
      </c>
      <c r="J35" s="88" t="str">
        <f>VLOOKUP(I35, Settings!$A$3:$C$12, 3, FALSE)</f>
        <v>ESTEEMED</v>
      </c>
      <c r="K35" s="310">
        <f t="array" ref="K35">INDEX('BACKEND 1'!$V$28:$AK$38, MATCH(I35, 'BACKEND 1'!$V$28:$V$38, 0), MATCH(B35, 'BACKEND 1'!$V$28:$AK$28, 0))</f>
        <v>1</v>
      </c>
      <c r="L35" s="95">
        <f t="array" ref="L35">IFERROR(IF(D35=0,"-",INDEX('BACKEND 1'!$V$54:$AF$64, MATCH(D35, 'BACKEND 1'!$V$54:$V$64, 0), MATCH(K35, 'BACKEND 1'!$V$54:$AF$54, 0))),"-")</f>
        <v>11.82842712</v>
      </c>
      <c r="M35" s="192">
        <f>_xlfn.RANK.EQ(L35,L32:L36,1)</f>
        <v>3</v>
      </c>
      <c r="N35" s="193" t="str">
        <f t="shared" si="1"/>
        <v>DECOUPES</v>
      </c>
      <c r="O35" s="194" t="str">
        <f t="shared" si="2"/>
        <v>MUTTS</v>
      </c>
      <c r="P35" s="195" t="str">
        <f t="shared" si="3"/>
        <v>YES</v>
      </c>
      <c r="Q35" s="196">
        <f t="shared" si="4"/>
        <v>42.16</v>
      </c>
      <c r="R35" s="196">
        <f t="shared" si="5"/>
        <v>388.66</v>
      </c>
      <c r="S35" s="197" t="str">
        <f t="shared" si="6"/>
        <v/>
      </c>
      <c r="T35" s="113"/>
      <c r="U35" s="198" t="str">
        <f t="shared" si="7"/>
        <v>UPSET</v>
      </c>
      <c r="V35" s="113">
        <v>7.0</v>
      </c>
      <c r="W35" s="114">
        <f t="shared" si="8"/>
        <v>1</v>
      </c>
      <c r="X35" s="114">
        <f t="shared" si="9"/>
        <v>0</v>
      </c>
      <c r="Y35" s="120"/>
      <c r="Z35" s="120"/>
      <c r="AA35" s="120"/>
      <c r="AB35" s="120"/>
      <c r="AC35" s="120"/>
      <c r="AD35" s="120"/>
      <c r="AE35" s="120"/>
      <c r="AF35" s="120"/>
      <c r="AG35" s="120"/>
      <c r="AH35" s="17">
        <f t="shared" si="10"/>
        <v>46</v>
      </c>
      <c r="AI35" s="17">
        <f t="shared" si="11"/>
        <v>25</v>
      </c>
      <c r="AJ35" s="17">
        <f t="shared" si="12"/>
        <v>67</v>
      </c>
      <c r="AK35" s="17">
        <f t="shared" si="13"/>
        <v>4</v>
      </c>
      <c r="AL35" s="126">
        <f t="shared" si="14"/>
        <v>25</v>
      </c>
      <c r="AM35" s="17">
        <f t="shared" si="15"/>
        <v>16</v>
      </c>
      <c r="AN35" s="17">
        <f t="shared" si="16"/>
        <v>55</v>
      </c>
      <c r="AO35" s="17" t="str">
        <f t="shared" si="17"/>
        <v>-</v>
      </c>
      <c r="AP35" s="17" t="str">
        <f t="shared" si="18"/>
        <v>UPCOMING</v>
      </c>
      <c r="AQ35" s="131">
        <f t="shared" si="19"/>
        <v>32</v>
      </c>
      <c r="AR35" s="131">
        <f t="shared" si="20"/>
        <v>11.82842712</v>
      </c>
      <c r="AS35" s="131">
        <f t="shared" si="21"/>
        <v>17</v>
      </c>
      <c r="AT35" s="131"/>
      <c r="AU35" s="133"/>
      <c r="AV35" s="208">
        <v>1.0</v>
      </c>
      <c r="AW35" s="203">
        <f t="shared" ref="AW35:AW39" si="58">INDEX($R:$R, MATCH(AV35,$AK:$AK,0))</f>
        <v>422.51</v>
      </c>
      <c r="AX35" s="200">
        <f>Settings!$R$3</f>
        <v>2025</v>
      </c>
      <c r="AY35" s="217" t="str">
        <f t="shared" ref="AY35:AY39" si="59">INDEX($B:$B, MATCH(AV35,$AK:$AK,0))</f>
        <v>WEEK 12</v>
      </c>
      <c r="AZ35" s="205" t="str">
        <f t="shared" ref="AZ35:AZ39" si="60">INDEX($N:$N, MATCH(AV35,$AK:$AK,0))</f>
        <v>DECOUPES</v>
      </c>
      <c r="BA35" s="200" t="str">
        <f t="shared" ref="BA35:BA39" si="61">INDEX($O:$O, MATCH(AV35,$AK:$AK,0))</f>
        <v>METAMOOKDAWGS</v>
      </c>
      <c r="BB35" s="200" t="str">
        <f t="array" ref="BB35">Settings!$R$3 &amp; " REG, PVE FFL GAME " &amp; INDEX($A:$A, MATCH(AV35,$AK:$AK,0))</f>
        <v>2025 REG, PVE FFL GAME 58</v>
      </c>
      <c r="BC35" s="375" t="str">
        <f t="shared" ref="BC35:BC39" si="62">INDEX($S:$S, MATCH(AV35,$AK:$AK,0))</f>
        <v/>
      </c>
      <c r="BD35" s="313"/>
      <c r="BE35" s="313"/>
      <c r="BF35" s="120"/>
      <c r="BG35" s="120"/>
      <c r="BH35" s="120"/>
      <c r="BI35" s="120"/>
      <c r="BJ35" s="120"/>
      <c r="BK35" s="120"/>
      <c r="BL35" s="120"/>
      <c r="BM35" s="120"/>
      <c r="BN35" s="120"/>
      <c r="BO35" s="120"/>
      <c r="BP35" s="120"/>
      <c r="BQ35" s="120"/>
      <c r="BR35" s="120"/>
      <c r="BS35" s="120"/>
      <c r="BT35" s="120"/>
      <c r="BU35" s="120"/>
      <c r="BV35" s="120"/>
      <c r="BW35" s="313"/>
      <c r="BX35" s="313"/>
      <c r="BY35" s="313"/>
      <c r="BZ35" s="313"/>
      <c r="CA35" s="313"/>
      <c r="CB35" s="313"/>
      <c r="CC35" s="313"/>
      <c r="CD35" s="313"/>
      <c r="CE35" s="120"/>
      <c r="CF35" s="120"/>
      <c r="CG35" s="120"/>
      <c r="CH35" s="120"/>
    </row>
    <row r="36" ht="34.5" customHeight="1">
      <c r="A36" s="178">
        <v>35.0</v>
      </c>
      <c r="B36" s="340" t="str">
        <f t="array" ref="B36">INDEX(Settings!H$2:H$72, ROW())</f>
        <v>WEEK 7</v>
      </c>
      <c r="C36" s="343" t="str">
        <f t="array" ref="C36">INDEX(Settings!I$2:I$72, ROW())</f>
        <v>GAME 5</v>
      </c>
      <c r="D36" s="347">
        <f t="array" ref="D36">INDEX('BACKEND 1'!$V$28:$AK$38, MATCH(F36, 'BACKEND 1'!$V$28:$V$38, 0), MATCH(B36, 'BACKEND 1'!$V$28:$AK$28, 0))</f>
        <v>6</v>
      </c>
      <c r="E36" s="73" t="str">
        <f>VLOOKUP(F36, Settings!$A$3:$C$12, 3, FALSE)</f>
        <v>PRODIGY</v>
      </c>
      <c r="F36" s="353" t="str">
        <f t="array" ref="F36">INDEX(Settings!J$2:J$72, ROW())</f>
        <v>SAVAGES</v>
      </c>
      <c r="G36" s="356">
        <f>SUMIFS('All-Stars'!E:E, 'All-Stars'!B:B, F36, 'All-Stars'!F:F, B36)</f>
        <v>163.44</v>
      </c>
      <c r="H36" s="359">
        <f>SUMIFS('All-Stars'!E:E, 'All-Stars'!B:B, I36, 'All-Stars'!F:F, B36)</f>
        <v>216.6</v>
      </c>
      <c r="I36" s="363" t="str">
        <f t="array" ref="I36">INDEX(Settings!K$2:K$72, ROW())</f>
        <v>GREEN</v>
      </c>
      <c r="J36" s="88" t="str">
        <f>VLOOKUP(I36, Settings!$A$3:$C$12, 3, FALSE)</f>
        <v>PRODIGY</v>
      </c>
      <c r="K36" s="363">
        <f t="array" ref="K36">INDEX('BACKEND 1'!$V$28:$AK$38, MATCH(I36, 'BACKEND 1'!$V$28:$V$38, 0), MATCH(B36, 'BACKEND 1'!$V$28:$AK$28, 0))</f>
        <v>4</v>
      </c>
      <c r="L36" s="95">
        <f t="array" ref="L36">IFERROR(IF(D36=0,"-",INDEX('BACKEND 1'!$V$54:$AF$64, MATCH(D36, 'BACKEND 1'!$V$54:$V$64, 0), MATCH(K36, 'BACKEND 1'!$V$54:$AF$54, 0))),"-")</f>
        <v>9.414213562</v>
      </c>
      <c r="M36" s="242">
        <f>_xlfn.RANK.EQ(L36,L32:L36,1)</f>
        <v>1</v>
      </c>
      <c r="N36" s="243" t="str">
        <f t="shared" si="1"/>
        <v>GREEN</v>
      </c>
      <c r="O36" s="244" t="str">
        <f t="shared" si="2"/>
        <v>SAVAGES</v>
      </c>
      <c r="P36" s="245" t="str">
        <f t="shared" si="3"/>
        <v>YES</v>
      </c>
      <c r="Q36" s="246">
        <f t="shared" si="4"/>
        <v>53.16</v>
      </c>
      <c r="R36" s="246">
        <f t="shared" si="5"/>
        <v>380.04</v>
      </c>
      <c r="S36" s="247" t="str">
        <f t="shared" si="6"/>
        <v>MOTW</v>
      </c>
      <c r="T36" s="248"/>
      <c r="U36" s="249" t="str">
        <f t="shared" si="7"/>
        <v/>
      </c>
      <c r="V36" s="113">
        <v>7.0</v>
      </c>
      <c r="W36" s="114">
        <f t="shared" si="8"/>
        <v>0</v>
      </c>
      <c r="X36" s="114">
        <f t="shared" si="9"/>
        <v>0</v>
      </c>
      <c r="Y36" s="120"/>
      <c r="Z36" s="120"/>
      <c r="AA36" s="120"/>
      <c r="AB36" s="120"/>
      <c r="AC36" s="120"/>
      <c r="AD36" s="120"/>
      <c r="AE36" s="120"/>
      <c r="AF36" s="120"/>
      <c r="AG36" s="120"/>
      <c r="AH36" s="17">
        <f t="shared" si="10"/>
        <v>54</v>
      </c>
      <c r="AI36" s="17">
        <f t="shared" si="11"/>
        <v>17</v>
      </c>
      <c r="AJ36" s="17">
        <f t="shared" si="12"/>
        <v>63</v>
      </c>
      <c r="AK36" s="17">
        <f t="shared" si="13"/>
        <v>8</v>
      </c>
      <c r="AL36" s="126">
        <f t="shared" si="14"/>
        <v>31</v>
      </c>
      <c r="AM36" s="17">
        <f t="shared" si="15"/>
        <v>26</v>
      </c>
      <c r="AN36" s="17">
        <f t="shared" si="16"/>
        <v>45</v>
      </c>
      <c r="AO36" s="17">
        <f t="shared" si="17"/>
        <v>31</v>
      </c>
      <c r="AP36" s="17">
        <f t="shared" si="18"/>
        <v>8</v>
      </c>
      <c r="AQ36" s="131">
        <f t="shared" si="19"/>
        <v>17</v>
      </c>
      <c r="AR36" s="131" t="str">
        <f t="shared" si="20"/>
        <v>NO UPSET</v>
      </c>
      <c r="AS36" s="131" t="str">
        <f t="shared" si="21"/>
        <v>-</v>
      </c>
      <c r="AT36" s="131"/>
      <c r="AU36" s="133"/>
      <c r="AV36" s="208">
        <v>2.0</v>
      </c>
      <c r="AW36" s="203">
        <f t="shared" si="58"/>
        <v>398.07</v>
      </c>
      <c r="AX36" s="200">
        <f>Settings!$R$3</f>
        <v>2025</v>
      </c>
      <c r="AY36" s="217" t="str">
        <f t="shared" si="59"/>
        <v>WEEK 3</v>
      </c>
      <c r="AZ36" s="205" t="str">
        <f t="shared" si="60"/>
        <v>METAMOOKDAWGS</v>
      </c>
      <c r="BA36" s="200" t="str">
        <f t="shared" si="61"/>
        <v>KINGS</v>
      </c>
      <c r="BB36" s="200" t="str">
        <f t="array" ref="BB36">Settings!$R$3 &amp; " REG, PVE FFL GAME " &amp; INDEX($A:$A, MATCH(AV36,$AK:$AK,0))</f>
        <v>2025 REG, PVE FFL GAME 11</v>
      </c>
      <c r="BC36" s="375" t="str">
        <f t="shared" si="62"/>
        <v/>
      </c>
      <c r="BD36" s="313"/>
      <c r="BE36" s="313"/>
      <c r="BF36" s="120"/>
      <c r="BG36" s="120"/>
      <c r="BH36" s="120"/>
      <c r="BI36" s="120"/>
      <c r="BJ36" s="120"/>
      <c r="BK36" s="120"/>
      <c r="BL36" s="120"/>
      <c r="BM36" s="120"/>
      <c r="BN36" s="120"/>
      <c r="BO36" s="120"/>
      <c r="BP36" s="120"/>
      <c r="BQ36" s="120"/>
      <c r="BR36" s="120"/>
      <c r="BS36" s="120"/>
      <c r="BT36" s="120"/>
      <c r="BU36" s="120"/>
      <c r="BV36" s="120"/>
      <c r="BW36" s="313"/>
      <c r="BX36" s="313"/>
      <c r="BY36" s="313"/>
      <c r="BZ36" s="313"/>
      <c r="CA36" s="313"/>
      <c r="CB36" s="313"/>
      <c r="CC36" s="313"/>
      <c r="CD36" s="313"/>
      <c r="CE36" s="120"/>
      <c r="CF36" s="120"/>
      <c r="CG36" s="120"/>
      <c r="CH36" s="120"/>
    </row>
    <row r="37" ht="34.5" customHeight="1">
      <c r="A37" s="178">
        <v>36.0</v>
      </c>
      <c r="B37" s="394" t="str">
        <f t="array" ref="B37">INDEX(Settings!H$2:H$72, ROW())</f>
        <v>WEEK 8</v>
      </c>
      <c r="C37" s="395" t="str">
        <f t="array" ref="C37">INDEX(Settings!I$2:I$72, ROW())</f>
        <v>GAME 1</v>
      </c>
      <c r="D37" s="193">
        <f t="array" ref="D37">INDEX('BACKEND 1'!$V$28:$AK$38, MATCH(F37, 'BACKEND 1'!$V$28:$V$38, 0), MATCH(B37, 'BACKEND 1'!$V$28:$AK$28, 0))</f>
        <v>7</v>
      </c>
      <c r="E37" s="73" t="str">
        <f>VLOOKUP(F37, Settings!$A$3:$C$12, 3, FALSE)</f>
        <v>PRODIGY</v>
      </c>
      <c r="F37" s="396" t="str">
        <f t="array" ref="F37">INDEX(Settings!J$2:J$72, ROW())</f>
        <v>SAVAGES</v>
      </c>
      <c r="G37" s="397">
        <f>SUMIFS('All-Stars'!E:E, 'All-Stars'!B:B, F37, 'All-Stars'!F:F, B37)</f>
        <v>123.41</v>
      </c>
      <c r="H37" s="398">
        <f>SUMIFS('All-Stars'!E:E, 'All-Stars'!B:B, I37, 'All-Stars'!F:F, B37)</f>
        <v>165.17</v>
      </c>
      <c r="I37" s="399" t="str">
        <f t="array" ref="I37">INDEX(Settings!K$2:K$72, ROW())</f>
        <v>KINGS</v>
      </c>
      <c r="J37" s="88" t="str">
        <f>VLOOKUP(I37, Settings!$A$3:$C$12, 3, FALSE)</f>
        <v>PRODIGY</v>
      </c>
      <c r="K37" s="399">
        <f t="array" ref="K37">INDEX('BACKEND 1'!$V$28:$AK$38, MATCH(I37, 'BACKEND 1'!$V$28:$V$38, 0), MATCH(B37, 'BACKEND 1'!$V$28:$AK$28, 0))</f>
        <v>8</v>
      </c>
      <c r="L37" s="95">
        <f t="array" ref="L37">IFERROR(IF(D37=0,"-",INDEX('BACKEND 1'!$V$54:$AF$64, MATCH(D37, 'BACKEND 1'!$V$54:$V$64, 0), MATCH(K37, 'BACKEND 1'!$V$54:$AF$54, 0))),"-")</f>
        <v>9.707106781</v>
      </c>
      <c r="M37" s="98">
        <f>_xlfn.RANK.EQ(L37,L37:L41,1)</f>
        <v>3</v>
      </c>
      <c r="N37" s="193" t="str">
        <f t="shared" si="1"/>
        <v>KINGS</v>
      </c>
      <c r="O37" s="194" t="str">
        <f t="shared" si="2"/>
        <v>SAVAGES</v>
      </c>
      <c r="P37" s="195" t="str">
        <f t="shared" si="3"/>
        <v>YES</v>
      </c>
      <c r="Q37" s="196">
        <f t="shared" si="4"/>
        <v>41.76</v>
      </c>
      <c r="R37" s="196">
        <f t="shared" si="5"/>
        <v>288.58</v>
      </c>
      <c r="S37" s="197" t="str">
        <f t="shared" si="6"/>
        <v/>
      </c>
      <c r="T37" s="113"/>
      <c r="U37" s="198" t="str">
        <f t="shared" si="7"/>
        <v>UPSET</v>
      </c>
      <c r="V37" s="113">
        <v>8.0</v>
      </c>
      <c r="W37" s="114">
        <f t="shared" si="8"/>
        <v>0</v>
      </c>
      <c r="X37" s="114">
        <f t="shared" si="9"/>
        <v>0</v>
      </c>
      <c r="Y37" s="120"/>
      <c r="Z37" s="120"/>
      <c r="AA37" s="120"/>
      <c r="AB37" s="120"/>
      <c r="AC37" s="120"/>
      <c r="AD37" s="120"/>
      <c r="AE37" s="120"/>
      <c r="AF37" s="120"/>
      <c r="AG37" s="120"/>
      <c r="AH37" s="17">
        <f t="shared" si="10"/>
        <v>44</v>
      </c>
      <c r="AI37" s="17">
        <f t="shared" si="11"/>
        <v>27</v>
      </c>
      <c r="AJ37" s="17">
        <f t="shared" si="12"/>
        <v>16</v>
      </c>
      <c r="AK37" s="17">
        <f t="shared" si="13"/>
        <v>55</v>
      </c>
      <c r="AL37" s="126">
        <f t="shared" si="14"/>
        <v>49.5</v>
      </c>
      <c r="AM37" s="17">
        <f t="shared" si="15"/>
        <v>59</v>
      </c>
      <c r="AN37" s="17">
        <f t="shared" si="16"/>
        <v>12</v>
      </c>
      <c r="AO37" s="17" t="str">
        <f t="shared" si="17"/>
        <v>-</v>
      </c>
      <c r="AP37" s="17" t="str">
        <f t="shared" si="18"/>
        <v>UPCOMING</v>
      </c>
      <c r="AQ37" s="131">
        <f t="shared" si="19"/>
        <v>20</v>
      </c>
      <c r="AR37" s="131">
        <f t="shared" si="20"/>
        <v>9.707106781</v>
      </c>
      <c r="AS37" s="131">
        <f t="shared" si="21"/>
        <v>24</v>
      </c>
      <c r="AT37" s="131"/>
      <c r="AU37" s="133"/>
      <c r="AV37" s="208">
        <v>3.0</v>
      </c>
      <c r="AW37" s="203">
        <f t="shared" si="58"/>
        <v>389.11</v>
      </c>
      <c r="AX37" s="200">
        <f>Settings!$R$3</f>
        <v>2025</v>
      </c>
      <c r="AY37" s="217" t="str">
        <f t="shared" si="59"/>
        <v>WEEK 2</v>
      </c>
      <c r="AZ37" s="205" t="str">
        <f t="shared" si="60"/>
        <v>MUTTS</v>
      </c>
      <c r="BA37" s="200" t="str">
        <f t="shared" si="61"/>
        <v>CHAMPS</v>
      </c>
      <c r="BB37" s="200" t="str">
        <f t="array" ref="BB37">Settings!$R$3 &amp; " REG, PVE FFL GAME " &amp; INDEX($A:$A, MATCH(AV37,$AK:$AK,0))</f>
        <v>2025 REG, PVE FFL GAME 7</v>
      </c>
      <c r="BC37" s="375" t="str">
        <f t="shared" si="62"/>
        <v>MOTW</v>
      </c>
      <c r="BD37" s="313"/>
      <c r="BE37" s="313"/>
      <c r="BF37" s="120"/>
      <c r="BG37" s="120"/>
      <c r="BH37" s="120"/>
      <c r="BI37" s="120"/>
      <c r="BJ37" s="120"/>
      <c r="BK37" s="120"/>
      <c r="BL37" s="120"/>
      <c r="BM37" s="120"/>
      <c r="BN37" s="120"/>
      <c r="BO37" s="120"/>
      <c r="BP37" s="120"/>
      <c r="BQ37" s="120"/>
      <c r="BR37" s="120"/>
      <c r="BS37" s="120"/>
      <c r="BT37" s="120"/>
      <c r="BU37" s="120"/>
      <c r="BV37" s="120"/>
      <c r="BW37" s="313"/>
      <c r="BX37" s="313"/>
      <c r="BY37" s="313"/>
      <c r="BZ37" s="313"/>
      <c r="CA37" s="313"/>
      <c r="CB37" s="313"/>
      <c r="CC37" s="313"/>
      <c r="CD37" s="313"/>
      <c r="CE37" s="120"/>
      <c r="CF37" s="120"/>
      <c r="CG37" s="120"/>
      <c r="CH37" s="120"/>
    </row>
    <row r="38" ht="34.5" customHeight="1">
      <c r="A38" s="52">
        <v>37.0</v>
      </c>
      <c r="B38" s="394" t="str">
        <f t="array" ref="B38">INDEX(Settings!H$2:H$72, ROW())</f>
        <v>WEEK 8</v>
      </c>
      <c r="C38" s="395" t="str">
        <f t="array" ref="C38">INDEX(Settings!I$2:I$72, ROW())</f>
        <v>GAME 2</v>
      </c>
      <c r="D38" s="193">
        <f t="array" ref="D38">INDEX('BACKEND 1'!$V$28:$AK$38, MATCH(F38, 'BACKEND 1'!$V$28:$V$38, 0), MATCH(B38, 'BACKEND 1'!$V$28:$AK$28, 0))</f>
        <v>2</v>
      </c>
      <c r="E38" s="73" t="str">
        <f>VLOOKUP(F38, Settings!$A$3:$C$12, 3, FALSE)</f>
        <v>PRODIGY</v>
      </c>
      <c r="F38" s="396" t="str">
        <f t="array" ref="F38">INDEX(Settings!J$2:J$72, ROW())</f>
        <v>GREEN</v>
      </c>
      <c r="G38" s="397">
        <f>SUMIFS('All-Stars'!E:E, 'All-Stars'!B:B, F38, 'All-Stars'!F:F, B38)</f>
        <v>183.51</v>
      </c>
      <c r="H38" s="398">
        <f>SUMIFS('All-Stars'!E:E, 'All-Stars'!B:B, I38, 'All-Stars'!F:F, B38)</f>
        <v>160.86</v>
      </c>
      <c r="I38" s="399" t="str">
        <f t="array" ref="I38">INDEX(Settings!K$2:K$72, ROW())</f>
        <v>DECOUPES</v>
      </c>
      <c r="J38" s="88" t="str">
        <f>VLOOKUP(I38, Settings!$A$3:$C$12, 3, FALSE)</f>
        <v>PRODIGY</v>
      </c>
      <c r="K38" s="399">
        <f t="array" ref="K38">INDEX('BACKEND 1'!$V$28:$AK$38, MATCH(I38, 'BACKEND 1'!$V$28:$V$38, 0), MATCH(B38, 'BACKEND 1'!$V$28:$AK$28, 0))</f>
        <v>4</v>
      </c>
      <c r="L38" s="95">
        <f t="array" ref="L38">IFERROR(IF(D38=0,"-",INDEX('BACKEND 1'!$V$54:$AF$64, MATCH(D38, 'BACKEND 1'!$V$54:$V$64, 0), MATCH(K38, 'BACKEND 1'!$V$54:$AF$54, 0))),"-")</f>
        <v>7.414213562</v>
      </c>
      <c r="M38" s="192">
        <f>_xlfn.RANK.EQ(L38,L37:L41,1)</f>
        <v>1</v>
      </c>
      <c r="N38" s="193" t="str">
        <f t="shared" si="1"/>
        <v>GREEN</v>
      </c>
      <c r="O38" s="194" t="str">
        <f t="shared" si="2"/>
        <v>DECOUPES</v>
      </c>
      <c r="P38" s="195" t="str">
        <f t="shared" si="3"/>
        <v/>
      </c>
      <c r="Q38" s="196">
        <f t="shared" si="4"/>
        <v>22.65</v>
      </c>
      <c r="R38" s="196">
        <f t="shared" si="5"/>
        <v>344.37</v>
      </c>
      <c r="S38" s="197" t="str">
        <f t="shared" si="6"/>
        <v>MOTW</v>
      </c>
      <c r="T38" s="113"/>
      <c r="U38" s="198" t="str">
        <f t="shared" si="7"/>
        <v/>
      </c>
      <c r="V38" s="113">
        <v>8.0</v>
      </c>
      <c r="W38" s="114">
        <f t="shared" si="8"/>
        <v>1</v>
      </c>
      <c r="X38" s="114">
        <f t="shared" si="9"/>
        <v>0</v>
      </c>
      <c r="Y38" s="120"/>
      <c r="Z38" s="120"/>
      <c r="AA38" s="120"/>
      <c r="AB38" s="120"/>
      <c r="AC38" s="120"/>
      <c r="AD38" s="120"/>
      <c r="AE38" s="120"/>
      <c r="AF38" s="120"/>
      <c r="AG38" s="120"/>
      <c r="AH38" s="17">
        <f t="shared" si="10"/>
        <v>19</v>
      </c>
      <c r="AI38" s="17">
        <f t="shared" si="11"/>
        <v>52</v>
      </c>
      <c r="AJ38" s="17">
        <f t="shared" si="12"/>
        <v>50</v>
      </c>
      <c r="AK38" s="17">
        <f t="shared" si="13"/>
        <v>21</v>
      </c>
      <c r="AL38" s="126">
        <f t="shared" si="14"/>
        <v>20</v>
      </c>
      <c r="AM38" s="17">
        <f t="shared" si="15"/>
        <v>10</v>
      </c>
      <c r="AN38" s="17">
        <f t="shared" si="16"/>
        <v>61</v>
      </c>
      <c r="AO38" s="17">
        <f t="shared" si="17"/>
        <v>20</v>
      </c>
      <c r="AP38" s="17">
        <f t="shared" si="18"/>
        <v>5</v>
      </c>
      <c r="AQ38" s="131">
        <f t="shared" si="19"/>
        <v>9</v>
      </c>
      <c r="AR38" s="131" t="str">
        <f t="shared" si="20"/>
        <v>NO UPSET</v>
      </c>
      <c r="AS38" s="131" t="str">
        <f t="shared" si="21"/>
        <v>-</v>
      </c>
      <c r="AT38" s="131"/>
      <c r="AU38" s="133"/>
      <c r="AV38" s="208">
        <v>4.0</v>
      </c>
      <c r="AW38" s="203">
        <f t="shared" si="58"/>
        <v>388.66</v>
      </c>
      <c r="AX38" s="200">
        <f>Settings!$R$3</f>
        <v>2025</v>
      </c>
      <c r="AY38" s="217" t="str">
        <f t="shared" si="59"/>
        <v>WEEK 7</v>
      </c>
      <c r="AZ38" s="205" t="str">
        <f t="shared" si="60"/>
        <v>DECOUPES</v>
      </c>
      <c r="BA38" s="200" t="str">
        <f t="shared" si="61"/>
        <v>MUTTS</v>
      </c>
      <c r="BB38" s="200" t="str">
        <f t="array" ref="BB38">Settings!$R$3 &amp; " REG, PVE FFL GAME " &amp; INDEX($A:$A, MATCH(AV38,$AK:$AK,0))</f>
        <v>2025 REG, PVE FFL GAME 34</v>
      </c>
      <c r="BC38" s="375" t="str">
        <f t="shared" si="62"/>
        <v/>
      </c>
      <c r="BD38" s="313"/>
      <c r="BE38" s="313"/>
      <c r="BF38" s="120"/>
      <c r="BG38" s="120"/>
      <c r="BH38" s="120"/>
      <c r="BI38" s="120"/>
      <c r="BJ38" s="120"/>
      <c r="BK38" s="120"/>
      <c r="BL38" s="120"/>
      <c r="BM38" s="120"/>
      <c r="BN38" s="120"/>
      <c r="BO38" s="120"/>
      <c r="BP38" s="120"/>
      <c r="BQ38" s="120"/>
      <c r="BR38" s="120"/>
      <c r="BS38" s="120"/>
      <c r="BT38" s="120"/>
      <c r="BU38" s="120"/>
      <c r="BV38" s="120"/>
      <c r="BW38" s="313"/>
      <c r="BX38" s="313"/>
      <c r="BY38" s="313"/>
      <c r="BZ38" s="313"/>
      <c r="CA38" s="313"/>
      <c r="CB38" s="313"/>
      <c r="CC38" s="313"/>
      <c r="CD38" s="313"/>
      <c r="CE38" s="120"/>
      <c r="CF38" s="120"/>
      <c r="CG38" s="120"/>
      <c r="CH38" s="120"/>
    </row>
    <row r="39" ht="34.5" customHeight="1">
      <c r="A39" s="178">
        <v>38.0</v>
      </c>
      <c r="B39" s="394" t="str">
        <f t="array" ref="B39">INDEX(Settings!H$2:H$72, ROW())</f>
        <v>WEEK 8</v>
      </c>
      <c r="C39" s="395" t="str">
        <f t="array" ref="C39">INDEX(Settings!I$2:I$72, ROW())</f>
        <v>GAME 3</v>
      </c>
      <c r="D39" s="193">
        <f t="array" ref="D39">INDEX('BACKEND 1'!$V$28:$AK$38, MATCH(F39, 'BACKEND 1'!$V$28:$V$38, 0), MATCH(B39, 'BACKEND 1'!$V$28:$AK$28, 0))</f>
        <v>5</v>
      </c>
      <c r="E39" s="73" t="str">
        <f>VLOOKUP(F39, Settings!$A$3:$C$12, 3, FALSE)</f>
        <v>ESTEEMED</v>
      </c>
      <c r="F39" s="396" t="str">
        <f t="array" ref="F39">INDEX(Settings!J$2:J$72, ROW())</f>
        <v>YARDIES</v>
      </c>
      <c r="G39" s="397">
        <f>SUMIFS('All-Stars'!E:E, 'All-Stars'!B:B, F39, 'All-Stars'!F:F, B39)</f>
        <v>204.31</v>
      </c>
      <c r="H39" s="398">
        <f>SUMIFS('All-Stars'!E:E, 'All-Stars'!B:B, I39, 'All-Stars'!F:F, B39)</f>
        <v>175.97</v>
      </c>
      <c r="I39" s="399" t="str">
        <f t="array" ref="I39">INDEX(Settings!K$2:K$72, ROW())</f>
        <v>CHAMPS</v>
      </c>
      <c r="J39" s="88" t="str">
        <f>VLOOKUP(I39, Settings!$A$3:$C$12, 3, FALSE)</f>
        <v>ESTEEMED</v>
      </c>
      <c r="K39" s="399">
        <f t="array" ref="K39">INDEX('BACKEND 1'!$V$28:$AK$38, MATCH(I39, 'BACKEND 1'!$V$28:$V$38, 0), MATCH(B39, 'BACKEND 1'!$V$28:$AK$28, 0))</f>
        <v>6</v>
      </c>
      <c r="L39" s="95">
        <f t="array" ref="L39">IFERROR(IF(D39=0,"-",INDEX('BACKEND 1'!$V$54:$AF$64, MATCH(D39, 'BACKEND 1'!$V$54:$V$64, 0), MATCH(K39, 'BACKEND 1'!$V$54:$AF$54, 0))),"-")</f>
        <v>7.707106781</v>
      </c>
      <c r="M39" s="192">
        <f>_xlfn.RANK.EQ(L39,L37:L41,1)</f>
        <v>2</v>
      </c>
      <c r="N39" s="193" t="str">
        <f t="shared" si="1"/>
        <v>YARDIES</v>
      </c>
      <c r="O39" s="194" t="str">
        <f t="shared" si="2"/>
        <v>CHAMPS</v>
      </c>
      <c r="P39" s="195" t="str">
        <f t="shared" si="3"/>
        <v/>
      </c>
      <c r="Q39" s="196">
        <f t="shared" si="4"/>
        <v>28.34</v>
      </c>
      <c r="R39" s="196">
        <f t="shared" si="5"/>
        <v>380.28</v>
      </c>
      <c r="S39" s="197" t="str">
        <f t="shared" si="6"/>
        <v/>
      </c>
      <c r="T39" s="113"/>
      <c r="U39" s="198" t="str">
        <f t="shared" si="7"/>
        <v/>
      </c>
      <c r="V39" s="113">
        <v>8.0</v>
      </c>
      <c r="W39" s="114">
        <f t="shared" si="8"/>
        <v>1</v>
      </c>
      <c r="X39" s="114">
        <f t="shared" si="9"/>
        <v>0</v>
      </c>
      <c r="Y39" s="120"/>
      <c r="Z39" s="120"/>
      <c r="AA39" s="120"/>
      <c r="AB39" s="120"/>
      <c r="AC39" s="120"/>
      <c r="AD39" s="120"/>
      <c r="AE39" s="120"/>
      <c r="AF39" s="120"/>
      <c r="AG39" s="120"/>
      <c r="AH39" s="17">
        <f t="shared" si="10"/>
        <v>26</v>
      </c>
      <c r="AI39" s="17">
        <f t="shared" si="11"/>
        <v>45</v>
      </c>
      <c r="AJ39" s="17">
        <f t="shared" si="12"/>
        <v>65</v>
      </c>
      <c r="AK39" s="17">
        <f t="shared" si="13"/>
        <v>6</v>
      </c>
      <c r="AL39" s="126">
        <f t="shared" si="14"/>
        <v>16</v>
      </c>
      <c r="AM39" s="17">
        <f t="shared" si="15"/>
        <v>6</v>
      </c>
      <c r="AN39" s="17">
        <f t="shared" si="16"/>
        <v>65</v>
      </c>
      <c r="AO39" s="17" t="str">
        <f t="shared" si="17"/>
        <v>-</v>
      </c>
      <c r="AP39" s="17" t="str">
        <f t="shared" si="18"/>
        <v>UPCOMING</v>
      </c>
      <c r="AQ39" s="131">
        <f t="shared" si="19"/>
        <v>11</v>
      </c>
      <c r="AR39" s="131" t="str">
        <f t="shared" si="20"/>
        <v>NO UPSET</v>
      </c>
      <c r="AS39" s="131" t="str">
        <f t="shared" si="21"/>
        <v>-</v>
      </c>
      <c r="AT39" s="131"/>
      <c r="AU39" s="133"/>
      <c r="AV39" s="208">
        <v>5.0</v>
      </c>
      <c r="AW39" s="203">
        <f t="shared" si="58"/>
        <v>381.93</v>
      </c>
      <c r="AX39" s="200">
        <f>Settings!$R$3</f>
        <v>2025</v>
      </c>
      <c r="AY39" s="217" t="str">
        <f t="shared" si="59"/>
        <v>WEEK 3</v>
      </c>
      <c r="AZ39" s="205" t="str">
        <f t="shared" si="60"/>
        <v>POPEYES</v>
      </c>
      <c r="BA39" s="200" t="str">
        <f t="shared" si="61"/>
        <v>MUTTS</v>
      </c>
      <c r="BB39" s="200" t="str">
        <f t="array" ref="BB39">Settings!$R$3 &amp; " REG, PVE FFL GAME " &amp; INDEX($A:$A, MATCH(AV39,$AK:$AK,0))</f>
        <v>2025 REG, PVE FFL GAME 12</v>
      </c>
      <c r="BC39" s="375" t="str">
        <f t="shared" si="62"/>
        <v>MOTW</v>
      </c>
      <c r="BD39" s="313"/>
      <c r="BE39" s="313"/>
      <c r="BF39" s="120"/>
      <c r="BG39" s="120"/>
      <c r="BH39" s="120"/>
      <c r="BI39" s="120"/>
      <c r="BJ39" s="120"/>
      <c r="BK39" s="120"/>
      <c r="BL39" s="120"/>
      <c r="BM39" s="120"/>
      <c r="BN39" s="120"/>
      <c r="BO39" s="120"/>
      <c r="BP39" s="120"/>
      <c r="BQ39" s="120"/>
      <c r="BR39" s="120"/>
      <c r="BS39" s="120"/>
      <c r="BT39" s="120"/>
      <c r="BU39" s="120"/>
      <c r="BV39" s="120"/>
      <c r="BW39" s="313"/>
      <c r="BX39" s="313"/>
      <c r="BY39" s="313"/>
      <c r="BZ39" s="313"/>
      <c r="CA39" s="313"/>
      <c r="CB39" s="313"/>
      <c r="CC39" s="313"/>
      <c r="CD39" s="313"/>
      <c r="CE39" s="120"/>
      <c r="CF39" s="120"/>
      <c r="CG39" s="120"/>
      <c r="CH39" s="120"/>
    </row>
    <row r="40" ht="34.5" customHeight="1">
      <c r="A40" s="178">
        <v>39.0</v>
      </c>
      <c r="B40" s="394" t="str">
        <f t="array" ref="B40">INDEX(Settings!H$2:H$72, ROW())</f>
        <v>WEEK 8</v>
      </c>
      <c r="C40" s="395" t="str">
        <f t="array" ref="C40">INDEX(Settings!I$2:I$72, ROW())</f>
        <v>GAME 4</v>
      </c>
      <c r="D40" s="193">
        <f t="array" ref="D40">INDEX('BACKEND 1'!$V$28:$AK$38, MATCH(F40, 'BACKEND 1'!$V$28:$V$38, 0), MATCH(B40, 'BACKEND 1'!$V$28:$AK$28, 0))</f>
        <v>10</v>
      </c>
      <c r="E40" s="73" t="str">
        <f>VLOOKUP(F40, Settings!$A$3:$C$12, 3, FALSE)</f>
        <v>ESTEEMED</v>
      </c>
      <c r="F40" s="396" t="str">
        <f t="array" ref="F40">INDEX(Settings!J$2:J$72, ROW())</f>
        <v>METAMOOKDAWGS</v>
      </c>
      <c r="G40" s="397">
        <f>SUMIFS('All-Stars'!E:E, 'All-Stars'!B:B, F40, 'All-Stars'!F:F, B40)</f>
        <v>171.25</v>
      </c>
      <c r="H40" s="398">
        <f>SUMIFS('All-Stars'!E:E, 'All-Stars'!B:B, I40, 'All-Stars'!F:F, B40)</f>
        <v>131.89</v>
      </c>
      <c r="I40" s="399" t="str">
        <f t="array" ref="I40">INDEX(Settings!K$2:K$72, ROW())</f>
        <v>MUTTS</v>
      </c>
      <c r="J40" s="88" t="str">
        <f>VLOOKUP(I40, Settings!$A$3:$C$12, 3, FALSE)</f>
        <v>ESTEEMED</v>
      </c>
      <c r="K40" s="399">
        <f t="array" ref="K40">INDEX('BACKEND 1'!$V$28:$AK$38, MATCH(I40, 'BACKEND 1'!$V$28:$V$38, 0), MATCH(B40, 'BACKEND 1'!$V$28:$AK$28, 0))</f>
        <v>1</v>
      </c>
      <c r="L40" s="95">
        <f t="array" ref="L40">IFERROR(IF(D40=0,"-",INDEX('BACKEND 1'!$V$54:$AF$64, MATCH(D40, 'BACKEND 1'!$V$54:$V$64, 0), MATCH(K40, 'BACKEND 1'!$V$54:$AF$54, 0))),"-")</f>
        <v>25.36396103</v>
      </c>
      <c r="M40" s="192">
        <f>_xlfn.RANK.EQ(L40,L37:L41,1)</f>
        <v>5</v>
      </c>
      <c r="N40" s="193" t="str">
        <f t="shared" si="1"/>
        <v>METAMOOKDAWGS</v>
      </c>
      <c r="O40" s="194" t="str">
        <f t="shared" si="2"/>
        <v>MUTTS</v>
      </c>
      <c r="P40" s="195" t="str">
        <f t="shared" si="3"/>
        <v/>
      </c>
      <c r="Q40" s="196">
        <f t="shared" si="4"/>
        <v>39.36</v>
      </c>
      <c r="R40" s="196">
        <f t="shared" si="5"/>
        <v>303.14</v>
      </c>
      <c r="S40" s="197" t="str">
        <f t="shared" si="6"/>
        <v/>
      </c>
      <c r="T40" s="113"/>
      <c r="U40" s="198" t="str">
        <f t="shared" si="7"/>
        <v>UPSET</v>
      </c>
      <c r="V40" s="113">
        <v>8.0</v>
      </c>
      <c r="W40" s="114">
        <f t="shared" si="8"/>
        <v>1</v>
      </c>
      <c r="X40" s="114">
        <f t="shared" si="9"/>
        <v>0</v>
      </c>
      <c r="Y40" s="120"/>
      <c r="Z40" s="120"/>
      <c r="AA40" s="120"/>
      <c r="AB40" s="120"/>
      <c r="AC40" s="120"/>
      <c r="AD40" s="120"/>
      <c r="AE40" s="120"/>
      <c r="AF40" s="120"/>
      <c r="AG40" s="120"/>
      <c r="AH40" s="17">
        <f t="shared" si="10"/>
        <v>41</v>
      </c>
      <c r="AI40" s="17">
        <f t="shared" si="11"/>
        <v>30</v>
      </c>
      <c r="AJ40" s="17">
        <f t="shared" si="12"/>
        <v>24</v>
      </c>
      <c r="AK40" s="17">
        <f t="shared" si="13"/>
        <v>47</v>
      </c>
      <c r="AL40" s="126">
        <f t="shared" si="14"/>
        <v>44</v>
      </c>
      <c r="AM40" s="17">
        <f t="shared" si="15"/>
        <v>50</v>
      </c>
      <c r="AN40" s="17">
        <f t="shared" si="16"/>
        <v>21</v>
      </c>
      <c r="AO40" s="17" t="str">
        <f t="shared" si="17"/>
        <v>-</v>
      </c>
      <c r="AP40" s="17" t="str">
        <f t="shared" si="18"/>
        <v>UPCOMING</v>
      </c>
      <c r="AQ40" s="131">
        <f t="shared" si="19"/>
        <v>69</v>
      </c>
      <c r="AR40" s="131">
        <f t="shared" si="20"/>
        <v>25.36396103</v>
      </c>
      <c r="AS40" s="131">
        <f t="shared" si="21"/>
        <v>1</v>
      </c>
      <c r="AT40" s="131"/>
      <c r="AU40" s="133"/>
      <c r="AV40" s="313"/>
      <c r="AW40" s="313"/>
      <c r="AX40" s="313"/>
      <c r="AY40" s="313"/>
      <c r="AZ40" s="313"/>
      <c r="BA40" s="313"/>
      <c r="BB40" s="313"/>
      <c r="BC40" s="313"/>
      <c r="BD40" s="313"/>
      <c r="BE40" s="313"/>
      <c r="BF40" s="120"/>
      <c r="BG40" s="120"/>
      <c r="BH40" s="120"/>
      <c r="BI40" s="120"/>
      <c r="BJ40" s="120"/>
      <c r="BK40" s="120"/>
      <c r="BL40" s="120"/>
      <c r="BM40" s="120"/>
      <c r="BN40" s="120"/>
      <c r="BO40" s="120"/>
      <c r="BP40" s="120"/>
      <c r="BQ40" s="120"/>
      <c r="BR40" s="120"/>
      <c r="BS40" s="120"/>
      <c r="BT40" s="120"/>
      <c r="BU40" s="120"/>
      <c r="BV40" s="120"/>
      <c r="BW40" s="313"/>
      <c r="BX40" s="313"/>
      <c r="BY40" s="313"/>
      <c r="BZ40" s="313"/>
      <c r="CA40" s="313"/>
      <c r="CB40" s="313"/>
      <c r="CC40" s="313"/>
      <c r="CD40" s="313"/>
      <c r="CE40" s="120"/>
      <c r="CF40" s="120"/>
      <c r="CG40" s="120"/>
      <c r="CH40" s="120"/>
    </row>
    <row r="41" ht="34.5" customHeight="1">
      <c r="A41" s="52">
        <v>40.0</v>
      </c>
      <c r="B41" s="394" t="str">
        <f t="array" ref="B41">INDEX(Settings!H$2:H$72, ROW())</f>
        <v>WEEK 8</v>
      </c>
      <c r="C41" s="395" t="str">
        <f t="array" ref="C41">INDEX(Settings!I$2:I$72, ROW())</f>
        <v>GAME 5</v>
      </c>
      <c r="D41" s="193">
        <f t="array" ref="D41">INDEX('BACKEND 1'!$V$28:$AK$38, MATCH(F41, 'BACKEND 1'!$V$28:$V$38, 0), MATCH(B41, 'BACKEND 1'!$V$28:$AK$28, 0))</f>
        <v>9</v>
      </c>
      <c r="E41" s="73" t="str">
        <f>VLOOKUP(F41, Settings!$A$3:$C$12, 3, FALSE)</f>
        <v>ESTEEMED</v>
      </c>
      <c r="F41" s="396" t="str">
        <f t="array" ref="F41">INDEX(Settings!J$2:J$72, ROW())</f>
        <v>EAGLES</v>
      </c>
      <c r="G41" s="397">
        <f>SUMIFS('All-Stars'!E:E, 'All-Stars'!B:B, F41, 'All-Stars'!F:F, B41)</f>
        <v>169.16</v>
      </c>
      <c r="H41" s="398">
        <f>SUMIFS('All-Stars'!E:E, 'All-Stars'!B:B, I41, 'All-Stars'!F:F, B41)</f>
        <v>114.52</v>
      </c>
      <c r="I41" s="399" t="str">
        <f t="array" ref="I41">INDEX(Settings!K$2:K$72, ROW())</f>
        <v>POPEYES</v>
      </c>
      <c r="J41" s="88" t="str">
        <f>VLOOKUP(I41, Settings!$A$3:$C$12, 3, FALSE)</f>
        <v>PRODIGY</v>
      </c>
      <c r="K41" s="399">
        <f t="array" ref="K41">INDEX('BACKEND 1'!$V$28:$AK$38, MATCH(I41, 'BACKEND 1'!$V$28:$V$38, 0), MATCH(B41, 'BACKEND 1'!$V$28:$AK$28, 0))</f>
        <v>3</v>
      </c>
      <c r="L41" s="95">
        <f t="array" ref="L41">IFERROR(IF(D41=0,"-",INDEX('BACKEND 1'!$V$54:$AF$64, MATCH(D41, 'BACKEND 1'!$V$54:$V$64, 0), MATCH(K41, 'BACKEND 1'!$V$54:$AF$54, 0))),"-")</f>
        <v>19.24264069</v>
      </c>
      <c r="M41" s="242">
        <f>_xlfn.RANK.EQ(L41,L37:L41,1)</f>
        <v>4</v>
      </c>
      <c r="N41" s="193" t="str">
        <f t="shared" si="1"/>
        <v>EAGLES</v>
      </c>
      <c r="O41" s="194" t="str">
        <f t="shared" si="2"/>
        <v>POPEYES</v>
      </c>
      <c r="P41" s="195" t="str">
        <f t="shared" si="3"/>
        <v>YES</v>
      </c>
      <c r="Q41" s="196">
        <f t="shared" si="4"/>
        <v>54.64</v>
      </c>
      <c r="R41" s="196">
        <f t="shared" si="5"/>
        <v>283.68</v>
      </c>
      <c r="S41" s="197" t="str">
        <f t="shared" si="6"/>
        <v/>
      </c>
      <c r="T41" s="113"/>
      <c r="U41" s="198" t="str">
        <f t="shared" si="7"/>
        <v>UPSET</v>
      </c>
      <c r="V41" s="113">
        <v>8.0</v>
      </c>
      <c r="W41" s="114">
        <f t="shared" si="8"/>
        <v>1</v>
      </c>
      <c r="X41" s="114">
        <f t="shared" si="9"/>
        <v>0</v>
      </c>
      <c r="Y41" s="120"/>
      <c r="Z41" s="120"/>
      <c r="AA41" s="120"/>
      <c r="AB41" s="120"/>
      <c r="AC41" s="120"/>
      <c r="AD41" s="120"/>
      <c r="AE41" s="120"/>
      <c r="AF41" s="120"/>
      <c r="AG41" s="120"/>
      <c r="AH41" s="17">
        <f t="shared" si="10"/>
        <v>55</v>
      </c>
      <c r="AI41" s="17">
        <f t="shared" si="11"/>
        <v>16</v>
      </c>
      <c r="AJ41" s="17">
        <f t="shared" si="12"/>
        <v>13</v>
      </c>
      <c r="AK41" s="17">
        <f t="shared" si="13"/>
        <v>58</v>
      </c>
      <c r="AL41" s="126">
        <f t="shared" si="14"/>
        <v>56.5</v>
      </c>
      <c r="AM41" s="17">
        <f t="shared" si="15"/>
        <v>67</v>
      </c>
      <c r="AN41" s="17">
        <f t="shared" si="16"/>
        <v>4</v>
      </c>
      <c r="AO41" s="17" t="str">
        <f t="shared" si="17"/>
        <v>-</v>
      </c>
      <c r="AP41" s="17" t="str">
        <f t="shared" si="18"/>
        <v>UPCOMING</v>
      </c>
      <c r="AQ41" s="131">
        <f t="shared" si="19"/>
        <v>61</v>
      </c>
      <c r="AR41" s="131">
        <f t="shared" si="20"/>
        <v>19.24264069</v>
      </c>
      <c r="AS41" s="131">
        <f t="shared" si="21"/>
        <v>6</v>
      </c>
      <c r="AT41" s="131"/>
      <c r="AU41" s="133"/>
      <c r="AV41" s="513" t="str">
        <f>"Top 5 "&amp; Settings!$R$3&amp; " Regular Season Lowest Scoring Games - PVE FFL"</f>
        <v>Top 5 2025 Regular Season Lowest Scoring Games - PVE FFL</v>
      </c>
      <c r="AW41" s="514"/>
      <c r="AX41" s="514"/>
      <c r="AY41" s="514"/>
      <c r="AZ41" s="514"/>
      <c r="BA41" s="514"/>
      <c r="BB41" s="514"/>
      <c r="BC41" s="515"/>
      <c r="BD41" s="313"/>
      <c r="BE41" s="313"/>
      <c r="BF41" s="120"/>
      <c r="BG41" s="120"/>
      <c r="BH41" s="120"/>
      <c r="BI41" s="120"/>
      <c r="BJ41" s="120"/>
      <c r="BK41" s="120"/>
      <c r="BL41" s="120"/>
      <c r="BM41" s="120"/>
      <c r="BN41" s="120"/>
      <c r="BO41" s="120"/>
      <c r="BP41" s="120"/>
      <c r="BQ41" s="120"/>
      <c r="BR41" s="120"/>
      <c r="BS41" s="120"/>
      <c r="BT41" s="120"/>
      <c r="BU41" s="120"/>
      <c r="BV41" s="120"/>
      <c r="BW41" s="313"/>
      <c r="BX41" s="313"/>
      <c r="BY41" s="313"/>
      <c r="BZ41" s="313"/>
      <c r="CA41" s="313"/>
      <c r="CB41" s="313"/>
      <c r="CC41" s="313"/>
      <c r="CD41" s="313"/>
      <c r="CE41" s="120"/>
      <c r="CF41" s="120"/>
      <c r="CG41" s="120"/>
      <c r="CH41" s="120"/>
    </row>
    <row r="42" ht="34.5" customHeight="1">
      <c r="A42" s="178">
        <v>41.0</v>
      </c>
      <c r="B42" s="588" t="str">
        <f t="array" ref="B42">INDEX(Settings!H$2:H$72, ROW())</f>
        <v>WEEK 9</v>
      </c>
      <c r="C42" s="422" t="str">
        <f t="array" ref="C42">INDEX(Settings!I$2:I$72, ROW())</f>
        <v>GAME 1</v>
      </c>
      <c r="D42" s="423">
        <f t="array" ref="D42">INDEX('BACKEND 1'!$V$28:$AK$38, MATCH(F42, 'BACKEND 1'!$V$28:$V$38, 0), MATCH(B42, 'BACKEND 1'!$V$28:$AK$28, 0))</f>
        <v>4</v>
      </c>
      <c r="E42" s="73" t="str">
        <f>VLOOKUP(F42, Settings!$A$3:$C$12, 3, FALSE)</f>
        <v>PRODIGY</v>
      </c>
      <c r="F42" s="424" t="str">
        <f t="array" ref="F42">INDEX(Settings!J$2:J$72, ROW())</f>
        <v>POPEYES</v>
      </c>
      <c r="G42" s="425">
        <f>SUMIFS('All-Stars'!E:E, 'All-Stars'!B:B, F42, 'All-Stars'!F:F, B42)</f>
        <v>162.87</v>
      </c>
      <c r="H42" s="426">
        <f>SUMIFS('All-Stars'!E:E, 'All-Stars'!B:B, I42, 'All-Stars'!F:F, B42)</f>
        <v>175.49</v>
      </c>
      <c r="I42" s="427" t="str">
        <f t="array" ref="I42">INDEX(Settings!K$2:K$72, ROW())</f>
        <v>GREEN</v>
      </c>
      <c r="J42" s="88" t="str">
        <f>VLOOKUP(I42, Settings!$A$3:$C$12, 3, FALSE)</f>
        <v>PRODIGY</v>
      </c>
      <c r="K42" s="427">
        <f t="array" ref="K42">INDEX('BACKEND 1'!$V$28:$AK$38, MATCH(I42, 'BACKEND 1'!$V$28:$V$38, 0), MATCH(B42, 'BACKEND 1'!$V$28:$AK$28, 0))</f>
        <v>1</v>
      </c>
      <c r="L42" s="95">
        <f t="array" ref="L42">IFERROR(IF(D42=0,"-",INDEX('BACKEND 1'!$V$54:$AF$64, MATCH(D42, 'BACKEND 1'!$V$54:$V$64, 0), MATCH(K42, 'BACKEND 1'!$V$54:$AF$54, 0))),"-")</f>
        <v>9.121320344</v>
      </c>
      <c r="M42" s="98">
        <f>_xlfn.RANK.EQ(L42,L42:L46,1)</f>
        <v>1</v>
      </c>
      <c r="N42" s="100" t="str">
        <f t="shared" si="1"/>
        <v>GREEN</v>
      </c>
      <c r="O42" s="103" t="str">
        <f t="shared" si="2"/>
        <v>POPEYES</v>
      </c>
      <c r="P42" s="105" t="str">
        <f t="shared" si="3"/>
        <v/>
      </c>
      <c r="Q42" s="107">
        <f t="shared" si="4"/>
        <v>12.62</v>
      </c>
      <c r="R42" s="107">
        <f t="shared" si="5"/>
        <v>338.36</v>
      </c>
      <c r="S42" s="110" t="str">
        <f t="shared" si="6"/>
        <v>MOTW</v>
      </c>
      <c r="T42" s="111"/>
      <c r="U42" s="112" t="str">
        <f t="shared" si="7"/>
        <v/>
      </c>
      <c r="V42" s="113">
        <v>9.0</v>
      </c>
      <c r="W42" s="114">
        <f t="shared" si="8"/>
        <v>0</v>
      </c>
      <c r="X42" s="114">
        <f t="shared" si="9"/>
        <v>0</v>
      </c>
      <c r="Y42" s="120"/>
      <c r="Z42" s="120"/>
      <c r="AA42" s="120"/>
      <c r="AB42" s="120"/>
      <c r="AC42" s="120"/>
      <c r="AD42" s="120"/>
      <c r="AE42" s="120"/>
      <c r="AF42" s="120"/>
      <c r="AG42" s="120"/>
      <c r="AH42" s="17">
        <f t="shared" si="10"/>
        <v>12</v>
      </c>
      <c r="AI42" s="17">
        <f t="shared" si="11"/>
        <v>59</v>
      </c>
      <c r="AJ42" s="17">
        <f t="shared" si="12"/>
        <v>46</v>
      </c>
      <c r="AK42" s="17">
        <f t="shared" si="13"/>
        <v>25</v>
      </c>
      <c r="AL42" s="126">
        <f t="shared" si="14"/>
        <v>18.5</v>
      </c>
      <c r="AM42" s="17">
        <f t="shared" si="15"/>
        <v>8</v>
      </c>
      <c r="AN42" s="17">
        <f t="shared" si="16"/>
        <v>63</v>
      </c>
      <c r="AO42" s="17">
        <f t="shared" si="17"/>
        <v>18.5</v>
      </c>
      <c r="AP42" s="17">
        <f t="shared" si="18"/>
        <v>4</v>
      </c>
      <c r="AQ42" s="131">
        <f t="shared" si="19"/>
        <v>16</v>
      </c>
      <c r="AR42" s="131" t="str">
        <f t="shared" si="20"/>
        <v>NO UPSET</v>
      </c>
      <c r="AS42" s="131" t="str">
        <f t="shared" si="21"/>
        <v>-</v>
      </c>
      <c r="AT42" s="131"/>
      <c r="AU42" s="133"/>
      <c r="AV42" s="516" t="s">
        <v>374</v>
      </c>
      <c r="AW42" s="134" t="s">
        <v>375</v>
      </c>
      <c r="AX42" s="134" t="s">
        <v>153</v>
      </c>
      <c r="AY42" s="134" t="s">
        <v>30</v>
      </c>
      <c r="AZ42" s="134" t="s">
        <v>155</v>
      </c>
      <c r="BA42" s="134" t="s">
        <v>156</v>
      </c>
      <c r="BB42" s="517" t="s">
        <v>157</v>
      </c>
      <c r="BC42" s="518" t="s">
        <v>27</v>
      </c>
      <c r="BD42" s="313"/>
      <c r="BE42" s="313"/>
      <c r="BF42" s="120"/>
      <c r="BG42" s="120"/>
      <c r="BH42" s="120"/>
      <c r="BI42" s="120"/>
      <c r="BJ42" s="120"/>
      <c r="BK42" s="120"/>
      <c r="BL42" s="120"/>
      <c r="BM42" s="120"/>
      <c r="BN42" s="120"/>
      <c r="BO42" s="120"/>
      <c r="BP42" s="120"/>
      <c r="BQ42" s="120"/>
      <c r="BR42" s="120"/>
      <c r="BS42" s="120"/>
      <c r="BT42" s="120"/>
      <c r="BU42" s="120"/>
      <c r="BV42" s="120"/>
      <c r="BW42" s="313"/>
      <c r="BX42" s="313"/>
      <c r="BY42" s="313"/>
      <c r="BZ42" s="313"/>
      <c r="CA42" s="313"/>
      <c r="CB42" s="313"/>
      <c r="CC42" s="313"/>
      <c r="CD42" s="313"/>
      <c r="CE42" s="120"/>
      <c r="CF42" s="120"/>
      <c r="CG42" s="120"/>
      <c r="CH42" s="120"/>
    </row>
    <row r="43" ht="34.5" customHeight="1">
      <c r="A43" s="178">
        <v>42.0</v>
      </c>
      <c r="B43" s="604" t="str">
        <f t="array" ref="B43">INDEX(Settings!H$2:H$72, ROW())</f>
        <v>WEEK 9</v>
      </c>
      <c r="C43" s="434" t="str">
        <f t="array" ref="C43">INDEX(Settings!I$2:I$72, ROW())</f>
        <v>GAME 2</v>
      </c>
      <c r="D43" s="435">
        <f t="array" ref="D43">INDEX('BACKEND 1'!$V$28:$AK$38, MATCH(F43, 'BACKEND 1'!$V$28:$V$38, 0), MATCH(B43, 'BACKEND 1'!$V$28:$AK$28, 0))</f>
        <v>5</v>
      </c>
      <c r="E43" s="73" t="str">
        <f>VLOOKUP(F43, Settings!$A$3:$C$12, 3, FALSE)</f>
        <v>PRODIGY</v>
      </c>
      <c r="F43" s="436" t="str">
        <f t="array" ref="F43">INDEX(Settings!J$2:J$72, ROW())</f>
        <v>DECOUPES</v>
      </c>
      <c r="G43" s="437">
        <f>SUMIFS('All-Stars'!E:E, 'All-Stars'!B:B, F43, 'All-Stars'!F:F, B43)</f>
        <v>131.48</v>
      </c>
      <c r="H43" s="438">
        <f>SUMIFS('All-Stars'!E:E, 'All-Stars'!B:B, I43, 'All-Stars'!F:F, B43)</f>
        <v>192.42</v>
      </c>
      <c r="I43" s="439" t="str">
        <f t="array" ref="I43">INDEX(Settings!K$2:K$72, ROW())</f>
        <v>SAVAGES</v>
      </c>
      <c r="J43" s="88" t="str">
        <f>VLOOKUP(I43, Settings!$A$3:$C$12, 3, FALSE)</f>
        <v>PRODIGY</v>
      </c>
      <c r="K43" s="439">
        <f t="array" ref="K43">INDEX('BACKEND 1'!$V$28:$AK$38, MATCH(I43, 'BACKEND 1'!$V$28:$V$38, 0), MATCH(B43, 'BACKEND 1'!$V$28:$AK$28, 0))</f>
        <v>10</v>
      </c>
      <c r="L43" s="95">
        <f t="array" ref="L43">IFERROR(IF(D43=0,"-",INDEX('BACKEND 1'!$V$54:$AF$64, MATCH(D43, 'BACKEND 1'!$V$54:$V$64, 0), MATCH(K43, 'BACKEND 1'!$V$54:$AF$54, 0))),"-")</f>
        <v>18.53553391</v>
      </c>
      <c r="M43" s="192">
        <f>_xlfn.RANK.EQ(L43,L42:L46,1)</f>
        <v>5</v>
      </c>
      <c r="N43" s="193" t="str">
        <f t="shared" si="1"/>
        <v>SAVAGES</v>
      </c>
      <c r="O43" s="194" t="str">
        <f t="shared" si="2"/>
        <v>DECOUPES</v>
      </c>
      <c r="P43" s="195" t="str">
        <f t="shared" si="3"/>
        <v>YES</v>
      </c>
      <c r="Q43" s="107">
        <f t="shared" si="4"/>
        <v>60.94</v>
      </c>
      <c r="R43" s="196">
        <f t="shared" si="5"/>
        <v>323.9</v>
      </c>
      <c r="S43" s="197" t="str">
        <f t="shared" si="6"/>
        <v/>
      </c>
      <c r="T43" s="113"/>
      <c r="U43" s="198" t="str">
        <f t="shared" si="7"/>
        <v>UPSET</v>
      </c>
      <c r="V43" s="113">
        <v>9.0</v>
      </c>
      <c r="W43" s="114">
        <f t="shared" si="8"/>
        <v>0</v>
      </c>
      <c r="X43" s="114">
        <f t="shared" si="9"/>
        <v>0</v>
      </c>
      <c r="Y43" s="120"/>
      <c r="Z43" s="120"/>
      <c r="AA43" s="120"/>
      <c r="AB43" s="120"/>
      <c r="AC43" s="120"/>
      <c r="AD43" s="120"/>
      <c r="AE43" s="120"/>
      <c r="AF43" s="120"/>
      <c r="AG43" s="120"/>
      <c r="AH43" s="17">
        <f t="shared" si="10"/>
        <v>59</v>
      </c>
      <c r="AI43" s="17">
        <f t="shared" si="11"/>
        <v>12</v>
      </c>
      <c r="AJ43" s="17">
        <f t="shared" si="12"/>
        <v>37</v>
      </c>
      <c r="AK43" s="17">
        <f t="shared" si="13"/>
        <v>34</v>
      </c>
      <c r="AL43" s="126">
        <f t="shared" si="14"/>
        <v>46.5</v>
      </c>
      <c r="AM43" s="17">
        <f t="shared" si="15"/>
        <v>54</v>
      </c>
      <c r="AN43" s="17">
        <f t="shared" si="16"/>
        <v>17</v>
      </c>
      <c r="AO43" s="17" t="str">
        <f t="shared" si="17"/>
        <v>-</v>
      </c>
      <c r="AP43" s="17" t="str">
        <f t="shared" si="18"/>
        <v>UPCOMING</v>
      </c>
      <c r="AQ43" s="131">
        <f t="shared" si="19"/>
        <v>60</v>
      </c>
      <c r="AR43" s="131">
        <f t="shared" si="20"/>
        <v>18.53553391</v>
      </c>
      <c r="AS43" s="131">
        <f t="shared" si="21"/>
        <v>7</v>
      </c>
      <c r="AT43" s="131"/>
      <c r="AU43" s="133"/>
      <c r="AV43" s="608">
        <v>1.0</v>
      </c>
      <c r="AW43" s="203">
        <f t="shared" ref="AW43:AW47" si="63">INDEX($R:$R, MATCH(AV43,$AJ:$AJ,0))</f>
        <v>246.85</v>
      </c>
      <c r="AX43" s="200">
        <f>Settings!$R$3</f>
        <v>2025</v>
      </c>
      <c r="AY43" s="217" t="str">
        <f t="shared" ref="AY43:AY47" si="64">INDEX($B:$B, MATCH(AV43,$AJ:$AJ,0))</f>
        <v>WEEK 13</v>
      </c>
      <c r="AZ43" s="205" t="str">
        <f t="shared" ref="AZ43:AZ47" si="65">INDEX($N:$N, MATCH(AV43,$AJ:$AJ,0))</f>
        <v>KINGS</v>
      </c>
      <c r="BA43" s="200" t="str">
        <f t="shared" ref="BA43:BA47" si="66">INDEX($O:$O, MATCH(AV43,$AJ:$AJ,0))</f>
        <v>POPEYES</v>
      </c>
      <c r="BB43" s="200" t="str">
        <f t="array" ref="BB43">Settings!$R$3 &amp; " REG, PVE FFL GAME " &amp; INDEX($A:$A, MATCH(AV43,$AJ:$AJ,0))</f>
        <v>2025 REG, PVE FFL GAME 61</v>
      </c>
      <c r="BC43" s="375" t="str">
        <f t="shared" ref="BC43:BC47" si="67">INDEX($S:$S, MATCH(AV43,$AJ:$AJ,0))</f>
        <v/>
      </c>
      <c r="BD43" s="313"/>
      <c r="BE43" s="313"/>
      <c r="BF43" s="120"/>
      <c r="BG43" s="120"/>
      <c r="BH43" s="120"/>
      <c r="BI43" s="120"/>
      <c r="BJ43" s="120"/>
      <c r="BK43" s="120"/>
      <c r="BL43" s="120"/>
      <c r="BM43" s="120"/>
      <c r="BN43" s="120"/>
      <c r="BO43" s="120"/>
      <c r="BP43" s="120"/>
      <c r="BQ43" s="120"/>
      <c r="BR43" s="120"/>
      <c r="BS43" s="120"/>
      <c r="BT43" s="120"/>
      <c r="BU43" s="120"/>
      <c r="BV43" s="120"/>
      <c r="BW43" s="313"/>
      <c r="BX43" s="313"/>
      <c r="BY43" s="313"/>
      <c r="BZ43" s="313"/>
      <c r="CA43" s="313"/>
      <c r="CB43" s="313"/>
      <c r="CC43" s="313"/>
      <c r="CD43" s="313"/>
      <c r="CE43" s="120"/>
      <c r="CF43" s="120"/>
      <c r="CG43" s="120"/>
      <c r="CH43" s="120"/>
    </row>
    <row r="44" ht="34.5" customHeight="1">
      <c r="A44" s="52">
        <v>43.0</v>
      </c>
      <c r="B44" s="604" t="str">
        <f t="array" ref="B44">INDEX(Settings!H$2:H$72, ROW())</f>
        <v>WEEK 9</v>
      </c>
      <c r="C44" s="434" t="str">
        <f t="array" ref="C44">INDEX(Settings!I$2:I$72, ROW())</f>
        <v>GAME 3</v>
      </c>
      <c r="D44" s="435">
        <f t="array" ref="D44">INDEX('BACKEND 1'!$V$28:$AK$38, MATCH(F44, 'BACKEND 1'!$V$28:$V$38, 0), MATCH(B44, 'BACKEND 1'!$V$28:$AK$28, 0))</f>
        <v>7</v>
      </c>
      <c r="E44" s="73" t="str">
        <f>VLOOKUP(F44, Settings!$A$3:$C$12, 3, FALSE)</f>
        <v>ESTEEMED</v>
      </c>
      <c r="F44" s="436" t="str">
        <f t="array" ref="F44">INDEX(Settings!J$2:J$72, ROW())</f>
        <v>EAGLES</v>
      </c>
      <c r="G44" s="437">
        <f>SUMIFS('All-Stars'!E:E, 'All-Stars'!B:B, F44, 'All-Stars'!F:F, B44)</f>
        <v>109.13</v>
      </c>
      <c r="H44" s="438">
        <f>SUMIFS('All-Stars'!E:E, 'All-Stars'!B:B, I44, 'All-Stars'!F:F, B44)</f>
        <v>150.66</v>
      </c>
      <c r="I44" s="439" t="str">
        <f t="array" ref="I44">INDEX(Settings!K$2:K$72, ROW())</f>
        <v>METAMOOKDAWGS</v>
      </c>
      <c r="J44" s="88" t="str">
        <f>VLOOKUP(I44, Settings!$A$3:$C$12, 3, FALSE)</f>
        <v>ESTEEMED</v>
      </c>
      <c r="K44" s="439">
        <f t="array" ref="K44">INDEX('BACKEND 1'!$V$28:$AK$38, MATCH(I44, 'BACKEND 1'!$V$28:$V$38, 0), MATCH(B44, 'BACKEND 1'!$V$28:$AK$28, 0))</f>
        <v>9</v>
      </c>
      <c r="L44" s="95">
        <f t="array" ref="L44">IFERROR(IF(D44=0,"-",INDEX('BACKEND 1'!$V$54:$AF$64, MATCH(D44, 'BACKEND 1'!$V$54:$V$64, 0), MATCH(K44, 'BACKEND 1'!$V$54:$AF$54, 0))),"-")</f>
        <v>12.41421356</v>
      </c>
      <c r="M44" s="192">
        <f>_xlfn.RANK.EQ(L44,L42:L46,1)</f>
        <v>3</v>
      </c>
      <c r="N44" s="193" t="str">
        <f t="shared" si="1"/>
        <v>METAMOOKDAWGS</v>
      </c>
      <c r="O44" s="194" t="str">
        <f t="shared" si="2"/>
        <v>EAGLES</v>
      </c>
      <c r="P44" s="195" t="str">
        <f t="shared" si="3"/>
        <v>YES</v>
      </c>
      <c r="Q44" s="196">
        <f t="shared" si="4"/>
        <v>41.53</v>
      </c>
      <c r="R44" s="196">
        <f t="shared" si="5"/>
        <v>259.79</v>
      </c>
      <c r="S44" s="197" t="str">
        <f t="shared" si="6"/>
        <v/>
      </c>
      <c r="T44" s="113"/>
      <c r="U44" s="198" t="str">
        <f t="shared" si="7"/>
        <v>UPSET</v>
      </c>
      <c r="V44" s="113">
        <v>9.0</v>
      </c>
      <c r="W44" s="114">
        <f t="shared" si="8"/>
        <v>0</v>
      </c>
      <c r="X44" s="114">
        <f t="shared" si="9"/>
        <v>0</v>
      </c>
      <c r="Y44" s="120"/>
      <c r="Z44" s="120"/>
      <c r="AA44" s="120"/>
      <c r="AB44" s="120"/>
      <c r="AC44" s="120"/>
      <c r="AD44" s="120"/>
      <c r="AE44" s="120"/>
      <c r="AF44" s="120"/>
      <c r="AG44" s="120"/>
      <c r="AH44" s="17">
        <f t="shared" si="10"/>
        <v>43</v>
      </c>
      <c r="AI44" s="17">
        <f t="shared" si="11"/>
        <v>28</v>
      </c>
      <c r="AJ44" s="17">
        <f t="shared" si="12"/>
        <v>4</v>
      </c>
      <c r="AK44" s="17">
        <f t="shared" si="13"/>
        <v>67</v>
      </c>
      <c r="AL44" s="126">
        <f t="shared" si="14"/>
        <v>55</v>
      </c>
      <c r="AM44" s="17">
        <f t="shared" si="15"/>
        <v>63</v>
      </c>
      <c r="AN44" s="17">
        <f t="shared" si="16"/>
        <v>8</v>
      </c>
      <c r="AO44" s="17" t="str">
        <f t="shared" si="17"/>
        <v>-</v>
      </c>
      <c r="AP44" s="17" t="str">
        <f t="shared" si="18"/>
        <v>UPCOMING</v>
      </c>
      <c r="AQ44" s="131">
        <f t="shared" si="19"/>
        <v>39</v>
      </c>
      <c r="AR44" s="131">
        <f t="shared" si="20"/>
        <v>12.41421356</v>
      </c>
      <c r="AS44" s="131">
        <f t="shared" si="21"/>
        <v>16</v>
      </c>
      <c r="AT44" s="131"/>
      <c r="AU44" s="133"/>
      <c r="AV44" s="608">
        <v>2.0</v>
      </c>
      <c r="AW44" s="203">
        <f t="shared" si="63"/>
        <v>252.08</v>
      </c>
      <c r="AX44" s="200">
        <f>Settings!$R$3</f>
        <v>2025</v>
      </c>
      <c r="AY44" s="217" t="str">
        <f t="shared" si="64"/>
        <v>WEEK 6</v>
      </c>
      <c r="AZ44" s="205" t="str">
        <f t="shared" si="65"/>
        <v>DECOUPES</v>
      </c>
      <c r="BA44" s="200" t="str">
        <f t="shared" si="66"/>
        <v>POPEYES</v>
      </c>
      <c r="BB44" s="200" t="str">
        <f t="array" ref="BB44">Settings!$R$3 &amp; " REG, PVE FFL GAME " &amp; INDEX($A:$A, MATCH(AV44,$AJ:$AJ,0))</f>
        <v>2025 REG, PVE FFL GAME 28</v>
      </c>
      <c r="BC44" s="375" t="str">
        <f t="shared" si="67"/>
        <v/>
      </c>
      <c r="BD44" s="313"/>
      <c r="BE44" s="313"/>
      <c r="BF44" s="120"/>
      <c r="BG44" s="120"/>
      <c r="BH44" s="120"/>
      <c r="BI44" s="120"/>
      <c r="BJ44" s="120"/>
      <c r="BK44" s="120"/>
      <c r="BL44" s="120"/>
      <c r="BM44" s="120"/>
      <c r="BN44" s="120"/>
      <c r="BO44" s="120"/>
      <c r="BP44" s="120"/>
      <c r="BQ44" s="120"/>
      <c r="BR44" s="120"/>
      <c r="BS44" s="120"/>
      <c r="BT44" s="120"/>
      <c r="BU44" s="120"/>
      <c r="BV44" s="120"/>
      <c r="BW44" s="313"/>
      <c r="BX44" s="313"/>
      <c r="BY44" s="313"/>
      <c r="BZ44" s="313"/>
      <c r="CA44" s="313"/>
      <c r="CB44" s="313"/>
      <c r="CC44" s="313"/>
      <c r="CD44" s="313"/>
      <c r="CE44" s="120"/>
      <c r="CF44" s="120"/>
      <c r="CG44" s="120"/>
      <c r="CH44" s="120"/>
    </row>
    <row r="45" ht="34.5" customHeight="1">
      <c r="A45" s="178">
        <v>44.0</v>
      </c>
      <c r="B45" s="604" t="str">
        <f t="array" ref="B45">INDEX(Settings!H$2:H$72, ROW())</f>
        <v>WEEK 9</v>
      </c>
      <c r="C45" s="434" t="str">
        <f t="array" ref="C45">INDEX(Settings!I$2:I$72, ROW())</f>
        <v>GAME 4</v>
      </c>
      <c r="D45" s="435">
        <f t="array" ref="D45">INDEX('BACKEND 1'!$V$28:$AK$38, MATCH(F45, 'BACKEND 1'!$V$28:$V$38, 0), MATCH(B45, 'BACKEND 1'!$V$28:$AK$28, 0))</f>
        <v>2</v>
      </c>
      <c r="E45" s="73" t="str">
        <f>VLOOKUP(F45, Settings!$A$3:$C$12, 3, FALSE)</f>
        <v>ESTEEMED</v>
      </c>
      <c r="F45" s="436" t="str">
        <f t="array" ref="F45">INDEX(Settings!J$2:J$72, ROW())</f>
        <v>MUTTS</v>
      </c>
      <c r="G45" s="437">
        <f>SUMIFS('All-Stars'!E:E, 'All-Stars'!B:B, F45, 'All-Stars'!F:F, B45)</f>
        <v>140.08</v>
      </c>
      <c r="H45" s="438">
        <f>SUMIFS('All-Stars'!E:E, 'All-Stars'!B:B, I45, 'All-Stars'!F:F, B45)</f>
        <v>203.6</v>
      </c>
      <c r="I45" s="439" t="str">
        <f t="array" ref="I45">INDEX(Settings!K$2:K$72, ROW())</f>
        <v>CHAMPS</v>
      </c>
      <c r="J45" s="88" t="str">
        <f>VLOOKUP(I45, Settings!$A$3:$C$12, 3, FALSE)</f>
        <v>ESTEEMED</v>
      </c>
      <c r="K45" s="439">
        <f t="array" ref="K45">INDEX('BACKEND 1'!$V$28:$AK$38, MATCH(I45, 'BACKEND 1'!$V$28:$V$38, 0), MATCH(B45, 'BACKEND 1'!$V$28:$AK$28, 0))</f>
        <v>8</v>
      </c>
      <c r="L45" s="95">
        <f t="array" ref="L45">IFERROR(IF(D45=0,"-",INDEX('BACKEND 1'!$V$54:$AF$64, MATCH(D45, 'BACKEND 1'!$V$54:$V$64, 0), MATCH(K45, 'BACKEND 1'!$V$54:$AF$54, 0))),"-")</f>
        <v>18.24264069</v>
      </c>
      <c r="M45" s="192">
        <f>_xlfn.RANK.EQ(L45,L42:L46,1)</f>
        <v>4</v>
      </c>
      <c r="N45" s="193" t="str">
        <f t="shared" si="1"/>
        <v>CHAMPS</v>
      </c>
      <c r="O45" s="194" t="str">
        <f t="shared" si="2"/>
        <v>MUTTS</v>
      </c>
      <c r="P45" s="195" t="str">
        <f t="shared" si="3"/>
        <v>YES</v>
      </c>
      <c r="Q45" s="196">
        <f t="shared" si="4"/>
        <v>63.52</v>
      </c>
      <c r="R45" s="196">
        <f t="shared" si="5"/>
        <v>343.68</v>
      </c>
      <c r="S45" s="197" t="str">
        <f t="shared" si="6"/>
        <v/>
      </c>
      <c r="T45" s="113"/>
      <c r="U45" s="198" t="str">
        <f t="shared" si="7"/>
        <v>UPSET</v>
      </c>
      <c r="V45" s="629">
        <v>9.0</v>
      </c>
      <c r="W45" s="114">
        <f t="shared" si="8"/>
        <v>0</v>
      </c>
      <c r="X45" s="114">
        <f t="shared" si="9"/>
        <v>0</v>
      </c>
      <c r="Y45" s="120"/>
      <c r="Z45" s="120"/>
      <c r="AA45" s="120"/>
      <c r="AB45" s="120"/>
      <c r="AC45" s="120"/>
      <c r="AD45" s="120"/>
      <c r="AE45" s="120"/>
      <c r="AF45" s="120"/>
      <c r="AG45" s="120"/>
      <c r="AH45" s="17">
        <f t="shared" si="10"/>
        <v>64</v>
      </c>
      <c r="AI45" s="17">
        <f t="shared" si="11"/>
        <v>7</v>
      </c>
      <c r="AJ45" s="17">
        <f t="shared" si="12"/>
        <v>49</v>
      </c>
      <c r="AK45" s="17">
        <f t="shared" si="13"/>
        <v>22</v>
      </c>
      <c r="AL45" s="126">
        <f t="shared" si="14"/>
        <v>43</v>
      </c>
      <c r="AM45" s="17">
        <f t="shared" si="15"/>
        <v>47</v>
      </c>
      <c r="AN45" s="17">
        <f t="shared" si="16"/>
        <v>24</v>
      </c>
      <c r="AO45" s="17" t="str">
        <f t="shared" si="17"/>
        <v>-</v>
      </c>
      <c r="AP45" s="17" t="str">
        <f t="shared" si="18"/>
        <v>UPCOMING</v>
      </c>
      <c r="AQ45" s="131">
        <f t="shared" si="19"/>
        <v>59</v>
      </c>
      <c r="AR45" s="131">
        <f t="shared" si="20"/>
        <v>18.24264069</v>
      </c>
      <c r="AS45" s="131">
        <f t="shared" si="21"/>
        <v>8</v>
      </c>
      <c r="AT45" s="131"/>
      <c r="AU45" s="133"/>
      <c r="AV45" s="608">
        <v>3.0</v>
      </c>
      <c r="AW45" s="203">
        <f t="shared" si="63"/>
        <v>254.86</v>
      </c>
      <c r="AX45" s="200">
        <f>Settings!$R$3</f>
        <v>2025</v>
      </c>
      <c r="AY45" s="217" t="str">
        <f t="shared" si="64"/>
        <v>WEEK 14</v>
      </c>
      <c r="AZ45" s="205" t="str">
        <f t="shared" si="65"/>
        <v>GREEN</v>
      </c>
      <c r="BA45" s="200" t="str">
        <f t="shared" si="66"/>
        <v>KINGS</v>
      </c>
      <c r="BB45" s="200" t="str">
        <f t="array" ref="BB45">Settings!$R$3 &amp; " REG, PVE FFL GAME " &amp; INDEX($A:$A, MATCH(AV45,$AJ:$AJ,0))</f>
        <v>2025 REG, PVE FFL GAME 66</v>
      </c>
      <c r="BC45" s="375" t="str">
        <f t="shared" si="67"/>
        <v/>
      </c>
      <c r="BD45" s="313"/>
      <c r="BE45" s="313"/>
      <c r="BF45" s="120"/>
      <c r="BG45" s="120"/>
      <c r="BH45" s="120"/>
      <c r="BI45" s="120"/>
      <c r="BJ45" s="120"/>
      <c r="BK45" s="120"/>
      <c r="BL45" s="120"/>
      <c r="BM45" s="120"/>
      <c r="BN45" s="120"/>
      <c r="BO45" s="120"/>
      <c r="BP45" s="120"/>
      <c r="BQ45" s="120"/>
      <c r="BR45" s="120"/>
      <c r="BS45" s="120"/>
      <c r="BT45" s="120"/>
      <c r="BU45" s="120"/>
      <c r="BV45" s="120"/>
      <c r="BW45" s="313"/>
      <c r="BX45" s="313"/>
      <c r="BY45" s="313"/>
      <c r="BZ45" s="313"/>
      <c r="CA45" s="313"/>
      <c r="CB45" s="313"/>
      <c r="CC45" s="313"/>
      <c r="CD45" s="313"/>
      <c r="CE45" s="120"/>
      <c r="CF45" s="120"/>
      <c r="CG45" s="120"/>
      <c r="CH45" s="120"/>
    </row>
    <row r="46" ht="34.5" customHeight="1">
      <c r="A46" s="178">
        <v>45.0</v>
      </c>
      <c r="B46" s="633" t="str">
        <f t="array" ref="B46">INDEX(Settings!H$2:H$72, ROW())</f>
        <v>WEEK 9</v>
      </c>
      <c r="C46" s="450" t="str">
        <f t="array" ref="C46">INDEX(Settings!I$2:I$72, ROW())</f>
        <v>GAME 5</v>
      </c>
      <c r="D46" s="451">
        <f t="array" ref="D46">INDEX('BACKEND 1'!$V$28:$AK$38, MATCH(F46, 'BACKEND 1'!$V$28:$V$38, 0), MATCH(B46, 'BACKEND 1'!$V$28:$AK$28, 0))</f>
        <v>3</v>
      </c>
      <c r="E46" s="73" t="str">
        <f>VLOOKUP(F46, Settings!$A$3:$C$12, 3, FALSE)</f>
        <v>ESTEEMED</v>
      </c>
      <c r="F46" s="455" t="str">
        <f t="array" ref="F46">INDEX(Settings!J$2:J$72, ROW())</f>
        <v>YARDIES</v>
      </c>
      <c r="G46" s="456">
        <f>SUMIFS('All-Stars'!E:E, 'All-Stars'!B:B, F46, 'All-Stars'!F:F, B46)</f>
        <v>166.25</v>
      </c>
      <c r="H46" s="457">
        <f>SUMIFS('All-Stars'!E:E, 'All-Stars'!B:B, I46, 'All-Stars'!F:F, B46)</f>
        <v>142.6</v>
      </c>
      <c r="I46" s="458" t="str">
        <f t="array" ref="I46">INDEX(Settings!K$2:K$72, ROW())</f>
        <v>KINGS</v>
      </c>
      <c r="J46" s="88" t="str">
        <f>VLOOKUP(I46, Settings!$A$3:$C$12, 3, FALSE)</f>
        <v>PRODIGY</v>
      </c>
      <c r="K46" s="458">
        <f t="array" ref="K46">INDEX('BACKEND 1'!$V$28:$AK$38, MATCH(I46, 'BACKEND 1'!$V$28:$V$38, 0), MATCH(B46, 'BACKEND 1'!$V$28:$AK$28, 0))</f>
        <v>6</v>
      </c>
      <c r="L46" s="95">
        <f t="array" ref="L46">IFERROR(IF(D46=0,"-",INDEX('BACKEND 1'!$V$54:$AF$64, MATCH(D46, 'BACKEND 1'!$V$54:$V$64, 0), MATCH(K46, 'BACKEND 1'!$V$54:$AF$54, 0))),"-")</f>
        <v>11.12132034</v>
      </c>
      <c r="M46" s="242">
        <f>_xlfn.RANK.EQ(L46,L42:L46,1)</f>
        <v>2</v>
      </c>
      <c r="N46" s="243" t="str">
        <f t="shared" si="1"/>
        <v>YARDIES</v>
      </c>
      <c r="O46" s="244" t="str">
        <f t="shared" si="2"/>
        <v>KINGS</v>
      </c>
      <c r="P46" s="245" t="str">
        <f t="shared" si="3"/>
        <v/>
      </c>
      <c r="Q46" s="246">
        <f t="shared" si="4"/>
        <v>23.65</v>
      </c>
      <c r="R46" s="246">
        <f t="shared" si="5"/>
        <v>308.85</v>
      </c>
      <c r="S46" s="247" t="str">
        <f t="shared" si="6"/>
        <v/>
      </c>
      <c r="T46" s="248"/>
      <c r="U46" s="249" t="str">
        <f t="shared" si="7"/>
        <v/>
      </c>
      <c r="V46" s="113">
        <v>9.0</v>
      </c>
      <c r="W46" s="114">
        <f t="shared" si="8"/>
        <v>1</v>
      </c>
      <c r="X46" s="114">
        <f t="shared" si="9"/>
        <v>0</v>
      </c>
      <c r="Y46" s="120"/>
      <c r="Z46" s="120"/>
      <c r="AA46" s="120"/>
      <c r="AB46" s="120"/>
      <c r="AC46" s="120"/>
      <c r="AD46" s="120"/>
      <c r="AE46" s="120"/>
      <c r="AF46" s="120"/>
      <c r="AG46" s="120"/>
      <c r="AH46" s="17">
        <f t="shared" si="10"/>
        <v>20</v>
      </c>
      <c r="AI46" s="17">
        <f t="shared" si="11"/>
        <v>51</v>
      </c>
      <c r="AJ46" s="17">
        <f t="shared" si="12"/>
        <v>28</v>
      </c>
      <c r="AK46" s="17">
        <f t="shared" si="13"/>
        <v>43</v>
      </c>
      <c r="AL46" s="126">
        <f t="shared" si="14"/>
        <v>31.5</v>
      </c>
      <c r="AM46" s="17">
        <f t="shared" si="15"/>
        <v>28</v>
      </c>
      <c r="AN46" s="17">
        <f t="shared" si="16"/>
        <v>43</v>
      </c>
      <c r="AO46" s="17" t="str">
        <f t="shared" si="17"/>
        <v>-</v>
      </c>
      <c r="AP46" s="17" t="str">
        <f t="shared" si="18"/>
        <v>UPCOMING</v>
      </c>
      <c r="AQ46" s="131">
        <f t="shared" si="19"/>
        <v>24</v>
      </c>
      <c r="AR46" s="131" t="str">
        <f t="shared" si="20"/>
        <v>NO UPSET</v>
      </c>
      <c r="AS46" s="131" t="str">
        <f t="shared" si="21"/>
        <v>-</v>
      </c>
      <c r="AT46" s="131"/>
      <c r="AU46" s="133"/>
      <c r="AV46" s="608">
        <v>4.0</v>
      </c>
      <c r="AW46" s="203">
        <f t="shared" si="63"/>
        <v>259.79</v>
      </c>
      <c r="AX46" s="200">
        <f>Settings!$R$3</f>
        <v>2025</v>
      </c>
      <c r="AY46" s="217" t="str">
        <f t="shared" si="64"/>
        <v>WEEK 9</v>
      </c>
      <c r="AZ46" s="205" t="str">
        <f t="shared" si="65"/>
        <v>METAMOOKDAWGS</v>
      </c>
      <c r="BA46" s="200" t="str">
        <f t="shared" si="66"/>
        <v>EAGLES</v>
      </c>
      <c r="BB46" s="200" t="str">
        <f t="array" ref="BB46">Settings!$R$3 &amp; " REG, PVE FFL GAME " &amp; INDEX($A:$A, MATCH(AV46,$AJ:$AJ,0))</f>
        <v>2025 REG, PVE FFL GAME 43</v>
      </c>
      <c r="BC46" s="375" t="str">
        <f t="shared" si="67"/>
        <v/>
      </c>
      <c r="BD46" s="313"/>
      <c r="BE46" s="313"/>
      <c r="BF46" s="120"/>
      <c r="BG46" s="120"/>
      <c r="BH46" s="120"/>
      <c r="BI46" s="120"/>
      <c r="BJ46" s="120"/>
      <c r="BK46" s="120"/>
      <c r="BL46" s="120"/>
      <c r="BM46" s="120"/>
      <c r="BN46" s="120"/>
      <c r="BO46" s="120"/>
      <c r="BP46" s="120"/>
      <c r="BQ46" s="120"/>
      <c r="BR46" s="120"/>
      <c r="BS46" s="120"/>
      <c r="BT46" s="120"/>
      <c r="BU46" s="120"/>
      <c r="BV46" s="120"/>
      <c r="BW46" s="313"/>
      <c r="BX46" s="313"/>
      <c r="BY46" s="313"/>
      <c r="BZ46" s="313"/>
      <c r="CA46" s="313"/>
      <c r="CB46" s="313"/>
      <c r="CC46" s="313"/>
      <c r="CD46" s="313"/>
      <c r="CE46" s="120"/>
      <c r="CF46" s="120"/>
      <c r="CG46" s="120"/>
      <c r="CH46" s="120"/>
    </row>
    <row r="47" ht="34.5" customHeight="1">
      <c r="A47" s="52">
        <v>46.0</v>
      </c>
      <c r="B47" s="482" t="str">
        <f t="array" ref="B47">INDEX(Settings!H$2:H$72, ROW())</f>
        <v>WEEK 10</v>
      </c>
      <c r="C47" s="483" t="str">
        <f t="array" ref="C47">INDEX(Settings!I$2:I$72, ROW())</f>
        <v>GAME 1</v>
      </c>
      <c r="D47" s="654">
        <f t="array" ref="D47">INDEX('BACKEND 1'!$V$28:$AK$38, MATCH(F47, 'BACKEND 1'!$V$28:$V$38, 0), MATCH(B47, 'BACKEND 1'!$V$28:$AK$28, 0))</f>
        <v>9</v>
      </c>
      <c r="E47" s="73" t="str">
        <f>VLOOKUP(F47, Settings!$A$3:$C$12, 3, FALSE)</f>
        <v>PRODIGY</v>
      </c>
      <c r="F47" s="487" t="str">
        <f t="array" ref="F47">INDEX(Settings!J$2:J$72, ROW())</f>
        <v>KINGS</v>
      </c>
      <c r="G47" s="488">
        <f>SUMIFS('All-Stars'!E:E, 'All-Stars'!B:B, F47, 'All-Stars'!F:F, B47)</f>
        <v>105.98</v>
      </c>
      <c r="H47" s="489">
        <f>SUMIFS('All-Stars'!E:E, 'All-Stars'!B:B, I47, 'All-Stars'!F:F, B47)</f>
        <v>167.97</v>
      </c>
      <c r="I47" s="490" t="str">
        <f t="array" ref="I47">INDEX(Settings!K$2:K$72, ROW())</f>
        <v>CHAMPS</v>
      </c>
      <c r="J47" s="88" t="str">
        <f>VLOOKUP(I47, Settings!$A$3:$C$12, 3, FALSE)</f>
        <v>ESTEEMED</v>
      </c>
      <c r="K47" s="490">
        <f t="array" ref="K47">INDEX('BACKEND 1'!$V$28:$AK$38, MATCH(I47, 'BACKEND 1'!$V$28:$V$38, 0), MATCH(B47, 'BACKEND 1'!$V$28:$AK$28, 0))</f>
        <v>5</v>
      </c>
      <c r="L47" s="95">
        <f t="array" ref="L47">IFERROR(IF(D47=0,"-",INDEX('BACKEND 1'!$V$54:$AF$64, MATCH(D47, 'BACKEND 1'!$V$54:$V$64, 0), MATCH(K47, 'BACKEND 1'!$V$54:$AF$54, 0))),"-")</f>
        <v>15.82842712</v>
      </c>
      <c r="M47" s="98">
        <f>_xlfn.RANK.EQ(L47,L47:L51,1)</f>
        <v>2</v>
      </c>
      <c r="N47" s="193" t="str">
        <f t="shared" si="1"/>
        <v>CHAMPS</v>
      </c>
      <c r="O47" s="194" t="str">
        <f t="shared" si="2"/>
        <v>KINGS</v>
      </c>
      <c r="P47" s="195" t="str">
        <f t="shared" si="3"/>
        <v>YES</v>
      </c>
      <c r="Q47" s="196">
        <f t="shared" si="4"/>
        <v>61.99</v>
      </c>
      <c r="R47" s="196">
        <f t="shared" si="5"/>
        <v>273.95</v>
      </c>
      <c r="S47" s="197" t="str">
        <f t="shared" si="6"/>
        <v/>
      </c>
      <c r="T47" s="113"/>
      <c r="U47" s="198" t="str">
        <f t="shared" si="7"/>
        <v/>
      </c>
      <c r="V47" s="113">
        <v>10.0</v>
      </c>
      <c r="W47" s="114">
        <f t="shared" si="8"/>
        <v>0</v>
      </c>
      <c r="X47" s="114">
        <f t="shared" si="9"/>
        <v>0</v>
      </c>
      <c r="Y47" s="120"/>
      <c r="Z47" s="120"/>
      <c r="AA47" s="120"/>
      <c r="AB47" s="120"/>
      <c r="AC47" s="120"/>
      <c r="AD47" s="120"/>
      <c r="AE47" s="120"/>
      <c r="AF47" s="120"/>
      <c r="AG47" s="120"/>
      <c r="AH47" s="17">
        <f t="shared" si="10"/>
        <v>61</v>
      </c>
      <c r="AI47" s="17">
        <f t="shared" si="11"/>
        <v>10</v>
      </c>
      <c r="AJ47" s="17">
        <f t="shared" si="12"/>
        <v>8</v>
      </c>
      <c r="AK47" s="17">
        <f t="shared" si="13"/>
        <v>63</v>
      </c>
      <c r="AL47" s="126">
        <f t="shared" si="14"/>
        <v>62</v>
      </c>
      <c r="AM47" s="17">
        <f t="shared" si="15"/>
        <v>69</v>
      </c>
      <c r="AN47" s="17">
        <f t="shared" si="16"/>
        <v>2</v>
      </c>
      <c r="AO47" s="17" t="str">
        <f t="shared" si="17"/>
        <v>-</v>
      </c>
      <c r="AP47" s="17" t="str">
        <f t="shared" si="18"/>
        <v>UPCOMING</v>
      </c>
      <c r="AQ47" s="131">
        <f t="shared" si="19"/>
        <v>48</v>
      </c>
      <c r="AR47" s="131" t="str">
        <f t="shared" si="20"/>
        <v>NO UPSET</v>
      </c>
      <c r="AS47" s="131" t="str">
        <f t="shared" si="21"/>
        <v>-</v>
      </c>
      <c r="AT47" s="131"/>
      <c r="AU47" s="133"/>
      <c r="AV47" s="608">
        <v>5.0</v>
      </c>
      <c r="AW47" s="203">
        <f t="shared" si="63"/>
        <v>266.02</v>
      </c>
      <c r="AX47" s="200">
        <f>Settings!$R$3</f>
        <v>2025</v>
      </c>
      <c r="AY47" s="217" t="str">
        <f t="shared" si="64"/>
        <v>WEEK 13</v>
      </c>
      <c r="AZ47" s="205" t="str">
        <f t="shared" si="65"/>
        <v>CHAMPS</v>
      </c>
      <c r="BA47" s="200" t="str">
        <f t="shared" si="66"/>
        <v>METAMOOKDAWGS</v>
      </c>
      <c r="BB47" s="200" t="str">
        <f t="array" ref="BB47">Settings!$R$3 &amp; " REG, PVE FFL GAME " &amp; INDEX($A:$A, MATCH(AV47,$AJ:$AJ,0))</f>
        <v>2025 REG, PVE FFL GAME 65</v>
      </c>
      <c r="BC47" s="375" t="str">
        <f t="shared" si="67"/>
        <v>MOTW</v>
      </c>
      <c r="BD47" s="313"/>
      <c r="BE47" s="313"/>
      <c r="BF47" s="120"/>
      <c r="BG47" s="120"/>
      <c r="BH47" s="120"/>
      <c r="BI47" s="120"/>
      <c r="BJ47" s="120"/>
      <c r="BK47" s="120"/>
      <c r="BL47" s="120"/>
      <c r="BM47" s="120"/>
      <c r="BN47" s="120"/>
      <c r="BO47" s="120"/>
      <c r="BP47" s="120"/>
      <c r="BQ47" s="120"/>
      <c r="BR47" s="120"/>
      <c r="BS47" s="120"/>
      <c r="BT47" s="120"/>
      <c r="BU47" s="120"/>
      <c r="BV47" s="120"/>
      <c r="BW47" s="313"/>
      <c r="BX47" s="313"/>
      <c r="BY47" s="313"/>
      <c r="BZ47" s="313"/>
      <c r="CA47" s="313"/>
      <c r="CB47" s="313"/>
      <c r="CC47" s="313"/>
      <c r="CD47" s="313"/>
      <c r="CE47" s="120"/>
      <c r="CF47" s="120"/>
      <c r="CG47" s="120"/>
      <c r="CH47" s="120"/>
    </row>
    <row r="48" ht="34.5" customHeight="1">
      <c r="A48" s="178">
        <v>47.0</v>
      </c>
      <c r="B48" s="482" t="str">
        <f t="array" ref="B48">INDEX(Settings!H$2:H$72, ROW())</f>
        <v>WEEK 10</v>
      </c>
      <c r="C48" s="483" t="str">
        <f t="array" ref="C48">INDEX(Settings!I$2:I$72, ROW())</f>
        <v>GAME 2</v>
      </c>
      <c r="D48" s="484">
        <f t="array" ref="D48">INDEX('BACKEND 1'!$V$28:$AK$38, MATCH(F48, 'BACKEND 1'!$V$28:$V$38, 0), MATCH(B48, 'BACKEND 1'!$V$28:$AK$28, 0))</f>
        <v>4</v>
      </c>
      <c r="E48" s="73" t="str">
        <f>VLOOKUP(F48, Settings!$A$3:$C$12, 3, FALSE)</f>
        <v>PRODIGY</v>
      </c>
      <c r="F48" s="487" t="str">
        <f t="array" ref="F48">INDEX(Settings!J$2:J$72, ROW())</f>
        <v>POPEYES</v>
      </c>
      <c r="G48" s="488">
        <f>SUMIFS('All-Stars'!E:E, 'All-Stars'!B:B, F48, 'All-Stars'!F:F, B48)</f>
        <v>202.13</v>
      </c>
      <c r="H48" s="489">
        <f>SUMIFS('All-Stars'!E:E, 'All-Stars'!B:B, I48, 'All-Stars'!F:F, B48)</f>
        <v>177.99</v>
      </c>
      <c r="I48" s="490" t="str">
        <f t="array" ref="I48">INDEX(Settings!K$2:K$72, ROW())</f>
        <v>YARDIES</v>
      </c>
      <c r="J48" s="88" t="str">
        <f>VLOOKUP(I48, Settings!$A$3:$C$12, 3, FALSE)</f>
        <v>ESTEEMED</v>
      </c>
      <c r="K48" s="490">
        <f t="array" ref="K48">INDEX('BACKEND 1'!$V$28:$AK$38, MATCH(I48, 'BACKEND 1'!$V$28:$V$38, 0), MATCH(B48, 'BACKEND 1'!$V$28:$AK$28, 0))</f>
        <v>2</v>
      </c>
      <c r="L48" s="95">
        <f t="array" ref="L48">IFERROR(IF(D48=0,"-",INDEX('BACKEND 1'!$V$54:$AF$64, MATCH(D48, 'BACKEND 1'!$V$54:$V$64, 0), MATCH(K48, 'BACKEND 1'!$V$54:$AF$54, 0))),"-")</f>
        <v>7.414213562</v>
      </c>
      <c r="M48" s="192">
        <f>_xlfn.RANK.EQ(L48,L47:L51,1)</f>
        <v>1</v>
      </c>
      <c r="N48" s="193" t="str">
        <f t="shared" si="1"/>
        <v>POPEYES</v>
      </c>
      <c r="O48" s="194" t="str">
        <f t="shared" si="2"/>
        <v>YARDIES</v>
      </c>
      <c r="P48" s="195" t="str">
        <f t="shared" si="3"/>
        <v/>
      </c>
      <c r="Q48" s="196">
        <f t="shared" si="4"/>
        <v>24.14</v>
      </c>
      <c r="R48" s="196">
        <f t="shared" si="5"/>
        <v>380.12</v>
      </c>
      <c r="S48" s="197" t="str">
        <f t="shared" si="6"/>
        <v>MOTW</v>
      </c>
      <c r="T48" s="113"/>
      <c r="U48" s="198" t="str">
        <f t="shared" si="7"/>
        <v>UPSET</v>
      </c>
      <c r="V48" s="113">
        <v>10.0</v>
      </c>
      <c r="W48" s="114">
        <f t="shared" si="8"/>
        <v>1</v>
      </c>
      <c r="X48" s="114">
        <f t="shared" si="9"/>
        <v>1</v>
      </c>
      <c r="Y48" s="120"/>
      <c r="Z48" s="120"/>
      <c r="AA48" s="120"/>
      <c r="AB48" s="120"/>
      <c r="AC48" s="120"/>
      <c r="AD48" s="120"/>
      <c r="AE48" s="120"/>
      <c r="AF48" s="120"/>
      <c r="AG48" s="120"/>
      <c r="AH48" s="17">
        <f t="shared" si="10"/>
        <v>22</v>
      </c>
      <c r="AI48" s="17">
        <f t="shared" si="11"/>
        <v>49</v>
      </c>
      <c r="AJ48" s="17">
        <f t="shared" si="12"/>
        <v>64</v>
      </c>
      <c r="AK48" s="17">
        <f t="shared" si="13"/>
        <v>7</v>
      </c>
      <c r="AL48" s="126">
        <f t="shared" si="14"/>
        <v>14.5</v>
      </c>
      <c r="AM48" s="17">
        <f t="shared" si="15"/>
        <v>4</v>
      </c>
      <c r="AN48" s="17">
        <f t="shared" si="16"/>
        <v>67</v>
      </c>
      <c r="AO48" s="17">
        <f t="shared" si="17"/>
        <v>14.5</v>
      </c>
      <c r="AP48" s="17">
        <f t="shared" si="18"/>
        <v>2</v>
      </c>
      <c r="AQ48" s="131">
        <f t="shared" si="19"/>
        <v>8</v>
      </c>
      <c r="AR48" s="131">
        <f t="shared" si="20"/>
        <v>7.414213562</v>
      </c>
      <c r="AS48" s="131">
        <f t="shared" si="21"/>
        <v>27</v>
      </c>
      <c r="AT48" s="131"/>
      <c r="AU48" s="133"/>
      <c r="AV48" s="313"/>
      <c r="AW48" s="313"/>
      <c r="AX48" s="313"/>
      <c r="AY48" s="313"/>
      <c r="AZ48" s="313"/>
      <c r="BA48" s="313"/>
      <c r="BB48" s="313"/>
      <c r="BC48" s="313"/>
      <c r="BD48" s="313"/>
      <c r="BE48" s="313"/>
      <c r="BF48" s="120"/>
      <c r="BG48" s="120"/>
      <c r="BH48" s="120"/>
      <c r="BI48" s="120"/>
      <c r="BJ48" s="120"/>
      <c r="BK48" s="120"/>
      <c r="BL48" s="120"/>
      <c r="BM48" s="120"/>
      <c r="BN48" s="120"/>
      <c r="BO48" s="120"/>
      <c r="BP48" s="120"/>
      <c r="BQ48" s="120"/>
      <c r="BR48" s="120"/>
      <c r="BS48" s="120"/>
      <c r="BT48" s="120"/>
      <c r="BU48" s="120"/>
      <c r="BV48" s="120"/>
      <c r="BW48" s="313"/>
      <c r="BX48" s="313"/>
      <c r="BY48" s="313"/>
      <c r="BZ48" s="313"/>
      <c r="CA48" s="313"/>
      <c r="CB48" s="313"/>
      <c r="CC48" s="313"/>
      <c r="CD48" s="313"/>
      <c r="CE48" s="120"/>
      <c r="CF48" s="120"/>
      <c r="CG48" s="120"/>
      <c r="CH48" s="120"/>
    </row>
    <row r="49" ht="34.5" customHeight="1">
      <c r="A49" s="178">
        <v>48.0</v>
      </c>
      <c r="B49" s="482" t="str">
        <f t="array" ref="B49">INDEX(Settings!H$2:H$72, ROW())</f>
        <v>WEEK 10</v>
      </c>
      <c r="C49" s="483" t="str">
        <f t="array" ref="C49">INDEX(Settings!I$2:I$72, ROW())</f>
        <v>GAME 3</v>
      </c>
      <c r="D49" s="484">
        <f t="array" ref="D49">INDEX('BACKEND 1'!$V$28:$AK$38, MATCH(F49, 'BACKEND 1'!$V$28:$V$38, 0), MATCH(B49, 'BACKEND 1'!$V$28:$AK$28, 0))</f>
        <v>6</v>
      </c>
      <c r="E49" s="73" t="str">
        <f>VLOOKUP(F49, Settings!$A$3:$C$12, 3, FALSE)</f>
        <v>PRODIGY</v>
      </c>
      <c r="F49" s="487" t="str">
        <f t="array" ref="F49">INDEX(Settings!J$2:J$72, ROW())</f>
        <v>DECOUPES</v>
      </c>
      <c r="G49" s="488">
        <f>SUMIFS('All-Stars'!E:E, 'All-Stars'!B:B, F49, 'All-Stars'!F:F, B49)</f>
        <v>160.58</v>
      </c>
      <c r="H49" s="489">
        <f>SUMIFS('All-Stars'!E:E, 'All-Stars'!B:B, I49, 'All-Stars'!F:F, B49)</f>
        <v>151.36</v>
      </c>
      <c r="I49" s="490" t="str">
        <f t="array" ref="I49">INDEX(Settings!K$2:K$72, ROW())</f>
        <v>EAGLES</v>
      </c>
      <c r="J49" s="88" t="str">
        <f>VLOOKUP(I49, Settings!$A$3:$C$12, 3, FALSE)</f>
        <v>ESTEEMED</v>
      </c>
      <c r="K49" s="490">
        <f t="array" ref="K49">INDEX('BACKEND 1'!$V$28:$AK$38, MATCH(I49, 'BACKEND 1'!$V$28:$V$38, 0), MATCH(B49, 'BACKEND 1'!$V$28:$AK$28, 0))</f>
        <v>10</v>
      </c>
      <c r="L49" s="95">
        <f t="array" ref="L49">IFERROR(IF(D49=0,"-",INDEX('BACKEND 1'!$V$54:$AF$64, MATCH(D49, 'BACKEND 1'!$V$54:$V$64, 0), MATCH(K49, 'BACKEND 1'!$V$54:$AF$54, 0))),"-")</f>
        <v>16.82842712</v>
      </c>
      <c r="M49" s="192">
        <f>_xlfn.RANK.EQ(L49,L47:L51,1)</f>
        <v>4</v>
      </c>
      <c r="N49" s="193" t="str">
        <f t="shared" si="1"/>
        <v>DECOUPES</v>
      </c>
      <c r="O49" s="194" t="str">
        <f t="shared" si="2"/>
        <v>EAGLES</v>
      </c>
      <c r="P49" s="195" t="str">
        <f t="shared" si="3"/>
        <v/>
      </c>
      <c r="Q49" s="196">
        <f t="shared" si="4"/>
        <v>9.22</v>
      </c>
      <c r="R49" s="196">
        <f t="shared" si="5"/>
        <v>311.94</v>
      </c>
      <c r="S49" s="197" t="str">
        <f t="shared" si="6"/>
        <v/>
      </c>
      <c r="T49" s="113"/>
      <c r="U49" s="198" t="str">
        <f t="shared" si="7"/>
        <v/>
      </c>
      <c r="V49" s="113">
        <v>10.0</v>
      </c>
      <c r="W49" s="114">
        <f t="shared" si="8"/>
        <v>1</v>
      </c>
      <c r="X49" s="114">
        <f t="shared" si="9"/>
        <v>0</v>
      </c>
      <c r="Y49" s="120"/>
      <c r="Z49" s="120"/>
      <c r="AA49" s="120"/>
      <c r="AB49" s="120"/>
      <c r="AC49" s="120"/>
      <c r="AD49" s="120"/>
      <c r="AE49" s="120"/>
      <c r="AF49" s="120"/>
      <c r="AG49" s="120"/>
      <c r="AH49" s="17">
        <f t="shared" si="10"/>
        <v>6</v>
      </c>
      <c r="AI49" s="17">
        <f t="shared" si="11"/>
        <v>65</v>
      </c>
      <c r="AJ49" s="17">
        <f t="shared" si="12"/>
        <v>31</v>
      </c>
      <c r="AK49" s="17">
        <f t="shared" si="13"/>
        <v>40</v>
      </c>
      <c r="AL49" s="126">
        <f t="shared" si="14"/>
        <v>23</v>
      </c>
      <c r="AM49" s="17">
        <f t="shared" si="15"/>
        <v>13</v>
      </c>
      <c r="AN49" s="17">
        <f t="shared" si="16"/>
        <v>58</v>
      </c>
      <c r="AO49" s="17" t="str">
        <f t="shared" si="17"/>
        <v>-</v>
      </c>
      <c r="AP49" s="17" t="str">
        <f t="shared" si="18"/>
        <v>UPCOMING</v>
      </c>
      <c r="AQ49" s="131">
        <f t="shared" si="19"/>
        <v>52</v>
      </c>
      <c r="AR49" s="131" t="str">
        <f t="shared" si="20"/>
        <v>NO UPSET</v>
      </c>
      <c r="AS49" s="131" t="str">
        <f t="shared" si="21"/>
        <v>-</v>
      </c>
      <c r="AT49" s="131"/>
      <c r="AU49" s="133"/>
      <c r="AV49" s="513" t="str">
        <f>"Top 5 "&amp; Settings!$R$3&amp; " Regular Season Ugliest Games - PVE FFL"</f>
        <v>Top 5 2025 Regular Season Ugliest Games - PVE FFL</v>
      </c>
      <c r="AW49" s="514"/>
      <c r="AX49" s="514"/>
      <c r="AY49" s="514"/>
      <c r="AZ49" s="514"/>
      <c r="BA49" s="514"/>
      <c r="BB49" s="514"/>
      <c r="BC49" s="514"/>
      <c r="BD49" s="514"/>
      <c r="BE49" s="515"/>
      <c r="BF49" s="120"/>
      <c r="BG49" s="120"/>
      <c r="BH49" s="120"/>
      <c r="BI49" s="120"/>
      <c r="BJ49" s="120"/>
      <c r="BK49" s="120"/>
      <c r="BL49" s="120"/>
      <c r="BM49" s="120"/>
      <c r="BN49" s="120"/>
      <c r="BO49" s="120"/>
      <c r="BP49" s="120"/>
      <c r="BQ49" s="120"/>
      <c r="BR49" s="120"/>
      <c r="BS49" s="120"/>
      <c r="BT49" s="120"/>
      <c r="BU49" s="120"/>
      <c r="BV49" s="120"/>
      <c r="BW49" s="313"/>
      <c r="BX49" s="313"/>
      <c r="BY49" s="313"/>
      <c r="BZ49" s="313"/>
      <c r="CA49" s="313"/>
      <c r="CB49" s="313"/>
      <c r="CC49" s="313"/>
      <c r="CD49" s="313"/>
      <c r="CE49" s="120"/>
      <c r="CF49" s="120"/>
      <c r="CG49" s="120"/>
      <c r="CH49" s="120"/>
    </row>
    <row r="50" ht="34.5" customHeight="1">
      <c r="A50" s="52">
        <v>49.0</v>
      </c>
      <c r="B50" s="482" t="str">
        <f t="array" ref="B50">INDEX(Settings!H$2:H$72, ROW())</f>
        <v>WEEK 10</v>
      </c>
      <c r="C50" s="483" t="str">
        <f t="array" ref="C50">INDEX(Settings!I$2:I$72, ROW())</f>
        <v>GAME 4</v>
      </c>
      <c r="D50" s="484">
        <f t="array" ref="D50">INDEX('BACKEND 1'!$V$28:$AK$38, MATCH(F50, 'BACKEND 1'!$V$28:$V$38, 0), MATCH(B50, 'BACKEND 1'!$V$28:$AK$28, 0))</f>
        <v>1</v>
      </c>
      <c r="E50" s="73" t="str">
        <f>VLOOKUP(F50, Settings!$A$3:$C$12, 3, FALSE)</f>
        <v>PRODIGY</v>
      </c>
      <c r="F50" s="487" t="str">
        <f t="array" ref="F50">INDEX(Settings!J$2:J$72, ROW())</f>
        <v>GREEN</v>
      </c>
      <c r="G50" s="488">
        <f>SUMIFS('All-Stars'!E:E, 'All-Stars'!B:B, F50, 'All-Stars'!F:F, B50)</f>
        <v>203.56</v>
      </c>
      <c r="H50" s="489">
        <f>SUMIFS('All-Stars'!E:E, 'All-Stars'!B:B, I50, 'All-Stars'!F:F, B50)</f>
        <v>165.52</v>
      </c>
      <c r="I50" s="490" t="str">
        <f t="array" ref="I50">INDEX(Settings!K$2:K$72, ROW())</f>
        <v>METAMOOKDAWGS</v>
      </c>
      <c r="J50" s="88" t="str">
        <f>VLOOKUP(I50, Settings!$A$3:$C$12, 3, FALSE)</f>
        <v>ESTEEMED</v>
      </c>
      <c r="K50" s="490">
        <f t="array" ref="K50">INDEX('BACKEND 1'!$V$28:$AK$38, MATCH(I50, 'BACKEND 1'!$V$28:$V$38, 0), MATCH(B50, 'BACKEND 1'!$V$28:$AK$28, 0))</f>
        <v>7</v>
      </c>
      <c r="L50" s="95">
        <f t="array" ref="L50">IFERROR(IF(D50=0,"-",INDEX('BACKEND 1'!$V$54:$AF$64, MATCH(D50, 'BACKEND 1'!$V$54:$V$64, 0), MATCH(K50, 'BACKEND 1'!$V$54:$AF$54, 0))),"-")</f>
        <v>17.24264069</v>
      </c>
      <c r="M50" s="192">
        <f>_xlfn.RANK.EQ(L50,L47:L51,1)</f>
        <v>5</v>
      </c>
      <c r="N50" s="193" t="str">
        <f t="shared" si="1"/>
        <v>GREEN</v>
      </c>
      <c r="O50" s="194" t="str">
        <f t="shared" si="2"/>
        <v>METAMOOKDAWGS</v>
      </c>
      <c r="P50" s="195" t="str">
        <f t="shared" si="3"/>
        <v/>
      </c>
      <c r="Q50" s="196">
        <f t="shared" si="4"/>
        <v>38.04</v>
      </c>
      <c r="R50" s="196">
        <f t="shared" si="5"/>
        <v>369.08</v>
      </c>
      <c r="S50" s="197" t="str">
        <f t="shared" si="6"/>
        <v/>
      </c>
      <c r="T50" s="113"/>
      <c r="U50" s="198" t="str">
        <f t="shared" si="7"/>
        <v/>
      </c>
      <c r="V50" s="629">
        <v>10.0</v>
      </c>
      <c r="W50" s="114">
        <f t="shared" si="8"/>
        <v>1</v>
      </c>
      <c r="X50" s="114">
        <f t="shared" si="9"/>
        <v>0</v>
      </c>
      <c r="Y50" s="120"/>
      <c r="Z50" s="120"/>
      <c r="AA50" s="120"/>
      <c r="AB50" s="120"/>
      <c r="AC50" s="120"/>
      <c r="AD50" s="120"/>
      <c r="AE50" s="120"/>
      <c r="AF50" s="120"/>
      <c r="AG50" s="120"/>
      <c r="AH50" s="17">
        <f t="shared" si="10"/>
        <v>40</v>
      </c>
      <c r="AI50" s="17">
        <f t="shared" si="11"/>
        <v>31</v>
      </c>
      <c r="AJ50" s="17">
        <f t="shared" si="12"/>
        <v>59</v>
      </c>
      <c r="AK50" s="17">
        <f t="shared" si="13"/>
        <v>12</v>
      </c>
      <c r="AL50" s="126">
        <f t="shared" si="14"/>
        <v>26</v>
      </c>
      <c r="AM50" s="17">
        <f t="shared" si="15"/>
        <v>20</v>
      </c>
      <c r="AN50" s="17">
        <f t="shared" si="16"/>
        <v>51</v>
      </c>
      <c r="AO50" s="17" t="str">
        <f t="shared" si="17"/>
        <v>-</v>
      </c>
      <c r="AP50" s="17" t="str">
        <f t="shared" si="18"/>
        <v>UPCOMING</v>
      </c>
      <c r="AQ50" s="131">
        <f t="shared" si="19"/>
        <v>55</v>
      </c>
      <c r="AR50" s="131" t="str">
        <f t="shared" si="20"/>
        <v>NO UPSET</v>
      </c>
      <c r="AS50" s="131" t="str">
        <f t="shared" si="21"/>
        <v>-</v>
      </c>
      <c r="AT50" s="131"/>
      <c r="AU50" s="133"/>
      <c r="AV50" s="516" t="s">
        <v>374</v>
      </c>
      <c r="AW50" s="134" t="s">
        <v>151</v>
      </c>
      <c r="AX50" s="134" t="s">
        <v>153</v>
      </c>
      <c r="AY50" s="134" t="s">
        <v>30</v>
      </c>
      <c r="AZ50" s="134" t="s">
        <v>155</v>
      </c>
      <c r="BA50" s="134" t="s">
        <v>156</v>
      </c>
      <c r="BB50" s="134" t="s">
        <v>157</v>
      </c>
      <c r="BC50" s="134" t="s">
        <v>159</v>
      </c>
      <c r="BD50" s="517" t="s">
        <v>161</v>
      </c>
      <c r="BE50" s="518" t="s">
        <v>27</v>
      </c>
      <c r="BF50" s="120"/>
      <c r="BG50" s="120"/>
      <c r="BH50" s="120"/>
      <c r="BI50" s="120"/>
      <c r="BJ50" s="120"/>
      <c r="BK50" s="120"/>
      <c r="BL50" s="120"/>
      <c r="BM50" s="120"/>
      <c r="BN50" s="120"/>
      <c r="BO50" s="120"/>
      <c r="BP50" s="120"/>
      <c r="BQ50" s="120"/>
      <c r="BR50" s="120"/>
      <c r="BS50" s="120"/>
      <c r="BT50" s="120"/>
      <c r="BU50" s="120"/>
      <c r="BV50" s="120"/>
      <c r="BW50" s="313"/>
      <c r="BX50" s="313"/>
      <c r="BY50" s="313"/>
      <c r="BZ50" s="313"/>
      <c r="CA50" s="313"/>
      <c r="CB50" s="313"/>
      <c r="CC50" s="313"/>
      <c r="CD50" s="313"/>
      <c r="CE50" s="120"/>
      <c r="CF50" s="120"/>
      <c r="CG50" s="120"/>
      <c r="CH50" s="120"/>
    </row>
    <row r="51" ht="34.5" customHeight="1">
      <c r="A51" s="178">
        <v>50.0</v>
      </c>
      <c r="B51" s="482" t="str">
        <f t="array" ref="B51">INDEX(Settings!H$2:H$72, ROW())</f>
        <v>WEEK 10</v>
      </c>
      <c r="C51" s="483" t="str">
        <f t="array" ref="C51">INDEX(Settings!I$2:I$72, ROW())</f>
        <v>GAME 5</v>
      </c>
      <c r="D51" s="484">
        <f t="array" ref="D51">INDEX('BACKEND 1'!$V$28:$AK$38, MATCH(F51, 'BACKEND 1'!$V$28:$V$38, 0), MATCH(B51, 'BACKEND 1'!$V$28:$AK$28, 0))</f>
        <v>8</v>
      </c>
      <c r="E51" s="73" t="str">
        <f>VLOOKUP(F51, Settings!$A$3:$C$12, 3, FALSE)</f>
        <v>PRODIGY</v>
      </c>
      <c r="F51" s="487" t="str">
        <f t="array" ref="F51">INDEX(Settings!J$2:J$72, ROW())</f>
        <v>SAVAGES</v>
      </c>
      <c r="G51" s="488">
        <f>SUMIFS('All-Stars'!E:E, 'All-Stars'!B:B, F51, 'All-Stars'!F:F, B51)</f>
        <v>156.44</v>
      </c>
      <c r="H51" s="489">
        <f>SUMIFS('All-Stars'!E:E, 'All-Stars'!B:B, I51, 'All-Stars'!F:F, B51)</f>
        <v>156.64</v>
      </c>
      <c r="I51" s="490" t="str">
        <f t="array" ref="I51">INDEX(Settings!K$2:K$72, ROW())</f>
        <v>MUTTS</v>
      </c>
      <c r="J51" s="88" t="str">
        <f>VLOOKUP(I51, Settings!$A$3:$C$12, 3, FALSE)</f>
        <v>ESTEEMED</v>
      </c>
      <c r="K51" s="490">
        <f t="array" ref="K51">INDEX('BACKEND 1'!$V$28:$AK$38, MATCH(I51, 'BACKEND 1'!$V$28:$V$38, 0), MATCH(B51, 'BACKEND 1'!$V$28:$AK$28, 0))</f>
        <v>3</v>
      </c>
      <c r="L51" s="95">
        <f t="array" ref="L51">IFERROR(IF(D51=0,"-",INDEX('BACKEND 1'!$V$54:$AF$64, MATCH(D51, 'BACKEND 1'!$V$54:$V$64, 0), MATCH(K51, 'BACKEND 1'!$V$54:$AF$54, 0))),"-")</f>
        <v>16.53553391</v>
      </c>
      <c r="M51" s="242">
        <f>_xlfn.RANK.EQ(L51,L47:L51,1)</f>
        <v>3</v>
      </c>
      <c r="N51" s="193" t="str">
        <f t="shared" si="1"/>
        <v>MUTTS</v>
      </c>
      <c r="O51" s="194" t="str">
        <f t="shared" si="2"/>
        <v>SAVAGES</v>
      </c>
      <c r="P51" s="195" t="str">
        <f t="shared" si="3"/>
        <v/>
      </c>
      <c r="Q51" s="196">
        <f t="shared" si="4"/>
        <v>0.2</v>
      </c>
      <c r="R51" s="196">
        <f t="shared" si="5"/>
        <v>313.08</v>
      </c>
      <c r="S51" s="197" t="str">
        <f t="shared" si="6"/>
        <v/>
      </c>
      <c r="T51" s="113"/>
      <c r="U51" s="198" t="str">
        <f t="shared" si="7"/>
        <v/>
      </c>
      <c r="V51" s="113">
        <v>10.0</v>
      </c>
      <c r="W51" s="114">
        <f t="shared" si="8"/>
        <v>0</v>
      </c>
      <c r="X51" s="114">
        <f t="shared" si="9"/>
        <v>0</v>
      </c>
      <c r="Y51" s="120"/>
      <c r="Z51" s="120"/>
      <c r="AA51" s="120"/>
      <c r="AB51" s="120"/>
      <c r="AC51" s="120"/>
      <c r="AD51" s="120"/>
      <c r="AE51" s="120"/>
      <c r="AF51" s="120"/>
      <c r="AG51" s="120"/>
      <c r="AH51" s="17">
        <f t="shared" si="10"/>
        <v>1</v>
      </c>
      <c r="AI51" s="17">
        <f t="shared" si="11"/>
        <v>70</v>
      </c>
      <c r="AJ51" s="17">
        <f t="shared" si="12"/>
        <v>33</v>
      </c>
      <c r="AK51" s="17">
        <f t="shared" si="13"/>
        <v>38</v>
      </c>
      <c r="AL51" s="126">
        <f t="shared" si="14"/>
        <v>19.5</v>
      </c>
      <c r="AM51" s="17">
        <f t="shared" si="15"/>
        <v>9</v>
      </c>
      <c r="AN51" s="17">
        <f t="shared" si="16"/>
        <v>62</v>
      </c>
      <c r="AO51" s="17" t="str">
        <f t="shared" si="17"/>
        <v>-</v>
      </c>
      <c r="AP51" s="17" t="str">
        <f t="shared" si="18"/>
        <v>UPCOMING</v>
      </c>
      <c r="AQ51" s="131">
        <f t="shared" si="19"/>
        <v>49</v>
      </c>
      <c r="AR51" s="131" t="str">
        <f t="shared" si="20"/>
        <v>NO UPSET</v>
      </c>
      <c r="AS51" s="131" t="str">
        <f t="shared" si="21"/>
        <v>-</v>
      </c>
      <c r="AT51" s="131"/>
      <c r="AU51" s="133"/>
      <c r="AV51" s="608">
        <v>1.0</v>
      </c>
      <c r="AW51" s="203">
        <f t="shared" ref="AW51:AW55" si="68">INDEX($AL:$AL, MATCH(AV51,$AN:$AN,0))</f>
        <v>62.5</v>
      </c>
      <c r="AX51" s="200">
        <f>Settings!$R$3</f>
        <v>2025</v>
      </c>
      <c r="AY51" s="200" t="str">
        <f t="shared" ref="AY51:AY55" si="69">INDEX($B:$B, MATCH(AV51,$AN:$AN,0))</f>
        <v>WEEK 14</v>
      </c>
      <c r="AZ51" s="205" t="str">
        <f t="shared" ref="AZ51:AZ55" si="70">INDEX($N:$N, MATCH(AV51,$AN:$AN,0))</f>
        <v>GREEN</v>
      </c>
      <c r="BA51" s="200" t="str">
        <f t="shared" ref="BA51:BA55" si="71">INDEX($O:$O, MATCH(AV51,$AN:$AN,0))</f>
        <v>KINGS</v>
      </c>
      <c r="BB51" s="200" t="str">
        <f t="array" ref="BB51">Settings!$R$3 &amp; " REG, PVE FFL GAME " &amp; INDEX($A:$A, MATCH(AV51,$AN:$AN,0))</f>
        <v>2025 REG, PVE FFL GAME 66</v>
      </c>
      <c r="BC51" s="203">
        <f t="shared" ref="BC51:BC55" si="72">INDEX($Q:$Q, MATCH(AV51,$AN:$AN,0))</f>
        <v>58.72</v>
      </c>
      <c r="BD51" s="203">
        <f t="shared" ref="BD51:BD55" si="73">INDEX($R:$R, MATCH(AV51,$AN:$AN,0))</f>
        <v>254.86</v>
      </c>
      <c r="BE51" s="375" t="str">
        <f t="shared" ref="BE51:BE55" si="74">INDEX($S:$S, MATCH(AV51,$AN:$AN,0))</f>
        <v/>
      </c>
      <c r="BF51" s="120"/>
      <c r="BG51" s="120"/>
      <c r="BH51" s="120"/>
      <c r="BI51" s="120"/>
      <c r="BJ51" s="120"/>
      <c r="BK51" s="120"/>
      <c r="BL51" s="120"/>
      <c r="BM51" s="120"/>
      <c r="BN51" s="120"/>
      <c r="BO51" s="120"/>
      <c r="BP51" s="120"/>
      <c r="BQ51" s="120"/>
      <c r="BR51" s="120"/>
      <c r="BS51" s="120"/>
      <c r="BT51" s="120"/>
      <c r="BU51" s="120"/>
      <c r="BV51" s="120"/>
      <c r="BW51" s="313"/>
      <c r="BX51" s="313"/>
      <c r="BY51" s="313"/>
      <c r="BZ51" s="313"/>
      <c r="CA51" s="313"/>
      <c r="CB51" s="313"/>
      <c r="CC51" s="313"/>
      <c r="CD51" s="313"/>
      <c r="CE51" s="120"/>
      <c r="CF51" s="120"/>
      <c r="CG51" s="120"/>
      <c r="CH51" s="120"/>
    </row>
    <row r="52" ht="34.5" customHeight="1">
      <c r="A52" s="178">
        <v>51.0</v>
      </c>
      <c r="B52" s="59" t="str">
        <f t="array" ref="B52">INDEX(Settings!H$2:H$72, ROW())</f>
        <v>WEEK 11</v>
      </c>
      <c r="C52" s="64" t="str">
        <f t="array" ref="C52">INDEX(Settings!I$2:I$72, ROW())</f>
        <v>GAME 1</v>
      </c>
      <c r="D52" s="73">
        <f t="array" ref="D52">INDEX('BACKEND 1'!$V$28:$AK$38, MATCH(F52, 'BACKEND 1'!$V$28:$V$38, 0), MATCH(B52, 'BACKEND 1'!$V$28:$AK$28, 0))</f>
        <v>10</v>
      </c>
      <c r="E52" s="73" t="str">
        <f>VLOOKUP(F52, Settings!$A$3:$C$12, 3, FALSE)</f>
        <v>ESTEEMED</v>
      </c>
      <c r="F52" s="78" t="str">
        <f t="array" ref="F52">INDEX(Settings!J$2:J$72, ROW())</f>
        <v>EAGLES</v>
      </c>
      <c r="G52" s="82">
        <f>SUMIFS('All-Stars'!E:E, 'All-Stars'!B:B, F52, 'All-Stars'!F:F, B52)</f>
        <v>216.31</v>
      </c>
      <c r="H52" s="85">
        <f>SUMIFS('All-Stars'!E:E, 'All-Stars'!B:B, I52, 'All-Stars'!F:F, B52)</f>
        <v>149.76</v>
      </c>
      <c r="I52" s="88" t="str">
        <f t="array" ref="I52">INDEX(Settings!K$2:K$72, ROW())</f>
        <v>KINGS</v>
      </c>
      <c r="J52" s="88" t="str">
        <f>VLOOKUP(I52, Settings!$A$3:$C$12, 3, FALSE)</f>
        <v>PRODIGY</v>
      </c>
      <c r="K52" s="88">
        <f t="array" ref="K52">INDEX('BACKEND 1'!$V$28:$AK$38, MATCH(I52, 'BACKEND 1'!$V$28:$V$38, 0), MATCH(B52, 'BACKEND 1'!$V$28:$AK$28, 0))</f>
        <v>9</v>
      </c>
      <c r="L52" s="95">
        <f t="array" ref="L52">IFERROR(IF(D52=0,"-",INDEX('BACKEND 1'!$V$54:$AF$64, MATCH(D52, 'BACKEND 1'!$V$54:$V$64, 0), MATCH(K52, 'BACKEND 1'!$V$54:$AF$54, 0))),"-")</f>
        <v>11.70710678</v>
      </c>
      <c r="M52" s="98">
        <f>_xlfn.RANK.EQ(L52,L52:L56,1)</f>
        <v>1</v>
      </c>
      <c r="N52" s="100" t="str">
        <f t="shared" si="1"/>
        <v>EAGLES</v>
      </c>
      <c r="O52" s="103" t="str">
        <f t="shared" si="2"/>
        <v>KINGS</v>
      </c>
      <c r="P52" s="105" t="str">
        <f t="shared" si="3"/>
        <v>YES</v>
      </c>
      <c r="Q52" s="107">
        <f t="shared" si="4"/>
        <v>66.55</v>
      </c>
      <c r="R52" s="107">
        <f t="shared" si="5"/>
        <v>366.07</v>
      </c>
      <c r="S52" s="110" t="str">
        <f t="shared" si="6"/>
        <v>MOTW</v>
      </c>
      <c r="T52" s="111"/>
      <c r="U52" s="112" t="str">
        <f t="shared" si="7"/>
        <v>UPSET</v>
      </c>
      <c r="V52" s="113">
        <v>11.0</v>
      </c>
      <c r="W52" s="114">
        <f t="shared" si="8"/>
        <v>1</v>
      </c>
      <c r="X52" s="114">
        <f t="shared" si="9"/>
        <v>0</v>
      </c>
      <c r="Y52" s="120"/>
      <c r="Z52" s="120"/>
      <c r="AA52" s="120"/>
      <c r="AB52" s="120"/>
      <c r="AC52" s="120"/>
      <c r="AD52" s="120"/>
      <c r="AE52" s="120"/>
      <c r="AF52" s="120"/>
      <c r="AG52" s="120"/>
      <c r="AH52" s="17">
        <f t="shared" si="10"/>
        <v>65</v>
      </c>
      <c r="AI52" s="17">
        <f t="shared" si="11"/>
        <v>6</v>
      </c>
      <c r="AJ52" s="17">
        <f t="shared" si="12"/>
        <v>58</v>
      </c>
      <c r="AK52" s="17">
        <f t="shared" si="13"/>
        <v>13</v>
      </c>
      <c r="AL52" s="126">
        <f t="shared" si="14"/>
        <v>39</v>
      </c>
      <c r="AM52" s="17">
        <f t="shared" si="15"/>
        <v>44</v>
      </c>
      <c r="AN52" s="17">
        <f t="shared" si="16"/>
        <v>27</v>
      </c>
      <c r="AO52" s="17">
        <f t="shared" si="17"/>
        <v>39</v>
      </c>
      <c r="AP52" s="17">
        <f t="shared" si="18"/>
        <v>12</v>
      </c>
      <c r="AQ52" s="131">
        <f t="shared" si="19"/>
        <v>29</v>
      </c>
      <c r="AR52" s="131">
        <f t="shared" si="20"/>
        <v>11.70710678</v>
      </c>
      <c r="AS52" s="131">
        <f t="shared" si="21"/>
        <v>19</v>
      </c>
      <c r="AT52" s="131"/>
      <c r="AU52" s="133"/>
      <c r="AV52" s="208">
        <v>2.0</v>
      </c>
      <c r="AW52" s="203">
        <f t="shared" si="68"/>
        <v>62</v>
      </c>
      <c r="AX52" s="200">
        <f>Settings!$R$3</f>
        <v>2025</v>
      </c>
      <c r="AY52" s="200" t="str">
        <f t="shared" si="69"/>
        <v>WEEK 10</v>
      </c>
      <c r="AZ52" s="205" t="str">
        <f t="shared" si="70"/>
        <v>CHAMPS</v>
      </c>
      <c r="BA52" s="200" t="str">
        <f t="shared" si="71"/>
        <v>KINGS</v>
      </c>
      <c r="BB52" s="200" t="str">
        <f t="array" ref="BB52">Settings!$R$3 &amp; " REG, PVE FFL GAME " &amp; INDEX($A:$A, MATCH(AV52,$AN:$AN,0))</f>
        <v>2025 REG, PVE FFL GAME 46</v>
      </c>
      <c r="BC52" s="203">
        <f t="shared" si="72"/>
        <v>61.99</v>
      </c>
      <c r="BD52" s="203">
        <f t="shared" si="73"/>
        <v>273.95</v>
      </c>
      <c r="BE52" s="375" t="str">
        <f t="shared" si="74"/>
        <v/>
      </c>
      <c r="BF52" s="120"/>
      <c r="BG52" s="120"/>
      <c r="BH52" s="120"/>
      <c r="BI52" s="120"/>
      <c r="BJ52" s="120"/>
      <c r="BK52" s="120"/>
      <c r="BL52" s="120"/>
      <c r="BM52" s="120"/>
      <c r="BN52" s="120"/>
      <c r="BO52" s="120"/>
      <c r="BP52" s="120"/>
      <c r="BQ52" s="120"/>
      <c r="BR52" s="120"/>
      <c r="BS52" s="120"/>
      <c r="BT52" s="120"/>
      <c r="BU52" s="120"/>
      <c r="BV52" s="120"/>
      <c r="BW52" s="313"/>
      <c r="BX52" s="313"/>
      <c r="BY52" s="313"/>
      <c r="BZ52" s="313"/>
      <c r="CA52" s="313"/>
      <c r="CB52" s="313"/>
      <c r="CC52" s="313"/>
      <c r="CD52" s="313"/>
      <c r="CE52" s="120"/>
      <c r="CF52" s="120"/>
      <c r="CG52" s="120"/>
      <c r="CH52" s="120"/>
    </row>
    <row r="53" ht="34.5" customHeight="1">
      <c r="A53" s="52">
        <v>52.0</v>
      </c>
      <c r="B53" s="181" t="str">
        <f t="array" ref="B53">INDEX(Settings!H$2:H$72, ROW())</f>
        <v>WEEK 11</v>
      </c>
      <c r="C53" s="182" t="str">
        <f t="array" ref="C53">INDEX(Settings!I$2:I$72, ROW())</f>
        <v>GAME 2</v>
      </c>
      <c r="D53" s="184">
        <f t="array" ref="D53">INDEX('BACKEND 1'!$V$28:$AK$38, MATCH(F53, 'BACKEND 1'!$V$28:$V$38, 0), MATCH(B53, 'BACKEND 1'!$V$28:$AK$28, 0))</f>
        <v>7</v>
      </c>
      <c r="E53" s="73" t="str">
        <f>VLOOKUP(F53, Settings!$A$3:$C$12, 3, FALSE)</f>
        <v>ESTEEMED</v>
      </c>
      <c r="F53" s="187" t="str">
        <f t="array" ref="F53">INDEX(Settings!J$2:J$72, ROW())</f>
        <v>METAMOOKDAWGS</v>
      </c>
      <c r="G53" s="189">
        <f>SUMIFS('All-Stars'!E:E, 'All-Stars'!B:B, F53, 'All-Stars'!F:F, B53)</f>
        <v>154.98</v>
      </c>
      <c r="H53" s="190">
        <f>SUMIFS('All-Stars'!E:E, 'All-Stars'!B:B, I53, 'All-Stars'!F:F, B53)</f>
        <v>169.09</v>
      </c>
      <c r="I53" s="191" t="str">
        <f t="array" ref="I53">INDEX(Settings!K$2:K$72, ROW())</f>
        <v>POPEYES</v>
      </c>
      <c r="J53" s="88" t="str">
        <f>VLOOKUP(I53, Settings!$A$3:$C$12, 3, FALSE)</f>
        <v>PRODIGY</v>
      </c>
      <c r="K53" s="191">
        <f t="array" ref="K53">INDEX('BACKEND 1'!$V$28:$AK$38, MATCH(I53, 'BACKEND 1'!$V$28:$V$38, 0), MATCH(B53, 'BACKEND 1'!$V$28:$AK$28, 0))</f>
        <v>4</v>
      </c>
      <c r="L53" s="95">
        <f t="array" ref="L53">IFERROR(IF(D53=0,"-",INDEX('BACKEND 1'!$V$54:$AF$64, MATCH(D53, 'BACKEND 1'!$V$54:$V$64, 0), MATCH(K53, 'BACKEND 1'!$V$54:$AF$54, 0))),"-")</f>
        <v>12.12132034</v>
      </c>
      <c r="M53" s="192">
        <f>_xlfn.RANK.EQ(L53,L52:L56,1)</f>
        <v>3</v>
      </c>
      <c r="N53" s="193" t="str">
        <f t="shared" si="1"/>
        <v>POPEYES</v>
      </c>
      <c r="O53" s="194" t="str">
        <f t="shared" si="2"/>
        <v>METAMOOKDAWGS</v>
      </c>
      <c r="P53" s="195" t="str">
        <f t="shared" si="3"/>
        <v/>
      </c>
      <c r="Q53" s="196">
        <f t="shared" si="4"/>
        <v>14.11</v>
      </c>
      <c r="R53" s="196">
        <f t="shared" si="5"/>
        <v>324.07</v>
      </c>
      <c r="S53" s="197" t="str">
        <f t="shared" si="6"/>
        <v/>
      </c>
      <c r="T53" s="113"/>
      <c r="U53" s="198" t="str">
        <f t="shared" si="7"/>
        <v/>
      </c>
      <c r="V53" s="113">
        <v>11.0</v>
      </c>
      <c r="W53" s="114">
        <f t="shared" si="8"/>
        <v>0</v>
      </c>
      <c r="X53" s="114">
        <f t="shared" si="9"/>
        <v>1</v>
      </c>
      <c r="Y53" s="120"/>
      <c r="Z53" s="120"/>
      <c r="AA53" s="120"/>
      <c r="AB53" s="120"/>
      <c r="AC53" s="120"/>
      <c r="AD53" s="120"/>
      <c r="AE53" s="120"/>
      <c r="AF53" s="120"/>
      <c r="AG53" s="120"/>
      <c r="AH53" s="17">
        <f t="shared" si="10"/>
        <v>13</v>
      </c>
      <c r="AI53" s="17">
        <f t="shared" si="11"/>
        <v>58</v>
      </c>
      <c r="AJ53" s="17">
        <f t="shared" si="12"/>
        <v>38</v>
      </c>
      <c r="AK53" s="17">
        <f t="shared" si="13"/>
        <v>33</v>
      </c>
      <c r="AL53" s="126">
        <f t="shared" si="14"/>
        <v>23</v>
      </c>
      <c r="AM53" s="17">
        <f t="shared" si="15"/>
        <v>14</v>
      </c>
      <c r="AN53" s="17">
        <f t="shared" si="16"/>
        <v>57</v>
      </c>
      <c r="AO53" s="17" t="str">
        <f t="shared" si="17"/>
        <v>-</v>
      </c>
      <c r="AP53" s="17" t="str">
        <f t="shared" si="18"/>
        <v>UPCOMING</v>
      </c>
      <c r="AQ53" s="131">
        <f t="shared" si="19"/>
        <v>36</v>
      </c>
      <c r="AR53" s="131" t="str">
        <f t="shared" si="20"/>
        <v>NO UPSET</v>
      </c>
      <c r="AS53" s="131" t="str">
        <f t="shared" si="21"/>
        <v>-</v>
      </c>
      <c r="AT53" s="131"/>
      <c r="AU53" s="133"/>
      <c r="AV53" s="608">
        <v>3.0</v>
      </c>
      <c r="AW53" s="203">
        <f t="shared" si="68"/>
        <v>57.5</v>
      </c>
      <c r="AX53" s="200">
        <f>Settings!$R$3</f>
        <v>2025</v>
      </c>
      <c r="AY53" s="200" t="str">
        <f t="shared" si="69"/>
        <v>WEEK 13</v>
      </c>
      <c r="AZ53" s="205" t="str">
        <f t="shared" si="70"/>
        <v>KINGS</v>
      </c>
      <c r="BA53" s="200" t="str">
        <f t="shared" si="71"/>
        <v>POPEYES</v>
      </c>
      <c r="BB53" s="200" t="str">
        <f t="array" ref="BB53">Settings!$R$3 &amp; " REG, PVE FFL GAME " &amp; INDEX($A:$A, MATCH(AV53,$AN:$AN,0))</f>
        <v>2025 REG, PVE FFL GAME 61</v>
      </c>
      <c r="BC53" s="203">
        <f t="shared" si="72"/>
        <v>41.87</v>
      </c>
      <c r="BD53" s="203">
        <f t="shared" si="73"/>
        <v>246.85</v>
      </c>
      <c r="BE53" s="375" t="str">
        <f t="shared" si="74"/>
        <v/>
      </c>
      <c r="BF53" s="120"/>
      <c r="BG53" s="120"/>
      <c r="BH53" s="120"/>
      <c r="BI53" s="120"/>
      <c r="BJ53" s="120"/>
      <c r="BK53" s="120"/>
      <c r="BL53" s="120"/>
      <c r="BM53" s="120"/>
      <c r="BN53" s="120"/>
      <c r="BO53" s="120"/>
      <c r="BP53" s="120"/>
      <c r="BQ53" s="120"/>
      <c r="BR53" s="120"/>
      <c r="BS53" s="120"/>
      <c r="BT53" s="120"/>
      <c r="BU53" s="120"/>
      <c r="BV53" s="120"/>
      <c r="BW53" s="313"/>
      <c r="BX53" s="313"/>
      <c r="BY53" s="313"/>
      <c r="BZ53" s="313"/>
      <c r="CA53" s="313"/>
      <c r="CB53" s="313"/>
      <c r="CC53" s="313"/>
      <c r="CD53" s="313"/>
      <c r="CE53" s="120"/>
      <c r="CF53" s="120"/>
      <c r="CG53" s="120"/>
      <c r="CH53" s="120"/>
    </row>
    <row r="54" ht="34.5" customHeight="1">
      <c r="A54" s="178">
        <v>53.0</v>
      </c>
      <c r="B54" s="181" t="str">
        <f t="array" ref="B54">INDEX(Settings!H$2:H$72, ROW())</f>
        <v>WEEK 11</v>
      </c>
      <c r="C54" s="182" t="str">
        <f t="array" ref="C54">INDEX(Settings!I$2:I$72, ROW())</f>
        <v>GAME 3</v>
      </c>
      <c r="D54" s="184">
        <f t="array" ref="D54">INDEX('BACKEND 1'!$V$28:$AK$38, MATCH(F54, 'BACKEND 1'!$V$28:$V$38, 0), MATCH(B54, 'BACKEND 1'!$V$28:$AK$28, 0))</f>
        <v>2</v>
      </c>
      <c r="E54" s="73" t="str">
        <f>VLOOKUP(F54, Settings!$A$3:$C$12, 3, FALSE)</f>
        <v>ESTEEMED</v>
      </c>
      <c r="F54" s="187" t="str">
        <f t="array" ref="F54">INDEX(Settings!J$2:J$72, ROW())</f>
        <v>MUTTS</v>
      </c>
      <c r="G54" s="189">
        <f>SUMIFS('All-Stars'!E:E, 'All-Stars'!B:B, F54, 'All-Stars'!F:F, B54)</f>
        <v>126.67</v>
      </c>
      <c r="H54" s="190">
        <f>SUMIFS('All-Stars'!E:E, 'All-Stars'!B:B, I54, 'All-Stars'!F:F, B54)</f>
        <v>169.31</v>
      </c>
      <c r="I54" s="191" t="str">
        <f t="array" ref="I54">INDEX(Settings!K$2:K$72, ROW())</f>
        <v>DECOUPES</v>
      </c>
      <c r="J54" s="88" t="str">
        <f>VLOOKUP(I54, Settings!$A$3:$C$12, 3, FALSE)</f>
        <v>PRODIGY</v>
      </c>
      <c r="K54" s="191">
        <f t="array" ref="K54">INDEX('BACKEND 1'!$V$28:$AK$38, MATCH(I54, 'BACKEND 1'!$V$28:$V$38, 0), MATCH(B54, 'BACKEND 1'!$V$28:$AK$28, 0))</f>
        <v>6</v>
      </c>
      <c r="L54" s="95">
        <f t="array" ref="L54">IFERROR(IF(D54=0,"-",INDEX('BACKEND 1'!$V$54:$AF$64, MATCH(D54, 'BACKEND 1'!$V$54:$V$64, 0), MATCH(K54, 'BACKEND 1'!$V$54:$AF$54, 0))),"-")</f>
        <v>12.82842712</v>
      </c>
      <c r="M54" s="192">
        <f>_xlfn.RANK.EQ(L54,L52:L56,1)</f>
        <v>4</v>
      </c>
      <c r="N54" s="193" t="str">
        <f t="shared" si="1"/>
        <v>DECOUPES</v>
      </c>
      <c r="O54" s="194" t="str">
        <f t="shared" si="2"/>
        <v>MUTTS</v>
      </c>
      <c r="P54" s="195" t="str">
        <f t="shared" si="3"/>
        <v>YES</v>
      </c>
      <c r="Q54" s="196">
        <f t="shared" si="4"/>
        <v>42.64</v>
      </c>
      <c r="R54" s="196">
        <f t="shared" si="5"/>
        <v>295.98</v>
      </c>
      <c r="S54" s="197" t="str">
        <f t="shared" si="6"/>
        <v/>
      </c>
      <c r="T54" s="113"/>
      <c r="U54" s="198" t="str">
        <f t="shared" si="7"/>
        <v>UPSET</v>
      </c>
      <c r="V54" s="113">
        <v>11.0</v>
      </c>
      <c r="W54" s="114">
        <f t="shared" si="8"/>
        <v>0</v>
      </c>
      <c r="X54" s="114">
        <f t="shared" si="9"/>
        <v>0</v>
      </c>
      <c r="Y54" s="120"/>
      <c r="Z54" s="120"/>
      <c r="AA54" s="120"/>
      <c r="AB54" s="120"/>
      <c r="AC54" s="120"/>
      <c r="AD54" s="120"/>
      <c r="AE54" s="120"/>
      <c r="AF54" s="120"/>
      <c r="AG54" s="120"/>
      <c r="AH54" s="17">
        <f t="shared" si="10"/>
        <v>47</v>
      </c>
      <c r="AI54" s="17">
        <f t="shared" si="11"/>
        <v>24</v>
      </c>
      <c r="AJ54" s="17">
        <f t="shared" si="12"/>
        <v>20</v>
      </c>
      <c r="AK54" s="17">
        <f t="shared" si="13"/>
        <v>51</v>
      </c>
      <c r="AL54" s="126">
        <f t="shared" si="14"/>
        <v>49</v>
      </c>
      <c r="AM54" s="17">
        <f t="shared" si="15"/>
        <v>57</v>
      </c>
      <c r="AN54" s="17">
        <f t="shared" si="16"/>
        <v>14</v>
      </c>
      <c r="AO54" s="17" t="str">
        <f t="shared" si="17"/>
        <v>-</v>
      </c>
      <c r="AP54" s="17" t="str">
        <f t="shared" si="18"/>
        <v>UPCOMING</v>
      </c>
      <c r="AQ54" s="131">
        <f t="shared" si="19"/>
        <v>41</v>
      </c>
      <c r="AR54" s="131">
        <f t="shared" si="20"/>
        <v>12.82842712</v>
      </c>
      <c r="AS54" s="131">
        <f t="shared" si="21"/>
        <v>14</v>
      </c>
      <c r="AT54" s="131"/>
      <c r="AU54" s="133"/>
      <c r="AV54" s="208">
        <v>4.0</v>
      </c>
      <c r="AW54" s="203">
        <f t="shared" si="68"/>
        <v>56.5</v>
      </c>
      <c r="AX54" s="200">
        <f>Settings!$R$3</f>
        <v>2025</v>
      </c>
      <c r="AY54" s="200" t="str">
        <f t="shared" si="69"/>
        <v>WEEK 8</v>
      </c>
      <c r="AZ54" s="205" t="str">
        <f t="shared" si="70"/>
        <v>EAGLES</v>
      </c>
      <c r="BA54" s="200" t="str">
        <f t="shared" si="71"/>
        <v>POPEYES</v>
      </c>
      <c r="BB54" s="200" t="str">
        <f t="array" ref="BB54">Settings!$R$3 &amp; " REG, PVE FFL GAME " &amp; INDEX($A:$A, MATCH(AV54,$AN:$AN,0))</f>
        <v>2025 REG, PVE FFL GAME 40</v>
      </c>
      <c r="BC54" s="203">
        <f t="shared" si="72"/>
        <v>54.64</v>
      </c>
      <c r="BD54" s="203">
        <f t="shared" si="73"/>
        <v>283.68</v>
      </c>
      <c r="BE54" s="375" t="str">
        <f t="shared" si="74"/>
        <v/>
      </c>
      <c r="BF54" s="120"/>
      <c r="BG54" s="120"/>
      <c r="BH54" s="120"/>
      <c r="BI54" s="120"/>
      <c r="BJ54" s="120"/>
      <c r="BK54" s="120"/>
      <c r="BL54" s="120"/>
      <c r="BM54" s="120"/>
      <c r="BN54" s="120"/>
      <c r="BO54" s="120"/>
      <c r="BP54" s="120"/>
      <c r="BQ54" s="120"/>
      <c r="BR54" s="120"/>
      <c r="BS54" s="120"/>
      <c r="BT54" s="120"/>
      <c r="BU54" s="120"/>
      <c r="BV54" s="120"/>
      <c r="BW54" s="313"/>
      <c r="BX54" s="313"/>
      <c r="BY54" s="313"/>
      <c r="BZ54" s="313"/>
      <c r="CA54" s="313"/>
      <c r="CB54" s="313"/>
      <c r="CC54" s="313"/>
      <c r="CD54" s="313"/>
      <c r="CE54" s="120"/>
      <c r="CF54" s="120"/>
      <c r="CG54" s="120"/>
      <c r="CH54" s="120"/>
    </row>
    <row r="55" ht="34.5" customHeight="1">
      <c r="A55" s="178">
        <v>54.0</v>
      </c>
      <c r="B55" s="181" t="str">
        <f t="array" ref="B55">INDEX(Settings!H$2:H$72, ROW())</f>
        <v>WEEK 11</v>
      </c>
      <c r="C55" s="182" t="str">
        <f t="array" ref="C55">INDEX(Settings!I$2:I$72, ROW())</f>
        <v>GAME 4</v>
      </c>
      <c r="D55" s="184">
        <f t="array" ref="D55">INDEX('BACKEND 1'!$V$28:$AK$38, MATCH(F55, 'BACKEND 1'!$V$28:$V$38, 0), MATCH(B55, 'BACKEND 1'!$V$28:$AK$28, 0))</f>
        <v>5</v>
      </c>
      <c r="E55" s="73" t="str">
        <f>VLOOKUP(F55, Settings!$A$3:$C$12, 3, FALSE)</f>
        <v>ESTEEMED</v>
      </c>
      <c r="F55" s="187" t="str">
        <f t="array" ref="F55">INDEX(Settings!J$2:J$72, ROW())</f>
        <v>CHAMPS</v>
      </c>
      <c r="G55" s="189">
        <f>SUMIFS('All-Stars'!E:E, 'All-Stars'!B:B, F55, 'All-Stars'!F:F, B55)</f>
        <v>118.22</v>
      </c>
      <c r="H55" s="190">
        <f>SUMIFS('All-Stars'!E:E, 'All-Stars'!B:B, I55, 'All-Stars'!F:F, B55)</f>
        <v>164.25</v>
      </c>
      <c r="I55" s="191" t="str">
        <f t="array" ref="I55">INDEX(Settings!K$2:K$72, ROW())</f>
        <v>GREEN</v>
      </c>
      <c r="J55" s="88" t="str">
        <f>VLOOKUP(I55, Settings!$A$3:$C$12, 3, FALSE)</f>
        <v>PRODIGY</v>
      </c>
      <c r="K55" s="191">
        <f t="array" ref="K55">INDEX('BACKEND 1'!$V$28:$AK$38, MATCH(I55, 'BACKEND 1'!$V$28:$V$38, 0), MATCH(B55, 'BACKEND 1'!$V$28:$AK$28, 0))</f>
        <v>1</v>
      </c>
      <c r="L55" s="95">
        <f t="array" ref="L55">IFERROR(IF(D55=0,"-",INDEX('BACKEND 1'!$V$54:$AF$64, MATCH(D55, 'BACKEND 1'!$V$54:$V$64, 0), MATCH(K55, 'BACKEND 1'!$V$54:$AF$54, 0))),"-")</f>
        <v>11.82842712</v>
      </c>
      <c r="M55" s="192">
        <f>_xlfn.RANK.EQ(L55,L52:L56,1)</f>
        <v>2</v>
      </c>
      <c r="N55" s="193" t="str">
        <f t="shared" si="1"/>
        <v>GREEN</v>
      </c>
      <c r="O55" s="194" t="str">
        <f t="shared" si="2"/>
        <v>CHAMPS</v>
      </c>
      <c r="P55" s="195" t="str">
        <f t="shared" si="3"/>
        <v>YES</v>
      </c>
      <c r="Q55" s="196">
        <f t="shared" si="4"/>
        <v>46.03</v>
      </c>
      <c r="R55" s="196">
        <f t="shared" si="5"/>
        <v>282.47</v>
      </c>
      <c r="S55" s="197" t="str">
        <f t="shared" si="6"/>
        <v/>
      </c>
      <c r="T55" s="113"/>
      <c r="U55" s="198" t="str">
        <f t="shared" si="7"/>
        <v/>
      </c>
      <c r="V55" s="629">
        <v>11.0</v>
      </c>
      <c r="W55" s="114">
        <f t="shared" si="8"/>
        <v>0</v>
      </c>
      <c r="X55" s="114">
        <f t="shared" si="9"/>
        <v>0</v>
      </c>
      <c r="Y55" s="120"/>
      <c r="Z55" s="120"/>
      <c r="AA55" s="120"/>
      <c r="AB55" s="120"/>
      <c r="AC55" s="120"/>
      <c r="AD55" s="120"/>
      <c r="AE55" s="120"/>
      <c r="AF55" s="120"/>
      <c r="AG55" s="120"/>
      <c r="AH55" s="17">
        <f t="shared" si="10"/>
        <v>50</v>
      </c>
      <c r="AI55" s="17">
        <f t="shared" si="11"/>
        <v>21</v>
      </c>
      <c r="AJ55" s="17">
        <f t="shared" si="12"/>
        <v>11</v>
      </c>
      <c r="AK55" s="17">
        <f t="shared" si="13"/>
        <v>60</v>
      </c>
      <c r="AL55" s="126">
        <f t="shared" si="14"/>
        <v>55</v>
      </c>
      <c r="AM55" s="17">
        <f t="shared" si="15"/>
        <v>64</v>
      </c>
      <c r="AN55" s="17">
        <f t="shared" si="16"/>
        <v>7</v>
      </c>
      <c r="AO55" s="17" t="str">
        <f t="shared" si="17"/>
        <v>-</v>
      </c>
      <c r="AP55" s="17" t="str">
        <f t="shared" si="18"/>
        <v>UPCOMING</v>
      </c>
      <c r="AQ55" s="131">
        <f t="shared" si="19"/>
        <v>35</v>
      </c>
      <c r="AR55" s="131" t="str">
        <f t="shared" si="20"/>
        <v>NO UPSET</v>
      </c>
      <c r="AS55" s="131" t="str">
        <f t="shared" si="21"/>
        <v>-</v>
      </c>
      <c r="AT55" s="131"/>
      <c r="AU55" s="133"/>
      <c r="AV55" s="608">
        <v>5.0</v>
      </c>
      <c r="AW55" s="203">
        <f t="shared" si="68"/>
        <v>55</v>
      </c>
      <c r="AX55" s="200">
        <f>Settings!$R$3</f>
        <v>2025</v>
      </c>
      <c r="AY55" s="200" t="str">
        <f t="shared" si="69"/>
        <v>WEEK 3</v>
      </c>
      <c r="AZ55" s="205" t="str">
        <f t="shared" si="70"/>
        <v>GREEN</v>
      </c>
      <c r="BA55" s="200" t="str">
        <f t="shared" si="71"/>
        <v>YARDIES</v>
      </c>
      <c r="BB55" s="200" t="str">
        <f t="array" ref="BB55">Settings!$R$3 &amp; " REG, PVE FFL GAME " &amp; INDEX($A:$A, MATCH(AV55,$AN:$AN,0))</f>
        <v>2025 REG, PVE FFL GAME 14</v>
      </c>
      <c r="BC55" s="203">
        <f t="shared" si="72"/>
        <v>97.04</v>
      </c>
      <c r="BD55" s="203">
        <f t="shared" si="73"/>
        <v>311.44</v>
      </c>
      <c r="BE55" s="375" t="str">
        <f t="shared" si="74"/>
        <v/>
      </c>
      <c r="BF55" s="120"/>
      <c r="BG55" s="120"/>
      <c r="BH55" s="120"/>
      <c r="BI55" s="120"/>
      <c r="BJ55" s="120"/>
      <c r="BK55" s="120"/>
      <c r="BL55" s="120"/>
      <c r="BM55" s="120"/>
      <c r="BN55" s="120"/>
      <c r="BO55" s="120"/>
      <c r="BP55" s="120"/>
      <c r="BQ55" s="120"/>
      <c r="BR55" s="120"/>
      <c r="BS55" s="120"/>
      <c r="BT55" s="120"/>
      <c r="BU55" s="120"/>
      <c r="BV55" s="120"/>
      <c r="BW55" s="313"/>
      <c r="BX55" s="313"/>
      <c r="BY55" s="313"/>
      <c r="BZ55" s="313"/>
      <c r="CA55" s="313"/>
      <c r="CB55" s="313"/>
      <c r="CC55" s="313"/>
      <c r="CD55" s="313"/>
      <c r="CE55" s="120"/>
      <c r="CF55" s="120"/>
      <c r="CG55" s="120"/>
      <c r="CH55" s="120"/>
    </row>
    <row r="56" ht="34.5" customHeight="1">
      <c r="A56" s="52">
        <v>55.0</v>
      </c>
      <c r="B56" s="235" t="str">
        <f t="array" ref="B56">INDEX(Settings!H$2:H$72, ROW())</f>
        <v>WEEK 11</v>
      </c>
      <c r="C56" s="236" t="str">
        <f t="array" ref="C56">INDEX(Settings!I$2:I$72, ROW())</f>
        <v>GAME 5</v>
      </c>
      <c r="D56" s="237">
        <f t="array" ref="D56">INDEX('BACKEND 1'!$V$28:$AK$38, MATCH(F56, 'BACKEND 1'!$V$28:$V$38, 0), MATCH(B56, 'BACKEND 1'!$V$28:$AK$28, 0))</f>
        <v>3</v>
      </c>
      <c r="E56" s="73" t="str">
        <f>VLOOKUP(F56, Settings!$A$3:$C$12, 3, FALSE)</f>
        <v>ESTEEMED</v>
      </c>
      <c r="F56" s="238" t="str">
        <f t="array" ref="F56">INDEX(Settings!J$2:J$72, ROW())</f>
        <v>YARDIES</v>
      </c>
      <c r="G56" s="239">
        <f>SUMIFS('All-Stars'!E:E, 'All-Stars'!B:B, F56, 'All-Stars'!F:F, B56)</f>
        <v>139.71</v>
      </c>
      <c r="H56" s="240">
        <f>SUMIFS('All-Stars'!E:E, 'All-Stars'!B:B, I56, 'All-Stars'!F:F, B56)</f>
        <v>130.98</v>
      </c>
      <c r="I56" s="241" t="str">
        <f t="array" ref="I56">INDEX(Settings!K$2:K$72, ROW())</f>
        <v>SAVAGES</v>
      </c>
      <c r="J56" s="88" t="str">
        <f>VLOOKUP(I56, Settings!$A$3:$C$12, 3, FALSE)</f>
        <v>PRODIGY</v>
      </c>
      <c r="K56" s="241">
        <f t="array" ref="K56">INDEX('BACKEND 1'!$V$28:$AK$38, MATCH(I56, 'BACKEND 1'!$V$28:$V$38, 0), MATCH(B56, 'BACKEND 1'!$V$28:$AK$28, 0))</f>
        <v>8</v>
      </c>
      <c r="L56" s="95">
        <f t="array" ref="L56">IFERROR(IF(D56=0,"-",INDEX('BACKEND 1'!$V$54:$AF$64, MATCH(D56, 'BACKEND 1'!$V$54:$V$64, 0), MATCH(K56, 'BACKEND 1'!$V$54:$AF$54, 0))),"-")</f>
        <v>16.53553391</v>
      </c>
      <c r="M56" s="242">
        <f>_xlfn.RANK.EQ(L56,L52:L56,1)</f>
        <v>5</v>
      </c>
      <c r="N56" s="243" t="str">
        <f t="shared" si="1"/>
        <v>YARDIES</v>
      </c>
      <c r="O56" s="244" t="str">
        <f t="shared" si="2"/>
        <v>SAVAGES</v>
      </c>
      <c r="P56" s="245" t="str">
        <f t="shared" si="3"/>
        <v/>
      </c>
      <c r="Q56" s="246">
        <f t="shared" si="4"/>
        <v>8.73</v>
      </c>
      <c r="R56" s="246">
        <f t="shared" si="5"/>
        <v>270.69</v>
      </c>
      <c r="S56" s="247" t="str">
        <f t="shared" si="6"/>
        <v/>
      </c>
      <c r="T56" s="248"/>
      <c r="U56" s="249" t="str">
        <f t="shared" si="7"/>
        <v/>
      </c>
      <c r="V56" s="113">
        <v>11.0</v>
      </c>
      <c r="W56" s="114">
        <f t="shared" si="8"/>
        <v>1</v>
      </c>
      <c r="X56" s="114">
        <f t="shared" si="9"/>
        <v>0</v>
      </c>
      <c r="Y56" s="120"/>
      <c r="Z56" s="120"/>
      <c r="AA56" s="120"/>
      <c r="AB56" s="120"/>
      <c r="AC56" s="120"/>
      <c r="AD56" s="120"/>
      <c r="AE56" s="120"/>
      <c r="AF56" s="120"/>
      <c r="AG56" s="120"/>
      <c r="AH56" s="17">
        <f t="shared" si="10"/>
        <v>5</v>
      </c>
      <c r="AI56" s="17">
        <f t="shared" si="11"/>
        <v>66</v>
      </c>
      <c r="AJ56" s="17">
        <f t="shared" si="12"/>
        <v>6</v>
      </c>
      <c r="AK56" s="17">
        <f t="shared" si="13"/>
        <v>65</v>
      </c>
      <c r="AL56" s="126">
        <f t="shared" si="14"/>
        <v>35</v>
      </c>
      <c r="AM56" s="17">
        <f t="shared" si="15"/>
        <v>35</v>
      </c>
      <c r="AN56" s="17">
        <f t="shared" si="16"/>
        <v>36</v>
      </c>
      <c r="AO56" s="17" t="str">
        <f t="shared" si="17"/>
        <v>-</v>
      </c>
      <c r="AP56" s="17" t="str">
        <f t="shared" si="18"/>
        <v>UPCOMING</v>
      </c>
      <c r="AQ56" s="131">
        <f t="shared" si="19"/>
        <v>51</v>
      </c>
      <c r="AR56" s="131" t="str">
        <f t="shared" si="20"/>
        <v>NO UPSET</v>
      </c>
      <c r="AS56" s="131" t="str">
        <f t="shared" si="21"/>
        <v>-</v>
      </c>
      <c r="AT56" s="131"/>
      <c r="AU56" s="133"/>
      <c r="AV56" s="313"/>
      <c r="AW56" s="313"/>
      <c r="AX56" s="313"/>
      <c r="AY56" s="313"/>
      <c r="AZ56" s="313"/>
      <c r="BA56" s="313"/>
      <c r="BB56" s="313"/>
      <c r="BC56" s="313"/>
      <c r="BD56" s="313"/>
      <c r="BE56" s="313"/>
      <c r="BF56" s="120"/>
      <c r="BG56" s="120"/>
      <c r="BH56" s="120"/>
      <c r="BI56" s="120"/>
      <c r="BJ56" s="120"/>
      <c r="BK56" s="120"/>
      <c r="BL56" s="120"/>
      <c r="BM56" s="120"/>
      <c r="BN56" s="120"/>
      <c r="BO56" s="120"/>
      <c r="BP56" s="120"/>
      <c r="BQ56" s="120"/>
      <c r="BR56" s="120"/>
      <c r="BS56" s="120"/>
      <c r="BT56" s="120"/>
      <c r="BU56" s="120"/>
      <c r="BV56" s="120"/>
      <c r="BW56" s="313"/>
      <c r="BX56" s="313"/>
      <c r="BY56" s="313"/>
      <c r="BZ56" s="313"/>
      <c r="CA56" s="313"/>
      <c r="CB56" s="313"/>
      <c r="CC56" s="313"/>
      <c r="CD56" s="313"/>
      <c r="CE56" s="120"/>
      <c r="CF56" s="120"/>
      <c r="CG56" s="120"/>
      <c r="CH56" s="120"/>
    </row>
    <row r="57" ht="34.5" customHeight="1">
      <c r="A57" s="178">
        <v>56.0</v>
      </c>
      <c r="B57" s="300" t="str">
        <f t="array" ref="B57">INDEX(Settings!H$2:H$72, ROW())</f>
        <v>WEEK 12</v>
      </c>
      <c r="C57" s="302" t="str">
        <f t="array" ref="C57">INDEX(Settings!I$2:I$72, ROW())</f>
        <v>GAME 1</v>
      </c>
      <c r="D57" s="304">
        <f t="array" ref="D57">INDEX('BACKEND 1'!$V$28:$AK$38, MATCH(F57, 'BACKEND 1'!$V$28:$V$38, 0), MATCH(B57, 'BACKEND 1'!$V$28:$AK$28, 0))</f>
        <v>10</v>
      </c>
      <c r="E57" s="73" t="str">
        <f>VLOOKUP(F57, Settings!$A$3:$C$12, 3, FALSE)</f>
        <v>PRODIGY</v>
      </c>
      <c r="F57" s="306" t="str">
        <f t="array" ref="F57">INDEX(Settings!J$2:J$72, ROW())</f>
        <v>KINGS</v>
      </c>
      <c r="G57" s="308">
        <f>SUMIFS('All-Stars'!E:E, 'All-Stars'!B:B, F57, 'All-Stars'!F:F, B57)</f>
        <v>181.23</v>
      </c>
      <c r="H57" s="309">
        <f>SUMIFS('All-Stars'!E:E, 'All-Stars'!B:B, I57, 'All-Stars'!F:F, B57)</f>
        <v>132.31</v>
      </c>
      <c r="I57" s="310" t="str">
        <f t="array" ref="I57">INDEX(Settings!K$2:K$72, ROW())</f>
        <v>SAVAGES</v>
      </c>
      <c r="J57" s="88" t="str">
        <f>VLOOKUP(I57, Settings!$A$3:$C$12, 3, FALSE)</f>
        <v>PRODIGY</v>
      </c>
      <c r="K57" s="310">
        <f t="array" ref="K57">INDEX('BACKEND 1'!$V$28:$AK$38, MATCH(I57, 'BACKEND 1'!$V$28:$V$38, 0), MATCH(B57, 'BACKEND 1'!$V$28:$AK$28, 0))</f>
        <v>9</v>
      </c>
      <c r="L57" s="95">
        <f t="array" ref="L57">IFERROR(IF(D57=0,"-",INDEX('BACKEND 1'!$V$54:$AF$64, MATCH(D57, 'BACKEND 1'!$V$54:$V$64, 0), MATCH(K57, 'BACKEND 1'!$V$54:$AF$54, 0))),"-")</f>
        <v>11.70710678</v>
      </c>
      <c r="M57" s="98">
        <f>_xlfn.RANK.EQ(L57,L57:L61,1)</f>
        <v>2</v>
      </c>
      <c r="N57" s="193" t="str">
        <f t="shared" si="1"/>
        <v>KINGS</v>
      </c>
      <c r="O57" s="194" t="str">
        <f t="shared" si="2"/>
        <v>SAVAGES</v>
      </c>
      <c r="P57" s="195" t="str">
        <f t="shared" si="3"/>
        <v>YES</v>
      </c>
      <c r="Q57" s="196">
        <f t="shared" si="4"/>
        <v>48.92</v>
      </c>
      <c r="R57" s="196">
        <f t="shared" si="5"/>
        <v>313.54</v>
      </c>
      <c r="S57" s="723"/>
      <c r="T57" s="113"/>
      <c r="U57" s="198" t="str">
        <f t="shared" si="7"/>
        <v>UPSET</v>
      </c>
      <c r="V57" s="113">
        <v>12.0</v>
      </c>
      <c r="W57" s="114">
        <f t="shared" si="8"/>
        <v>1</v>
      </c>
      <c r="X57" s="114">
        <f t="shared" si="9"/>
        <v>0</v>
      </c>
      <c r="Y57" s="120"/>
      <c r="Z57" s="120"/>
      <c r="AA57" s="120"/>
      <c r="AB57" s="120"/>
      <c r="AC57" s="120"/>
      <c r="AD57" s="120"/>
      <c r="AE57" s="120"/>
      <c r="AF57" s="120"/>
      <c r="AG57" s="120"/>
      <c r="AH57" s="17">
        <f t="shared" si="10"/>
        <v>52</v>
      </c>
      <c r="AI57" s="17">
        <f t="shared" si="11"/>
        <v>19</v>
      </c>
      <c r="AJ57" s="17">
        <f t="shared" si="12"/>
        <v>34</v>
      </c>
      <c r="AK57" s="17">
        <f t="shared" si="13"/>
        <v>37</v>
      </c>
      <c r="AL57" s="126">
        <f t="shared" si="14"/>
        <v>44.5</v>
      </c>
      <c r="AM57" s="17">
        <f t="shared" si="15"/>
        <v>52</v>
      </c>
      <c r="AN57" s="17">
        <f t="shared" si="16"/>
        <v>19</v>
      </c>
      <c r="AO57" s="17" t="str">
        <f t="shared" si="17"/>
        <v>-</v>
      </c>
      <c r="AP57" s="17" t="str">
        <f t="shared" si="18"/>
        <v>UPCOMING</v>
      </c>
      <c r="AQ57" s="131">
        <f t="shared" si="19"/>
        <v>31</v>
      </c>
      <c r="AR57" s="131">
        <f t="shared" si="20"/>
        <v>11.70710678</v>
      </c>
      <c r="AS57" s="131">
        <f t="shared" si="21"/>
        <v>21</v>
      </c>
      <c r="AT57" s="131"/>
      <c r="AU57" s="133"/>
      <c r="AV57" s="513" t="str">
        <f>"Top 5 "&amp; Settings!$R$3&amp; " Highest Ranking Games - PVE FFL"</f>
        <v>Top 5 2025 Highest Ranking Games - PVE FFL</v>
      </c>
      <c r="AW57" s="514"/>
      <c r="AX57" s="514"/>
      <c r="AY57" s="514"/>
      <c r="AZ57" s="514"/>
      <c r="BA57" s="514"/>
      <c r="BB57" s="514"/>
      <c r="BC57" s="514"/>
      <c r="BD57" s="514"/>
      <c r="BE57" s="515"/>
      <c r="BF57" s="120"/>
      <c r="BG57" s="120"/>
      <c r="BH57" s="120"/>
      <c r="BI57" s="120"/>
      <c r="BJ57" s="120"/>
      <c r="BK57" s="120"/>
      <c r="BL57" s="120"/>
      <c r="BM57" s="120"/>
      <c r="BN57" s="120"/>
      <c r="BO57" s="120"/>
      <c r="BP57" s="120"/>
      <c r="BQ57" s="120"/>
      <c r="BR57" s="120"/>
      <c r="BS57" s="120"/>
      <c r="BT57" s="120"/>
      <c r="BU57" s="120"/>
      <c r="BV57" s="120"/>
      <c r="BW57" s="313"/>
      <c r="BX57" s="313"/>
      <c r="BY57" s="313"/>
      <c r="BZ57" s="313"/>
      <c r="CA57" s="313"/>
      <c r="CB57" s="313"/>
      <c r="CC57" s="313"/>
      <c r="CD57" s="313"/>
      <c r="CE57" s="120"/>
      <c r="CF57" s="120"/>
      <c r="CG57" s="120"/>
      <c r="CH57" s="120"/>
    </row>
    <row r="58" ht="28.5" customHeight="1">
      <c r="A58" s="178">
        <v>57.0</v>
      </c>
      <c r="B58" s="300" t="str">
        <f t="array" ref="B58">INDEX(Settings!H$2:H$72, ROW())</f>
        <v>WEEK 12</v>
      </c>
      <c r="C58" s="302" t="str">
        <f t="array" ref="C58">INDEX(Settings!I$2:I$72, ROW())</f>
        <v>GAME 2</v>
      </c>
      <c r="D58" s="304">
        <f t="array" ref="D58">INDEX('BACKEND 1'!$V$28:$AK$38, MATCH(F58, 'BACKEND 1'!$V$28:$V$38, 0), MATCH(B58, 'BACKEND 1'!$V$28:$AK$28, 0))</f>
        <v>1</v>
      </c>
      <c r="E58" s="73" t="str">
        <f>VLOOKUP(F58, Settings!$A$3:$C$12, 3, FALSE)</f>
        <v>PRODIGY</v>
      </c>
      <c r="F58" s="306" t="str">
        <f t="array" ref="F58">INDEX(Settings!J$2:J$72, ROW())</f>
        <v>GREEN</v>
      </c>
      <c r="G58" s="308">
        <f>SUMIFS('All-Stars'!E:E, 'All-Stars'!B:B, F58, 'All-Stars'!F:F, B58)</f>
        <v>189.22</v>
      </c>
      <c r="H58" s="309">
        <f>SUMIFS('All-Stars'!E:E, 'All-Stars'!B:B, I58, 'All-Stars'!F:F, B58)</f>
        <v>155.64</v>
      </c>
      <c r="I58" s="310" t="str">
        <f t="array" ref="I58">INDEX(Settings!K$2:K$72, ROW())</f>
        <v>POPEYES</v>
      </c>
      <c r="J58" s="88" t="str">
        <f>VLOOKUP(I58, Settings!$A$3:$C$12, 3, FALSE)</f>
        <v>PRODIGY</v>
      </c>
      <c r="K58" s="310">
        <f t="array" ref="K58">INDEX('BACKEND 1'!$V$28:$AK$38, MATCH(I58, 'BACKEND 1'!$V$28:$V$38, 0), MATCH(B58, 'BACKEND 1'!$V$28:$AK$28, 0))</f>
        <v>3</v>
      </c>
      <c r="L58" s="95">
        <f t="array" ref="L58">IFERROR(IF(D58=0,"-",INDEX('BACKEND 1'!$V$54:$AF$64, MATCH(D58, 'BACKEND 1'!$V$54:$V$64, 0), MATCH(K58, 'BACKEND 1'!$V$54:$AF$54, 0))),"-")</f>
        <v>6.414213562</v>
      </c>
      <c r="M58" s="192">
        <f>_xlfn.RANK.EQ(L58,L57:L61,1)</f>
        <v>1</v>
      </c>
      <c r="N58" s="193" t="str">
        <f t="shared" si="1"/>
        <v>GREEN</v>
      </c>
      <c r="O58" s="194" t="str">
        <f t="shared" si="2"/>
        <v>POPEYES</v>
      </c>
      <c r="P58" s="195" t="str">
        <f t="shared" si="3"/>
        <v/>
      </c>
      <c r="Q58" s="196">
        <f t="shared" si="4"/>
        <v>33.58</v>
      </c>
      <c r="R58" s="196">
        <f t="shared" si="5"/>
        <v>344.86</v>
      </c>
      <c r="S58" s="723"/>
      <c r="T58" s="113"/>
      <c r="U58" s="198" t="str">
        <f t="shared" si="7"/>
        <v/>
      </c>
      <c r="V58" s="113">
        <v>12.0</v>
      </c>
      <c r="W58" s="114">
        <f t="shared" si="8"/>
        <v>1</v>
      </c>
      <c r="X58" s="114">
        <f t="shared" si="9"/>
        <v>0</v>
      </c>
      <c r="Y58" s="120"/>
      <c r="Z58" s="120"/>
      <c r="AA58" s="120"/>
      <c r="AB58" s="120"/>
      <c r="AC58" s="120"/>
      <c r="AD58" s="120"/>
      <c r="AE58" s="120"/>
      <c r="AF58" s="120"/>
      <c r="AG58" s="120"/>
      <c r="AH58" s="17">
        <f t="shared" si="10"/>
        <v>32</v>
      </c>
      <c r="AI58" s="17">
        <f t="shared" si="11"/>
        <v>39</v>
      </c>
      <c r="AJ58" s="17">
        <f t="shared" si="12"/>
        <v>51</v>
      </c>
      <c r="AK58" s="17">
        <f t="shared" si="13"/>
        <v>20</v>
      </c>
      <c r="AL58" s="126">
        <f t="shared" si="14"/>
        <v>26</v>
      </c>
      <c r="AM58" s="17">
        <f t="shared" si="15"/>
        <v>19</v>
      </c>
      <c r="AN58" s="17">
        <f t="shared" si="16"/>
        <v>52</v>
      </c>
      <c r="AO58" s="17" t="str">
        <f t="shared" si="17"/>
        <v>-</v>
      </c>
      <c r="AP58" s="17" t="str">
        <f t="shared" si="18"/>
        <v>UPCOMING</v>
      </c>
      <c r="AQ58" s="131">
        <f t="shared" si="19"/>
        <v>5</v>
      </c>
      <c r="AR58" s="131" t="str">
        <f t="shared" si="20"/>
        <v>NO UPSET</v>
      </c>
      <c r="AS58" s="131" t="str">
        <f t="shared" si="21"/>
        <v>-</v>
      </c>
      <c r="AT58" s="131"/>
      <c r="AU58" s="732"/>
      <c r="AV58" s="516" t="s">
        <v>374</v>
      </c>
      <c r="AW58" s="134" t="s">
        <v>61</v>
      </c>
      <c r="AX58" s="134" t="s">
        <v>153</v>
      </c>
      <c r="AY58" s="134" t="s">
        <v>30</v>
      </c>
      <c r="AZ58" s="134" t="s">
        <v>155</v>
      </c>
      <c r="BA58" s="134" t="s">
        <v>156</v>
      </c>
      <c r="BB58" s="134" t="s">
        <v>157</v>
      </c>
      <c r="BC58" s="134" t="s">
        <v>555</v>
      </c>
      <c r="BD58" s="517" t="s">
        <v>556</v>
      </c>
      <c r="BE58" s="518" t="s">
        <v>557</v>
      </c>
      <c r="BG58" s="120"/>
      <c r="BH58" s="120"/>
      <c r="BI58" s="120"/>
      <c r="BJ58" s="120"/>
      <c r="BK58" s="120"/>
      <c r="BL58" s="120"/>
      <c r="BM58" s="120"/>
      <c r="BN58" s="120"/>
      <c r="BO58" s="120"/>
      <c r="BP58" s="120"/>
      <c r="BQ58" s="120"/>
      <c r="BR58" s="120"/>
      <c r="BS58" s="120"/>
      <c r="BT58" s="120"/>
      <c r="BU58" s="120"/>
      <c r="BV58" s="120"/>
      <c r="BW58" s="313"/>
      <c r="BX58" s="313"/>
      <c r="BY58" s="313"/>
      <c r="BZ58" s="313"/>
      <c r="CA58" s="313"/>
      <c r="CB58" s="313"/>
      <c r="CC58" s="313"/>
      <c r="CD58" s="313"/>
      <c r="CE58" s="120"/>
      <c r="CF58" s="120"/>
      <c r="CG58" s="120"/>
      <c r="CH58" s="120"/>
    </row>
    <row r="59" ht="28.5" customHeight="1">
      <c r="A59" s="52">
        <v>58.0</v>
      </c>
      <c r="B59" s="300" t="str">
        <f t="array" ref="B59">INDEX(Settings!H$2:H$72, ROW())</f>
        <v>WEEK 12</v>
      </c>
      <c r="C59" s="302" t="str">
        <f t="array" ref="C59">INDEX(Settings!I$2:I$72, ROW())</f>
        <v>GAME 3</v>
      </c>
      <c r="D59" s="304">
        <f t="array" ref="D59">INDEX('BACKEND 1'!$V$28:$AK$38, MATCH(F59, 'BACKEND 1'!$V$28:$V$38, 0), MATCH(B59, 'BACKEND 1'!$V$28:$AK$28, 0))</f>
        <v>5</v>
      </c>
      <c r="E59" s="73" t="str">
        <f>VLOOKUP(F59, Settings!$A$3:$C$12, 3, FALSE)</f>
        <v>PRODIGY</v>
      </c>
      <c r="F59" s="306" t="str">
        <f t="array" ref="F59">INDEX(Settings!J$2:J$72, ROW())</f>
        <v>DECOUPES</v>
      </c>
      <c r="G59" s="308">
        <f>SUMIFS('All-Stars'!E:E, 'All-Stars'!B:B, F59, 'All-Stars'!F:F, B59)</f>
        <v>247.45</v>
      </c>
      <c r="H59" s="309">
        <f>SUMIFS('All-Stars'!E:E, 'All-Stars'!B:B, I59, 'All-Stars'!F:F, B59)</f>
        <v>175.06</v>
      </c>
      <c r="I59" s="310" t="str">
        <f t="array" ref="I59">INDEX(Settings!K$2:K$72, ROW())</f>
        <v>METAMOOKDAWGS</v>
      </c>
      <c r="J59" s="88" t="str">
        <f>VLOOKUP(I59, Settings!$A$3:$C$12, 3, FALSE)</f>
        <v>ESTEEMED</v>
      </c>
      <c r="K59" s="310">
        <f t="array" ref="K59">INDEX('BACKEND 1'!$V$28:$AK$38, MATCH(I59, 'BACKEND 1'!$V$28:$V$38, 0), MATCH(B59, 'BACKEND 1'!$V$28:$AK$28, 0))</f>
        <v>8</v>
      </c>
      <c r="L59" s="95">
        <f t="array" ref="L59">IFERROR(IF(D59=0,"-",INDEX('BACKEND 1'!$V$54:$AF$64, MATCH(D59, 'BACKEND 1'!$V$54:$V$64, 0), MATCH(K59, 'BACKEND 1'!$V$54:$AF$54, 0))),"-")</f>
        <v>13.12132034</v>
      </c>
      <c r="M59" s="192">
        <f>_xlfn.RANK.EQ(L59,L57:L61,1)</f>
        <v>5</v>
      </c>
      <c r="N59" s="193" t="str">
        <f t="shared" si="1"/>
        <v>DECOUPES</v>
      </c>
      <c r="O59" s="194" t="str">
        <f t="shared" si="2"/>
        <v>METAMOOKDAWGS</v>
      </c>
      <c r="P59" s="195" t="str">
        <f t="shared" si="3"/>
        <v>YES</v>
      </c>
      <c r="Q59" s="196">
        <f t="shared" si="4"/>
        <v>72.39</v>
      </c>
      <c r="R59" s="196">
        <f t="shared" si="5"/>
        <v>422.51</v>
      </c>
      <c r="S59" s="723"/>
      <c r="T59" s="113"/>
      <c r="U59" s="198" t="str">
        <f t="shared" si="7"/>
        <v/>
      </c>
      <c r="V59" s="113">
        <v>12.0</v>
      </c>
      <c r="W59" s="114">
        <f t="shared" si="8"/>
        <v>1</v>
      </c>
      <c r="X59" s="114">
        <f t="shared" si="9"/>
        <v>0</v>
      </c>
      <c r="Y59" s="120"/>
      <c r="Z59" s="120"/>
      <c r="AA59" s="120"/>
      <c r="AB59" s="120"/>
      <c r="AC59" s="120"/>
      <c r="AD59" s="120"/>
      <c r="AE59" s="120"/>
      <c r="AF59" s="120"/>
      <c r="AG59" s="120"/>
      <c r="AH59" s="17">
        <f t="shared" si="10"/>
        <v>66</v>
      </c>
      <c r="AI59" s="17">
        <f t="shared" si="11"/>
        <v>5</v>
      </c>
      <c r="AJ59" s="17">
        <f t="shared" si="12"/>
        <v>70</v>
      </c>
      <c r="AK59" s="17">
        <f t="shared" si="13"/>
        <v>1</v>
      </c>
      <c r="AL59" s="126">
        <f t="shared" si="14"/>
        <v>33.5</v>
      </c>
      <c r="AM59" s="17">
        <f t="shared" si="15"/>
        <v>34</v>
      </c>
      <c r="AN59" s="17">
        <f t="shared" si="16"/>
        <v>37</v>
      </c>
      <c r="AO59" s="17" t="str">
        <f t="shared" si="17"/>
        <v>-</v>
      </c>
      <c r="AP59" s="17" t="str">
        <f t="shared" si="18"/>
        <v>UPCOMING</v>
      </c>
      <c r="AQ59" s="131">
        <f t="shared" si="19"/>
        <v>43</v>
      </c>
      <c r="AR59" s="131" t="str">
        <f t="shared" si="20"/>
        <v>NO UPSET</v>
      </c>
      <c r="AS59" s="131" t="str">
        <f t="shared" si="21"/>
        <v>-</v>
      </c>
      <c r="AT59" s="131"/>
      <c r="AU59" s="732"/>
      <c r="AV59" s="608">
        <v>1.0</v>
      </c>
      <c r="AW59" s="203">
        <f t="shared" ref="AW59:AW63" si="75">INDEX($L:$L, MATCH(AV59,$AQ:$AQ,0))</f>
        <v>3.707106781</v>
      </c>
      <c r="AX59" s="200">
        <f>Settings!$R$3</f>
        <v>2025</v>
      </c>
      <c r="AY59" s="200" t="str">
        <f t="shared" ref="AY59:AY63" si="76">INDEX($B:$B, MATCH(AV59,$AQ:$AQ,0))</f>
        <v>WEEK 2</v>
      </c>
      <c r="AZ59" s="205" t="str">
        <f t="shared" ref="AZ59:AZ63" si="77">INDEX($N:$N, MATCH(AV59,$AQ:$AQ,0))</f>
        <v>MUTTS</v>
      </c>
      <c r="BA59" s="200" t="str">
        <f t="shared" ref="BA59:BA63" si="78">INDEX($O:$O, MATCH(AV59,$AQ:$AQ,0))</f>
        <v>CHAMPS</v>
      </c>
      <c r="BB59" s="200" t="str">
        <f t="array" ref="BB59">Settings!$R$3 &amp; " REG, PVE FFL GAME " &amp; INDEX($A:$A, MATCH(AV59,$AQ:$AQ,0))</f>
        <v>2025 REG, PVE FFL GAME 7</v>
      </c>
      <c r="BC59" s="203">
        <f t="shared" ref="BC59:BC63" si="79">INDEX($D:$D, MATCH(AV59,$AQ:$AQ,0))</f>
        <v>1</v>
      </c>
      <c r="BD59" s="203">
        <f t="shared" ref="BD59:BD63" si="80">INDEX($K:$K, MATCH(AV59,$AQ:$AQ,0))</f>
        <v>2</v>
      </c>
      <c r="BE59" s="739">
        <f t="shared" ref="BE59:BE63" si="81">INDEX($AL:$AL, MATCH(AV59,$AQ:$AQ,0))</f>
        <v>35</v>
      </c>
      <c r="BW59" s="314"/>
      <c r="BX59" s="314"/>
      <c r="BY59" s="314"/>
      <c r="BZ59" s="314"/>
      <c r="CA59" s="314"/>
      <c r="CB59" s="314"/>
      <c r="CC59" s="314"/>
      <c r="CD59" s="314"/>
    </row>
    <row r="60" ht="28.5" customHeight="1">
      <c r="A60" s="178">
        <v>59.0</v>
      </c>
      <c r="B60" s="300" t="str">
        <f t="array" ref="B60">INDEX(Settings!H$2:H$72, ROW())</f>
        <v>WEEK 12</v>
      </c>
      <c r="C60" s="302" t="str">
        <f t="array" ref="C60">INDEX(Settings!I$2:I$72, ROW())</f>
        <v>GAME 4</v>
      </c>
      <c r="D60" s="304">
        <f t="array" ref="D60">INDEX('BACKEND 1'!$V$28:$AK$38, MATCH(F60, 'BACKEND 1'!$V$28:$V$38, 0), MATCH(B60, 'BACKEND 1'!$V$28:$AK$28, 0))</f>
        <v>6</v>
      </c>
      <c r="E60" s="73" t="str">
        <f>VLOOKUP(F60, Settings!$A$3:$C$12, 3, FALSE)</f>
        <v>ESTEEMED</v>
      </c>
      <c r="F60" s="306" t="str">
        <f t="array" ref="F60">INDEX(Settings!J$2:J$72, ROW())</f>
        <v>CHAMPS</v>
      </c>
      <c r="G60" s="308">
        <f>SUMIFS('All-Stars'!E:E, 'All-Stars'!B:B, F60, 'All-Stars'!F:F, B60)</f>
        <v>152.31</v>
      </c>
      <c r="H60" s="309">
        <f>SUMIFS('All-Stars'!E:E, 'All-Stars'!B:B, I60, 'All-Stars'!F:F, B60)</f>
        <v>169.1</v>
      </c>
      <c r="I60" s="310" t="str">
        <f t="array" ref="I60">INDEX(Settings!K$2:K$72, ROW())</f>
        <v>YARDIES</v>
      </c>
      <c r="J60" s="88" t="str">
        <f>VLOOKUP(I60, Settings!$A$3:$C$12, 3, FALSE)</f>
        <v>ESTEEMED</v>
      </c>
      <c r="K60" s="310">
        <f t="array" ref="K60">INDEX('BACKEND 1'!$V$28:$AK$38, MATCH(I60, 'BACKEND 1'!$V$28:$V$38, 0), MATCH(B60, 'BACKEND 1'!$V$28:$AK$28, 0))</f>
        <v>2</v>
      </c>
      <c r="L60" s="95">
        <f t="array" ref="L60">IFERROR(IF(D60=0,"-",INDEX('BACKEND 1'!$V$54:$AF$64, MATCH(D60, 'BACKEND 1'!$V$54:$V$64, 0), MATCH(K60, 'BACKEND 1'!$V$54:$AF$54, 0))),"-")</f>
        <v>12.82842712</v>
      </c>
      <c r="M60" s="192">
        <f>_xlfn.RANK.EQ(L60,L57:L61,1)</f>
        <v>4</v>
      </c>
      <c r="N60" s="193" t="str">
        <f t="shared" si="1"/>
        <v>YARDIES</v>
      </c>
      <c r="O60" s="194" t="str">
        <f t="shared" si="2"/>
        <v>CHAMPS</v>
      </c>
      <c r="P60" s="195" t="str">
        <f t="shared" si="3"/>
        <v/>
      </c>
      <c r="Q60" s="196">
        <f t="shared" si="4"/>
        <v>16.79</v>
      </c>
      <c r="R60" s="196">
        <f t="shared" si="5"/>
        <v>321.41</v>
      </c>
      <c r="S60" s="741" t="s">
        <v>27</v>
      </c>
      <c r="T60" s="113"/>
      <c r="U60" s="198" t="str">
        <f t="shared" si="7"/>
        <v/>
      </c>
      <c r="V60" s="629">
        <v>12.0</v>
      </c>
      <c r="W60" s="114">
        <f t="shared" si="8"/>
        <v>0</v>
      </c>
      <c r="X60" s="114">
        <f t="shared" si="9"/>
        <v>0</v>
      </c>
      <c r="Y60" s="120"/>
      <c r="Z60" s="120"/>
      <c r="AA60" s="120"/>
      <c r="AB60" s="120"/>
      <c r="AC60" s="120"/>
      <c r="AD60" s="120"/>
      <c r="AE60" s="120"/>
      <c r="AF60" s="120"/>
      <c r="AG60" s="120"/>
      <c r="AH60" s="17">
        <f t="shared" si="10"/>
        <v>15</v>
      </c>
      <c r="AI60" s="17">
        <f t="shared" si="11"/>
        <v>56</v>
      </c>
      <c r="AJ60" s="17">
        <f t="shared" si="12"/>
        <v>36</v>
      </c>
      <c r="AK60" s="17">
        <f t="shared" si="13"/>
        <v>35</v>
      </c>
      <c r="AL60" s="126">
        <f t="shared" si="14"/>
        <v>25</v>
      </c>
      <c r="AM60" s="17">
        <f t="shared" si="15"/>
        <v>15</v>
      </c>
      <c r="AN60" s="17">
        <f t="shared" si="16"/>
        <v>56</v>
      </c>
      <c r="AO60" s="17">
        <f t="shared" si="17"/>
        <v>25</v>
      </c>
      <c r="AP60" s="17">
        <f t="shared" si="18"/>
        <v>7</v>
      </c>
      <c r="AQ60" s="131">
        <f t="shared" si="19"/>
        <v>40</v>
      </c>
      <c r="AR60" s="131" t="str">
        <f t="shared" si="20"/>
        <v>NO UPSET</v>
      </c>
      <c r="AS60" s="131" t="str">
        <f t="shared" si="21"/>
        <v>-</v>
      </c>
      <c r="AT60" s="131"/>
      <c r="AU60" s="732"/>
      <c r="AV60" s="208">
        <v>2.0</v>
      </c>
      <c r="AW60" s="203">
        <f t="shared" si="75"/>
        <v>3.707106781</v>
      </c>
      <c r="AX60" s="200">
        <f>Settings!$R$3</f>
        <v>2025</v>
      </c>
      <c r="AY60" s="200" t="str">
        <f t="shared" si="76"/>
        <v>WEEK 1</v>
      </c>
      <c r="AZ60" s="205" t="str">
        <f t="shared" si="77"/>
        <v>POPEYES</v>
      </c>
      <c r="BA60" s="200" t="str">
        <f t="shared" si="78"/>
        <v>SAVAGES</v>
      </c>
      <c r="BB60" s="200" t="str">
        <f t="array" ref="BB60">Settings!$R$3 &amp; " REG, PVE FFL GAME " &amp; INDEX($A:$A, MATCH(AV60,$AQ:$AQ,0))</f>
        <v>2025 REG, PVE FFL GAME 5</v>
      </c>
      <c r="BC60" s="203">
        <f t="shared" si="79"/>
        <v>2</v>
      </c>
      <c r="BD60" s="203">
        <f t="shared" si="80"/>
        <v>1</v>
      </c>
      <c r="BE60" s="739">
        <f t="shared" si="81"/>
        <v>53</v>
      </c>
      <c r="BW60" s="314"/>
      <c r="BX60" s="314"/>
      <c r="BY60" s="314"/>
      <c r="BZ60" s="314"/>
      <c r="CA60" s="314"/>
      <c r="CB60" s="314"/>
      <c r="CC60" s="314"/>
      <c r="CD60" s="314"/>
    </row>
    <row r="61" ht="28.5" customHeight="1">
      <c r="A61" s="178">
        <v>60.0</v>
      </c>
      <c r="B61" s="300" t="str">
        <f t="array" ref="B61">INDEX(Settings!H$2:H$72, ROW())</f>
        <v>WEEK 12</v>
      </c>
      <c r="C61" s="302" t="str">
        <f t="array" ref="C61">INDEX(Settings!I$2:I$72, ROW())</f>
        <v>GAME 5</v>
      </c>
      <c r="D61" s="304">
        <f t="array" ref="D61">INDEX('BACKEND 1'!$V$28:$AK$38, MATCH(F61, 'BACKEND 1'!$V$28:$V$38, 0), MATCH(B61, 'BACKEND 1'!$V$28:$AK$28, 0))</f>
        <v>7</v>
      </c>
      <c r="E61" s="73" t="str">
        <f>VLOOKUP(F61, Settings!$A$3:$C$12, 3, FALSE)</f>
        <v>ESTEEMED</v>
      </c>
      <c r="F61" s="306" t="str">
        <f t="array" ref="F61">INDEX(Settings!J$2:J$72, ROW())</f>
        <v>EAGLES</v>
      </c>
      <c r="G61" s="308">
        <f>SUMIFS('All-Stars'!E:E, 'All-Stars'!B:B, F61, 'All-Stars'!F:F, B61)</f>
        <v>122.72</v>
      </c>
      <c r="H61" s="309">
        <f>SUMIFS('All-Stars'!E:E, 'All-Stars'!B:B, I61, 'All-Stars'!F:F, B61)</f>
        <v>157.19</v>
      </c>
      <c r="I61" s="310" t="str">
        <f t="array" ref="I61">INDEX(Settings!K$2:K$72, ROW())</f>
        <v>MUTTS</v>
      </c>
      <c r="J61" s="88" t="str">
        <f>VLOOKUP(I61, Settings!$A$3:$C$12, 3, FALSE)</f>
        <v>ESTEEMED</v>
      </c>
      <c r="K61" s="310">
        <f t="array" ref="K61">INDEX('BACKEND 1'!$V$28:$AK$38, MATCH(I61, 'BACKEND 1'!$V$28:$V$38, 0), MATCH(B61, 'BACKEND 1'!$V$28:$AK$28, 0))</f>
        <v>4</v>
      </c>
      <c r="L61" s="95">
        <f t="array" ref="L61">IFERROR(IF(D61=0,"-",INDEX('BACKEND 1'!$V$54:$AF$64, MATCH(D61, 'BACKEND 1'!$V$54:$V$64, 0), MATCH(K61, 'BACKEND 1'!$V$54:$AF$54, 0))),"-")</f>
        <v>12.12132034</v>
      </c>
      <c r="M61" s="242">
        <f>_xlfn.RANK.EQ(L61,L57:L61,1)</f>
        <v>3</v>
      </c>
      <c r="N61" s="193" t="str">
        <f t="shared" si="1"/>
        <v>MUTTS</v>
      </c>
      <c r="O61" s="194" t="str">
        <f t="shared" si="2"/>
        <v>EAGLES</v>
      </c>
      <c r="P61" s="195" t="str">
        <f t="shared" si="3"/>
        <v/>
      </c>
      <c r="Q61" s="196">
        <f t="shared" si="4"/>
        <v>34.47</v>
      </c>
      <c r="R61" s="196">
        <f t="shared" si="5"/>
        <v>279.91</v>
      </c>
      <c r="S61" s="723"/>
      <c r="T61" s="113"/>
      <c r="U61" s="198" t="str">
        <f t="shared" si="7"/>
        <v/>
      </c>
      <c r="V61" s="113">
        <v>12.0</v>
      </c>
      <c r="W61" s="114">
        <f t="shared" si="8"/>
        <v>0</v>
      </c>
      <c r="X61" s="114">
        <f t="shared" si="9"/>
        <v>0</v>
      </c>
      <c r="Y61" s="120"/>
      <c r="Z61" s="120"/>
      <c r="AA61" s="120"/>
      <c r="AB61" s="120"/>
      <c r="AC61" s="120"/>
      <c r="AD61" s="120"/>
      <c r="AE61" s="120"/>
      <c r="AF61" s="120"/>
      <c r="AG61" s="120"/>
      <c r="AH61" s="17">
        <f t="shared" si="10"/>
        <v>35</v>
      </c>
      <c r="AI61" s="17">
        <f t="shared" si="11"/>
        <v>36</v>
      </c>
      <c r="AJ61" s="17">
        <f t="shared" si="12"/>
        <v>10</v>
      </c>
      <c r="AK61" s="17">
        <f t="shared" si="13"/>
        <v>61</v>
      </c>
      <c r="AL61" s="126">
        <f t="shared" si="14"/>
        <v>48</v>
      </c>
      <c r="AM61" s="17">
        <f t="shared" si="15"/>
        <v>56</v>
      </c>
      <c r="AN61" s="17">
        <f t="shared" si="16"/>
        <v>15</v>
      </c>
      <c r="AO61" s="17" t="str">
        <f t="shared" si="17"/>
        <v>-</v>
      </c>
      <c r="AP61" s="17" t="str">
        <f t="shared" si="18"/>
        <v>UPCOMING</v>
      </c>
      <c r="AQ61" s="131">
        <f t="shared" si="19"/>
        <v>37</v>
      </c>
      <c r="AR61" s="131" t="str">
        <f t="shared" si="20"/>
        <v>NO UPSET</v>
      </c>
      <c r="AS61" s="131" t="str">
        <f t="shared" si="21"/>
        <v>-</v>
      </c>
      <c r="AT61" s="131"/>
      <c r="AU61" s="732"/>
      <c r="AV61" s="608">
        <v>3.0</v>
      </c>
      <c r="AW61" s="203">
        <f t="shared" si="75"/>
        <v>4.707106781</v>
      </c>
      <c r="AX61" s="200">
        <f>Settings!$R$3</f>
        <v>2025</v>
      </c>
      <c r="AY61" s="200" t="str">
        <f t="shared" si="76"/>
        <v>WEEK 6</v>
      </c>
      <c r="AZ61" s="205" t="str">
        <f t="shared" si="77"/>
        <v>MUTTS</v>
      </c>
      <c r="BA61" s="200" t="str">
        <f t="shared" si="78"/>
        <v>YARDIES</v>
      </c>
      <c r="BB61" s="200" t="str">
        <f t="array" ref="BB61">Settings!$R$3 &amp; " REG, PVE FFL GAME " &amp; INDEX($A:$A, MATCH(AV61,$AQ:$AQ,0))</f>
        <v>2025 REG, PVE FFL GAME 27</v>
      </c>
      <c r="BC61" s="203">
        <f t="shared" si="79"/>
        <v>2</v>
      </c>
      <c r="BD61" s="203">
        <f t="shared" si="80"/>
        <v>3</v>
      </c>
      <c r="BE61" s="739">
        <f t="shared" si="81"/>
        <v>44.5</v>
      </c>
      <c r="BW61" s="314"/>
      <c r="BX61" s="314"/>
      <c r="BY61" s="314"/>
      <c r="BZ61" s="314"/>
      <c r="CA61" s="314"/>
      <c r="CB61" s="314"/>
      <c r="CC61" s="314"/>
      <c r="CD61" s="314"/>
    </row>
    <row r="62" ht="28.5" customHeight="1">
      <c r="A62" s="52">
        <v>61.0</v>
      </c>
      <c r="B62" s="383" t="str">
        <f t="array" ref="B62">INDEX(Settings!H$2:H$72, ROW())</f>
        <v>WEEK 13</v>
      </c>
      <c r="C62" s="384" t="str">
        <f t="array" ref="C62">INDEX(Settings!I$2:I$72, ROW())</f>
        <v>GAME 1</v>
      </c>
      <c r="D62" s="100">
        <f t="array" ref="D62">INDEX('BACKEND 1'!$V$28:$AK$38, MATCH(F62, 'BACKEND 1'!$V$28:$V$38, 0), MATCH(B62, 'BACKEND 1'!$V$28:$AK$28, 0))</f>
        <v>5</v>
      </c>
      <c r="E62" s="73" t="str">
        <f>VLOOKUP(F62, Settings!$A$3:$C$12, 3, FALSE)</f>
        <v>PRODIGY</v>
      </c>
      <c r="F62" s="386" t="str">
        <f t="array" ref="F62">INDEX(Settings!J$2:J$72, ROW())</f>
        <v>POPEYES</v>
      </c>
      <c r="G62" s="387">
        <f>SUMIFS('All-Stars'!E:E, 'All-Stars'!B:B, F62, 'All-Stars'!F:F, B62)</f>
        <v>102.49</v>
      </c>
      <c r="H62" s="388">
        <f>SUMIFS('All-Stars'!E:E, 'All-Stars'!B:B, I62, 'All-Stars'!F:F, B62)</f>
        <v>144.36</v>
      </c>
      <c r="I62" s="390" t="str">
        <f t="array" ref="I62">INDEX(Settings!K$2:K$72, ROW())</f>
        <v>KINGS</v>
      </c>
      <c r="J62" s="88" t="str">
        <f>VLOOKUP(I62, Settings!$A$3:$C$12, 3, FALSE)</f>
        <v>PRODIGY</v>
      </c>
      <c r="K62" s="390">
        <f t="array" ref="K62">INDEX('BACKEND 1'!$V$28:$AK$38, MATCH(I62, 'BACKEND 1'!$V$28:$V$38, 0), MATCH(B62, 'BACKEND 1'!$V$28:$AK$28, 0))</f>
        <v>7</v>
      </c>
      <c r="L62" s="95">
        <f t="array" ref="L62">IFERROR(IF(D62=0,"-",INDEX('BACKEND 1'!$V$54:$AF$64, MATCH(D62, 'BACKEND 1'!$V$54:$V$64, 0), MATCH(K62, 'BACKEND 1'!$V$54:$AF$54, 0))),"-")</f>
        <v>10.41421356</v>
      </c>
      <c r="M62" s="98">
        <f>_xlfn.RANK.EQ(L62,L62:L66,1)</f>
        <v>2</v>
      </c>
      <c r="N62" s="100" t="str">
        <f t="shared" si="1"/>
        <v>KINGS</v>
      </c>
      <c r="O62" s="103" t="str">
        <f t="shared" si="2"/>
        <v>POPEYES</v>
      </c>
      <c r="P62" s="105" t="str">
        <f t="shared" si="3"/>
        <v>YES</v>
      </c>
      <c r="Q62" s="107">
        <f t="shared" si="4"/>
        <v>41.87</v>
      </c>
      <c r="R62" s="107">
        <f t="shared" si="5"/>
        <v>246.85</v>
      </c>
      <c r="S62" s="723"/>
      <c r="T62" s="111"/>
      <c r="U62" s="112" t="str">
        <f t="shared" si="7"/>
        <v>UPSET</v>
      </c>
      <c r="V62" s="113">
        <v>13.0</v>
      </c>
      <c r="W62" s="114">
        <f t="shared" si="8"/>
        <v>0</v>
      </c>
      <c r="X62" s="114">
        <f t="shared" si="9"/>
        <v>0</v>
      </c>
      <c r="Y62" s="120"/>
      <c r="Z62" s="120"/>
      <c r="AA62" s="120"/>
      <c r="AB62" s="120"/>
      <c r="AC62" s="120"/>
      <c r="AD62" s="120"/>
      <c r="AE62" s="120"/>
      <c r="AF62" s="120"/>
      <c r="AG62" s="120"/>
      <c r="AH62" s="17">
        <f t="shared" si="10"/>
        <v>45</v>
      </c>
      <c r="AI62" s="17">
        <f t="shared" si="11"/>
        <v>26</v>
      </c>
      <c r="AJ62" s="17">
        <f t="shared" si="12"/>
        <v>1</v>
      </c>
      <c r="AK62" s="17">
        <f t="shared" si="13"/>
        <v>70</v>
      </c>
      <c r="AL62" s="126">
        <f t="shared" si="14"/>
        <v>57.5</v>
      </c>
      <c r="AM62" s="17">
        <f t="shared" si="15"/>
        <v>68</v>
      </c>
      <c r="AN62" s="17">
        <f t="shared" si="16"/>
        <v>3</v>
      </c>
      <c r="AO62" s="17" t="str">
        <f t="shared" si="17"/>
        <v>-</v>
      </c>
      <c r="AP62" s="17" t="str">
        <f t="shared" si="18"/>
        <v>UPCOMING</v>
      </c>
      <c r="AQ62" s="131">
        <f t="shared" si="19"/>
        <v>23</v>
      </c>
      <c r="AR62" s="131">
        <f t="shared" si="20"/>
        <v>10.41421356</v>
      </c>
      <c r="AS62" s="131">
        <f t="shared" si="21"/>
        <v>22</v>
      </c>
      <c r="AT62" s="131"/>
      <c r="AU62" s="732"/>
      <c r="AV62" s="208">
        <v>4.0</v>
      </c>
      <c r="AW62" s="203">
        <f t="shared" si="75"/>
        <v>5.707106781</v>
      </c>
      <c r="AX62" s="200">
        <f>Settings!$R$3</f>
        <v>2025</v>
      </c>
      <c r="AY62" s="200" t="str">
        <f t="shared" si="76"/>
        <v>WEEK 4</v>
      </c>
      <c r="AZ62" s="205" t="str">
        <f t="shared" si="77"/>
        <v>YARDIES</v>
      </c>
      <c r="BA62" s="200" t="str">
        <f t="shared" si="78"/>
        <v>DECOUPES</v>
      </c>
      <c r="BB62" s="200" t="str">
        <f t="array" ref="BB62">Settings!$R$3 &amp; " REG, PVE FFL GAME " &amp; INDEX($A:$A, MATCH(AV62,$AQ:$AQ,0))</f>
        <v>2025 REG, PVE FFL GAME 18</v>
      </c>
      <c r="BC62" s="203">
        <f t="shared" si="79"/>
        <v>4</v>
      </c>
      <c r="BD62" s="203">
        <f t="shared" si="80"/>
        <v>3</v>
      </c>
      <c r="BE62" s="739">
        <f t="shared" si="81"/>
        <v>38</v>
      </c>
      <c r="BW62" s="314"/>
      <c r="BX62" s="314"/>
      <c r="BY62" s="314"/>
      <c r="BZ62" s="314"/>
      <c r="CA62" s="314"/>
      <c r="CB62" s="314"/>
      <c r="CC62" s="314"/>
      <c r="CD62" s="314"/>
    </row>
    <row r="63" ht="28.5" customHeight="1">
      <c r="A63" s="178">
        <v>62.0</v>
      </c>
      <c r="B63" s="394" t="str">
        <f t="array" ref="B63">INDEX(Settings!H$2:H$72, ROW())</f>
        <v>WEEK 13</v>
      </c>
      <c r="C63" s="395" t="str">
        <f t="array" ref="C63">INDEX(Settings!I$2:I$72, ROW())</f>
        <v>GAME 2</v>
      </c>
      <c r="D63" s="193">
        <f t="array" ref="D63">INDEX('BACKEND 1'!$V$28:$AK$38, MATCH(F63, 'BACKEND 1'!$V$28:$V$38, 0), MATCH(B63, 'BACKEND 1'!$V$28:$AK$28, 0))</f>
        <v>10</v>
      </c>
      <c r="E63" s="73" t="str">
        <f>VLOOKUP(F63, Settings!$A$3:$C$12, 3, FALSE)</f>
        <v>PRODIGY</v>
      </c>
      <c r="F63" s="396" t="str">
        <f t="array" ref="F63">INDEX(Settings!J$2:J$72, ROW())</f>
        <v>SAVAGES</v>
      </c>
      <c r="G63" s="397">
        <f>SUMIFS('All-Stars'!E:E, 'All-Stars'!B:B, F63, 'All-Stars'!F:F, B63)</f>
        <v>125.37</v>
      </c>
      <c r="H63" s="398">
        <f>SUMIFS('All-Stars'!E:E, 'All-Stars'!B:B, I63, 'All-Stars'!F:F, B63)</f>
        <v>209.92</v>
      </c>
      <c r="I63" s="399" t="str">
        <f t="array" ref="I63">INDEX(Settings!K$2:K$72, ROW())</f>
        <v>DECOUPES</v>
      </c>
      <c r="J63" s="88" t="str">
        <f>VLOOKUP(I63, Settings!$A$3:$C$12, 3, FALSE)</f>
        <v>PRODIGY</v>
      </c>
      <c r="K63" s="399">
        <f t="array" ref="K63">INDEX('BACKEND 1'!$V$28:$AK$38, MATCH(I63, 'BACKEND 1'!$V$28:$V$38, 0), MATCH(B63, 'BACKEND 1'!$V$28:$AK$28, 0))</f>
        <v>4</v>
      </c>
      <c r="L63" s="95">
        <f t="array" ref="L63">IFERROR(IF(D63=0,"-",INDEX('BACKEND 1'!$V$54:$AF$64, MATCH(D63, 'BACKEND 1'!$V$54:$V$64, 0), MATCH(K63, 'BACKEND 1'!$V$54:$AF$54, 0))),"-")</f>
        <v>20.24264069</v>
      </c>
      <c r="M63" s="192">
        <f>_xlfn.RANK.EQ(L63,L62:L66,1)</f>
        <v>4</v>
      </c>
      <c r="N63" s="193" t="str">
        <f t="shared" si="1"/>
        <v>DECOUPES</v>
      </c>
      <c r="O63" s="194" t="str">
        <f t="shared" si="2"/>
        <v>SAVAGES</v>
      </c>
      <c r="P63" s="195" t="str">
        <f t="shared" si="3"/>
        <v>YES</v>
      </c>
      <c r="Q63" s="196">
        <f t="shared" si="4"/>
        <v>84.55</v>
      </c>
      <c r="R63" s="196">
        <f t="shared" si="5"/>
        <v>335.29</v>
      </c>
      <c r="S63" s="723"/>
      <c r="T63" s="113"/>
      <c r="U63" s="198" t="str">
        <f t="shared" si="7"/>
        <v/>
      </c>
      <c r="V63" s="113">
        <v>13.0</v>
      </c>
      <c r="W63" s="114">
        <f t="shared" si="8"/>
        <v>0</v>
      </c>
      <c r="X63" s="114">
        <f t="shared" si="9"/>
        <v>0</v>
      </c>
      <c r="Y63" s="120"/>
      <c r="Z63" s="120"/>
      <c r="AA63" s="120"/>
      <c r="AB63" s="120"/>
      <c r="AC63" s="120"/>
      <c r="AD63" s="120"/>
      <c r="AE63" s="120"/>
      <c r="AF63" s="120"/>
      <c r="AG63" s="120"/>
      <c r="AH63" s="17">
        <f t="shared" si="10"/>
        <v>68</v>
      </c>
      <c r="AI63" s="17">
        <f t="shared" si="11"/>
        <v>3</v>
      </c>
      <c r="AJ63" s="17">
        <f t="shared" si="12"/>
        <v>45</v>
      </c>
      <c r="AK63" s="17">
        <f t="shared" si="13"/>
        <v>26</v>
      </c>
      <c r="AL63" s="126">
        <f t="shared" si="14"/>
        <v>47</v>
      </c>
      <c r="AM63" s="17">
        <f t="shared" si="15"/>
        <v>55</v>
      </c>
      <c r="AN63" s="17">
        <f t="shared" si="16"/>
        <v>16</v>
      </c>
      <c r="AO63" s="17" t="str">
        <f t="shared" si="17"/>
        <v>-</v>
      </c>
      <c r="AP63" s="17" t="str">
        <f t="shared" si="18"/>
        <v>UPCOMING</v>
      </c>
      <c r="AQ63" s="131">
        <f t="shared" si="19"/>
        <v>62</v>
      </c>
      <c r="AR63" s="131" t="str">
        <f t="shared" si="20"/>
        <v>NO UPSET</v>
      </c>
      <c r="AS63" s="131" t="str">
        <f t="shared" si="21"/>
        <v>-</v>
      </c>
      <c r="AT63" s="131"/>
      <c r="AU63" s="732"/>
      <c r="AV63" s="608">
        <v>5.0</v>
      </c>
      <c r="AW63" s="203">
        <f t="shared" si="75"/>
        <v>6.414213562</v>
      </c>
      <c r="AX63" s="200">
        <f>Settings!$R$3</f>
        <v>2025</v>
      </c>
      <c r="AY63" s="200" t="str">
        <f t="shared" si="76"/>
        <v>WEEK 12</v>
      </c>
      <c r="AZ63" s="205" t="str">
        <f t="shared" si="77"/>
        <v>GREEN</v>
      </c>
      <c r="BA63" s="200" t="str">
        <f t="shared" si="78"/>
        <v>POPEYES</v>
      </c>
      <c r="BB63" s="200" t="str">
        <f t="array" ref="BB63">Settings!$R$3 &amp; " REG, PVE FFL GAME " &amp; INDEX($A:$A, MATCH(AV63,$AQ:$AQ,0))</f>
        <v>2025 REG, PVE FFL GAME 57</v>
      </c>
      <c r="BC63" s="203">
        <f t="shared" si="79"/>
        <v>1</v>
      </c>
      <c r="BD63" s="203">
        <f t="shared" si="80"/>
        <v>3</v>
      </c>
      <c r="BE63" s="739">
        <f t="shared" si="81"/>
        <v>26</v>
      </c>
      <c r="BW63" s="314"/>
      <c r="BX63" s="314"/>
      <c r="BY63" s="314"/>
      <c r="BZ63" s="314"/>
      <c r="CA63" s="314"/>
      <c r="CB63" s="314"/>
      <c r="CC63" s="314"/>
      <c r="CD63" s="314"/>
    </row>
    <row r="64" ht="28.5" customHeight="1">
      <c r="A64" s="178">
        <v>63.0</v>
      </c>
      <c r="B64" s="394" t="str">
        <f t="array" ref="B64">INDEX(Settings!H$2:H$72, ROW())</f>
        <v>WEEK 13</v>
      </c>
      <c r="C64" s="395" t="str">
        <f t="array" ref="C64">INDEX(Settings!I$2:I$72, ROW())</f>
        <v>GAME 3</v>
      </c>
      <c r="D64" s="193">
        <f t="array" ref="D64">INDEX('BACKEND 1'!$V$28:$AK$38, MATCH(F64, 'BACKEND 1'!$V$28:$V$38, 0), MATCH(B64, 'BACKEND 1'!$V$28:$AK$28, 0))</f>
        <v>3</v>
      </c>
      <c r="E64" s="73" t="str">
        <f>VLOOKUP(F64, Settings!$A$3:$C$12, 3, FALSE)</f>
        <v>ESTEEMED</v>
      </c>
      <c r="F64" s="396" t="str">
        <f t="array" ref="F64">INDEX(Settings!J$2:J$72, ROW())</f>
        <v>MUTTS</v>
      </c>
      <c r="G64" s="397">
        <f>SUMIFS('All-Stars'!E:E, 'All-Stars'!B:B, F64, 'All-Stars'!F:F, B64)</f>
        <v>140.08</v>
      </c>
      <c r="H64" s="398">
        <f>SUMIFS('All-Stars'!E:E, 'All-Stars'!B:B, I64, 'All-Stars'!F:F, B64)</f>
        <v>202.79</v>
      </c>
      <c r="I64" s="399" t="str">
        <f t="array" ref="I64">INDEX(Settings!K$2:K$72, ROW())</f>
        <v>GREEN</v>
      </c>
      <c r="J64" s="88" t="str">
        <f>VLOOKUP(I64, Settings!$A$3:$C$12, 3, FALSE)</f>
        <v>PRODIGY</v>
      </c>
      <c r="K64" s="399">
        <f t="array" ref="K64">INDEX('BACKEND 1'!$V$28:$AK$38, MATCH(I64, 'BACKEND 1'!$V$28:$V$38, 0), MATCH(B64, 'BACKEND 1'!$V$28:$AK$28, 0))</f>
        <v>1</v>
      </c>
      <c r="L64" s="95">
        <f t="array" ref="L64">IFERROR(IF(D64=0,"-",INDEX('BACKEND 1'!$V$54:$AF$64, MATCH(D64, 'BACKEND 1'!$V$54:$V$64, 0), MATCH(K64, 'BACKEND 1'!$V$54:$AF$54, 0))),"-")</f>
        <v>6.414213562</v>
      </c>
      <c r="M64" s="192">
        <f>_xlfn.RANK.EQ(L64,L62:L66,1)</f>
        <v>1</v>
      </c>
      <c r="N64" s="193" t="str">
        <f t="shared" si="1"/>
        <v>GREEN</v>
      </c>
      <c r="O64" s="194" t="str">
        <f t="shared" si="2"/>
        <v>MUTTS</v>
      </c>
      <c r="P64" s="195" t="str">
        <f t="shared" si="3"/>
        <v>YES</v>
      </c>
      <c r="Q64" s="196">
        <f t="shared" si="4"/>
        <v>62.71</v>
      </c>
      <c r="R64" s="196">
        <f t="shared" si="5"/>
        <v>342.87</v>
      </c>
      <c r="S64" s="723"/>
      <c r="T64" s="113"/>
      <c r="U64" s="198" t="str">
        <f t="shared" si="7"/>
        <v/>
      </c>
      <c r="V64" s="113">
        <v>13.0</v>
      </c>
      <c r="W64" s="114">
        <f t="shared" si="8"/>
        <v>0</v>
      </c>
      <c r="X64" s="114">
        <f t="shared" si="9"/>
        <v>0</v>
      </c>
      <c r="Y64" s="120"/>
      <c r="Z64" s="120"/>
      <c r="AA64" s="120"/>
      <c r="AB64" s="120"/>
      <c r="AC64" s="120"/>
      <c r="AD64" s="120"/>
      <c r="AE64" s="120"/>
      <c r="AF64" s="120"/>
      <c r="AG64" s="120"/>
      <c r="AH64" s="17">
        <f t="shared" si="10"/>
        <v>63</v>
      </c>
      <c r="AI64" s="17">
        <f t="shared" si="11"/>
        <v>8</v>
      </c>
      <c r="AJ64" s="17">
        <f t="shared" si="12"/>
        <v>47</v>
      </c>
      <c r="AK64" s="17">
        <f t="shared" si="13"/>
        <v>24</v>
      </c>
      <c r="AL64" s="126">
        <f t="shared" si="14"/>
        <v>43.5</v>
      </c>
      <c r="AM64" s="17">
        <f t="shared" si="15"/>
        <v>49</v>
      </c>
      <c r="AN64" s="17">
        <f t="shared" si="16"/>
        <v>22</v>
      </c>
      <c r="AO64" s="17" t="str">
        <f t="shared" si="17"/>
        <v>-</v>
      </c>
      <c r="AP64" s="17" t="str">
        <f t="shared" si="18"/>
        <v>UPCOMING</v>
      </c>
      <c r="AQ64" s="131">
        <f t="shared" si="19"/>
        <v>6</v>
      </c>
      <c r="AR64" s="131" t="str">
        <f t="shared" si="20"/>
        <v>NO UPSET</v>
      </c>
      <c r="AS64" s="131" t="str">
        <f t="shared" si="21"/>
        <v>-</v>
      </c>
      <c r="AT64" s="131"/>
      <c r="AU64" s="732"/>
      <c r="AV64" s="313"/>
      <c r="AW64" s="313"/>
      <c r="AX64" s="313"/>
      <c r="AY64" s="313"/>
      <c r="AZ64" s="313"/>
      <c r="BA64" s="313"/>
      <c r="BB64" s="313"/>
      <c r="BC64" s="313"/>
      <c r="BD64" s="313"/>
      <c r="BE64" s="313"/>
      <c r="BW64" s="314"/>
      <c r="BX64" s="314"/>
      <c r="BY64" s="314"/>
      <c r="BZ64" s="314"/>
      <c r="CA64" s="314"/>
      <c r="CB64" s="314"/>
      <c r="CC64" s="314"/>
      <c r="CD64" s="314"/>
    </row>
    <row r="65" ht="28.5" customHeight="1">
      <c r="A65" s="52">
        <v>64.0</v>
      </c>
      <c r="B65" s="394" t="str">
        <f t="array" ref="B65">INDEX(Settings!H$2:H$72, ROW())</f>
        <v>WEEK 13</v>
      </c>
      <c r="C65" s="395" t="str">
        <f t="array" ref="C65">INDEX(Settings!I$2:I$72, ROW())</f>
        <v>GAME 4</v>
      </c>
      <c r="D65" s="193">
        <f t="array" ref="D65">INDEX('BACKEND 1'!$V$28:$AK$38, MATCH(F65, 'BACKEND 1'!$V$28:$V$38, 0), MATCH(B65, 'BACKEND 1'!$V$28:$AK$28, 0))</f>
        <v>2</v>
      </c>
      <c r="E65" s="73" t="str">
        <f>VLOOKUP(F65, Settings!$A$3:$C$12, 3, FALSE)</f>
        <v>ESTEEMED</v>
      </c>
      <c r="F65" s="396" t="str">
        <f t="array" ref="F65">INDEX(Settings!J$2:J$72, ROW())</f>
        <v>YARDIES</v>
      </c>
      <c r="G65" s="397">
        <f>SUMIFS('All-Stars'!E:E, 'All-Stars'!B:B, F65, 'All-Stars'!F:F, B65)</f>
        <v>126.53</v>
      </c>
      <c r="H65" s="398">
        <f>SUMIFS('All-Stars'!E:E, 'All-Stars'!B:B, I65, 'All-Stars'!F:F, B65)</f>
        <v>160.82</v>
      </c>
      <c r="I65" s="399" t="str">
        <f t="array" ref="I65">INDEX(Settings!K$2:K$72, ROW())</f>
        <v>EAGLES</v>
      </c>
      <c r="J65" s="88" t="str">
        <f>VLOOKUP(I65, Settings!$A$3:$C$12, 3, FALSE)</f>
        <v>ESTEEMED</v>
      </c>
      <c r="K65" s="399">
        <f t="array" ref="K65">INDEX('BACKEND 1'!$V$28:$AK$38, MATCH(I65, 'BACKEND 1'!$V$28:$V$38, 0), MATCH(B65, 'BACKEND 1'!$V$28:$AK$28, 0))</f>
        <v>9</v>
      </c>
      <c r="L65" s="95">
        <f t="array" ref="L65">IFERROR(IF(D65=0,"-",INDEX('BACKEND 1'!$V$54:$AF$64, MATCH(D65, 'BACKEND 1'!$V$54:$V$64, 0), MATCH(K65, 'BACKEND 1'!$V$54:$AF$54, 0))),"-")</f>
        <v>20.94974747</v>
      </c>
      <c r="M65" s="192">
        <f>_xlfn.RANK.EQ(L65,L62:L66,1)</f>
        <v>5</v>
      </c>
      <c r="N65" s="193" t="str">
        <f t="shared" si="1"/>
        <v>EAGLES</v>
      </c>
      <c r="O65" s="194" t="str">
        <f t="shared" si="2"/>
        <v>YARDIES</v>
      </c>
      <c r="P65" s="195" t="str">
        <f t="shared" si="3"/>
        <v/>
      </c>
      <c r="Q65" s="196">
        <f t="shared" si="4"/>
        <v>34.29</v>
      </c>
      <c r="R65" s="196">
        <f t="shared" si="5"/>
        <v>287.35</v>
      </c>
      <c r="S65" s="723"/>
      <c r="T65" s="113"/>
      <c r="U65" s="198" t="str">
        <f t="shared" si="7"/>
        <v>UPSET</v>
      </c>
      <c r="V65" s="629">
        <v>13.0</v>
      </c>
      <c r="W65" s="114">
        <f t="shared" si="8"/>
        <v>0</v>
      </c>
      <c r="X65" s="114">
        <f t="shared" si="9"/>
        <v>0</v>
      </c>
      <c r="Y65" s="120"/>
      <c r="Z65" s="120"/>
      <c r="AA65" s="120"/>
      <c r="AB65" s="120"/>
      <c r="AC65" s="120"/>
      <c r="AD65" s="120"/>
      <c r="AE65" s="120"/>
      <c r="AF65" s="120"/>
      <c r="AG65" s="120"/>
      <c r="AH65" s="17">
        <f t="shared" si="10"/>
        <v>34</v>
      </c>
      <c r="AI65" s="17">
        <f t="shared" si="11"/>
        <v>37</v>
      </c>
      <c r="AJ65" s="17">
        <f t="shared" si="12"/>
        <v>15</v>
      </c>
      <c r="AK65" s="17">
        <f t="shared" si="13"/>
        <v>56</v>
      </c>
      <c r="AL65" s="126">
        <f t="shared" si="14"/>
        <v>45</v>
      </c>
      <c r="AM65" s="17">
        <f t="shared" si="15"/>
        <v>53</v>
      </c>
      <c r="AN65" s="17">
        <f t="shared" si="16"/>
        <v>18</v>
      </c>
      <c r="AO65" s="17" t="str">
        <f t="shared" si="17"/>
        <v>-</v>
      </c>
      <c r="AP65" s="17" t="str">
        <f t="shared" si="18"/>
        <v>UPCOMING</v>
      </c>
      <c r="AQ65" s="131">
        <f t="shared" si="19"/>
        <v>65</v>
      </c>
      <c r="AR65" s="131">
        <f t="shared" si="20"/>
        <v>20.94974747</v>
      </c>
      <c r="AS65" s="131">
        <f t="shared" si="21"/>
        <v>5</v>
      </c>
      <c r="AT65" s="131"/>
      <c r="AU65" s="732"/>
      <c r="AV65" s="513" t="str">
        <f>"Top 5 "&amp; Settings!$R$3&amp; " Biggest Upsets - PVE FFL"</f>
        <v>Top 5 2025 Biggest Upsets - PVE FFL</v>
      </c>
      <c r="AW65" s="514"/>
      <c r="AX65" s="514"/>
      <c r="AY65" s="514"/>
      <c r="AZ65" s="514"/>
      <c r="BA65" s="514"/>
      <c r="BB65" s="514"/>
      <c r="BC65" s="514"/>
      <c r="BD65" s="514"/>
      <c r="BE65" s="515"/>
      <c r="BW65" s="314"/>
      <c r="BX65" s="314"/>
      <c r="BY65" s="314"/>
      <c r="BZ65" s="314"/>
      <c r="CA65" s="314"/>
      <c r="CB65" s="314"/>
      <c r="CC65" s="314"/>
      <c r="CD65" s="314"/>
    </row>
    <row r="66" ht="28.5" customHeight="1">
      <c r="A66" s="178">
        <v>65.0</v>
      </c>
      <c r="B66" s="413" t="str">
        <f t="array" ref="B66">INDEX(Settings!H$2:H$72, ROW())</f>
        <v>WEEK 13</v>
      </c>
      <c r="C66" s="414" t="str">
        <f t="array" ref="C66">INDEX(Settings!I$2:I$72, ROW())</f>
        <v>GAME 5</v>
      </c>
      <c r="D66" s="243">
        <f t="array" ref="D66">INDEX('BACKEND 1'!$V$28:$AK$38, MATCH(F66, 'BACKEND 1'!$V$28:$V$38, 0), MATCH(B66, 'BACKEND 1'!$V$28:$AK$28, 0))</f>
        <v>8</v>
      </c>
      <c r="E66" s="73" t="str">
        <f>VLOOKUP(F66, Settings!$A$3:$C$12, 3, FALSE)</f>
        <v>ESTEEMED</v>
      </c>
      <c r="F66" s="415" t="str">
        <f t="array" ref="F66">INDEX(Settings!J$2:J$72, ROW())</f>
        <v>METAMOOKDAWGS</v>
      </c>
      <c r="G66" s="416">
        <f>SUMIFS('All-Stars'!E:E, 'All-Stars'!B:B, F66, 'All-Stars'!F:F, B66)</f>
        <v>128.36</v>
      </c>
      <c r="H66" s="417">
        <f>SUMIFS('All-Stars'!E:E, 'All-Stars'!B:B, I66, 'All-Stars'!F:F, B66)</f>
        <v>137.66</v>
      </c>
      <c r="I66" s="418" t="str">
        <f t="array" ref="I66">INDEX(Settings!K$2:K$72, ROW())</f>
        <v>CHAMPS</v>
      </c>
      <c r="J66" s="88" t="str">
        <f>VLOOKUP(I66, Settings!$A$3:$C$12, 3, FALSE)</f>
        <v>ESTEEMED</v>
      </c>
      <c r="K66" s="418">
        <f t="array" ref="K66">INDEX('BACKEND 1'!$V$28:$AK$38, MATCH(I66, 'BACKEND 1'!$V$28:$V$38, 0), MATCH(B66, 'BACKEND 1'!$V$28:$AK$28, 0))</f>
        <v>6</v>
      </c>
      <c r="L66" s="95">
        <f t="array" ref="L66">IFERROR(IF(D66=0,"-",INDEX('BACKEND 1'!$V$54:$AF$64, MATCH(D66, 'BACKEND 1'!$V$54:$V$64, 0), MATCH(K66, 'BACKEND 1'!$V$54:$AF$54, 0))),"-")</f>
        <v>11.41421356</v>
      </c>
      <c r="M66" s="242">
        <f>_xlfn.RANK.EQ(L66,L62:L66,1)</f>
        <v>3</v>
      </c>
      <c r="N66" s="243" t="str">
        <f t="shared" si="1"/>
        <v>CHAMPS</v>
      </c>
      <c r="O66" s="244" t="str">
        <f t="shared" si="2"/>
        <v>METAMOOKDAWGS</v>
      </c>
      <c r="P66" s="245" t="str">
        <f t="shared" si="3"/>
        <v/>
      </c>
      <c r="Q66" s="246">
        <f t="shared" si="4"/>
        <v>9.3</v>
      </c>
      <c r="R66" s="246">
        <f t="shared" si="5"/>
        <v>266.02</v>
      </c>
      <c r="S66" s="741" t="s">
        <v>27</v>
      </c>
      <c r="T66" s="248"/>
      <c r="U66" s="249" t="str">
        <f t="shared" si="7"/>
        <v/>
      </c>
      <c r="V66" s="113">
        <v>13.0</v>
      </c>
      <c r="W66" s="114">
        <f t="shared" si="8"/>
        <v>0</v>
      </c>
      <c r="X66" s="114">
        <f t="shared" si="9"/>
        <v>0</v>
      </c>
      <c r="Y66" s="120"/>
      <c r="Z66" s="120"/>
      <c r="AA66" s="120"/>
      <c r="AB66" s="120"/>
      <c r="AC66" s="120"/>
      <c r="AD66" s="120"/>
      <c r="AE66" s="120"/>
      <c r="AF66" s="120"/>
      <c r="AG66" s="120"/>
      <c r="AH66" s="17">
        <f t="shared" si="10"/>
        <v>7</v>
      </c>
      <c r="AI66" s="17">
        <f t="shared" si="11"/>
        <v>64</v>
      </c>
      <c r="AJ66" s="17">
        <f t="shared" si="12"/>
        <v>5</v>
      </c>
      <c r="AK66" s="17">
        <f t="shared" si="13"/>
        <v>66</v>
      </c>
      <c r="AL66" s="126">
        <f t="shared" si="14"/>
        <v>36.5</v>
      </c>
      <c r="AM66" s="17">
        <f t="shared" si="15"/>
        <v>39</v>
      </c>
      <c r="AN66" s="17">
        <f t="shared" si="16"/>
        <v>32</v>
      </c>
      <c r="AO66" s="17">
        <f t="shared" si="17"/>
        <v>36.5</v>
      </c>
      <c r="AP66" s="17">
        <f t="shared" si="18"/>
        <v>10</v>
      </c>
      <c r="AQ66" s="131">
        <f t="shared" si="19"/>
        <v>27</v>
      </c>
      <c r="AR66" s="131" t="str">
        <f t="shared" si="20"/>
        <v>NO UPSET</v>
      </c>
      <c r="AS66" s="131" t="str">
        <f t="shared" si="21"/>
        <v>-</v>
      </c>
      <c r="AT66" s="131"/>
      <c r="AU66" s="732"/>
      <c r="AV66" s="516" t="s">
        <v>374</v>
      </c>
      <c r="AW66" s="134" t="s">
        <v>61</v>
      </c>
      <c r="AX66" s="134" t="s">
        <v>153</v>
      </c>
      <c r="AY66" s="134" t="s">
        <v>30</v>
      </c>
      <c r="AZ66" s="134" t="s">
        <v>155</v>
      </c>
      <c r="BA66" s="134" t="s">
        <v>156</v>
      </c>
      <c r="BB66" s="134" t="s">
        <v>157</v>
      </c>
      <c r="BC66" s="134" t="s">
        <v>555</v>
      </c>
      <c r="BD66" s="517" t="s">
        <v>556</v>
      </c>
      <c r="BE66" s="518" t="s">
        <v>557</v>
      </c>
      <c r="BW66" s="314"/>
      <c r="BX66" s="314"/>
      <c r="BY66" s="314"/>
      <c r="BZ66" s="314"/>
      <c r="CA66" s="314"/>
      <c r="CB66" s="314"/>
      <c r="CC66" s="314"/>
      <c r="CD66" s="314"/>
    </row>
    <row r="67" ht="28.5" customHeight="1">
      <c r="A67" s="178">
        <v>66.0</v>
      </c>
      <c r="B67" s="604" t="str">
        <f t="array" ref="B67">INDEX(Settings!H$2:H$72, ROW())</f>
        <v>WEEK 14</v>
      </c>
      <c r="C67" s="434" t="str">
        <f t="array" ref="C67">INDEX(Settings!I$2:I$72, ROW())</f>
        <v>GAME 1</v>
      </c>
      <c r="D67" s="435">
        <f t="array" ref="D67">INDEX('BACKEND 1'!$V$28:$AK$38, MATCH(F67, 'BACKEND 1'!$V$28:$V$38, 0), MATCH(B67, 'BACKEND 1'!$V$28:$AK$28, 0))</f>
        <v>1</v>
      </c>
      <c r="E67" s="73" t="str">
        <f>VLOOKUP(F67, Settings!$A$3:$C$12, 3, FALSE)</f>
        <v>PRODIGY</v>
      </c>
      <c r="F67" s="436" t="str">
        <f t="array" ref="F67">INDEX(Settings!J$2:J$72, ROW())</f>
        <v>GREEN</v>
      </c>
      <c r="G67" s="437">
        <f>SUMIFS('All-Stars'!E:E, 'All-Stars'!B:B, F67, 'All-Stars'!F:F, B67)</f>
        <v>156.79</v>
      </c>
      <c r="H67" s="438">
        <f>SUMIFS('All-Stars'!E:E, 'All-Stars'!B:B, I67, 'All-Stars'!F:F, B67)</f>
        <v>98.07</v>
      </c>
      <c r="I67" s="439" t="str">
        <f t="array" ref="I67">INDEX(Settings!K$2:K$72, ROW())</f>
        <v>KINGS</v>
      </c>
      <c r="J67" s="88" t="str">
        <f>VLOOKUP(I67, Settings!$A$3:$C$12, 3, FALSE)</f>
        <v>PRODIGY</v>
      </c>
      <c r="K67" s="439">
        <f t="array" ref="K67">INDEX('BACKEND 1'!$V$28:$AK$38, MATCH(I67, 'BACKEND 1'!$V$28:$V$38, 0), MATCH(B67, 'BACKEND 1'!$V$28:$AK$28, 0))</f>
        <v>7</v>
      </c>
      <c r="L67" s="95">
        <f t="array" ref="L67">IFERROR(IF(D67=0,"-",INDEX('BACKEND 1'!$V$54:$AF$64, MATCH(D67, 'BACKEND 1'!$V$54:$V$64, 0), MATCH(K67, 'BACKEND 1'!$V$54:$AF$54, 0))),"-")</f>
        <v>17.24264069</v>
      </c>
      <c r="M67" s="98">
        <f>_xlfn.RANK.EQ(L67,L67:L71,1)</f>
        <v>5</v>
      </c>
      <c r="N67" s="193" t="str">
        <f t="shared" si="1"/>
        <v>GREEN</v>
      </c>
      <c r="O67" s="194" t="str">
        <f t="shared" si="2"/>
        <v>KINGS</v>
      </c>
      <c r="P67" s="195" t="str">
        <f t="shared" si="3"/>
        <v>YES</v>
      </c>
      <c r="Q67" s="196">
        <f t="shared" si="4"/>
        <v>58.72</v>
      </c>
      <c r="R67" s="196">
        <f t="shared" si="5"/>
        <v>254.86</v>
      </c>
      <c r="S67" s="723"/>
      <c r="T67" s="113"/>
      <c r="U67" s="198" t="str">
        <f t="shared" si="7"/>
        <v/>
      </c>
      <c r="V67" s="113">
        <v>14.0</v>
      </c>
      <c r="W67" s="114">
        <f t="shared" si="8"/>
        <v>1</v>
      </c>
      <c r="X67" s="114">
        <f t="shared" si="9"/>
        <v>0</v>
      </c>
      <c r="Y67" s="120"/>
      <c r="Z67" s="120"/>
      <c r="AA67" s="120"/>
      <c r="AB67" s="120"/>
      <c r="AC67" s="120"/>
      <c r="AD67" s="120"/>
      <c r="AE67" s="120"/>
      <c r="AF67" s="120"/>
      <c r="AG67" s="120"/>
      <c r="AH67" s="17">
        <f t="shared" si="10"/>
        <v>57</v>
      </c>
      <c r="AI67" s="17">
        <f t="shared" si="11"/>
        <v>14</v>
      </c>
      <c r="AJ67" s="17">
        <f t="shared" si="12"/>
        <v>3</v>
      </c>
      <c r="AK67" s="17">
        <f t="shared" si="13"/>
        <v>68</v>
      </c>
      <c r="AL67" s="126">
        <f t="shared" si="14"/>
        <v>62.5</v>
      </c>
      <c r="AM67" s="17">
        <f t="shared" si="15"/>
        <v>70</v>
      </c>
      <c r="AN67" s="17">
        <f t="shared" si="16"/>
        <v>1</v>
      </c>
      <c r="AO67" s="17" t="str">
        <f t="shared" si="17"/>
        <v>-</v>
      </c>
      <c r="AP67" s="17" t="str">
        <f t="shared" si="18"/>
        <v>UPCOMING</v>
      </c>
      <c r="AQ67" s="131">
        <f t="shared" si="19"/>
        <v>56</v>
      </c>
      <c r="AR67" s="131" t="str">
        <f t="shared" si="20"/>
        <v>NO UPSET</v>
      </c>
      <c r="AS67" s="131" t="str">
        <f t="shared" si="21"/>
        <v>-</v>
      </c>
      <c r="AT67" s="131"/>
      <c r="AU67" s="732"/>
      <c r="AV67" s="608">
        <v>1.0</v>
      </c>
      <c r="AW67" s="203">
        <f t="shared" ref="AW67:AW71" si="82">INDEX($L:$L, MATCH(AV67,$AS:$AS,0))</f>
        <v>25.36396103</v>
      </c>
      <c r="AX67" s="200">
        <f>Settings!$R$3</f>
        <v>2025</v>
      </c>
      <c r="AY67" s="200" t="str">
        <f t="shared" ref="AY67:AY71" si="83">INDEX($B:$B, MATCH(AV67,$AS:$AS,0))</f>
        <v>WEEK 8</v>
      </c>
      <c r="AZ67" s="205" t="str">
        <f t="shared" ref="AZ67:AZ71" si="84">INDEX($N:$N, MATCH(AV67,$AS:$AS,0))</f>
        <v>METAMOOKDAWGS</v>
      </c>
      <c r="BA67" s="200" t="str">
        <f t="shared" ref="BA67:BA71" si="85">INDEX($O:$O, MATCH(AV67,$AS:$AS,0))</f>
        <v>MUTTS</v>
      </c>
      <c r="BB67" s="200" t="str">
        <f t="array" ref="BB67">Settings!$R$3 &amp; " REG, PVE FFL GAME " &amp; INDEX($A:$A, MATCH(AV67,$AS:$AS,0))</f>
        <v>2025 REG, PVE FFL GAME 39</v>
      </c>
      <c r="BC67" s="203">
        <f t="shared" ref="BC67:BC71" si="86">INDEX($D:$D, MATCH(AV67,$AS:$AS,0))</f>
        <v>10</v>
      </c>
      <c r="BD67" s="203">
        <f t="shared" ref="BD67:BD71" si="87">INDEX($K:$K, MATCH(AV67,$AS:$AS,0))</f>
        <v>1</v>
      </c>
      <c r="BE67" s="739">
        <f t="shared" ref="BE67:BE71" si="88">INDEX($AL:$AL, MATCH(AV67,$AS:$AS,0))</f>
        <v>44</v>
      </c>
      <c r="BW67" s="314"/>
      <c r="BX67" s="314"/>
      <c r="BY67" s="314"/>
      <c r="BZ67" s="314"/>
      <c r="CA67" s="314"/>
      <c r="CB67" s="314"/>
      <c r="CC67" s="314"/>
      <c r="CD67" s="314"/>
    </row>
    <row r="68" ht="28.5" customHeight="1">
      <c r="A68" s="52">
        <v>67.0</v>
      </c>
      <c r="B68" s="604" t="str">
        <f t="array" ref="B68">INDEX(Settings!H$2:H$72, ROW())</f>
        <v>WEEK 14</v>
      </c>
      <c r="C68" s="434" t="str">
        <f t="array" ref="C68">INDEX(Settings!I$2:I$72, ROW())</f>
        <v>GAME 2</v>
      </c>
      <c r="D68" s="435">
        <f t="array" ref="D68">INDEX('BACKEND 1'!$V$28:$AK$38, MATCH(F68, 'BACKEND 1'!$V$28:$V$38, 0), MATCH(B68, 'BACKEND 1'!$V$28:$AK$28, 0))</f>
        <v>5</v>
      </c>
      <c r="E68" s="73" t="str">
        <f>VLOOKUP(F68, Settings!$A$3:$C$12, 3, FALSE)</f>
        <v>PRODIGY</v>
      </c>
      <c r="F68" s="436" t="str">
        <f t="array" ref="F68">INDEX(Settings!J$2:J$72, ROW())</f>
        <v>POPEYES</v>
      </c>
      <c r="G68" s="437">
        <f>SUMIFS('All-Stars'!E:E, 'All-Stars'!B:B, F68, 'All-Stars'!F:F, B68)</f>
        <v>153.61</v>
      </c>
      <c r="H68" s="438">
        <f>SUMIFS('All-Stars'!E:E, 'All-Stars'!B:B, I68, 'All-Stars'!F:F, B68)</f>
        <v>189.27</v>
      </c>
      <c r="I68" s="439" t="str">
        <f t="array" ref="I68">INDEX(Settings!K$2:K$72, ROW())</f>
        <v>DECOUPES</v>
      </c>
      <c r="J68" s="88" t="str">
        <f>VLOOKUP(I68, Settings!$A$3:$C$12, 3, FALSE)</f>
        <v>PRODIGY</v>
      </c>
      <c r="K68" s="439">
        <f t="array" ref="K68">INDEX('BACKEND 1'!$V$28:$AK$38, MATCH(I68, 'BACKEND 1'!$V$28:$V$38, 0), MATCH(B68, 'BACKEND 1'!$V$28:$AK$28, 0))</f>
        <v>3</v>
      </c>
      <c r="L68" s="95">
        <f t="array" ref="L68">IFERROR(IF(D68=0,"-",INDEX('BACKEND 1'!$V$54:$AF$64, MATCH(D68, 'BACKEND 1'!$V$54:$V$64, 0), MATCH(K68, 'BACKEND 1'!$V$54:$AF$54, 0))),"-")</f>
        <v>8.414213562</v>
      </c>
      <c r="M68" s="192">
        <f>_xlfn.RANK.EQ(L68,L67:L71,1)</f>
        <v>2</v>
      </c>
      <c r="N68" s="193" t="str">
        <f t="shared" si="1"/>
        <v>DECOUPES</v>
      </c>
      <c r="O68" s="194" t="str">
        <f t="shared" si="2"/>
        <v>POPEYES</v>
      </c>
      <c r="P68" s="195" t="str">
        <f t="shared" si="3"/>
        <v/>
      </c>
      <c r="Q68" s="196">
        <f t="shared" si="4"/>
        <v>35.66</v>
      </c>
      <c r="R68" s="196">
        <f t="shared" si="5"/>
        <v>342.88</v>
      </c>
      <c r="S68" s="723"/>
      <c r="T68" s="113"/>
      <c r="U68" s="198" t="str">
        <f t="shared" si="7"/>
        <v/>
      </c>
      <c r="V68" s="113">
        <v>14.0</v>
      </c>
      <c r="W68" s="114">
        <f t="shared" si="8"/>
        <v>0</v>
      </c>
      <c r="X68" s="114">
        <f t="shared" si="9"/>
        <v>0</v>
      </c>
      <c r="Y68" s="120"/>
      <c r="Z68" s="120"/>
      <c r="AA68" s="120"/>
      <c r="AB68" s="120"/>
      <c r="AC68" s="120"/>
      <c r="AD68" s="120"/>
      <c r="AE68" s="120"/>
      <c r="AF68" s="120"/>
      <c r="AG68" s="120"/>
      <c r="AH68" s="17">
        <f t="shared" si="10"/>
        <v>37</v>
      </c>
      <c r="AI68" s="17">
        <f t="shared" si="11"/>
        <v>34</v>
      </c>
      <c r="AJ68" s="17">
        <f t="shared" si="12"/>
        <v>48</v>
      </c>
      <c r="AK68" s="17">
        <f t="shared" si="13"/>
        <v>23</v>
      </c>
      <c r="AL68" s="126">
        <f t="shared" si="14"/>
        <v>30</v>
      </c>
      <c r="AM68" s="17">
        <f t="shared" si="15"/>
        <v>25</v>
      </c>
      <c r="AN68" s="17">
        <f t="shared" si="16"/>
        <v>46</v>
      </c>
      <c r="AO68" s="17" t="str">
        <f t="shared" si="17"/>
        <v>-</v>
      </c>
      <c r="AP68" s="17" t="str">
        <f t="shared" si="18"/>
        <v>UPCOMING</v>
      </c>
      <c r="AQ68" s="131">
        <f t="shared" si="19"/>
        <v>12</v>
      </c>
      <c r="AR68" s="131" t="str">
        <f t="shared" si="20"/>
        <v>NO UPSET</v>
      </c>
      <c r="AS68" s="131" t="str">
        <f t="shared" si="21"/>
        <v>-</v>
      </c>
      <c r="AT68" s="131"/>
      <c r="AU68" s="732"/>
      <c r="AV68" s="208">
        <v>2.0</v>
      </c>
      <c r="AW68" s="203">
        <f t="shared" si="82"/>
        <v>21.94974747</v>
      </c>
      <c r="AX68" s="200">
        <f>Settings!$R$3</f>
        <v>2025</v>
      </c>
      <c r="AY68" s="200" t="str">
        <f t="shared" si="83"/>
        <v>WEEK 7</v>
      </c>
      <c r="AZ68" s="205" t="str">
        <f t="shared" si="84"/>
        <v>EAGLES</v>
      </c>
      <c r="BA68" s="200" t="str">
        <f t="shared" si="85"/>
        <v>YARDIES</v>
      </c>
      <c r="BB68" s="200" t="str">
        <f t="array" ref="BB68">Settings!$R$3 &amp; " REG, PVE FFL GAME " &amp; INDEX($A:$A, MATCH(AV68,$AS:$AS,0))</f>
        <v>2025 REG, PVE FFL GAME 31</v>
      </c>
      <c r="BC68" s="203">
        <f t="shared" si="86"/>
        <v>10</v>
      </c>
      <c r="BD68" s="203">
        <f t="shared" si="87"/>
        <v>3</v>
      </c>
      <c r="BE68" s="739">
        <f t="shared" si="88"/>
        <v>37.5</v>
      </c>
      <c r="BW68" s="314"/>
      <c r="BX68" s="314"/>
      <c r="BY68" s="314"/>
      <c r="BZ68" s="314"/>
      <c r="CA68" s="314"/>
      <c r="CB68" s="314"/>
      <c r="CC68" s="314"/>
      <c r="CD68" s="314"/>
    </row>
    <row r="69" ht="28.5" customHeight="1">
      <c r="A69" s="178">
        <v>68.0</v>
      </c>
      <c r="B69" s="604" t="str">
        <f t="array" ref="B69">INDEX(Settings!H$2:H$72, ROW())</f>
        <v>WEEK 14</v>
      </c>
      <c r="C69" s="434" t="str">
        <f t="array" ref="C69">INDEX(Settings!I$2:I$72, ROW())</f>
        <v>GAME 3</v>
      </c>
      <c r="D69" s="435">
        <f t="array" ref="D69">INDEX('BACKEND 1'!$V$28:$AK$38, MATCH(F69, 'BACKEND 1'!$V$28:$V$38, 0), MATCH(B69, 'BACKEND 1'!$V$28:$AK$28, 0))</f>
        <v>6</v>
      </c>
      <c r="E69" s="73" t="str">
        <f>VLOOKUP(F69, Settings!$A$3:$C$12, 3, FALSE)</f>
        <v>ESTEEMED</v>
      </c>
      <c r="F69" s="436" t="str">
        <f t="array" ref="F69">INDEX(Settings!J$2:J$72, ROW())</f>
        <v>CHAMPS</v>
      </c>
      <c r="G69" s="437">
        <f>SUMIFS('All-Stars'!E:E, 'All-Stars'!B:B, F69, 'All-Stars'!F:F, B69)</f>
        <v>146.33</v>
      </c>
      <c r="H69" s="438">
        <f>SUMIFS('All-Stars'!E:E, 'All-Stars'!B:B, I69, 'All-Stars'!F:F, B69)</f>
        <v>153.25</v>
      </c>
      <c r="I69" s="439" t="str">
        <f t="array" ref="I69">INDEX(Settings!K$2:K$72, ROW())</f>
        <v>SAVAGES</v>
      </c>
      <c r="J69" s="88" t="str">
        <f>VLOOKUP(I69, Settings!$A$3:$C$12, 3, FALSE)</f>
        <v>PRODIGY</v>
      </c>
      <c r="K69" s="439">
        <f t="array" ref="K69">INDEX('BACKEND 1'!$V$28:$AK$38, MATCH(I69, 'BACKEND 1'!$V$28:$V$38, 0), MATCH(B69, 'BACKEND 1'!$V$28:$AK$28, 0))</f>
        <v>10</v>
      </c>
      <c r="L69" s="95">
        <f t="array" ref="L69">IFERROR(IF(D69=0,"-",INDEX('BACKEND 1'!$V$54:$AF$64, MATCH(D69, 'BACKEND 1'!$V$54:$V$64, 0), MATCH(K69, 'BACKEND 1'!$V$54:$AF$54, 0))),"-")</f>
        <v>16.82842712</v>
      </c>
      <c r="M69" s="192">
        <f>_xlfn.RANK.EQ(L69,L67:L71,1)</f>
        <v>4</v>
      </c>
      <c r="N69" s="193" t="str">
        <f t="shared" si="1"/>
        <v>SAVAGES</v>
      </c>
      <c r="O69" s="194" t="str">
        <f t="shared" si="2"/>
        <v>CHAMPS</v>
      </c>
      <c r="P69" s="195" t="str">
        <f t="shared" si="3"/>
        <v/>
      </c>
      <c r="Q69" s="196">
        <f t="shared" si="4"/>
        <v>6.92</v>
      </c>
      <c r="R69" s="196">
        <f t="shared" si="5"/>
        <v>299.58</v>
      </c>
      <c r="S69" s="723"/>
      <c r="T69" s="113"/>
      <c r="U69" s="198" t="str">
        <f t="shared" si="7"/>
        <v>UPSET</v>
      </c>
      <c r="V69" s="113">
        <v>14.0</v>
      </c>
      <c r="W69" s="114">
        <f t="shared" si="8"/>
        <v>0</v>
      </c>
      <c r="X69" s="114">
        <f t="shared" si="9"/>
        <v>0</v>
      </c>
      <c r="Y69" s="120"/>
      <c r="Z69" s="120"/>
      <c r="AA69" s="120"/>
      <c r="AB69" s="120"/>
      <c r="AC69" s="120"/>
      <c r="AD69" s="120"/>
      <c r="AE69" s="120"/>
      <c r="AF69" s="120"/>
      <c r="AG69" s="120"/>
      <c r="AH69" s="17">
        <f t="shared" si="10"/>
        <v>4</v>
      </c>
      <c r="AI69" s="17">
        <f t="shared" si="11"/>
        <v>67</v>
      </c>
      <c r="AJ69" s="17">
        <f t="shared" si="12"/>
        <v>22</v>
      </c>
      <c r="AK69" s="17">
        <f t="shared" si="13"/>
        <v>49</v>
      </c>
      <c r="AL69" s="126">
        <f t="shared" si="14"/>
        <v>26.5</v>
      </c>
      <c r="AM69" s="17">
        <f t="shared" si="15"/>
        <v>21</v>
      </c>
      <c r="AN69" s="17">
        <f t="shared" si="16"/>
        <v>50</v>
      </c>
      <c r="AO69" s="17" t="str">
        <f t="shared" si="17"/>
        <v>-</v>
      </c>
      <c r="AP69" s="17" t="str">
        <f t="shared" si="18"/>
        <v>UPCOMING</v>
      </c>
      <c r="AQ69" s="131">
        <f t="shared" si="19"/>
        <v>53</v>
      </c>
      <c r="AR69" s="131">
        <f t="shared" si="20"/>
        <v>16.82842712</v>
      </c>
      <c r="AS69" s="131">
        <f t="shared" si="21"/>
        <v>10</v>
      </c>
      <c r="AT69" s="131"/>
      <c r="AU69" s="732"/>
      <c r="AV69" s="608">
        <v>3.0</v>
      </c>
      <c r="AW69" s="203">
        <f t="shared" si="82"/>
        <v>21.94974747</v>
      </c>
      <c r="AX69" s="200">
        <f>Settings!$R$3</f>
        <v>2025</v>
      </c>
      <c r="AY69" s="200" t="str">
        <f t="shared" si="83"/>
        <v>WEEK 3</v>
      </c>
      <c r="AZ69" s="205" t="str">
        <f t="shared" si="84"/>
        <v>GREEN</v>
      </c>
      <c r="BA69" s="200" t="str">
        <f t="shared" si="85"/>
        <v>YARDIES</v>
      </c>
      <c r="BB69" s="200" t="str">
        <f t="array" ref="BB69">Settings!$R$3 &amp; " REG, PVE FFL GAME " &amp; INDEX($A:$A, MATCH(AV69,$AS:$AS,0))</f>
        <v>2025 REG, PVE FFL GAME 14</v>
      </c>
      <c r="BC69" s="203">
        <f t="shared" si="86"/>
        <v>10</v>
      </c>
      <c r="BD69" s="203">
        <f t="shared" si="87"/>
        <v>3</v>
      </c>
      <c r="BE69" s="739">
        <f t="shared" si="88"/>
        <v>55</v>
      </c>
      <c r="BW69" s="314"/>
      <c r="BX69" s="314"/>
      <c r="BY69" s="314"/>
      <c r="BZ69" s="314"/>
      <c r="CA69" s="314"/>
      <c r="CB69" s="314"/>
      <c r="CC69" s="314"/>
      <c r="CD69" s="314"/>
    </row>
    <row r="70" ht="28.5" customHeight="1">
      <c r="A70" s="178">
        <v>69.0</v>
      </c>
      <c r="B70" s="604" t="str">
        <f t="array" ref="B70">INDEX(Settings!H$2:H$72, ROW())</f>
        <v>WEEK 14</v>
      </c>
      <c r="C70" s="434" t="str">
        <f t="array" ref="C70">INDEX(Settings!I$2:I$72, ROW())</f>
        <v>GAME 4</v>
      </c>
      <c r="D70" s="435">
        <f t="array" ref="D70">INDEX('BACKEND 1'!$V$28:$AK$38, MATCH(F70, 'BACKEND 1'!$V$28:$V$38, 0), MATCH(B70, 'BACKEND 1'!$V$28:$AK$28, 0))</f>
        <v>2</v>
      </c>
      <c r="E70" s="73" t="str">
        <f>VLOOKUP(F70, Settings!$A$3:$C$12, 3, FALSE)</f>
        <v>ESTEEMED</v>
      </c>
      <c r="F70" s="436" t="str">
        <f t="array" ref="F70">INDEX(Settings!J$2:J$72, ROW())</f>
        <v>YARDIES</v>
      </c>
      <c r="G70" s="437">
        <f>SUMIFS('All-Stars'!E:E, 'All-Stars'!B:B, F70, 'All-Stars'!F:F, B70)</f>
        <v>175.94</v>
      </c>
      <c r="H70" s="438">
        <f>SUMIFS('All-Stars'!E:E, 'All-Stars'!B:B, I70, 'All-Stars'!F:F, B70)</f>
        <v>158.96</v>
      </c>
      <c r="I70" s="439" t="str">
        <f t="array" ref="I70">INDEX(Settings!K$2:K$72, ROW())</f>
        <v>MUTTS</v>
      </c>
      <c r="J70" s="88" t="str">
        <f>VLOOKUP(I70, Settings!$A$3:$C$12, 3, FALSE)</f>
        <v>ESTEEMED</v>
      </c>
      <c r="K70" s="439">
        <f t="array" ref="K70">INDEX('BACKEND 1'!$V$28:$AK$38, MATCH(I70, 'BACKEND 1'!$V$28:$V$38, 0), MATCH(B70, 'BACKEND 1'!$V$28:$AK$28, 0))</f>
        <v>4</v>
      </c>
      <c r="L70" s="95">
        <f t="array" ref="L70">IFERROR(IF(D70=0,"-",INDEX('BACKEND 1'!$V$54:$AF$64, MATCH(D70, 'BACKEND 1'!$V$54:$V$64, 0), MATCH(K70, 'BACKEND 1'!$V$54:$AF$54, 0))),"-")</f>
        <v>7.414213562</v>
      </c>
      <c r="M70" s="192">
        <f>_xlfn.RANK.EQ(L70,L67:L71,1)</f>
        <v>1</v>
      </c>
      <c r="N70" s="193" t="str">
        <f t="shared" si="1"/>
        <v>YARDIES</v>
      </c>
      <c r="O70" s="194" t="str">
        <f t="shared" si="2"/>
        <v>MUTTS</v>
      </c>
      <c r="P70" s="195" t="str">
        <f t="shared" si="3"/>
        <v/>
      </c>
      <c r="Q70" s="196">
        <f t="shared" si="4"/>
        <v>16.98</v>
      </c>
      <c r="R70" s="196">
        <f t="shared" si="5"/>
        <v>334.9</v>
      </c>
      <c r="S70" s="741" t="s">
        <v>27</v>
      </c>
      <c r="T70" s="113"/>
      <c r="U70" s="198" t="str">
        <f t="shared" si="7"/>
        <v/>
      </c>
      <c r="V70" s="629">
        <v>14.0</v>
      </c>
      <c r="W70" s="114">
        <f t="shared" si="8"/>
        <v>1</v>
      </c>
      <c r="X70" s="114">
        <f t="shared" si="9"/>
        <v>0</v>
      </c>
      <c r="Y70" s="120"/>
      <c r="Z70" s="120"/>
      <c r="AA70" s="120"/>
      <c r="AB70" s="120"/>
      <c r="AC70" s="120"/>
      <c r="AD70" s="120"/>
      <c r="AE70" s="120"/>
      <c r="AF70" s="120"/>
      <c r="AG70" s="120"/>
      <c r="AH70" s="17">
        <f t="shared" si="10"/>
        <v>16</v>
      </c>
      <c r="AI70" s="17">
        <f t="shared" si="11"/>
        <v>55</v>
      </c>
      <c r="AJ70" s="17">
        <f t="shared" si="12"/>
        <v>44</v>
      </c>
      <c r="AK70" s="17">
        <f t="shared" si="13"/>
        <v>27</v>
      </c>
      <c r="AL70" s="126">
        <f t="shared" si="14"/>
        <v>21.5</v>
      </c>
      <c r="AM70" s="17">
        <f t="shared" si="15"/>
        <v>11</v>
      </c>
      <c r="AN70" s="17">
        <f t="shared" si="16"/>
        <v>60</v>
      </c>
      <c r="AO70" s="17">
        <f t="shared" si="17"/>
        <v>21.5</v>
      </c>
      <c r="AP70" s="17">
        <f t="shared" si="18"/>
        <v>6</v>
      </c>
      <c r="AQ70" s="131">
        <f t="shared" si="19"/>
        <v>10</v>
      </c>
      <c r="AR70" s="131" t="str">
        <f t="shared" si="20"/>
        <v>NO UPSET</v>
      </c>
      <c r="AS70" s="131" t="str">
        <f t="shared" si="21"/>
        <v>-</v>
      </c>
      <c r="AT70" s="131"/>
      <c r="AU70" s="732"/>
      <c r="AV70" s="208">
        <v>4.0</v>
      </c>
      <c r="AW70" s="203">
        <f t="shared" si="82"/>
        <v>20.94974747</v>
      </c>
      <c r="AX70" s="200">
        <f>Settings!$R$3</f>
        <v>2025</v>
      </c>
      <c r="AY70" s="200" t="str">
        <f t="shared" si="83"/>
        <v>WEEK 7</v>
      </c>
      <c r="AZ70" s="205" t="str">
        <f t="shared" si="84"/>
        <v>KINGS</v>
      </c>
      <c r="BA70" s="200" t="str">
        <f t="shared" si="85"/>
        <v>POPEYES</v>
      </c>
      <c r="BB70" s="200" t="str">
        <f t="array" ref="BB70">Settings!$R$3 &amp; " REG, PVE FFL GAME " &amp; INDEX($A:$A, MATCH(AV70,$AS:$AS,0))</f>
        <v>2025 REG, PVE FFL GAME 33</v>
      </c>
      <c r="BC70" s="203">
        <f t="shared" si="86"/>
        <v>9</v>
      </c>
      <c r="BD70" s="203">
        <f t="shared" si="87"/>
        <v>2</v>
      </c>
      <c r="BE70" s="739">
        <f t="shared" si="88"/>
        <v>33.5</v>
      </c>
      <c r="BW70" s="314"/>
      <c r="BX70" s="314"/>
      <c r="BY70" s="314"/>
      <c r="BZ70" s="314"/>
      <c r="CA70" s="314"/>
      <c r="CB70" s="314"/>
      <c r="CC70" s="314"/>
      <c r="CD70" s="314"/>
    </row>
    <row r="71" ht="28.5" customHeight="1">
      <c r="A71" s="52">
        <v>70.0</v>
      </c>
      <c r="B71" s="633" t="str">
        <f t="array" ref="B71">INDEX(Settings!H$2:H$72, ROW())</f>
        <v>WEEK 14</v>
      </c>
      <c r="C71" s="450" t="str">
        <f t="array" ref="C71">INDEX(Settings!I$2:I$72, ROW())</f>
        <v>GAME 5</v>
      </c>
      <c r="D71" s="451">
        <f t="array" ref="D71">INDEX('BACKEND 1'!$V$28:$AK$38, MATCH(F71, 'BACKEND 1'!$V$28:$V$38, 0), MATCH(B71, 'BACKEND 1'!$V$28:$AK$28, 0))</f>
        <v>9</v>
      </c>
      <c r="E71" s="73" t="str">
        <f>VLOOKUP(F71, Settings!$A$3:$C$12, 3, FALSE)</f>
        <v>ESTEEMED</v>
      </c>
      <c r="F71" s="455" t="str">
        <f t="array" ref="F71">INDEX(Settings!J$2:J$72, ROW())</f>
        <v>METAMOOKDAWGS</v>
      </c>
      <c r="G71" s="456">
        <f>SUMIFS('All-Stars'!E:E, 'All-Stars'!B:B, F71, 'All-Stars'!F:F, B71)</f>
        <v>173.8</v>
      </c>
      <c r="H71" s="457">
        <f>SUMIFS('All-Stars'!E:E, 'All-Stars'!B:B, I71, 'All-Stars'!F:F, B71)</f>
        <v>185.68</v>
      </c>
      <c r="I71" s="458" t="str">
        <f t="array" ref="I71">INDEX(Settings!K$2:K$72, ROW())</f>
        <v>EAGLES</v>
      </c>
      <c r="J71" s="88" t="str">
        <f>VLOOKUP(I71, Settings!$A$3:$C$12, 3, FALSE)</f>
        <v>ESTEEMED</v>
      </c>
      <c r="K71" s="458">
        <f t="array" ref="K71">INDEX('BACKEND 1'!$V$28:$AK$38, MATCH(I71, 'BACKEND 1'!$V$28:$V$38, 0), MATCH(B71, 'BACKEND 1'!$V$28:$AK$28, 0))</f>
        <v>8</v>
      </c>
      <c r="L71" s="95">
        <f t="array" ref="L71">IFERROR(IF(D71=0,"-",INDEX('BACKEND 1'!$V$54:$AF$64, MATCH(D71, 'BACKEND 1'!$V$54:$V$64, 0), MATCH(K71, 'BACKEND 1'!$V$54:$AF$54, 0))),"-")</f>
        <v>10.70710678</v>
      </c>
      <c r="M71" s="242">
        <f>_xlfn.RANK.EQ(L71,L67:L71,1)</f>
        <v>3</v>
      </c>
      <c r="N71" s="243" t="str">
        <f t="shared" si="1"/>
        <v>EAGLES</v>
      </c>
      <c r="O71" s="244" t="str">
        <f t="shared" si="2"/>
        <v>METAMOOKDAWGS</v>
      </c>
      <c r="P71" s="245" t="str">
        <f t="shared" si="3"/>
        <v/>
      </c>
      <c r="Q71" s="246">
        <f t="shared" si="4"/>
        <v>11.88</v>
      </c>
      <c r="R71" s="246">
        <f t="shared" si="5"/>
        <v>359.48</v>
      </c>
      <c r="S71" s="766"/>
      <c r="T71" s="248"/>
      <c r="U71" s="249" t="str">
        <f t="shared" si="7"/>
        <v/>
      </c>
      <c r="V71" s="113">
        <v>14.0</v>
      </c>
      <c r="W71" s="114">
        <f t="shared" si="8"/>
        <v>0</v>
      </c>
      <c r="X71" s="114">
        <f t="shared" si="9"/>
        <v>0</v>
      </c>
      <c r="Y71" s="120"/>
      <c r="Z71" s="120"/>
      <c r="AA71" s="120"/>
      <c r="AB71" s="120"/>
      <c r="AC71" s="120"/>
      <c r="AD71" s="120"/>
      <c r="AE71" s="120"/>
      <c r="AF71" s="120"/>
      <c r="AG71" s="120"/>
      <c r="AH71" s="17">
        <f t="shared" si="10"/>
        <v>10</v>
      </c>
      <c r="AI71" s="17">
        <f t="shared" si="11"/>
        <v>61</v>
      </c>
      <c r="AJ71" s="17">
        <f t="shared" si="12"/>
        <v>56</v>
      </c>
      <c r="AK71" s="17">
        <f t="shared" si="13"/>
        <v>15</v>
      </c>
      <c r="AL71" s="126">
        <f t="shared" si="14"/>
        <v>12.5</v>
      </c>
      <c r="AM71" s="17">
        <f t="shared" si="15"/>
        <v>3</v>
      </c>
      <c r="AN71" s="17">
        <f t="shared" si="16"/>
        <v>68</v>
      </c>
      <c r="AO71" s="17" t="str">
        <f t="shared" si="17"/>
        <v>-</v>
      </c>
      <c r="AP71" s="17" t="str">
        <f t="shared" si="18"/>
        <v>UPCOMING</v>
      </c>
      <c r="AQ71" s="131" t="str">
        <f t="shared" si="19"/>
        <v>#N/A</v>
      </c>
      <c r="AR71" s="131" t="str">
        <f t="shared" si="20"/>
        <v>NO UPSET</v>
      </c>
      <c r="AS71" s="131" t="str">
        <f t="shared" si="21"/>
        <v>-</v>
      </c>
      <c r="AT71" s="131"/>
      <c r="AU71" s="732"/>
      <c r="AV71" s="608">
        <v>5.0</v>
      </c>
      <c r="AW71" s="203">
        <f t="shared" si="82"/>
        <v>20.94974747</v>
      </c>
      <c r="AX71" s="200">
        <f>Settings!$R$3</f>
        <v>2025</v>
      </c>
      <c r="AY71" s="200" t="str">
        <f t="shared" si="83"/>
        <v>WEEK 13</v>
      </c>
      <c r="AZ71" s="205" t="str">
        <f t="shared" si="84"/>
        <v>EAGLES</v>
      </c>
      <c r="BA71" s="200" t="str">
        <f t="shared" si="85"/>
        <v>YARDIES</v>
      </c>
      <c r="BB71" s="200" t="str">
        <f t="array" ref="BB71">Settings!$R$3 &amp; " REG, PVE FFL GAME " &amp; INDEX($A:$A, MATCH(AV71,$AS:$AS,0))</f>
        <v>2025 REG, PVE FFL GAME 64</v>
      </c>
      <c r="BC71" s="203">
        <f t="shared" si="86"/>
        <v>2</v>
      </c>
      <c r="BD71" s="203">
        <f t="shared" si="87"/>
        <v>9</v>
      </c>
      <c r="BE71" s="739">
        <f t="shared" si="88"/>
        <v>45</v>
      </c>
      <c r="BW71" s="314"/>
      <c r="BX71" s="314"/>
      <c r="BY71" s="314"/>
      <c r="BZ71" s="314"/>
      <c r="CA71" s="314"/>
      <c r="CB71" s="314"/>
      <c r="CC71" s="314"/>
      <c r="CD71" s="314"/>
    </row>
    <row r="72" ht="28.5" customHeight="1">
      <c r="A72" s="767"/>
      <c r="B72" s="768"/>
      <c r="C72" s="768"/>
      <c r="D72" s="769"/>
      <c r="E72" s="769"/>
      <c r="F72" s="770"/>
      <c r="G72" s="336"/>
      <c r="H72" s="771"/>
      <c r="I72" s="770"/>
      <c r="J72" s="770"/>
      <c r="K72" s="772"/>
      <c r="L72" s="314"/>
      <c r="M72" s="314"/>
      <c r="N72" s="769"/>
      <c r="O72" s="769"/>
      <c r="P72" s="773"/>
      <c r="Q72" s="774"/>
      <c r="R72" s="774"/>
      <c r="S72" s="775"/>
      <c r="AH72" s="776"/>
      <c r="AI72" s="776"/>
      <c r="AJ72" s="732"/>
      <c r="AK72" s="732"/>
      <c r="AL72" s="776"/>
      <c r="AM72" s="776"/>
      <c r="AN72" s="17"/>
      <c r="AO72" s="17"/>
      <c r="AP72" s="17"/>
      <c r="AQ72" s="17"/>
      <c r="AR72" s="17"/>
      <c r="AS72" s="17"/>
      <c r="AT72" s="17"/>
      <c r="AU72" s="732"/>
      <c r="AV72" s="313"/>
      <c r="AW72" s="313"/>
      <c r="AX72" s="313"/>
      <c r="AY72" s="313"/>
      <c r="AZ72" s="313"/>
      <c r="BA72" s="313"/>
      <c r="BB72" s="313"/>
      <c r="BC72" s="313"/>
      <c r="BD72" s="313"/>
      <c r="BE72" s="314"/>
      <c r="BW72" s="314"/>
      <c r="BX72" s="314"/>
      <c r="BY72" s="314"/>
      <c r="BZ72" s="314"/>
      <c r="CA72" s="314"/>
      <c r="CB72" s="314"/>
      <c r="CC72" s="314"/>
      <c r="CD72" s="314"/>
    </row>
    <row r="73" ht="28.5" customHeight="1">
      <c r="A73" s="767"/>
      <c r="B73" s="768"/>
      <c r="C73" s="768"/>
      <c r="D73" s="769"/>
      <c r="E73" s="769"/>
      <c r="F73" s="769"/>
      <c r="G73" s="336"/>
      <c r="H73" s="771"/>
      <c r="I73" s="769"/>
      <c r="J73" s="769"/>
      <c r="K73" s="314"/>
      <c r="L73" s="314"/>
      <c r="M73" s="314"/>
      <c r="N73" s="769"/>
      <c r="O73" s="769"/>
      <c r="P73" s="773"/>
      <c r="Q73" s="774"/>
      <c r="R73" s="774"/>
      <c r="S73" s="775"/>
      <c r="AH73" s="776"/>
      <c r="AI73" s="776"/>
      <c r="AJ73" s="732"/>
      <c r="AK73" s="732"/>
      <c r="AL73" s="776"/>
      <c r="AM73" s="776"/>
      <c r="AN73" s="17"/>
      <c r="AO73" s="17"/>
      <c r="AP73" s="17"/>
      <c r="AQ73" s="17"/>
      <c r="AR73" s="17"/>
      <c r="AS73" s="17"/>
      <c r="AT73" s="17"/>
      <c r="AU73" s="732"/>
      <c r="AV73" s="313"/>
      <c r="AW73" s="313"/>
      <c r="AX73" s="313"/>
      <c r="AY73" s="313"/>
      <c r="AZ73" s="313"/>
      <c r="BA73" s="313"/>
      <c r="BB73" s="313"/>
      <c r="BC73" s="313"/>
      <c r="BD73" s="313"/>
      <c r="BE73" s="314"/>
      <c r="BW73" s="314"/>
      <c r="BX73" s="314"/>
      <c r="BY73" s="314"/>
      <c r="BZ73" s="314"/>
      <c r="CA73" s="314"/>
      <c r="CB73" s="314"/>
      <c r="CC73" s="314"/>
      <c r="CD73" s="314"/>
    </row>
    <row r="74" ht="28.5" customHeight="1">
      <c r="A74" s="767"/>
      <c r="B74" s="768"/>
      <c r="C74" s="768"/>
      <c r="D74" s="769"/>
      <c r="E74" s="769"/>
      <c r="F74" s="769"/>
      <c r="G74" s="336"/>
      <c r="H74" s="771"/>
      <c r="I74" s="769"/>
      <c r="J74" s="769"/>
      <c r="K74" s="314"/>
      <c r="L74" s="314"/>
      <c r="M74" s="314"/>
      <c r="N74" s="769"/>
      <c r="O74" s="769"/>
      <c r="P74" s="773"/>
      <c r="Q74" s="774"/>
      <c r="R74" s="774"/>
      <c r="S74" s="775"/>
      <c r="AH74" s="776"/>
      <c r="AI74" s="776"/>
      <c r="AJ74" s="732"/>
      <c r="AK74" s="732"/>
      <c r="AL74" s="776"/>
      <c r="AM74" s="776"/>
      <c r="AN74" s="17"/>
      <c r="AO74" s="17"/>
      <c r="AP74" s="17"/>
      <c r="AQ74" s="17"/>
      <c r="AR74" s="17"/>
      <c r="AS74" s="17"/>
      <c r="AT74" s="17"/>
      <c r="AU74" s="732"/>
      <c r="AV74" s="313"/>
      <c r="AW74" s="313"/>
      <c r="AX74" s="313"/>
      <c r="AY74" s="313"/>
      <c r="AZ74" s="313"/>
      <c r="BA74" s="313"/>
      <c r="BB74" s="313"/>
      <c r="BC74" s="313"/>
      <c r="BD74" s="313"/>
      <c r="BE74" s="314"/>
      <c r="BW74" s="314"/>
      <c r="BX74" s="314"/>
      <c r="BY74" s="314"/>
      <c r="BZ74" s="314"/>
      <c r="CA74" s="314"/>
      <c r="CB74" s="314"/>
      <c r="CC74" s="314"/>
      <c r="CD74" s="314"/>
    </row>
    <row r="75" ht="28.5" customHeight="1">
      <c r="A75" s="767"/>
      <c r="B75" s="768"/>
      <c r="C75" s="768"/>
      <c r="D75" s="769"/>
      <c r="E75" s="769"/>
      <c r="F75" s="769"/>
      <c r="G75" s="336"/>
      <c r="H75" s="771"/>
      <c r="I75" s="769"/>
      <c r="J75" s="769"/>
      <c r="K75" s="314"/>
      <c r="L75" s="314"/>
      <c r="M75" s="314"/>
      <c r="N75" s="769"/>
      <c r="O75" s="769"/>
      <c r="P75" s="773"/>
      <c r="Q75" s="774"/>
      <c r="R75" s="774"/>
      <c r="S75" s="775"/>
      <c r="AH75" s="776"/>
      <c r="AI75" s="776"/>
      <c r="AJ75" s="732"/>
      <c r="AK75" s="732"/>
      <c r="AL75" s="776"/>
      <c r="AM75" s="776"/>
      <c r="AN75" s="17"/>
      <c r="AO75" s="17"/>
      <c r="AP75" s="17"/>
      <c r="AQ75" s="17"/>
      <c r="AR75" s="17"/>
      <c r="AS75" s="17"/>
      <c r="AT75" s="17"/>
      <c r="AU75" s="732"/>
      <c r="AV75" s="313"/>
      <c r="AW75" s="313"/>
      <c r="AX75" s="313"/>
      <c r="AY75" s="313"/>
      <c r="AZ75" s="313"/>
      <c r="BA75" s="313"/>
      <c r="BB75" s="313"/>
      <c r="BC75" s="313"/>
      <c r="BD75" s="313"/>
      <c r="BE75" s="314"/>
      <c r="BW75" s="314"/>
      <c r="BX75" s="314"/>
      <c r="BY75" s="314"/>
      <c r="BZ75" s="314"/>
      <c r="CA75" s="314"/>
      <c r="CB75" s="314"/>
      <c r="CC75" s="314"/>
      <c r="CD75" s="314"/>
    </row>
    <row r="76" ht="28.5" customHeight="1">
      <c r="A76" s="767"/>
      <c r="B76" s="768"/>
      <c r="C76" s="768"/>
      <c r="D76" s="769"/>
      <c r="E76" s="769"/>
      <c r="F76" s="769"/>
      <c r="G76" s="336"/>
      <c r="H76" s="771"/>
      <c r="I76" s="769"/>
      <c r="J76" s="769"/>
      <c r="K76" s="314"/>
      <c r="L76" s="314"/>
      <c r="M76" s="314"/>
      <c r="N76" s="769"/>
      <c r="O76" s="769"/>
      <c r="P76" s="773"/>
      <c r="Q76" s="774"/>
      <c r="R76" s="774"/>
      <c r="S76" s="775"/>
      <c r="AH76" s="776"/>
      <c r="AI76" s="776"/>
      <c r="AJ76" s="732"/>
      <c r="AK76" s="732"/>
      <c r="AL76" s="776"/>
      <c r="AM76" s="776"/>
      <c r="AN76" s="17"/>
      <c r="AO76" s="17"/>
      <c r="AP76" s="17"/>
      <c r="AQ76" s="17"/>
      <c r="AR76" s="17"/>
      <c r="AS76" s="17"/>
      <c r="AT76" s="17"/>
      <c r="AU76" s="732"/>
      <c r="AV76" s="313"/>
      <c r="AW76" s="313"/>
      <c r="AX76" s="313"/>
      <c r="AY76" s="313"/>
      <c r="AZ76" s="313"/>
      <c r="BA76" s="313"/>
      <c r="BB76" s="313"/>
      <c r="BC76" s="313"/>
      <c r="BD76" s="313"/>
      <c r="BE76" s="314"/>
      <c r="BW76" s="314"/>
      <c r="BX76" s="314"/>
      <c r="BY76" s="314"/>
      <c r="BZ76" s="314"/>
      <c r="CA76" s="314"/>
      <c r="CB76" s="314"/>
      <c r="CC76" s="314"/>
      <c r="CD76" s="314"/>
    </row>
    <row r="77" ht="28.5" customHeight="1">
      <c r="A77" s="767"/>
      <c r="B77" s="768"/>
      <c r="C77" s="768"/>
      <c r="D77" s="769"/>
      <c r="E77" s="769"/>
      <c r="F77" s="769"/>
      <c r="G77" s="336"/>
      <c r="H77" s="771"/>
      <c r="I77" s="769"/>
      <c r="J77" s="769"/>
      <c r="K77" s="314"/>
      <c r="L77" s="314"/>
      <c r="M77" s="314"/>
      <c r="N77" s="769"/>
      <c r="O77" s="769"/>
      <c r="P77" s="773"/>
      <c r="Q77" s="774"/>
      <c r="R77" s="774"/>
      <c r="S77" s="775"/>
      <c r="AH77" s="776"/>
      <c r="AI77" s="776"/>
      <c r="AJ77" s="732"/>
      <c r="AK77" s="732"/>
      <c r="AL77" s="776"/>
      <c r="AM77" s="776"/>
      <c r="AN77" s="17"/>
      <c r="AO77" s="17"/>
      <c r="AP77" s="17"/>
      <c r="AQ77" s="17"/>
      <c r="AR77" s="17"/>
      <c r="AS77" s="17"/>
      <c r="AT77" s="17"/>
      <c r="AU77" s="732"/>
      <c r="AV77" s="313"/>
      <c r="AW77" s="313"/>
      <c r="AX77" s="313"/>
      <c r="AY77" s="313"/>
      <c r="AZ77" s="313"/>
      <c r="BA77" s="313"/>
      <c r="BB77" s="313"/>
      <c r="BC77" s="313"/>
      <c r="BD77" s="313"/>
      <c r="BE77" s="314"/>
      <c r="BW77" s="314"/>
      <c r="BX77" s="314"/>
      <c r="BY77" s="314"/>
      <c r="BZ77" s="314"/>
      <c r="CA77" s="314"/>
      <c r="CB77" s="314"/>
      <c r="CC77" s="314"/>
      <c r="CD77" s="314"/>
    </row>
    <row r="78" ht="28.5" customHeight="1">
      <c r="A78" s="767"/>
      <c r="B78" s="768"/>
      <c r="C78" s="768"/>
      <c r="D78" s="769"/>
      <c r="E78" s="769"/>
      <c r="F78" s="769"/>
      <c r="G78" s="336"/>
      <c r="H78" s="771"/>
      <c r="I78" s="769"/>
      <c r="J78" s="769"/>
      <c r="K78" s="314"/>
      <c r="L78" s="314"/>
      <c r="M78" s="314"/>
      <c r="N78" s="769"/>
      <c r="O78" s="769"/>
      <c r="P78" s="773"/>
      <c r="Q78" s="774"/>
      <c r="R78" s="774"/>
      <c r="S78" s="775"/>
      <c r="AH78" s="776"/>
      <c r="AI78" s="776"/>
      <c r="AJ78" s="732"/>
      <c r="AK78" s="732"/>
      <c r="AL78" s="776"/>
      <c r="AM78" s="776"/>
      <c r="AN78" s="17"/>
      <c r="AO78" s="17"/>
      <c r="AP78" s="17"/>
      <c r="AQ78" s="17"/>
      <c r="AR78" s="17"/>
      <c r="AS78" s="17"/>
      <c r="AT78" s="17"/>
      <c r="AU78" s="732"/>
      <c r="AV78" s="313"/>
      <c r="AW78" s="313"/>
      <c r="AX78" s="313"/>
      <c r="AY78" s="313"/>
      <c r="AZ78" s="313"/>
      <c r="BA78" s="313"/>
      <c r="BB78" s="313"/>
      <c r="BC78" s="313"/>
      <c r="BD78" s="313"/>
      <c r="BE78" s="314"/>
      <c r="BW78" s="314"/>
      <c r="BX78" s="314"/>
      <c r="BY78" s="314"/>
      <c r="BZ78" s="314"/>
      <c r="CA78" s="314"/>
      <c r="CB78" s="314"/>
      <c r="CC78" s="314"/>
      <c r="CD78" s="314"/>
    </row>
    <row r="79" ht="28.5" customHeight="1">
      <c r="A79" s="767"/>
      <c r="B79" s="768"/>
      <c r="C79" s="768"/>
      <c r="D79" s="769"/>
      <c r="E79" s="769"/>
      <c r="F79" s="769"/>
      <c r="G79" s="336"/>
      <c r="H79" s="771"/>
      <c r="I79" s="769"/>
      <c r="J79" s="769"/>
      <c r="K79" s="314"/>
      <c r="L79" s="314"/>
      <c r="M79" s="314"/>
      <c r="N79" s="769"/>
      <c r="O79" s="769"/>
      <c r="P79" s="773"/>
      <c r="Q79" s="774"/>
      <c r="R79" s="774"/>
      <c r="S79" s="775"/>
      <c r="AH79" s="776"/>
      <c r="AI79" s="776"/>
      <c r="AJ79" s="732"/>
      <c r="AK79" s="732"/>
      <c r="AL79" s="776"/>
      <c r="AM79" s="776"/>
      <c r="AN79" s="17"/>
      <c r="AO79" s="17"/>
      <c r="AP79" s="17"/>
      <c r="AQ79" s="17"/>
      <c r="AR79" s="17"/>
      <c r="AS79" s="17"/>
      <c r="AT79" s="17"/>
      <c r="AU79" s="732"/>
      <c r="AV79" s="313"/>
      <c r="AW79" s="313"/>
      <c r="AX79" s="313"/>
      <c r="AY79" s="313"/>
      <c r="AZ79" s="313"/>
      <c r="BA79" s="313"/>
      <c r="BB79" s="313"/>
      <c r="BC79" s="313"/>
      <c r="BD79" s="313"/>
      <c r="BE79" s="314"/>
      <c r="BW79" s="314"/>
      <c r="BX79" s="314"/>
      <c r="BY79" s="314"/>
      <c r="BZ79" s="314"/>
      <c r="CA79" s="314"/>
      <c r="CB79" s="314"/>
      <c r="CC79" s="314"/>
      <c r="CD79" s="314"/>
    </row>
    <row r="80" ht="28.5" customHeight="1">
      <c r="A80" s="767"/>
      <c r="B80" s="768"/>
      <c r="C80" s="768"/>
      <c r="D80" s="769"/>
      <c r="E80" s="769"/>
      <c r="F80" s="769"/>
      <c r="G80" s="336"/>
      <c r="H80" s="771"/>
      <c r="I80" s="769"/>
      <c r="J80" s="769"/>
      <c r="K80" s="314"/>
      <c r="L80" s="314"/>
      <c r="M80" s="314"/>
      <c r="N80" s="769"/>
      <c r="O80" s="769"/>
      <c r="P80" s="773"/>
      <c r="Q80" s="774"/>
      <c r="R80" s="774"/>
      <c r="S80" s="775"/>
      <c r="AH80" s="776"/>
      <c r="AI80" s="776"/>
      <c r="AJ80" s="732"/>
      <c r="AK80" s="732"/>
      <c r="AL80" s="776"/>
      <c r="AM80" s="776"/>
      <c r="AN80" s="17"/>
      <c r="AO80" s="17"/>
      <c r="AP80" s="17"/>
      <c r="AQ80" s="17"/>
      <c r="AR80" s="17"/>
      <c r="AS80" s="17"/>
      <c r="AT80" s="17"/>
      <c r="AU80" s="732"/>
      <c r="AV80" s="313"/>
      <c r="AW80" s="313"/>
      <c r="AX80" s="313"/>
      <c r="AY80" s="313"/>
      <c r="AZ80" s="313"/>
      <c r="BA80" s="313"/>
      <c r="BB80" s="313"/>
      <c r="BC80" s="313"/>
      <c r="BD80" s="313"/>
      <c r="BE80" s="314"/>
      <c r="BW80" s="314"/>
      <c r="BX80" s="314"/>
      <c r="BY80" s="314"/>
      <c r="BZ80" s="314"/>
      <c r="CA80" s="314"/>
      <c r="CB80" s="314"/>
      <c r="CC80" s="314"/>
      <c r="CD80" s="314"/>
    </row>
    <row r="81" ht="28.5" customHeight="1">
      <c r="A81" s="767"/>
      <c r="B81" s="768"/>
      <c r="C81" s="768"/>
      <c r="D81" s="769"/>
      <c r="E81" s="769"/>
      <c r="F81" s="769"/>
      <c r="G81" s="336"/>
      <c r="H81" s="771"/>
      <c r="I81" s="769"/>
      <c r="J81" s="769"/>
      <c r="K81" s="314"/>
      <c r="L81" s="314"/>
      <c r="M81" s="314"/>
      <c r="N81" s="769"/>
      <c r="O81" s="769"/>
      <c r="P81" s="773"/>
      <c r="Q81" s="774"/>
      <c r="R81" s="774"/>
      <c r="S81" s="775"/>
      <c r="AH81" s="776"/>
      <c r="AI81" s="776"/>
      <c r="AJ81" s="732"/>
      <c r="AK81" s="732"/>
      <c r="AL81" s="776"/>
      <c r="AM81" s="776"/>
      <c r="AN81" s="17"/>
      <c r="AO81" s="17"/>
      <c r="AP81" s="17"/>
      <c r="AQ81" s="17"/>
      <c r="AR81" s="17"/>
      <c r="AS81" s="17"/>
      <c r="AT81" s="17"/>
      <c r="AU81" s="732"/>
      <c r="AV81" s="313"/>
      <c r="AW81" s="313"/>
      <c r="AX81" s="313"/>
      <c r="AY81" s="313"/>
      <c r="AZ81" s="313"/>
      <c r="BA81" s="313"/>
      <c r="BB81" s="313"/>
      <c r="BC81" s="313"/>
      <c r="BD81" s="313"/>
      <c r="BE81" s="314"/>
      <c r="BW81" s="314"/>
      <c r="BX81" s="314"/>
      <c r="BY81" s="314"/>
      <c r="BZ81" s="314"/>
      <c r="CA81" s="314"/>
      <c r="CB81" s="314"/>
      <c r="CC81" s="314"/>
      <c r="CD81" s="314"/>
    </row>
    <row r="82" ht="28.5" customHeight="1">
      <c r="A82" s="767"/>
      <c r="B82" s="768"/>
      <c r="C82" s="768"/>
      <c r="D82" s="769"/>
      <c r="E82" s="769"/>
      <c r="F82" s="770"/>
      <c r="G82" s="336"/>
      <c r="H82" s="771"/>
      <c r="I82" s="770"/>
      <c r="J82" s="770"/>
      <c r="K82" s="772"/>
      <c r="L82" s="314"/>
      <c r="M82" s="314"/>
      <c r="N82" s="769"/>
      <c r="O82" s="769"/>
      <c r="P82" s="773"/>
      <c r="Q82" s="774"/>
      <c r="R82" s="774"/>
      <c r="S82" s="775"/>
      <c r="AH82" s="776"/>
      <c r="AI82" s="776"/>
      <c r="AJ82" s="732"/>
      <c r="AK82" s="732"/>
      <c r="AL82" s="776"/>
      <c r="AM82" s="776"/>
      <c r="AN82" s="17"/>
      <c r="AO82" s="17"/>
      <c r="AP82" s="17"/>
      <c r="AQ82" s="17"/>
      <c r="AR82" s="17"/>
      <c r="AS82" s="17"/>
      <c r="AT82" s="17"/>
      <c r="AU82" s="732"/>
      <c r="AV82" s="313"/>
      <c r="AW82" s="313"/>
      <c r="AX82" s="313"/>
      <c r="AY82" s="313"/>
      <c r="AZ82" s="313"/>
      <c r="BA82" s="313"/>
      <c r="BB82" s="313"/>
      <c r="BC82" s="313"/>
      <c r="BD82" s="313"/>
      <c r="BE82" s="314"/>
      <c r="BW82" s="314"/>
      <c r="BX82" s="314"/>
      <c r="BY82" s="314"/>
      <c r="BZ82" s="314"/>
      <c r="CA82" s="314"/>
      <c r="CB82" s="314"/>
      <c r="CC82" s="314"/>
      <c r="CD82" s="314"/>
    </row>
    <row r="83" ht="28.5" customHeight="1">
      <c r="A83" s="767"/>
      <c r="B83" s="768"/>
      <c r="C83" s="768"/>
      <c r="D83" s="769"/>
      <c r="E83" s="769"/>
      <c r="F83" s="770"/>
      <c r="G83" s="336"/>
      <c r="H83" s="771"/>
      <c r="I83" s="770"/>
      <c r="J83" s="770"/>
      <c r="K83" s="772"/>
      <c r="L83" s="314"/>
      <c r="M83" s="314"/>
      <c r="N83" s="769"/>
      <c r="O83" s="769"/>
      <c r="P83" s="773"/>
      <c r="Q83" s="774"/>
      <c r="R83" s="774"/>
      <c r="S83" s="775"/>
      <c r="AH83" s="776"/>
      <c r="AI83" s="776"/>
      <c r="AJ83" s="732"/>
      <c r="AK83" s="732"/>
      <c r="AL83" s="776"/>
      <c r="AM83" s="776"/>
      <c r="AN83" s="17"/>
      <c r="AO83" s="17"/>
      <c r="AP83" s="17"/>
      <c r="AQ83" s="17"/>
      <c r="AR83" s="17"/>
      <c r="AS83" s="17"/>
      <c r="AT83" s="17"/>
      <c r="AU83" s="732"/>
      <c r="AV83" s="313"/>
      <c r="AW83" s="313"/>
      <c r="AX83" s="313"/>
      <c r="AY83" s="313"/>
      <c r="AZ83" s="313"/>
      <c r="BA83" s="313"/>
      <c r="BB83" s="313"/>
      <c r="BC83" s="313"/>
      <c r="BD83" s="313"/>
      <c r="BE83" s="314"/>
      <c r="BW83" s="314"/>
      <c r="BX83" s="314"/>
      <c r="BY83" s="314"/>
      <c r="BZ83" s="314"/>
      <c r="CA83" s="314"/>
      <c r="CB83" s="314"/>
      <c r="CC83" s="314"/>
      <c r="CD83" s="314"/>
    </row>
    <row r="84" ht="28.5" customHeight="1">
      <c r="A84" s="767"/>
      <c r="B84" s="768"/>
      <c r="C84" s="768"/>
      <c r="D84" s="769"/>
      <c r="E84" s="769"/>
      <c r="F84" s="770"/>
      <c r="G84" s="336"/>
      <c r="H84" s="771"/>
      <c r="I84" s="770"/>
      <c r="J84" s="770"/>
      <c r="K84" s="772"/>
      <c r="L84" s="314"/>
      <c r="M84" s="314"/>
      <c r="N84" s="769"/>
      <c r="O84" s="769"/>
      <c r="P84" s="773"/>
      <c r="Q84" s="774"/>
      <c r="R84" s="774"/>
      <c r="S84" s="775"/>
      <c r="AH84" s="776"/>
      <c r="AI84" s="776"/>
      <c r="AJ84" s="732"/>
      <c r="AK84" s="732"/>
      <c r="AL84" s="776"/>
      <c r="AM84" s="776"/>
      <c r="AN84" s="17"/>
      <c r="AO84" s="17"/>
      <c r="AP84" s="17"/>
      <c r="AQ84" s="17"/>
      <c r="AR84" s="17"/>
      <c r="AS84" s="17"/>
      <c r="AT84" s="17"/>
      <c r="AU84" s="732"/>
      <c r="AV84" s="313"/>
      <c r="AW84" s="313"/>
      <c r="AX84" s="313"/>
      <c r="AY84" s="313"/>
      <c r="AZ84" s="313"/>
      <c r="BA84" s="313"/>
      <c r="BB84" s="313"/>
      <c r="BC84" s="313"/>
      <c r="BD84" s="313"/>
      <c r="BE84" s="314"/>
      <c r="BW84" s="314"/>
      <c r="BX84" s="314"/>
      <c r="BY84" s="314"/>
      <c r="BZ84" s="314"/>
      <c r="CA84" s="314"/>
      <c r="CB84" s="314"/>
      <c r="CC84" s="314"/>
      <c r="CD84" s="314"/>
    </row>
    <row r="85" ht="28.5" customHeight="1">
      <c r="A85" s="767"/>
      <c r="B85" s="768"/>
      <c r="C85" s="768"/>
      <c r="D85" s="769"/>
      <c r="E85" s="769"/>
      <c r="F85" s="770"/>
      <c r="G85" s="336"/>
      <c r="H85" s="771"/>
      <c r="I85" s="770"/>
      <c r="J85" s="770"/>
      <c r="K85" s="772"/>
      <c r="L85" s="314"/>
      <c r="M85" s="314"/>
      <c r="N85" s="769"/>
      <c r="O85" s="769"/>
      <c r="P85" s="773"/>
      <c r="Q85" s="774"/>
      <c r="R85" s="774"/>
      <c r="S85" s="775"/>
      <c r="AH85" s="776"/>
      <c r="AI85" s="776"/>
      <c r="AJ85" s="732"/>
      <c r="AK85" s="732"/>
      <c r="AL85" s="776"/>
      <c r="AM85" s="776"/>
      <c r="AN85" s="17"/>
      <c r="AO85" s="17"/>
      <c r="AP85" s="17"/>
      <c r="AQ85" s="17"/>
      <c r="AR85" s="17"/>
      <c r="AS85" s="17"/>
      <c r="AT85" s="17"/>
      <c r="AU85" s="732"/>
      <c r="AV85" s="313"/>
      <c r="AW85" s="313"/>
      <c r="AX85" s="313"/>
      <c r="AY85" s="313"/>
      <c r="AZ85" s="313"/>
      <c r="BA85" s="313"/>
      <c r="BB85" s="313"/>
      <c r="BC85" s="313"/>
      <c r="BD85" s="313"/>
      <c r="BE85" s="314"/>
      <c r="BW85" s="314"/>
      <c r="BX85" s="314"/>
      <c r="BY85" s="314"/>
      <c r="BZ85" s="314"/>
      <c r="CA85" s="314"/>
      <c r="CB85" s="314"/>
      <c r="CC85" s="314"/>
      <c r="CD85" s="314"/>
    </row>
    <row r="86" ht="28.5" customHeight="1">
      <c r="A86" s="767"/>
      <c r="B86" s="768"/>
      <c r="C86" s="768"/>
      <c r="D86" s="769"/>
      <c r="E86" s="769"/>
      <c r="F86" s="770"/>
      <c r="G86" s="336"/>
      <c r="H86" s="771"/>
      <c r="I86" s="770"/>
      <c r="J86" s="770"/>
      <c r="K86" s="772"/>
      <c r="L86" s="314"/>
      <c r="M86" s="314"/>
      <c r="N86" s="769"/>
      <c r="O86" s="769"/>
      <c r="P86" s="773"/>
      <c r="Q86" s="774"/>
      <c r="R86" s="774"/>
      <c r="S86" s="775"/>
      <c r="AH86" s="776"/>
      <c r="AI86" s="776"/>
      <c r="AJ86" s="732"/>
      <c r="AK86" s="732"/>
      <c r="AL86" s="776"/>
      <c r="AM86" s="776"/>
      <c r="AN86" s="17"/>
      <c r="AO86" s="17"/>
      <c r="AP86" s="17"/>
      <c r="AQ86" s="17"/>
      <c r="AR86" s="17"/>
      <c r="AS86" s="17"/>
      <c r="AT86" s="17"/>
      <c r="AU86" s="732"/>
      <c r="AV86" s="313"/>
      <c r="AW86" s="313"/>
      <c r="AX86" s="313"/>
      <c r="AY86" s="313"/>
      <c r="AZ86" s="313"/>
      <c r="BA86" s="313"/>
      <c r="BB86" s="313"/>
      <c r="BC86" s="313"/>
      <c r="BD86" s="313"/>
      <c r="BE86" s="314"/>
      <c r="BW86" s="314"/>
      <c r="BX86" s="314"/>
      <c r="BY86" s="314"/>
      <c r="BZ86" s="314"/>
      <c r="CA86" s="314"/>
      <c r="CB86" s="314"/>
      <c r="CC86" s="314"/>
      <c r="CD86" s="314"/>
    </row>
    <row r="87" ht="28.5" customHeight="1">
      <c r="A87" s="767"/>
      <c r="B87" s="768"/>
      <c r="C87" s="768"/>
      <c r="D87" s="769"/>
      <c r="E87" s="769"/>
      <c r="F87" s="770"/>
      <c r="G87" s="336"/>
      <c r="H87" s="771"/>
      <c r="I87" s="770"/>
      <c r="J87" s="770"/>
      <c r="K87" s="772"/>
      <c r="L87" s="314"/>
      <c r="M87" s="314"/>
      <c r="N87" s="769"/>
      <c r="O87" s="769"/>
      <c r="P87" s="773"/>
      <c r="Q87" s="774"/>
      <c r="R87" s="774"/>
      <c r="S87" s="775"/>
      <c r="AH87" s="776"/>
      <c r="AI87" s="776"/>
      <c r="AJ87" s="732"/>
      <c r="AK87" s="732"/>
      <c r="AL87" s="776"/>
      <c r="AM87" s="776"/>
      <c r="AN87" s="17"/>
      <c r="AO87" s="17"/>
      <c r="AP87" s="17"/>
      <c r="AQ87" s="17"/>
      <c r="AR87" s="17"/>
      <c r="AS87" s="17"/>
      <c r="AT87" s="17"/>
      <c r="AU87" s="732"/>
      <c r="AV87" s="313"/>
      <c r="AW87" s="313"/>
      <c r="AX87" s="313"/>
      <c r="AY87" s="313"/>
      <c r="AZ87" s="313"/>
      <c r="BA87" s="313"/>
      <c r="BB87" s="313"/>
      <c r="BC87" s="313"/>
      <c r="BD87" s="313"/>
      <c r="BE87" s="314"/>
      <c r="BW87" s="314"/>
      <c r="BX87" s="314"/>
      <c r="BY87" s="314"/>
      <c r="BZ87" s="314"/>
      <c r="CA87" s="314"/>
      <c r="CB87" s="314"/>
      <c r="CC87" s="314"/>
      <c r="CD87" s="314"/>
    </row>
    <row r="88" ht="28.5" customHeight="1">
      <c r="A88" s="767"/>
      <c r="B88" s="768"/>
      <c r="C88" s="768"/>
      <c r="D88" s="769"/>
      <c r="E88" s="769"/>
      <c r="F88" s="770"/>
      <c r="G88" s="336"/>
      <c r="H88" s="771"/>
      <c r="I88" s="770"/>
      <c r="J88" s="770"/>
      <c r="K88" s="772"/>
      <c r="L88" s="314"/>
      <c r="M88" s="314"/>
      <c r="N88" s="769"/>
      <c r="O88" s="769"/>
      <c r="P88" s="773"/>
      <c r="Q88" s="774"/>
      <c r="R88" s="774"/>
      <c r="S88" s="775"/>
      <c r="AH88" s="776"/>
      <c r="AI88" s="776"/>
      <c r="AJ88" s="732"/>
      <c r="AK88" s="732"/>
      <c r="AL88" s="776"/>
      <c r="AM88" s="776"/>
      <c r="AN88" s="17"/>
      <c r="AO88" s="17"/>
      <c r="AP88" s="17"/>
      <c r="AQ88" s="17"/>
      <c r="AR88" s="17"/>
      <c r="AS88" s="17"/>
      <c r="AT88" s="17"/>
      <c r="AU88" s="732"/>
      <c r="AV88" s="313"/>
      <c r="AW88" s="313"/>
      <c r="AX88" s="313"/>
      <c r="AY88" s="313"/>
      <c r="AZ88" s="313"/>
      <c r="BA88" s="313"/>
      <c r="BB88" s="313"/>
      <c r="BC88" s="313"/>
      <c r="BD88" s="313"/>
      <c r="BE88" s="314"/>
      <c r="BW88" s="314"/>
      <c r="BX88" s="314"/>
      <c r="BY88" s="314"/>
      <c r="BZ88" s="314"/>
      <c r="CA88" s="314"/>
      <c r="CB88" s="314"/>
      <c r="CC88" s="314"/>
      <c r="CD88" s="314"/>
    </row>
    <row r="89" ht="28.5" customHeight="1">
      <c r="A89" s="767"/>
      <c r="B89" s="768"/>
      <c r="C89" s="768"/>
      <c r="D89" s="769"/>
      <c r="E89" s="769"/>
      <c r="F89" s="770"/>
      <c r="G89" s="336"/>
      <c r="H89" s="771"/>
      <c r="I89" s="770"/>
      <c r="J89" s="770"/>
      <c r="K89" s="772"/>
      <c r="L89" s="314"/>
      <c r="M89" s="314"/>
      <c r="N89" s="769"/>
      <c r="O89" s="769"/>
      <c r="P89" s="773"/>
      <c r="Q89" s="774"/>
      <c r="R89" s="774"/>
      <c r="S89" s="775"/>
      <c r="AH89" s="776"/>
      <c r="AI89" s="776"/>
      <c r="AJ89" s="732"/>
      <c r="AK89" s="732"/>
      <c r="AL89" s="776"/>
      <c r="AM89" s="776"/>
      <c r="AN89" s="17"/>
      <c r="AO89" s="17"/>
      <c r="AP89" s="17"/>
      <c r="AQ89" s="17"/>
      <c r="AR89" s="17"/>
      <c r="AS89" s="17"/>
      <c r="AT89" s="17"/>
      <c r="AU89" s="732"/>
      <c r="AV89" s="313"/>
      <c r="AW89" s="313"/>
      <c r="AX89" s="313"/>
      <c r="AY89" s="313"/>
      <c r="AZ89" s="313"/>
      <c r="BA89" s="313"/>
      <c r="BB89" s="313"/>
      <c r="BC89" s="313"/>
      <c r="BD89" s="313"/>
      <c r="BE89" s="314"/>
      <c r="BW89" s="314"/>
      <c r="BX89" s="314"/>
      <c r="BY89" s="314"/>
      <c r="BZ89" s="314"/>
      <c r="CA89" s="314"/>
      <c r="CB89" s="314"/>
      <c r="CC89" s="314"/>
      <c r="CD89" s="314"/>
    </row>
    <row r="90" ht="28.5" customHeight="1">
      <c r="A90" s="767"/>
      <c r="B90" s="768"/>
      <c r="C90" s="768"/>
      <c r="D90" s="769"/>
      <c r="E90" s="769"/>
      <c r="F90" s="770"/>
      <c r="G90" s="336"/>
      <c r="H90" s="771"/>
      <c r="I90" s="770"/>
      <c r="J90" s="770"/>
      <c r="K90" s="772"/>
      <c r="L90" s="314"/>
      <c r="M90" s="314"/>
      <c r="N90" s="769"/>
      <c r="O90" s="769"/>
      <c r="P90" s="773"/>
      <c r="Q90" s="774"/>
      <c r="R90" s="774"/>
      <c r="S90" s="775"/>
      <c r="AH90" s="776"/>
      <c r="AI90" s="776"/>
      <c r="AJ90" s="732"/>
      <c r="AK90" s="732"/>
      <c r="AL90" s="776"/>
      <c r="AM90" s="776"/>
      <c r="AN90" s="17"/>
      <c r="AO90" s="17"/>
      <c r="AP90" s="17"/>
      <c r="AQ90" s="17"/>
      <c r="AR90" s="17"/>
      <c r="AS90" s="17"/>
      <c r="AT90" s="17"/>
      <c r="AU90" s="732"/>
      <c r="AV90" s="313"/>
      <c r="AW90" s="313"/>
      <c r="AX90" s="313"/>
      <c r="AY90" s="313"/>
      <c r="AZ90" s="313"/>
      <c r="BA90" s="313"/>
      <c r="BB90" s="313"/>
      <c r="BC90" s="313"/>
      <c r="BD90" s="313"/>
      <c r="BE90" s="314"/>
      <c r="BW90" s="314"/>
      <c r="BX90" s="314"/>
      <c r="BY90" s="314"/>
      <c r="BZ90" s="314"/>
      <c r="CA90" s="314"/>
      <c r="CB90" s="314"/>
      <c r="CC90" s="314"/>
      <c r="CD90" s="314"/>
    </row>
    <row r="91" ht="28.5" customHeight="1">
      <c r="A91" s="767"/>
      <c r="B91" s="768"/>
      <c r="C91" s="768"/>
      <c r="D91" s="769"/>
      <c r="E91" s="769"/>
      <c r="F91" s="770"/>
      <c r="G91" s="336"/>
      <c r="H91" s="771"/>
      <c r="I91" s="770"/>
      <c r="J91" s="770"/>
      <c r="K91" s="772"/>
      <c r="L91" s="314"/>
      <c r="M91" s="314"/>
      <c r="N91" s="769"/>
      <c r="O91" s="769"/>
      <c r="P91" s="773"/>
      <c r="Q91" s="774"/>
      <c r="R91" s="774"/>
      <c r="S91" s="775"/>
      <c r="AH91" s="776"/>
      <c r="AI91" s="776"/>
      <c r="AJ91" s="732"/>
      <c r="AK91" s="732"/>
      <c r="AL91" s="776"/>
      <c r="AM91" s="776"/>
      <c r="AN91" s="17"/>
      <c r="AO91" s="17"/>
      <c r="AP91" s="17"/>
      <c r="AQ91" s="17"/>
      <c r="AR91" s="17"/>
      <c r="AS91" s="17"/>
      <c r="AT91" s="17"/>
      <c r="AU91" s="732"/>
      <c r="AV91" s="313"/>
      <c r="AW91" s="313"/>
      <c r="AX91" s="313"/>
      <c r="AY91" s="313"/>
      <c r="AZ91" s="313"/>
      <c r="BA91" s="313"/>
      <c r="BB91" s="313"/>
      <c r="BC91" s="313"/>
      <c r="BD91" s="313"/>
      <c r="BE91" s="314"/>
      <c r="BW91" s="314"/>
      <c r="BX91" s="314"/>
      <c r="BY91" s="314"/>
      <c r="BZ91" s="314"/>
      <c r="CA91" s="314"/>
      <c r="CB91" s="314"/>
      <c r="CC91" s="314"/>
      <c r="CD91" s="314"/>
    </row>
    <row r="92" ht="28.5" customHeight="1">
      <c r="A92" s="767"/>
      <c r="B92" s="768"/>
      <c r="C92" s="768"/>
      <c r="D92" s="769"/>
      <c r="E92" s="769"/>
      <c r="F92" s="770"/>
      <c r="G92" s="336"/>
      <c r="H92" s="771"/>
      <c r="I92" s="770"/>
      <c r="J92" s="770"/>
      <c r="K92" s="772"/>
      <c r="L92" s="314"/>
      <c r="M92" s="314"/>
      <c r="N92" s="769"/>
      <c r="O92" s="769"/>
      <c r="P92" s="773"/>
      <c r="Q92" s="774"/>
      <c r="R92" s="774"/>
      <c r="S92" s="775"/>
      <c r="AH92" s="776"/>
      <c r="AI92" s="776"/>
      <c r="AJ92" s="732"/>
      <c r="AK92" s="732"/>
      <c r="AL92" s="776"/>
      <c r="AM92" s="776"/>
      <c r="AN92" s="17"/>
      <c r="AO92" s="17"/>
      <c r="AP92" s="17"/>
      <c r="AQ92" s="17"/>
      <c r="AR92" s="17"/>
      <c r="AS92" s="17"/>
      <c r="AT92" s="17"/>
      <c r="AU92" s="732"/>
      <c r="AV92" s="313"/>
      <c r="AW92" s="313"/>
      <c r="AX92" s="313"/>
      <c r="AY92" s="313"/>
      <c r="AZ92" s="313"/>
      <c r="BA92" s="313"/>
      <c r="BB92" s="313"/>
      <c r="BC92" s="313"/>
      <c r="BD92" s="313"/>
      <c r="BE92" s="314"/>
      <c r="BW92" s="314"/>
      <c r="BX92" s="314"/>
      <c r="BY92" s="314"/>
      <c r="BZ92" s="314"/>
      <c r="CA92" s="314"/>
      <c r="CB92" s="314"/>
      <c r="CC92" s="314"/>
      <c r="CD92" s="314"/>
    </row>
    <row r="93" ht="28.5" customHeight="1">
      <c r="A93" s="767"/>
      <c r="B93" s="768"/>
      <c r="C93" s="768"/>
      <c r="D93" s="769"/>
      <c r="E93" s="769"/>
      <c r="F93" s="770"/>
      <c r="G93" s="336"/>
      <c r="H93" s="771"/>
      <c r="I93" s="770"/>
      <c r="J93" s="770"/>
      <c r="K93" s="772"/>
      <c r="L93" s="314"/>
      <c r="M93" s="314"/>
      <c r="N93" s="769"/>
      <c r="O93" s="769"/>
      <c r="P93" s="773"/>
      <c r="Q93" s="774"/>
      <c r="R93" s="774"/>
      <c r="S93" s="775"/>
      <c r="AH93" s="776"/>
      <c r="AI93" s="776"/>
      <c r="AJ93" s="732"/>
      <c r="AK93" s="732"/>
      <c r="AL93" s="776"/>
      <c r="AM93" s="776"/>
      <c r="AN93" s="17"/>
      <c r="AO93" s="17"/>
      <c r="AP93" s="17"/>
      <c r="AQ93" s="17"/>
      <c r="AR93" s="17"/>
      <c r="AS93" s="17"/>
      <c r="AT93" s="17"/>
      <c r="AU93" s="732"/>
      <c r="AV93" s="313"/>
      <c r="AW93" s="313"/>
      <c r="AX93" s="313"/>
      <c r="AY93" s="313"/>
      <c r="AZ93" s="313"/>
      <c r="BA93" s="313"/>
      <c r="BB93" s="313"/>
      <c r="BC93" s="313"/>
      <c r="BD93" s="313"/>
      <c r="BE93" s="314"/>
      <c r="BW93" s="314"/>
      <c r="BX93" s="314"/>
      <c r="BY93" s="314"/>
      <c r="BZ93" s="314"/>
      <c r="CA93" s="314"/>
      <c r="CB93" s="314"/>
      <c r="CC93" s="314"/>
      <c r="CD93" s="314"/>
    </row>
    <row r="94" ht="28.5" customHeight="1">
      <c r="A94" s="767"/>
      <c r="B94" s="768"/>
      <c r="C94" s="768"/>
      <c r="D94" s="769"/>
      <c r="E94" s="769"/>
      <c r="F94" s="770"/>
      <c r="G94" s="336"/>
      <c r="H94" s="771"/>
      <c r="I94" s="770"/>
      <c r="J94" s="770"/>
      <c r="K94" s="772"/>
      <c r="L94" s="314"/>
      <c r="M94" s="314"/>
      <c r="N94" s="769"/>
      <c r="O94" s="769"/>
      <c r="P94" s="773"/>
      <c r="Q94" s="774"/>
      <c r="R94" s="774"/>
      <c r="S94" s="775"/>
      <c r="AH94" s="776"/>
      <c r="AI94" s="776"/>
      <c r="AJ94" s="732"/>
      <c r="AK94" s="732"/>
      <c r="AL94" s="776"/>
      <c r="AM94" s="776"/>
      <c r="AN94" s="17"/>
      <c r="AO94" s="17"/>
      <c r="AP94" s="17"/>
      <c r="AQ94" s="17"/>
      <c r="AR94" s="17"/>
      <c r="AS94" s="17"/>
      <c r="AT94" s="17"/>
      <c r="AU94" s="732"/>
      <c r="AV94" s="313"/>
      <c r="AW94" s="313"/>
      <c r="AX94" s="313"/>
      <c r="AY94" s="313"/>
      <c r="AZ94" s="313"/>
      <c r="BA94" s="313"/>
      <c r="BB94" s="313"/>
      <c r="BC94" s="313"/>
      <c r="BD94" s="313"/>
      <c r="BE94" s="314"/>
      <c r="BW94" s="314"/>
      <c r="BX94" s="314"/>
      <c r="BY94" s="314"/>
      <c r="BZ94" s="314"/>
      <c r="CA94" s="314"/>
      <c r="CB94" s="314"/>
      <c r="CC94" s="314"/>
      <c r="CD94" s="314"/>
    </row>
    <row r="95" ht="28.5" customHeight="1">
      <c r="A95" s="767"/>
      <c r="B95" s="768"/>
      <c r="C95" s="768"/>
      <c r="D95" s="769"/>
      <c r="E95" s="769"/>
      <c r="F95" s="770"/>
      <c r="G95" s="336"/>
      <c r="H95" s="771"/>
      <c r="I95" s="770"/>
      <c r="J95" s="770"/>
      <c r="K95" s="772"/>
      <c r="L95" s="314"/>
      <c r="M95" s="314"/>
      <c r="N95" s="769"/>
      <c r="O95" s="769"/>
      <c r="P95" s="773"/>
      <c r="Q95" s="774"/>
      <c r="R95" s="774"/>
      <c r="S95" s="775"/>
      <c r="AH95" s="776"/>
      <c r="AI95" s="776"/>
      <c r="AJ95" s="732"/>
      <c r="AK95" s="732"/>
      <c r="AL95" s="776"/>
      <c r="AM95" s="776"/>
      <c r="AN95" s="17"/>
      <c r="AO95" s="17"/>
      <c r="AP95" s="17"/>
      <c r="AQ95" s="17"/>
      <c r="AR95" s="17"/>
      <c r="AS95" s="17"/>
      <c r="AT95" s="17"/>
      <c r="AU95" s="732"/>
      <c r="AV95" s="313"/>
      <c r="AW95" s="313"/>
      <c r="AX95" s="313"/>
      <c r="AY95" s="313"/>
      <c r="AZ95" s="313"/>
      <c r="BA95" s="313"/>
      <c r="BB95" s="313"/>
      <c r="BC95" s="313"/>
      <c r="BD95" s="313"/>
      <c r="BE95" s="314"/>
      <c r="BW95" s="314"/>
      <c r="BX95" s="314"/>
      <c r="BY95" s="314"/>
      <c r="BZ95" s="314"/>
      <c r="CA95" s="314"/>
      <c r="CB95" s="314"/>
      <c r="CC95" s="314"/>
      <c r="CD95" s="314"/>
    </row>
    <row r="96" ht="28.5" customHeight="1">
      <c r="A96" s="767"/>
      <c r="B96" s="768"/>
      <c r="C96" s="768"/>
      <c r="D96" s="769"/>
      <c r="E96" s="769"/>
      <c r="F96" s="770"/>
      <c r="G96" s="336"/>
      <c r="H96" s="771"/>
      <c r="I96" s="770"/>
      <c r="J96" s="770"/>
      <c r="K96" s="772"/>
      <c r="L96" s="314"/>
      <c r="M96" s="314"/>
      <c r="N96" s="769"/>
      <c r="O96" s="769"/>
      <c r="P96" s="773"/>
      <c r="Q96" s="774"/>
      <c r="R96" s="774"/>
      <c r="S96" s="775"/>
      <c r="AH96" s="776"/>
      <c r="AI96" s="776"/>
      <c r="AJ96" s="732"/>
      <c r="AK96" s="732"/>
      <c r="AL96" s="776"/>
      <c r="AM96" s="776"/>
      <c r="AN96" s="17"/>
      <c r="AO96" s="17"/>
      <c r="AP96" s="17"/>
      <c r="AQ96" s="17"/>
      <c r="AR96" s="17"/>
      <c r="AS96" s="17"/>
      <c r="AT96" s="17"/>
      <c r="AU96" s="732"/>
      <c r="AV96" s="313"/>
      <c r="AW96" s="313"/>
      <c r="AX96" s="313"/>
      <c r="AY96" s="313"/>
      <c r="AZ96" s="313"/>
      <c r="BA96" s="313"/>
      <c r="BB96" s="313"/>
      <c r="BC96" s="313"/>
      <c r="BD96" s="313"/>
      <c r="BE96" s="314"/>
      <c r="BW96" s="314"/>
      <c r="BX96" s="314"/>
      <c r="BY96" s="314"/>
      <c r="BZ96" s="314"/>
      <c r="CA96" s="314"/>
      <c r="CB96" s="314"/>
      <c r="CC96" s="314"/>
      <c r="CD96" s="314"/>
    </row>
    <row r="97" ht="28.5" customHeight="1">
      <c r="A97" s="767"/>
      <c r="B97" s="768"/>
      <c r="C97" s="768"/>
      <c r="D97" s="769"/>
      <c r="E97" s="769"/>
      <c r="F97" s="770"/>
      <c r="G97" s="336"/>
      <c r="H97" s="771"/>
      <c r="I97" s="770"/>
      <c r="J97" s="770"/>
      <c r="K97" s="772"/>
      <c r="L97" s="314"/>
      <c r="M97" s="314"/>
      <c r="N97" s="769"/>
      <c r="O97" s="769"/>
      <c r="P97" s="773"/>
      <c r="Q97" s="774"/>
      <c r="R97" s="774"/>
      <c r="S97" s="775"/>
      <c r="AH97" s="776"/>
      <c r="AI97" s="776"/>
      <c r="AJ97" s="732"/>
      <c r="AK97" s="732"/>
      <c r="AL97" s="776"/>
      <c r="AM97" s="776"/>
      <c r="AN97" s="17"/>
      <c r="AO97" s="17"/>
      <c r="AP97" s="17"/>
      <c r="AQ97" s="17"/>
      <c r="AR97" s="17"/>
      <c r="AS97" s="17"/>
      <c r="AT97" s="17"/>
      <c r="AU97" s="732"/>
      <c r="AV97" s="313"/>
      <c r="AW97" s="313"/>
      <c r="AX97" s="313"/>
      <c r="AY97" s="313"/>
      <c r="AZ97" s="313"/>
      <c r="BA97" s="313"/>
      <c r="BB97" s="313"/>
      <c r="BC97" s="313"/>
      <c r="BD97" s="313"/>
      <c r="BE97" s="314"/>
      <c r="BW97" s="314"/>
      <c r="BX97" s="314"/>
      <c r="BY97" s="314"/>
      <c r="BZ97" s="314"/>
      <c r="CA97" s="314"/>
      <c r="CB97" s="314"/>
      <c r="CC97" s="314"/>
      <c r="CD97" s="314"/>
    </row>
    <row r="98" ht="28.5" customHeight="1">
      <c r="A98" s="767"/>
      <c r="B98" s="768"/>
      <c r="C98" s="768"/>
      <c r="D98" s="769"/>
      <c r="E98" s="769"/>
      <c r="F98" s="770"/>
      <c r="G98" s="336"/>
      <c r="H98" s="771"/>
      <c r="I98" s="770"/>
      <c r="J98" s="770"/>
      <c r="K98" s="772"/>
      <c r="L98" s="314"/>
      <c r="M98" s="314"/>
      <c r="N98" s="769"/>
      <c r="O98" s="769"/>
      <c r="P98" s="773"/>
      <c r="Q98" s="774"/>
      <c r="R98" s="774"/>
      <c r="S98" s="775"/>
      <c r="AH98" s="776"/>
      <c r="AI98" s="776"/>
      <c r="AJ98" s="732"/>
      <c r="AK98" s="732"/>
      <c r="AL98" s="776"/>
      <c r="AM98" s="776"/>
      <c r="AN98" s="17"/>
      <c r="AO98" s="17"/>
      <c r="AP98" s="17"/>
      <c r="AQ98" s="17"/>
      <c r="AR98" s="17"/>
      <c r="AS98" s="17"/>
      <c r="AT98" s="17"/>
      <c r="AU98" s="732"/>
      <c r="AV98" s="313"/>
      <c r="AW98" s="313"/>
      <c r="AX98" s="313"/>
      <c r="AY98" s="313"/>
      <c r="AZ98" s="313"/>
      <c r="BA98" s="313"/>
      <c r="BB98" s="313"/>
      <c r="BC98" s="313"/>
      <c r="BD98" s="313"/>
      <c r="BE98" s="314"/>
      <c r="BW98" s="314"/>
      <c r="BX98" s="314"/>
      <c r="BY98" s="314"/>
      <c r="BZ98" s="314"/>
      <c r="CA98" s="314"/>
      <c r="CB98" s="314"/>
      <c r="CC98" s="314"/>
      <c r="CD98" s="314"/>
    </row>
    <row r="99" ht="28.5" customHeight="1">
      <c r="A99" s="767"/>
      <c r="B99" s="768"/>
      <c r="C99" s="768"/>
      <c r="D99" s="769"/>
      <c r="E99" s="769"/>
      <c r="F99" s="770"/>
      <c r="G99" s="336"/>
      <c r="H99" s="771"/>
      <c r="I99" s="770"/>
      <c r="J99" s="770"/>
      <c r="K99" s="772"/>
      <c r="L99" s="314"/>
      <c r="M99" s="314"/>
      <c r="N99" s="769"/>
      <c r="O99" s="769"/>
      <c r="P99" s="773"/>
      <c r="Q99" s="774"/>
      <c r="R99" s="774"/>
      <c r="S99" s="775"/>
      <c r="AH99" s="776"/>
      <c r="AI99" s="776"/>
      <c r="AJ99" s="732"/>
      <c r="AK99" s="732"/>
      <c r="AL99" s="776"/>
      <c r="AM99" s="776"/>
      <c r="AN99" s="17"/>
      <c r="AO99" s="17"/>
      <c r="AP99" s="17"/>
      <c r="AQ99" s="17"/>
      <c r="AR99" s="17"/>
      <c r="AS99" s="17"/>
      <c r="AT99" s="17"/>
      <c r="AU99" s="732"/>
      <c r="AV99" s="313"/>
      <c r="AW99" s="313"/>
      <c r="AX99" s="313"/>
      <c r="AY99" s="313"/>
      <c r="AZ99" s="313"/>
      <c r="BA99" s="313"/>
      <c r="BB99" s="313"/>
      <c r="BC99" s="313"/>
      <c r="BD99" s="313"/>
      <c r="BE99" s="314"/>
      <c r="BW99" s="314"/>
      <c r="BX99" s="314"/>
      <c r="BY99" s="314"/>
      <c r="BZ99" s="314"/>
      <c r="CA99" s="314"/>
      <c r="CB99" s="314"/>
      <c r="CC99" s="314"/>
      <c r="CD99" s="314"/>
    </row>
    <row r="100" ht="28.5" customHeight="1">
      <c r="A100" s="767"/>
      <c r="B100" s="768"/>
      <c r="C100" s="768"/>
      <c r="D100" s="769"/>
      <c r="E100" s="769"/>
      <c r="F100" s="770"/>
      <c r="G100" s="336"/>
      <c r="H100" s="771"/>
      <c r="I100" s="770"/>
      <c r="J100" s="770"/>
      <c r="K100" s="772"/>
      <c r="L100" s="314"/>
      <c r="M100" s="314"/>
      <c r="N100" s="769"/>
      <c r="O100" s="769"/>
      <c r="P100" s="773"/>
      <c r="Q100" s="774"/>
      <c r="R100" s="774"/>
      <c r="S100" s="775"/>
      <c r="AH100" s="776"/>
      <c r="AI100" s="776"/>
      <c r="AJ100" s="732"/>
      <c r="AK100" s="732"/>
      <c r="AL100" s="776"/>
      <c r="AM100" s="776"/>
      <c r="AN100" s="17"/>
      <c r="AO100" s="17"/>
      <c r="AP100" s="17"/>
      <c r="AQ100" s="17"/>
      <c r="AR100" s="17"/>
      <c r="AS100" s="17"/>
      <c r="AT100" s="17"/>
      <c r="AU100" s="732"/>
      <c r="AV100" s="313"/>
      <c r="AW100" s="313"/>
      <c r="AX100" s="313"/>
      <c r="AY100" s="313"/>
      <c r="AZ100" s="313"/>
      <c r="BA100" s="313"/>
      <c r="BB100" s="313"/>
      <c r="BC100" s="313"/>
      <c r="BD100" s="313"/>
      <c r="BE100" s="314"/>
      <c r="BW100" s="314"/>
      <c r="BX100" s="314"/>
      <c r="BY100" s="314"/>
      <c r="BZ100" s="314"/>
      <c r="CA100" s="314"/>
      <c r="CB100" s="314"/>
      <c r="CC100" s="314"/>
      <c r="CD100" s="314"/>
    </row>
    <row r="101" ht="28.5" customHeight="1">
      <c r="A101" s="767"/>
      <c r="B101" s="768"/>
      <c r="C101" s="768"/>
      <c r="D101" s="769"/>
      <c r="E101" s="769"/>
      <c r="F101" s="770"/>
      <c r="G101" s="336"/>
      <c r="H101" s="771"/>
      <c r="I101" s="770"/>
      <c r="J101" s="770"/>
      <c r="K101" s="772"/>
      <c r="L101" s="314"/>
      <c r="M101" s="314"/>
      <c r="N101" s="769"/>
      <c r="O101" s="769"/>
      <c r="P101" s="773"/>
      <c r="Q101" s="774"/>
      <c r="R101" s="774"/>
      <c r="S101" s="775"/>
      <c r="AH101" s="776"/>
      <c r="AI101" s="776"/>
      <c r="AJ101" s="732"/>
      <c r="AK101" s="732"/>
      <c r="AL101" s="776"/>
      <c r="AM101" s="776"/>
      <c r="AN101" s="17"/>
      <c r="AO101" s="17"/>
      <c r="AP101" s="17"/>
      <c r="AQ101" s="17"/>
      <c r="AR101" s="17"/>
      <c r="AS101" s="17"/>
      <c r="AT101" s="17"/>
      <c r="AU101" s="732"/>
      <c r="AV101" s="313"/>
      <c r="AW101" s="313"/>
      <c r="AX101" s="313"/>
      <c r="AY101" s="313"/>
      <c r="AZ101" s="313"/>
      <c r="BA101" s="313"/>
      <c r="BB101" s="313"/>
      <c r="BC101" s="313"/>
      <c r="BD101" s="313"/>
      <c r="BE101" s="314"/>
      <c r="BW101" s="314"/>
      <c r="BX101" s="314"/>
      <c r="BY101" s="314"/>
      <c r="BZ101" s="314"/>
      <c r="CA101" s="314"/>
      <c r="CB101" s="314"/>
      <c r="CC101" s="314"/>
      <c r="CD101" s="314"/>
    </row>
    <row r="102" ht="28.5" customHeight="1">
      <c r="A102" s="767"/>
      <c r="B102" s="768"/>
      <c r="C102" s="768"/>
      <c r="D102" s="769"/>
      <c r="E102" s="769"/>
      <c r="F102" s="770"/>
      <c r="G102" s="336"/>
      <c r="H102" s="771"/>
      <c r="I102" s="770"/>
      <c r="J102" s="770"/>
      <c r="K102" s="772"/>
      <c r="L102" s="314"/>
      <c r="M102" s="314"/>
      <c r="N102" s="769"/>
      <c r="O102" s="769"/>
      <c r="P102" s="773"/>
      <c r="Q102" s="774"/>
      <c r="R102" s="774"/>
      <c r="S102" s="775"/>
      <c r="AH102" s="776"/>
      <c r="AI102" s="776"/>
      <c r="AJ102" s="732"/>
      <c r="AK102" s="732"/>
      <c r="AL102" s="776"/>
      <c r="AM102" s="776"/>
      <c r="AN102" s="17"/>
      <c r="AO102" s="17"/>
      <c r="AP102" s="17"/>
      <c r="AQ102" s="17"/>
      <c r="AR102" s="17"/>
      <c r="AS102" s="17"/>
      <c r="AT102" s="17"/>
      <c r="AU102" s="732"/>
      <c r="AV102" s="313"/>
      <c r="AW102" s="313"/>
      <c r="AX102" s="313"/>
      <c r="AY102" s="313"/>
      <c r="AZ102" s="313"/>
      <c r="BA102" s="313"/>
      <c r="BB102" s="313"/>
      <c r="BC102" s="313"/>
      <c r="BD102" s="313"/>
      <c r="BE102" s="314"/>
      <c r="BW102" s="314"/>
      <c r="BX102" s="314"/>
      <c r="BY102" s="314"/>
      <c r="BZ102" s="314"/>
      <c r="CA102" s="314"/>
      <c r="CB102" s="314"/>
      <c r="CC102" s="314"/>
      <c r="CD102" s="314"/>
    </row>
    <row r="103" ht="28.5" customHeight="1">
      <c r="A103" s="767"/>
      <c r="B103" s="768"/>
      <c r="C103" s="768"/>
      <c r="D103" s="769"/>
      <c r="E103" s="769"/>
      <c r="F103" s="770"/>
      <c r="G103" s="336"/>
      <c r="H103" s="771"/>
      <c r="I103" s="770"/>
      <c r="J103" s="770"/>
      <c r="K103" s="772"/>
      <c r="L103" s="314"/>
      <c r="M103" s="314"/>
      <c r="N103" s="769"/>
      <c r="O103" s="769"/>
      <c r="P103" s="773"/>
      <c r="Q103" s="774"/>
      <c r="R103" s="774"/>
      <c r="S103" s="775"/>
      <c r="AH103" s="776"/>
      <c r="AI103" s="776"/>
      <c r="AJ103" s="732"/>
      <c r="AK103" s="732"/>
      <c r="AL103" s="776"/>
      <c r="AM103" s="776"/>
      <c r="AN103" s="17"/>
      <c r="AO103" s="17"/>
      <c r="AP103" s="17"/>
      <c r="AQ103" s="17"/>
      <c r="AR103" s="17"/>
      <c r="AS103" s="17"/>
      <c r="AT103" s="17"/>
      <c r="AU103" s="732"/>
      <c r="AV103" s="313"/>
      <c r="AW103" s="313"/>
      <c r="AX103" s="313"/>
      <c r="AY103" s="313"/>
      <c r="AZ103" s="313"/>
      <c r="BA103" s="313"/>
      <c r="BB103" s="313"/>
      <c r="BC103" s="313"/>
      <c r="BD103" s="313"/>
      <c r="BE103" s="314"/>
      <c r="BW103" s="314"/>
      <c r="BX103" s="314"/>
      <c r="BY103" s="314"/>
      <c r="BZ103" s="314"/>
      <c r="CA103" s="314"/>
      <c r="CB103" s="314"/>
      <c r="CC103" s="314"/>
      <c r="CD103" s="314"/>
    </row>
    <row r="104" ht="28.5" customHeight="1">
      <c r="A104" s="767"/>
      <c r="B104" s="768"/>
      <c r="C104" s="768"/>
      <c r="D104" s="769"/>
      <c r="E104" s="769"/>
      <c r="F104" s="770"/>
      <c r="G104" s="336"/>
      <c r="H104" s="771"/>
      <c r="I104" s="770"/>
      <c r="J104" s="770"/>
      <c r="K104" s="772"/>
      <c r="L104" s="314"/>
      <c r="M104" s="314"/>
      <c r="N104" s="769"/>
      <c r="O104" s="769"/>
      <c r="P104" s="773"/>
      <c r="Q104" s="774"/>
      <c r="R104" s="774"/>
      <c r="S104" s="775"/>
      <c r="AH104" s="776"/>
      <c r="AI104" s="776"/>
      <c r="AJ104" s="732"/>
      <c r="AK104" s="732"/>
      <c r="AL104" s="776"/>
      <c r="AM104" s="776"/>
      <c r="AN104" s="17"/>
      <c r="AO104" s="17"/>
      <c r="AP104" s="17"/>
      <c r="AQ104" s="17"/>
      <c r="AR104" s="17"/>
      <c r="AS104" s="17"/>
      <c r="AT104" s="17"/>
      <c r="AU104" s="732"/>
      <c r="AV104" s="313"/>
      <c r="AW104" s="313"/>
      <c r="AX104" s="313"/>
      <c r="AY104" s="313"/>
      <c r="AZ104" s="313"/>
      <c r="BA104" s="313"/>
      <c r="BB104" s="313"/>
      <c r="BC104" s="313"/>
      <c r="BD104" s="313"/>
      <c r="BE104" s="314"/>
      <c r="BW104" s="314"/>
      <c r="BX104" s="314"/>
      <c r="BY104" s="314"/>
      <c r="BZ104" s="314"/>
      <c r="CA104" s="314"/>
      <c r="CB104" s="314"/>
      <c r="CC104" s="314"/>
      <c r="CD104" s="314"/>
    </row>
    <row r="105" ht="28.5" customHeight="1">
      <c r="A105" s="767"/>
      <c r="B105" s="768"/>
      <c r="C105" s="768"/>
      <c r="D105" s="769"/>
      <c r="E105" s="769"/>
      <c r="F105" s="770"/>
      <c r="G105" s="336"/>
      <c r="H105" s="771"/>
      <c r="I105" s="770"/>
      <c r="J105" s="770"/>
      <c r="K105" s="772"/>
      <c r="L105" s="314"/>
      <c r="M105" s="314"/>
      <c r="N105" s="769"/>
      <c r="O105" s="769"/>
      <c r="P105" s="773"/>
      <c r="Q105" s="774"/>
      <c r="R105" s="774"/>
      <c r="S105" s="775"/>
      <c r="AH105" s="776"/>
      <c r="AI105" s="776"/>
      <c r="AJ105" s="732"/>
      <c r="AK105" s="732"/>
      <c r="AL105" s="776"/>
      <c r="AM105" s="776"/>
      <c r="AN105" s="17"/>
      <c r="AO105" s="17"/>
      <c r="AP105" s="17"/>
      <c r="AQ105" s="17"/>
      <c r="AR105" s="17"/>
      <c r="AS105" s="17"/>
      <c r="AT105" s="17"/>
      <c r="AU105" s="732"/>
      <c r="AV105" s="313"/>
      <c r="AW105" s="313"/>
      <c r="AX105" s="313"/>
      <c r="AY105" s="313"/>
      <c r="AZ105" s="313"/>
      <c r="BA105" s="313"/>
      <c r="BB105" s="313"/>
      <c r="BC105" s="313"/>
      <c r="BD105" s="313"/>
      <c r="BE105" s="314"/>
      <c r="BW105" s="314"/>
      <c r="BX105" s="314"/>
      <c r="BY105" s="314"/>
      <c r="BZ105" s="314"/>
      <c r="CA105" s="314"/>
      <c r="CB105" s="314"/>
      <c r="CC105" s="314"/>
      <c r="CD105" s="314"/>
    </row>
    <row r="106" ht="28.5" customHeight="1">
      <c r="A106" s="767"/>
      <c r="B106" s="768"/>
      <c r="C106" s="768"/>
      <c r="D106" s="769"/>
      <c r="E106" s="769"/>
      <c r="F106" s="770"/>
      <c r="G106" s="336"/>
      <c r="H106" s="771"/>
      <c r="I106" s="770"/>
      <c r="J106" s="770"/>
      <c r="K106" s="772"/>
      <c r="L106" s="314"/>
      <c r="M106" s="314"/>
      <c r="N106" s="769"/>
      <c r="O106" s="769"/>
      <c r="P106" s="773"/>
      <c r="Q106" s="774"/>
      <c r="R106" s="774"/>
      <c r="S106" s="775"/>
      <c r="AH106" s="776"/>
      <c r="AI106" s="776"/>
      <c r="AJ106" s="732"/>
      <c r="AK106" s="732"/>
      <c r="AL106" s="776"/>
      <c r="AM106" s="776"/>
      <c r="AN106" s="17"/>
      <c r="AO106" s="17"/>
      <c r="AP106" s="17"/>
      <c r="AQ106" s="17"/>
      <c r="AR106" s="17"/>
      <c r="AS106" s="17"/>
      <c r="AT106" s="17"/>
      <c r="AU106" s="732"/>
      <c r="AV106" s="313"/>
      <c r="AW106" s="313"/>
      <c r="AX106" s="313"/>
      <c r="AY106" s="313"/>
      <c r="AZ106" s="313"/>
      <c r="BA106" s="313"/>
      <c r="BB106" s="313"/>
      <c r="BC106" s="313"/>
      <c r="BD106" s="313"/>
      <c r="BE106" s="314"/>
      <c r="BW106" s="314"/>
      <c r="BX106" s="314"/>
      <c r="BY106" s="314"/>
      <c r="BZ106" s="314"/>
      <c r="CA106" s="314"/>
      <c r="CB106" s="314"/>
      <c r="CC106" s="314"/>
      <c r="CD106" s="314"/>
    </row>
    <row r="107" ht="28.5" customHeight="1">
      <c r="A107" s="767"/>
      <c r="B107" s="768"/>
      <c r="C107" s="768"/>
      <c r="D107" s="769"/>
      <c r="E107" s="769"/>
      <c r="F107" s="770"/>
      <c r="G107" s="336"/>
      <c r="H107" s="771"/>
      <c r="I107" s="770"/>
      <c r="J107" s="770"/>
      <c r="K107" s="772"/>
      <c r="L107" s="314"/>
      <c r="M107" s="314"/>
      <c r="N107" s="769"/>
      <c r="O107" s="769"/>
      <c r="P107" s="773"/>
      <c r="Q107" s="774"/>
      <c r="R107" s="774"/>
      <c r="S107" s="775"/>
      <c r="AH107" s="776"/>
      <c r="AI107" s="776"/>
      <c r="AJ107" s="732"/>
      <c r="AK107" s="732"/>
      <c r="AL107" s="776"/>
      <c r="AM107" s="776"/>
      <c r="AN107" s="17"/>
      <c r="AO107" s="17"/>
      <c r="AP107" s="17"/>
      <c r="AQ107" s="17"/>
      <c r="AR107" s="17"/>
      <c r="AS107" s="17"/>
      <c r="AT107" s="17"/>
      <c r="AU107" s="732"/>
      <c r="AV107" s="313"/>
      <c r="AW107" s="313"/>
      <c r="AX107" s="313"/>
      <c r="AY107" s="313"/>
      <c r="AZ107" s="313"/>
      <c r="BA107" s="313"/>
      <c r="BB107" s="313"/>
      <c r="BC107" s="313"/>
      <c r="BD107" s="313"/>
      <c r="BE107" s="314"/>
      <c r="BW107" s="314"/>
      <c r="BX107" s="314"/>
      <c r="BY107" s="314"/>
      <c r="BZ107" s="314"/>
      <c r="CA107" s="314"/>
      <c r="CB107" s="314"/>
      <c r="CC107" s="314"/>
      <c r="CD107" s="314"/>
    </row>
    <row r="108" ht="28.5" customHeight="1">
      <c r="A108" s="767"/>
      <c r="B108" s="768"/>
      <c r="C108" s="768"/>
      <c r="D108" s="769"/>
      <c r="E108" s="769"/>
      <c r="F108" s="770"/>
      <c r="G108" s="336"/>
      <c r="H108" s="771"/>
      <c r="I108" s="770"/>
      <c r="J108" s="770"/>
      <c r="K108" s="772"/>
      <c r="L108" s="314"/>
      <c r="M108" s="314"/>
      <c r="N108" s="769"/>
      <c r="O108" s="769"/>
      <c r="P108" s="773"/>
      <c r="Q108" s="774"/>
      <c r="R108" s="774"/>
      <c r="S108" s="775"/>
      <c r="AH108" s="776"/>
      <c r="AI108" s="776"/>
      <c r="AJ108" s="732"/>
      <c r="AK108" s="732"/>
      <c r="AL108" s="776"/>
      <c r="AM108" s="776"/>
      <c r="AN108" s="17"/>
      <c r="AO108" s="17"/>
      <c r="AP108" s="17"/>
      <c r="AQ108" s="17"/>
      <c r="AR108" s="17"/>
      <c r="AS108" s="17"/>
      <c r="AT108" s="17"/>
      <c r="AU108" s="732"/>
      <c r="AV108" s="313"/>
      <c r="AW108" s="313"/>
      <c r="AX108" s="313"/>
      <c r="AY108" s="313"/>
      <c r="AZ108" s="313"/>
      <c r="BA108" s="313"/>
      <c r="BB108" s="313"/>
      <c r="BC108" s="313"/>
      <c r="BD108" s="313"/>
      <c r="BE108" s="314"/>
      <c r="BW108" s="314"/>
      <c r="BX108" s="314"/>
      <c r="BY108" s="314"/>
      <c r="BZ108" s="314"/>
      <c r="CA108" s="314"/>
      <c r="CB108" s="314"/>
      <c r="CC108" s="314"/>
      <c r="CD108" s="314"/>
    </row>
    <row r="109" ht="28.5" customHeight="1">
      <c r="A109" s="767"/>
      <c r="B109" s="768"/>
      <c r="C109" s="768"/>
      <c r="D109" s="769"/>
      <c r="E109" s="769"/>
      <c r="F109" s="770"/>
      <c r="G109" s="336"/>
      <c r="H109" s="771"/>
      <c r="I109" s="770"/>
      <c r="J109" s="770"/>
      <c r="K109" s="772"/>
      <c r="L109" s="314"/>
      <c r="M109" s="314"/>
      <c r="N109" s="769"/>
      <c r="O109" s="769"/>
      <c r="P109" s="773"/>
      <c r="Q109" s="774"/>
      <c r="R109" s="774"/>
      <c r="S109" s="775"/>
      <c r="AH109" s="776"/>
      <c r="AI109" s="776"/>
      <c r="AJ109" s="732"/>
      <c r="AK109" s="732"/>
      <c r="AL109" s="776"/>
      <c r="AM109" s="776"/>
      <c r="AN109" s="17"/>
      <c r="AO109" s="17"/>
      <c r="AP109" s="17"/>
      <c r="AQ109" s="17"/>
      <c r="AR109" s="17"/>
      <c r="AS109" s="17"/>
      <c r="AT109" s="17"/>
      <c r="AU109" s="732"/>
      <c r="AV109" s="313"/>
      <c r="AW109" s="313"/>
      <c r="AX109" s="313"/>
      <c r="AY109" s="313"/>
      <c r="AZ109" s="313"/>
      <c r="BA109" s="313"/>
      <c r="BB109" s="313"/>
      <c r="BC109" s="313"/>
      <c r="BD109" s="313"/>
      <c r="BE109" s="314"/>
      <c r="BW109" s="314"/>
      <c r="BX109" s="314"/>
      <c r="BY109" s="314"/>
      <c r="BZ109" s="314"/>
      <c r="CA109" s="314"/>
      <c r="CB109" s="314"/>
      <c r="CC109" s="314"/>
      <c r="CD109" s="314"/>
    </row>
    <row r="110" ht="28.5" customHeight="1">
      <c r="A110" s="767"/>
      <c r="B110" s="768"/>
      <c r="C110" s="768"/>
      <c r="D110" s="769"/>
      <c r="E110" s="769"/>
      <c r="F110" s="770"/>
      <c r="G110" s="336"/>
      <c r="H110" s="771"/>
      <c r="I110" s="770"/>
      <c r="J110" s="770"/>
      <c r="K110" s="772"/>
      <c r="L110" s="314"/>
      <c r="M110" s="314"/>
      <c r="N110" s="769"/>
      <c r="O110" s="769"/>
      <c r="P110" s="773"/>
      <c r="Q110" s="774"/>
      <c r="R110" s="774"/>
      <c r="S110" s="775"/>
      <c r="AH110" s="776"/>
      <c r="AI110" s="776"/>
      <c r="AJ110" s="732"/>
      <c r="AK110" s="732"/>
      <c r="AL110" s="776"/>
      <c r="AM110" s="776"/>
      <c r="AN110" s="17"/>
      <c r="AO110" s="17"/>
      <c r="AP110" s="17"/>
      <c r="AQ110" s="17"/>
      <c r="AR110" s="17"/>
      <c r="AS110" s="17"/>
      <c r="AT110" s="17"/>
      <c r="AU110" s="732"/>
      <c r="AV110" s="313"/>
      <c r="AW110" s="313"/>
      <c r="AX110" s="313"/>
      <c r="AY110" s="313"/>
      <c r="AZ110" s="313"/>
      <c r="BA110" s="313"/>
      <c r="BB110" s="313"/>
      <c r="BC110" s="313"/>
      <c r="BD110" s="313"/>
      <c r="BE110" s="314"/>
      <c r="BW110" s="314"/>
      <c r="BX110" s="314"/>
      <c r="BY110" s="314"/>
      <c r="BZ110" s="314"/>
      <c r="CA110" s="314"/>
      <c r="CB110" s="314"/>
      <c r="CC110" s="314"/>
      <c r="CD110" s="314"/>
    </row>
    <row r="111" ht="28.5" customHeight="1">
      <c r="A111" s="767"/>
      <c r="B111" s="768"/>
      <c r="C111" s="768"/>
      <c r="D111" s="769"/>
      <c r="E111" s="769"/>
      <c r="F111" s="770"/>
      <c r="G111" s="336"/>
      <c r="H111" s="771"/>
      <c r="I111" s="770"/>
      <c r="J111" s="770"/>
      <c r="K111" s="772"/>
      <c r="L111" s="314"/>
      <c r="M111" s="314"/>
      <c r="N111" s="769"/>
      <c r="O111" s="769"/>
      <c r="P111" s="773"/>
      <c r="Q111" s="774"/>
      <c r="R111" s="774"/>
      <c r="S111" s="775"/>
      <c r="AH111" s="776"/>
      <c r="AI111" s="776"/>
      <c r="AJ111" s="732"/>
      <c r="AK111" s="732"/>
      <c r="AL111" s="776"/>
      <c r="AM111" s="776"/>
      <c r="AN111" s="17"/>
      <c r="AO111" s="17"/>
      <c r="AP111" s="17"/>
      <c r="AQ111" s="17"/>
      <c r="AR111" s="17"/>
      <c r="AS111" s="17"/>
      <c r="AT111" s="17"/>
      <c r="AU111" s="732"/>
      <c r="AV111" s="313"/>
      <c r="AW111" s="313"/>
      <c r="AX111" s="313"/>
      <c r="AY111" s="313"/>
      <c r="AZ111" s="313"/>
      <c r="BA111" s="313"/>
      <c r="BB111" s="313"/>
      <c r="BC111" s="313"/>
      <c r="BD111" s="313"/>
      <c r="BE111" s="314"/>
      <c r="BW111" s="314"/>
      <c r="BX111" s="314"/>
      <c r="BY111" s="314"/>
      <c r="BZ111" s="314"/>
      <c r="CA111" s="314"/>
      <c r="CB111" s="314"/>
      <c r="CC111" s="314"/>
      <c r="CD111" s="314"/>
    </row>
    <row r="112" ht="28.5" customHeight="1">
      <c r="A112" s="767"/>
      <c r="B112" s="768"/>
      <c r="C112" s="768"/>
      <c r="D112" s="769"/>
      <c r="E112" s="769"/>
      <c r="F112" s="770"/>
      <c r="G112" s="336"/>
      <c r="H112" s="771"/>
      <c r="I112" s="770"/>
      <c r="J112" s="770"/>
      <c r="K112" s="772"/>
      <c r="L112" s="314"/>
      <c r="M112" s="314"/>
      <c r="N112" s="769"/>
      <c r="O112" s="769"/>
      <c r="P112" s="773"/>
      <c r="Q112" s="774"/>
      <c r="R112" s="774"/>
      <c r="S112" s="775"/>
      <c r="AH112" s="776"/>
      <c r="AI112" s="776"/>
      <c r="AJ112" s="732"/>
      <c r="AK112" s="732"/>
      <c r="AL112" s="776"/>
      <c r="AM112" s="776"/>
      <c r="AN112" s="17"/>
      <c r="AO112" s="17"/>
      <c r="AP112" s="17"/>
      <c r="AQ112" s="17"/>
      <c r="AR112" s="17"/>
      <c r="AS112" s="17"/>
      <c r="AT112" s="17"/>
      <c r="AU112" s="732"/>
      <c r="AV112" s="313"/>
      <c r="AW112" s="313"/>
      <c r="AX112" s="313"/>
      <c r="AY112" s="313"/>
      <c r="AZ112" s="313"/>
      <c r="BA112" s="313"/>
      <c r="BB112" s="313"/>
      <c r="BC112" s="313"/>
      <c r="BD112" s="313"/>
      <c r="BE112" s="314"/>
      <c r="BW112" s="314"/>
      <c r="BX112" s="314"/>
      <c r="BY112" s="314"/>
      <c r="BZ112" s="314"/>
      <c r="CA112" s="314"/>
      <c r="CB112" s="314"/>
      <c r="CC112" s="314"/>
      <c r="CD112" s="314"/>
    </row>
    <row r="113" ht="28.5" customHeight="1">
      <c r="A113" s="767"/>
      <c r="B113" s="768"/>
      <c r="C113" s="768"/>
      <c r="D113" s="769"/>
      <c r="E113" s="769"/>
      <c r="F113" s="770"/>
      <c r="G113" s="336"/>
      <c r="H113" s="771"/>
      <c r="I113" s="770"/>
      <c r="J113" s="770"/>
      <c r="K113" s="772"/>
      <c r="L113" s="314"/>
      <c r="M113" s="314"/>
      <c r="N113" s="769"/>
      <c r="O113" s="769"/>
      <c r="P113" s="773"/>
      <c r="Q113" s="774"/>
      <c r="R113" s="774"/>
      <c r="S113" s="775"/>
      <c r="AH113" s="776"/>
      <c r="AI113" s="776"/>
      <c r="AJ113" s="732"/>
      <c r="AK113" s="732"/>
      <c r="AL113" s="776"/>
      <c r="AM113" s="776"/>
      <c r="AN113" s="17"/>
      <c r="AO113" s="17"/>
      <c r="AP113" s="17"/>
      <c r="AQ113" s="17"/>
      <c r="AR113" s="17"/>
      <c r="AS113" s="17"/>
      <c r="AT113" s="17"/>
      <c r="AU113" s="732"/>
      <c r="AV113" s="313"/>
      <c r="AW113" s="313"/>
      <c r="AX113" s="313"/>
      <c r="AY113" s="313"/>
      <c r="AZ113" s="313"/>
      <c r="BA113" s="313"/>
      <c r="BB113" s="313"/>
      <c r="BC113" s="313"/>
      <c r="BD113" s="313"/>
      <c r="BE113" s="314"/>
      <c r="BW113" s="314"/>
      <c r="BX113" s="314"/>
      <c r="BY113" s="314"/>
      <c r="BZ113" s="314"/>
      <c r="CA113" s="314"/>
      <c r="CB113" s="314"/>
      <c r="CC113" s="314"/>
      <c r="CD113" s="314"/>
    </row>
    <row r="114" ht="28.5" customHeight="1">
      <c r="A114" s="767"/>
      <c r="B114" s="768"/>
      <c r="C114" s="768"/>
      <c r="D114" s="769"/>
      <c r="E114" s="769"/>
      <c r="F114" s="770"/>
      <c r="G114" s="336"/>
      <c r="H114" s="771"/>
      <c r="I114" s="770"/>
      <c r="J114" s="770"/>
      <c r="K114" s="772"/>
      <c r="L114" s="314"/>
      <c r="M114" s="314"/>
      <c r="N114" s="769"/>
      <c r="O114" s="769"/>
      <c r="P114" s="773"/>
      <c r="Q114" s="774"/>
      <c r="R114" s="774"/>
      <c r="S114" s="775"/>
      <c r="AH114" s="776"/>
      <c r="AI114" s="776"/>
      <c r="AJ114" s="732"/>
      <c r="AK114" s="732"/>
      <c r="AL114" s="776"/>
      <c r="AM114" s="776"/>
      <c r="AN114" s="17"/>
      <c r="AO114" s="17"/>
      <c r="AP114" s="17"/>
      <c r="AQ114" s="17"/>
      <c r="AR114" s="17"/>
      <c r="AS114" s="17"/>
      <c r="AT114" s="17"/>
      <c r="AU114" s="732"/>
      <c r="AV114" s="313"/>
      <c r="AW114" s="313"/>
      <c r="AX114" s="313"/>
      <c r="AY114" s="313"/>
      <c r="AZ114" s="313"/>
      <c r="BA114" s="313"/>
      <c r="BB114" s="313"/>
      <c r="BC114" s="313"/>
      <c r="BD114" s="313"/>
      <c r="BE114" s="314"/>
      <c r="BW114" s="314"/>
      <c r="BX114" s="314"/>
      <c r="BY114" s="314"/>
      <c r="BZ114" s="314"/>
      <c r="CA114" s="314"/>
      <c r="CB114" s="314"/>
      <c r="CC114" s="314"/>
      <c r="CD114" s="314"/>
    </row>
    <row r="115" ht="28.5" customHeight="1">
      <c r="A115" s="767"/>
      <c r="B115" s="768"/>
      <c r="C115" s="768"/>
      <c r="D115" s="769"/>
      <c r="E115" s="769"/>
      <c r="F115" s="770"/>
      <c r="G115" s="336"/>
      <c r="H115" s="771"/>
      <c r="I115" s="770"/>
      <c r="J115" s="770"/>
      <c r="K115" s="772"/>
      <c r="L115" s="314"/>
      <c r="M115" s="314"/>
      <c r="N115" s="769"/>
      <c r="O115" s="769"/>
      <c r="P115" s="773"/>
      <c r="Q115" s="774"/>
      <c r="R115" s="774"/>
      <c r="S115" s="775"/>
      <c r="AH115" s="776"/>
      <c r="AI115" s="776"/>
      <c r="AJ115" s="732"/>
      <c r="AK115" s="732"/>
      <c r="AL115" s="776"/>
      <c r="AM115" s="776"/>
      <c r="AN115" s="17"/>
      <c r="AO115" s="17"/>
      <c r="AP115" s="17"/>
      <c r="AQ115" s="17"/>
      <c r="AR115" s="17"/>
      <c r="AS115" s="17"/>
      <c r="AT115" s="17"/>
      <c r="AU115" s="732"/>
      <c r="AV115" s="313"/>
      <c r="AW115" s="313"/>
      <c r="AX115" s="313"/>
      <c r="AY115" s="313"/>
      <c r="AZ115" s="313"/>
      <c r="BA115" s="313"/>
      <c r="BB115" s="313"/>
      <c r="BC115" s="313"/>
      <c r="BD115" s="313"/>
      <c r="BE115" s="314"/>
      <c r="BW115" s="314"/>
      <c r="BX115" s="314"/>
      <c r="BY115" s="314"/>
      <c r="BZ115" s="314"/>
      <c r="CA115" s="314"/>
      <c r="CB115" s="314"/>
      <c r="CC115" s="314"/>
      <c r="CD115" s="314"/>
    </row>
    <row r="116" ht="28.5" customHeight="1">
      <c r="A116" s="767"/>
      <c r="B116" s="768"/>
      <c r="C116" s="768"/>
      <c r="D116" s="769"/>
      <c r="E116" s="769"/>
      <c r="F116" s="770"/>
      <c r="G116" s="336"/>
      <c r="H116" s="771"/>
      <c r="I116" s="770"/>
      <c r="J116" s="770"/>
      <c r="K116" s="772"/>
      <c r="L116" s="314"/>
      <c r="M116" s="314"/>
      <c r="N116" s="769"/>
      <c r="O116" s="769"/>
      <c r="P116" s="773"/>
      <c r="Q116" s="774"/>
      <c r="R116" s="774"/>
      <c r="S116" s="775"/>
      <c r="AH116" s="776"/>
      <c r="AI116" s="776"/>
      <c r="AJ116" s="732"/>
      <c r="AK116" s="732"/>
      <c r="AL116" s="776"/>
      <c r="AM116" s="776"/>
      <c r="AN116" s="17"/>
      <c r="AO116" s="17"/>
      <c r="AP116" s="17"/>
      <c r="AQ116" s="17"/>
      <c r="AR116" s="17"/>
      <c r="AS116" s="17"/>
      <c r="AT116" s="17"/>
      <c r="AU116" s="732"/>
      <c r="AV116" s="313"/>
      <c r="AW116" s="313"/>
      <c r="AX116" s="313"/>
      <c r="AY116" s="313"/>
      <c r="AZ116" s="313"/>
      <c r="BA116" s="313"/>
      <c r="BB116" s="313"/>
      <c r="BC116" s="313"/>
      <c r="BD116" s="313"/>
      <c r="BE116" s="314"/>
      <c r="BW116" s="314"/>
      <c r="BX116" s="314"/>
      <c r="BY116" s="314"/>
      <c r="BZ116" s="314"/>
      <c r="CA116" s="314"/>
      <c r="CB116" s="314"/>
      <c r="CC116" s="314"/>
      <c r="CD116" s="314"/>
    </row>
    <row r="117" ht="28.5" customHeight="1">
      <c r="A117" s="767"/>
      <c r="B117" s="768"/>
      <c r="C117" s="768"/>
      <c r="D117" s="769"/>
      <c r="E117" s="769"/>
      <c r="F117" s="770"/>
      <c r="G117" s="336"/>
      <c r="H117" s="771"/>
      <c r="I117" s="770"/>
      <c r="J117" s="770"/>
      <c r="K117" s="772"/>
      <c r="L117" s="314"/>
      <c r="M117" s="314"/>
      <c r="N117" s="769"/>
      <c r="O117" s="769"/>
      <c r="P117" s="773"/>
      <c r="Q117" s="774"/>
      <c r="R117" s="774"/>
      <c r="S117" s="775"/>
      <c r="AH117" s="776"/>
      <c r="AI117" s="776"/>
      <c r="AJ117" s="732"/>
      <c r="AK117" s="732"/>
      <c r="AL117" s="776"/>
      <c r="AM117" s="776"/>
      <c r="AN117" s="17"/>
      <c r="AO117" s="17"/>
      <c r="AP117" s="17"/>
      <c r="AQ117" s="17"/>
      <c r="AR117" s="17"/>
      <c r="AS117" s="17"/>
      <c r="AT117" s="17"/>
      <c r="AU117" s="732"/>
      <c r="AV117" s="313"/>
      <c r="AW117" s="313"/>
      <c r="AX117" s="313"/>
      <c r="AY117" s="313"/>
      <c r="AZ117" s="313"/>
      <c r="BA117" s="313"/>
      <c r="BB117" s="313"/>
      <c r="BC117" s="313"/>
      <c r="BD117" s="313"/>
      <c r="BE117" s="314"/>
      <c r="BW117" s="314"/>
      <c r="BX117" s="314"/>
      <c r="BY117" s="314"/>
      <c r="BZ117" s="314"/>
      <c r="CA117" s="314"/>
      <c r="CB117" s="314"/>
      <c r="CC117" s="314"/>
      <c r="CD117" s="314"/>
    </row>
    <row r="118" ht="28.5" customHeight="1">
      <c r="A118" s="767"/>
      <c r="B118" s="768"/>
      <c r="C118" s="768"/>
      <c r="D118" s="769"/>
      <c r="E118" s="769"/>
      <c r="F118" s="770"/>
      <c r="G118" s="336"/>
      <c r="H118" s="771"/>
      <c r="I118" s="770"/>
      <c r="J118" s="770"/>
      <c r="K118" s="772"/>
      <c r="L118" s="314"/>
      <c r="M118" s="314"/>
      <c r="N118" s="769"/>
      <c r="O118" s="769"/>
      <c r="P118" s="773"/>
      <c r="Q118" s="774"/>
      <c r="R118" s="774"/>
      <c r="S118" s="775"/>
      <c r="AH118" s="776"/>
      <c r="AI118" s="776"/>
      <c r="AJ118" s="732"/>
      <c r="AK118" s="732"/>
      <c r="AL118" s="776"/>
      <c r="AM118" s="776"/>
      <c r="AN118" s="17"/>
      <c r="AO118" s="17"/>
      <c r="AP118" s="17"/>
      <c r="AQ118" s="17"/>
      <c r="AR118" s="17"/>
      <c r="AS118" s="17"/>
      <c r="AT118" s="17"/>
      <c r="AU118" s="732"/>
      <c r="AV118" s="313"/>
      <c r="AW118" s="313"/>
      <c r="AX118" s="313"/>
      <c r="AY118" s="313"/>
      <c r="AZ118" s="313"/>
      <c r="BA118" s="313"/>
      <c r="BB118" s="313"/>
      <c r="BC118" s="313"/>
      <c r="BD118" s="313"/>
      <c r="BE118" s="314"/>
      <c r="BW118" s="314"/>
      <c r="BX118" s="314"/>
      <c r="BY118" s="314"/>
      <c r="BZ118" s="314"/>
      <c r="CA118" s="314"/>
      <c r="CB118" s="314"/>
      <c r="CC118" s="314"/>
      <c r="CD118" s="314"/>
    </row>
    <row r="119" ht="28.5" customHeight="1">
      <c r="A119" s="767"/>
      <c r="B119" s="768"/>
      <c r="C119" s="768"/>
      <c r="D119" s="769"/>
      <c r="E119" s="769"/>
      <c r="F119" s="770"/>
      <c r="G119" s="336"/>
      <c r="H119" s="771"/>
      <c r="I119" s="770"/>
      <c r="J119" s="770"/>
      <c r="K119" s="772"/>
      <c r="L119" s="314"/>
      <c r="M119" s="314"/>
      <c r="N119" s="769"/>
      <c r="O119" s="769"/>
      <c r="P119" s="773"/>
      <c r="Q119" s="774"/>
      <c r="R119" s="774"/>
      <c r="S119" s="775"/>
      <c r="AH119" s="776"/>
      <c r="AI119" s="776"/>
      <c r="AJ119" s="732"/>
      <c r="AK119" s="732"/>
      <c r="AL119" s="776"/>
      <c r="AM119" s="776"/>
      <c r="AN119" s="17"/>
      <c r="AO119" s="17"/>
      <c r="AP119" s="17"/>
      <c r="AQ119" s="17"/>
      <c r="AR119" s="17"/>
      <c r="AS119" s="17"/>
      <c r="AT119" s="17"/>
      <c r="AU119" s="732"/>
      <c r="AV119" s="313"/>
      <c r="AW119" s="313"/>
      <c r="AX119" s="313"/>
      <c r="AY119" s="313"/>
      <c r="AZ119" s="313"/>
      <c r="BA119" s="313"/>
      <c r="BB119" s="313"/>
      <c r="BC119" s="313"/>
      <c r="BD119" s="313"/>
      <c r="BE119" s="314"/>
      <c r="BW119" s="314"/>
      <c r="BX119" s="314"/>
      <c r="BY119" s="314"/>
      <c r="BZ119" s="314"/>
      <c r="CA119" s="314"/>
      <c r="CB119" s="314"/>
      <c r="CC119" s="314"/>
      <c r="CD119" s="314"/>
    </row>
    <row r="120" ht="28.5" customHeight="1">
      <c r="A120" s="767"/>
      <c r="B120" s="768"/>
      <c r="C120" s="768"/>
      <c r="D120" s="769"/>
      <c r="E120" s="769"/>
      <c r="F120" s="770"/>
      <c r="G120" s="336"/>
      <c r="H120" s="771"/>
      <c r="I120" s="770"/>
      <c r="J120" s="770"/>
      <c r="K120" s="772"/>
      <c r="L120" s="314"/>
      <c r="M120" s="314"/>
      <c r="N120" s="769"/>
      <c r="O120" s="769"/>
      <c r="P120" s="773"/>
      <c r="Q120" s="774"/>
      <c r="R120" s="774"/>
      <c r="S120" s="775"/>
      <c r="AH120" s="776"/>
      <c r="AI120" s="776"/>
      <c r="AJ120" s="732"/>
      <c r="AK120" s="732"/>
      <c r="AL120" s="776"/>
      <c r="AM120" s="776"/>
      <c r="AN120" s="17"/>
      <c r="AO120" s="17"/>
      <c r="AP120" s="17"/>
      <c r="AQ120" s="17"/>
      <c r="AR120" s="17"/>
      <c r="AS120" s="17"/>
      <c r="AT120" s="17"/>
      <c r="AU120" s="732"/>
      <c r="AV120" s="313"/>
      <c r="AW120" s="313"/>
      <c r="AX120" s="313"/>
      <c r="AY120" s="313"/>
      <c r="AZ120" s="313"/>
      <c r="BA120" s="313"/>
      <c r="BB120" s="313"/>
      <c r="BC120" s="313"/>
      <c r="BD120" s="313"/>
      <c r="BE120" s="314"/>
      <c r="BW120" s="314"/>
      <c r="BX120" s="314"/>
      <c r="BY120" s="314"/>
      <c r="BZ120" s="314"/>
      <c r="CA120" s="314"/>
      <c r="CB120" s="314"/>
      <c r="CC120" s="314"/>
      <c r="CD120" s="314"/>
    </row>
    <row r="121" ht="28.5" customHeight="1">
      <c r="A121" s="767"/>
      <c r="B121" s="768"/>
      <c r="C121" s="768"/>
      <c r="D121" s="769"/>
      <c r="E121" s="769"/>
      <c r="F121" s="770"/>
      <c r="G121" s="336"/>
      <c r="H121" s="771"/>
      <c r="I121" s="770"/>
      <c r="J121" s="770"/>
      <c r="K121" s="772"/>
      <c r="L121" s="314"/>
      <c r="M121" s="314"/>
      <c r="N121" s="769"/>
      <c r="O121" s="769"/>
      <c r="P121" s="773"/>
      <c r="Q121" s="774"/>
      <c r="R121" s="774"/>
      <c r="S121" s="775"/>
      <c r="AH121" s="776"/>
      <c r="AI121" s="776"/>
      <c r="AJ121" s="732"/>
      <c r="AK121" s="732"/>
      <c r="AL121" s="776"/>
      <c r="AM121" s="776"/>
      <c r="AN121" s="17"/>
      <c r="AO121" s="17"/>
      <c r="AP121" s="17"/>
      <c r="AQ121" s="17"/>
      <c r="AR121" s="17"/>
      <c r="AS121" s="17"/>
      <c r="AT121" s="17"/>
      <c r="AU121" s="732"/>
      <c r="AV121" s="313"/>
      <c r="AW121" s="313"/>
      <c r="AX121" s="313"/>
      <c r="AY121" s="313"/>
      <c r="AZ121" s="313"/>
      <c r="BA121" s="313"/>
      <c r="BB121" s="313"/>
      <c r="BC121" s="313"/>
      <c r="BD121" s="313"/>
      <c r="BE121" s="314"/>
      <c r="BW121" s="314"/>
      <c r="BX121" s="314"/>
      <c r="BY121" s="314"/>
      <c r="BZ121" s="314"/>
      <c r="CA121" s="314"/>
      <c r="CB121" s="314"/>
      <c r="CC121" s="314"/>
      <c r="CD121" s="314"/>
    </row>
    <row r="122" ht="28.5" customHeight="1">
      <c r="A122" s="767"/>
      <c r="B122" s="768"/>
      <c r="C122" s="768"/>
      <c r="D122" s="769"/>
      <c r="E122" s="769"/>
      <c r="F122" s="770"/>
      <c r="G122" s="336"/>
      <c r="H122" s="771"/>
      <c r="I122" s="770"/>
      <c r="J122" s="770"/>
      <c r="K122" s="772"/>
      <c r="L122" s="314"/>
      <c r="M122" s="314"/>
      <c r="N122" s="769"/>
      <c r="O122" s="769"/>
      <c r="P122" s="773"/>
      <c r="Q122" s="774"/>
      <c r="R122" s="774"/>
      <c r="S122" s="775"/>
      <c r="AH122" s="776"/>
      <c r="AI122" s="776"/>
      <c r="AJ122" s="732"/>
      <c r="AK122" s="732"/>
      <c r="AL122" s="776"/>
      <c r="AM122" s="776"/>
      <c r="AN122" s="17"/>
      <c r="AO122" s="17"/>
      <c r="AP122" s="17"/>
      <c r="AQ122" s="17"/>
      <c r="AR122" s="17"/>
      <c r="AS122" s="17"/>
      <c r="AT122" s="17"/>
      <c r="AU122" s="732"/>
      <c r="AV122" s="313"/>
      <c r="AW122" s="313"/>
      <c r="AX122" s="313"/>
      <c r="AY122" s="313"/>
      <c r="AZ122" s="313"/>
      <c r="BA122" s="313"/>
      <c r="BB122" s="313"/>
      <c r="BC122" s="313"/>
      <c r="BD122" s="313"/>
      <c r="BE122" s="314"/>
      <c r="BW122" s="314"/>
      <c r="BX122" s="314"/>
      <c r="BY122" s="314"/>
      <c r="BZ122" s="314"/>
      <c r="CA122" s="314"/>
      <c r="CB122" s="314"/>
      <c r="CC122" s="314"/>
      <c r="CD122" s="314"/>
    </row>
    <row r="123" ht="28.5" customHeight="1">
      <c r="A123" s="767"/>
      <c r="B123" s="768"/>
      <c r="C123" s="768"/>
      <c r="D123" s="769"/>
      <c r="E123" s="769"/>
      <c r="F123" s="770"/>
      <c r="G123" s="336"/>
      <c r="H123" s="771"/>
      <c r="I123" s="770"/>
      <c r="J123" s="770"/>
      <c r="K123" s="772"/>
      <c r="L123" s="314"/>
      <c r="M123" s="314"/>
      <c r="N123" s="769"/>
      <c r="O123" s="769"/>
      <c r="P123" s="773"/>
      <c r="Q123" s="774"/>
      <c r="R123" s="774"/>
      <c r="S123" s="775"/>
      <c r="AH123" s="776"/>
      <c r="AI123" s="776"/>
      <c r="AJ123" s="732"/>
      <c r="AK123" s="732"/>
      <c r="AL123" s="776"/>
      <c r="AM123" s="776"/>
      <c r="AN123" s="17"/>
      <c r="AO123" s="17"/>
      <c r="AP123" s="17"/>
      <c r="AQ123" s="17"/>
      <c r="AR123" s="17"/>
      <c r="AS123" s="17"/>
      <c r="AT123" s="17"/>
      <c r="AU123" s="732"/>
      <c r="AV123" s="313"/>
      <c r="AW123" s="313"/>
      <c r="AX123" s="313"/>
      <c r="AY123" s="313"/>
      <c r="AZ123" s="313"/>
      <c r="BA123" s="313"/>
      <c r="BB123" s="313"/>
      <c r="BC123" s="313"/>
      <c r="BD123" s="313"/>
      <c r="BE123" s="314"/>
      <c r="BW123" s="314"/>
      <c r="BX123" s="314"/>
      <c r="BY123" s="314"/>
      <c r="BZ123" s="314"/>
      <c r="CA123" s="314"/>
      <c r="CB123" s="314"/>
      <c r="CC123" s="314"/>
      <c r="CD123" s="314"/>
    </row>
    <row r="124" ht="28.5" customHeight="1">
      <c r="A124" s="767"/>
      <c r="B124" s="768"/>
      <c r="C124" s="768"/>
      <c r="D124" s="769"/>
      <c r="E124" s="769"/>
      <c r="F124" s="770"/>
      <c r="G124" s="336"/>
      <c r="H124" s="771"/>
      <c r="I124" s="770"/>
      <c r="J124" s="770"/>
      <c r="K124" s="772"/>
      <c r="L124" s="314"/>
      <c r="M124" s="314"/>
      <c r="N124" s="769"/>
      <c r="O124" s="769"/>
      <c r="P124" s="773"/>
      <c r="Q124" s="774"/>
      <c r="R124" s="774"/>
      <c r="S124" s="775"/>
      <c r="AH124" s="776"/>
      <c r="AI124" s="776"/>
      <c r="AJ124" s="732"/>
      <c r="AK124" s="732"/>
      <c r="AL124" s="776"/>
      <c r="AM124" s="776"/>
      <c r="AN124" s="17"/>
      <c r="AO124" s="17"/>
      <c r="AP124" s="17"/>
      <c r="AQ124" s="17"/>
      <c r="AR124" s="17"/>
      <c r="AS124" s="17"/>
      <c r="AT124" s="17"/>
      <c r="AU124" s="732"/>
      <c r="AV124" s="313"/>
      <c r="AW124" s="313"/>
      <c r="AX124" s="313"/>
      <c r="AY124" s="313"/>
      <c r="AZ124" s="313"/>
      <c r="BA124" s="313"/>
      <c r="BB124" s="313"/>
      <c r="BC124" s="313"/>
      <c r="BD124" s="313"/>
      <c r="BE124" s="314"/>
      <c r="BW124" s="314"/>
      <c r="BX124" s="314"/>
      <c r="BY124" s="314"/>
      <c r="BZ124" s="314"/>
      <c r="CA124" s="314"/>
      <c r="CB124" s="314"/>
      <c r="CC124" s="314"/>
      <c r="CD124" s="314"/>
    </row>
    <row r="125" ht="28.5" customHeight="1">
      <c r="A125" s="767"/>
      <c r="B125" s="768"/>
      <c r="C125" s="768"/>
      <c r="D125" s="769"/>
      <c r="E125" s="769"/>
      <c r="F125" s="770"/>
      <c r="G125" s="336"/>
      <c r="H125" s="771"/>
      <c r="I125" s="770"/>
      <c r="J125" s="770"/>
      <c r="K125" s="772"/>
      <c r="L125" s="314"/>
      <c r="M125" s="314"/>
      <c r="N125" s="769"/>
      <c r="O125" s="769"/>
      <c r="P125" s="773"/>
      <c r="Q125" s="774"/>
      <c r="R125" s="774"/>
      <c r="S125" s="775"/>
      <c r="AH125" s="776"/>
      <c r="AI125" s="776"/>
      <c r="AJ125" s="732"/>
      <c r="AK125" s="732"/>
      <c r="AL125" s="776"/>
      <c r="AM125" s="776"/>
      <c r="AN125" s="17"/>
      <c r="AO125" s="17"/>
      <c r="AP125" s="17"/>
      <c r="AQ125" s="17"/>
      <c r="AR125" s="17"/>
      <c r="AS125" s="17"/>
      <c r="AT125" s="17"/>
      <c r="AU125" s="732"/>
      <c r="AV125" s="313"/>
      <c r="AW125" s="313"/>
      <c r="AX125" s="313"/>
      <c r="AY125" s="313"/>
      <c r="AZ125" s="313"/>
      <c r="BA125" s="313"/>
      <c r="BB125" s="313"/>
      <c r="BC125" s="313"/>
      <c r="BD125" s="313"/>
      <c r="BE125" s="314"/>
      <c r="BW125" s="314"/>
      <c r="BX125" s="314"/>
      <c r="BY125" s="314"/>
      <c r="BZ125" s="314"/>
      <c r="CA125" s="314"/>
      <c r="CB125" s="314"/>
      <c r="CC125" s="314"/>
      <c r="CD125" s="314"/>
    </row>
    <row r="126" ht="28.5" customHeight="1">
      <c r="A126" s="767"/>
      <c r="B126" s="768"/>
      <c r="C126" s="768"/>
      <c r="D126" s="769"/>
      <c r="E126" s="769"/>
      <c r="F126" s="770"/>
      <c r="G126" s="336"/>
      <c r="H126" s="771"/>
      <c r="I126" s="770"/>
      <c r="J126" s="770"/>
      <c r="K126" s="772"/>
      <c r="L126" s="314"/>
      <c r="M126" s="314"/>
      <c r="N126" s="769"/>
      <c r="O126" s="769"/>
      <c r="P126" s="773"/>
      <c r="Q126" s="774"/>
      <c r="R126" s="774"/>
      <c r="S126" s="775"/>
      <c r="AH126" s="776"/>
      <c r="AI126" s="776"/>
      <c r="AJ126" s="732"/>
      <c r="AK126" s="732"/>
      <c r="AL126" s="776"/>
      <c r="AM126" s="776"/>
      <c r="AN126" s="17"/>
      <c r="AO126" s="17"/>
      <c r="AP126" s="17"/>
      <c r="AQ126" s="17"/>
      <c r="AR126" s="17"/>
      <c r="AS126" s="17"/>
      <c r="AT126" s="17"/>
      <c r="AU126" s="732"/>
      <c r="AV126" s="313"/>
      <c r="AW126" s="313"/>
      <c r="AX126" s="313"/>
      <c r="AY126" s="313"/>
      <c r="AZ126" s="313"/>
      <c r="BA126" s="313"/>
      <c r="BB126" s="313"/>
      <c r="BC126" s="313"/>
      <c r="BD126" s="313"/>
      <c r="BE126" s="314"/>
      <c r="BW126" s="314"/>
      <c r="BX126" s="314"/>
      <c r="BY126" s="314"/>
      <c r="BZ126" s="314"/>
      <c r="CA126" s="314"/>
      <c r="CB126" s="314"/>
      <c r="CC126" s="314"/>
      <c r="CD126" s="314"/>
    </row>
    <row r="127" ht="28.5" customHeight="1">
      <c r="A127" s="767"/>
      <c r="B127" s="768"/>
      <c r="C127" s="768"/>
      <c r="D127" s="769"/>
      <c r="E127" s="769"/>
      <c r="F127" s="770"/>
      <c r="G127" s="336"/>
      <c r="H127" s="771"/>
      <c r="I127" s="770"/>
      <c r="J127" s="770"/>
      <c r="K127" s="772"/>
      <c r="L127" s="314"/>
      <c r="M127" s="314"/>
      <c r="N127" s="769"/>
      <c r="O127" s="769"/>
      <c r="P127" s="773"/>
      <c r="Q127" s="774"/>
      <c r="R127" s="774"/>
      <c r="S127" s="775"/>
      <c r="AH127" s="776"/>
      <c r="AI127" s="776"/>
      <c r="AJ127" s="732"/>
      <c r="AK127" s="732"/>
      <c r="AL127" s="776"/>
      <c r="AM127" s="776"/>
      <c r="AN127" s="17"/>
      <c r="AO127" s="17"/>
      <c r="AP127" s="17"/>
      <c r="AQ127" s="17"/>
      <c r="AR127" s="17"/>
      <c r="AS127" s="17"/>
      <c r="AT127" s="17"/>
      <c r="AU127" s="732"/>
      <c r="AV127" s="313"/>
      <c r="AW127" s="313"/>
      <c r="AX127" s="313"/>
      <c r="AY127" s="313"/>
      <c r="AZ127" s="313"/>
      <c r="BA127" s="313"/>
      <c r="BB127" s="313"/>
      <c r="BC127" s="313"/>
      <c r="BD127" s="313"/>
      <c r="BE127" s="314"/>
      <c r="BW127" s="314"/>
      <c r="BX127" s="314"/>
      <c r="BY127" s="314"/>
      <c r="BZ127" s="314"/>
      <c r="CA127" s="314"/>
      <c r="CB127" s="314"/>
      <c r="CC127" s="314"/>
      <c r="CD127" s="314"/>
    </row>
    <row r="128" ht="28.5" customHeight="1">
      <c r="A128" s="767"/>
      <c r="B128" s="768"/>
      <c r="C128" s="768"/>
      <c r="D128" s="769"/>
      <c r="E128" s="769"/>
      <c r="F128" s="770"/>
      <c r="G128" s="336"/>
      <c r="H128" s="771"/>
      <c r="I128" s="770"/>
      <c r="J128" s="770"/>
      <c r="K128" s="772"/>
      <c r="L128" s="314"/>
      <c r="M128" s="314"/>
      <c r="N128" s="769"/>
      <c r="O128" s="769"/>
      <c r="P128" s="773"/>
      <c r="Q128" s="774"/>
      <c r="R128" s="774"/>
      <c r="S128" s="775"/>
      <c r="AH128" s="776"/>
      <c r="AI128" s="776"/>
      <c r="AJ128" s="732"/>
      <c r="AK128" s="732"/>
      <c r="AL128" s="776"/>
      <c r="AM128" s="776"/>
      <c r="AN128" s="17"/>
      <c r="AO128" s="17"/>
      <c r="AP128" s="17"/>
      <c r="AQ128" s="17"/>
      <c r="AR128" s="17"/>
      <c r="AS128" s="17"/>
      <c r="AT128" s="17"/>
      <c r="AU128" s="732"/>
      <c r="AV128" s="313"/>
      <c r="AW128" s="313"/>
      <c r="AX128" s="313"/>
      <c r="AY128" s="313"/>
      <c r="AZ128" s="313"/>
      <c r="BA128" s="313"/>
      <c r="BB128" s="313"/>
      <c r="BC128" s="313"/>
      <c r="BD128" s="313"/>
      <c r="BE128" s="314"/>
      <c r="BW128" s="314"/>
      <c r="BX128" s="314"/>
      <c r="BY128" s="314"/>
      <c r="BZ128" s="314"/>
      <c r="CA128" s="314"/>
      <c r="CB128" s="314"/>
      <c r="CC128" s="314"/>
      <c r="CD128" s="314"/>
    </row>
    <row r="129" ht="28.5" customHeight="1">
      <c r="A129" s="767"/>
      <c r="B129" s="768"/>
      <c r="C129" s="768"/>
      <c r="D129" s="769"/>
      <c r="E129" s="769"/>
      <c r="F129" s="770"/>
      <c r="G129" s="336"/>
      <c r="H129" s="771"/>
      <c r="I129" s="770"/>
      <c r="J129" s="770"/>
      <c r="K129" s="772"/>
      <c r="L129" s="314"/>
      <c r="M129" s="314"/>
      <c r="N129" s="769"/>
      <c r="O129" s="769"/>
      <c r="P129" s="773"/>
      <c r="Q129" s="774"/>
      <c r="R129" s="774"/>
      <c r="S129" s="775"/>
      <c r="AH129" s="776"/>
      <c r="AI129" s="776"/>
      <c r="AJ129" s="732"/>
      <c r="AK129" s="732"/>
      <c r="AL129" s="776"/>
      <c r="AM129" s="776"/>
      <c r="AN129" s="17"/>
      <c r="AO129" s="17"/>
      <c r="AP129" s="17"/>
      <c r="AQ129" s="17"/>
      <c r="AR129" s="17"/>
      <c r="AS129" s="17"/>
      <c r="AT129" s="17"/>
      <c r="AU129" s="732"/>
      <c r="AV129" s="313"/>
      <c r="AW129" s="313"/>
      <c r="AX129" s="313"/>
      <c r="AY129" s="313"/>
      <c r="AZ129" s="313"/>
      <c r="BA129" s="313"/>
      <c r="BB129" s="313"/>
      <c r="BC129" s="313"/>
      <c r="BD129" s="313"/>
      <c r="BE129" s="314"/>
      <c r="BW129" s="314"/>
      <c r="BX129" s="314"/>
      <c r="BY129" s="314"/>
      <c r="BZ129" s="314"/>
      <c r="CA129" s="314"/>
      <c r="CB129" s="314"/>
      <c r="CC129" s="314"/>
      <c r="CD129" s="314"/>
    </row>
    <row r="130" ht="28.5" customHeight="1">
      <c r="A130" s="767"/>
      <c r="B130" s="768"/>
      <c r="C130" s="768"/>
      <c r="D130" s="769"/>
      <c r="E130" s="769"/>
      <c r="F130" s="770"/>
      <c r="G130" s="336"/>
      <c r="H130" s="771"/>
      <c r="I130" s="770"/>
      <c r="J130" s="770"/>
      <c r="K130" s="772"/>
      <c r="L130" s="314"/>
      <c r="M130" s="314"/>
      <c r="N130" s="769"/>
      <c r="O130" s="769"/>
      <c r="P130" s="773"/>
      <c r="Q130" s="774"/>
      <c r="R130" s="774"/>
      <c r="S130" s="775"/>
      <c r="AH130" s="776"/>
      <c r="AI130" s="776"/>
      <c r="AJ130" s="732"/>
      <c r="AK130" s="732"/>
      <c r="AL130" s="776"/>
      <c r="AM130" s="776"/>
      <c r="AN130" s="17"/>
      <c r="AO130" s="17"/>
      <c r="AP130" s="17"/>
      <c r="AQ130" s="17"/>
      <c r="AR130" s="17"/>
      <c r="AS130" s="17"/>
      <c r="AT130" s="17"/>
      <c r="AU130" s="732"/>
      <c r="AV130" s="313"/>
      <c r="AW130" s="313"/>
      <c r="AX130" s="313"/>
      <c r="AY130" s="313"/>
      <c r="AZ130" s="313"/>
      <c r="BA130" s="313"/>
      <c r="BB130" s="313"/>
      <c r="BC130" s="313"/>
      <c r="BD130" s="313"/>
      <c r="BE130" s="314"/>
      <c r="BW130" s="314"/>
      <c r="BX130" s="314"/>
      <c r="BY130" s="314"/>
      <c r="BZ130" s="314"/>
      <c r="CA130" s="314"/>
      <c r="CB130" s="314"/>
      <c r="CC130" s="314"/>
      <c r="CD130" s="314"/>
    </row>
    <row r="131" ht="28.5" customHeight="1">
      <c r="A131" s="767"/>
      <c r="B131" s="768"/>
      <c r="C131" s="768"/>
      <c r="D131" s="769"/>
      <c r="E131" s="769"/>
      <c r="F131" s="770"/>
      <c r="G131" s="336"/>
      <c r="H131" s="771"/>
      <c r="I131" s="770"/>
      <c r="J131" s="770"/>
      <c r="K131" s="772"/>
      <c r="L131" s="314"/>
      <c r="M131" s="314"/>
      <c r="N131" s="769"/>
      <c r="O131" s="769"/>
      <c r="P131" s="773"/>
      <c r="Q131" s="774"/>
      <c r="R131" s="774"/>
      <c r="S131" s="775"/>
      <c r="AH131" s="776"/>
      <c r="AI131" s="776"/>
      <c r="AJ131" s="732"/>
      <c r="AK131" s="732"/>
      <c r="AL131" s="776"/>
      <c r="AM131" s="776"/>
      <c r="AN131" s="17"/>
      <c r="AO131" s="17"/>
      <c r="AP131" s="17"/>
      <c r="AQ131" s="17"/>
      <c r="AR131" s="17"/>
      <c r="AS131" s="17"/>
      <c r="AT131" s="17"/>
      <c r="AU131" s="732"/>
      <c r="AV131" s="313"/>
      <c r="AW131" s="313"/>
      <c r="AX131" s="313"/>
      <c r="AY131" s="313"/>
      <c r="AZ131" s="313"/>
      <c r="BA131" s="313"/>
      <c r="BB131" s="313"/>
      <c r="BC131" s="313"/>
      <c r="BD131" s="313"/>
      <c r="BE131" s="314"/>
      <c r="BW131" s="314"/>
      <c r="BX131" s="314"/>
      <c r="BY131" s="314"/>
      <c r="BZ131" s="314"/>
      <c r="CA131" s="314"/>
      <c r="CB131" s="314"/>
      <c r="CC131" s="314"/>
      <c r="CD131" s="314"/>
    </row>
    <row r="132" ht="28.5" customHeight="1">
      <c r="A132" s="767"/>
      <c r="B132" s="768"/>
      <c r="C132" s="768"/>
      <c r="D132" s="769"/>
      <c r="E132" s="769"/>
      <c r="F132" s="770"/>
      <c r="G132" s="336"/>
      <c r="H132" s="771"/>
      <c r="I132" s="770"/>
      <c r="J132" s="770"/>
      <c r="K132" s="772"/>
      <c r="L132" s="314"/>
      <c r="M132" s="314"/>
      <c r="N132" s="769"/>
      <c r="O132" s="769"/>
      <c r="P132" s="773"/>
      <c r="Q132" s="774"/>
      <c r="R132" s="774"/>
      <c r="S132" s="775"/>
      <c r="AH132" s="776"/>
      <c r="AI132" s="776"/>
      <c r="AJ132" s="732"/>
      <c r="AK132" s="732"/>
      <c r="AL132" s="776"/>
      <c r="AM132" s="776"/>
      <c r="AN132" s="17"/>
      <c r="AO132" s="17"/>
      <c r="AP132" s="17"/>
      <c r="AQ132" s="17"/>
      <c r="AR132" s="17"/>
      <c r="AS132" s="17"/>
      <c r="AT132" s="17"/>
      <c r="AU132" s="732"/>
      <c r="AV132" s="313"/>
      <c r="AW132" s="313"/>
      <c r="AX132" s="313"/>
      <c r="AY132" s="313"/>
      <c r="AZ132" s="313"/>
      <c r="BA132" s="313"/>
      <c r="BB132" s="313"/>
      <c r="BC132" s="313"/>
      <c r="BD132" s="313"/>
      <c r="BE132" s="314"/>
      <c r="BW132" s="314"/>
      <c r="BX132" s="314"/>
      <c r="BY132" s="314"/>
      <c r="BZ132" s="314"/>
      <c r="CA132" s="314"/>
      <c r="CB132" s="314"/>
      <c r="CC132" s="314"/>
      <c r="CD132" s="314"/>
    </row>
    <row r="133" ht="28.5" customHeight="1">
      <c r="A133" s="767"/>
      <c r="B133" s="768"/>
      <c r="C133" s="768"/>
      <c r="D133" s="769"/>
      <c r="E133" s="769"/>
      <c r="F133" s="770"/>
      <c r="G133" s="336"/>
      <c r="H133" s="771"/>
      <c r="I133" s="770"/>
      <c r="J133" s="770"/>
      <c r="K133" s="772"/>
      <c r="L133" s="314"/>
      <c r="M133" s="314"/>
      <c r="N133" s="769"/>
      <c r="O133" s="769"/>
      <c r="P133" s="773"/>
      <c r="Q133" s="774"/>
      <c r="R133" s="774"/>
      <c r="S133" s="775"/>
      <c r="AH133" s="776"/>
      <c r="AI133" s="776"/>
      <c r="AJ133" s="732"/>
      <c r="AK133" s="732"/>
      <c r="AL133" s="776"/>
      <c r="AM133" s="776"/>
      <c r="AN133" s="17"/>
      <c r="AO133" s="17"/>
      <c r="AP133" s="17"/>
      <c r="AQ133" s="17"/>
      <c r="AR133" s="17"/>
      <c r="AS133" s="17"/>
      <c r="AT133" s="17"/>
      <c r="AU133" s="732"/>
      <c r="AV133" s="313"/>
      <c r="AW133" s="313"/>
      <c r="AX133" s="313"/>
      <c r="AY133" s="313"/>
      <c r="AZ133" s="313"/>
      <c r="BA133" s="313"/>
      <c r="BB133" s="313"/>
      <c r="BC133" s="313"/>
      <c r="BD133" s="313"/>
      <c r="BE133" s="314"/>
      <c r="BW133" s="314"/>
      <c r="BX133" s="314"/>
      <c r="BY133" s="314"/>
      <c r="BZ133" s="314"/>
      <c r="CA133" s="314"/>
      <c r="CB133" s="314"/>
      <c r="CC133" s="314"/>
      <c r="CD133" s="314"/>
    </row>
    <row r="134" ht="28.5" customHeight="1">
      <c r="A134" s="767"/>
      <c r="B134" s="768"/>
      <c r="C134" s="768"/>
      <c r="D134" s="769"/>
      <c r="E134" s="769"/>
      <c r="F134" s="770"/>
      <c r="G134" s="336"/>
      <c r="H134" s="771"/>
      <c r="I134" s="770"/>
      <c r="J134" s="770"/>
      <c r="K134" s="772"/>
      <c r="L134" s="314"/>
      <c r="M134" s="314"/>
      <c r="N134" s="769"/>
      <c r="O134" s="769"/>
      <c r="P134" s="773"/>
      <c r="Q134" s="774"/>
      <c r="R134" s="774"/>
      <c r="S134" s="775"/>
      <c r="AH134" s="776"/>
      <c r="AI134" s="776"/>
      <c r="AJ134" s="732"/>
      <c r="AK134" s="732"/>
      <c r="AL134" s="776"/>
      <c r="AM134" s="776"/>
      <c r="AN134" s="17"/>
      <c r="AO134" s="17"/>
      <c r="AP134" s="17"/>
      <c r="AQ134" s="17"/>
      <c r="AR134" s="17"/>
      <c r="AS134" s="17"/>
      <c r="AT134" s="17"/>
      <c r="AU134" s="732"/>
      <c r="AV134" s="313"/>
      <c r="AW134" s="313"/>
      <c r="AX134" s="313"/>
      <c r="AY134" s="313"/>
      <c r="AZ134" s="313"/>
      <c r="BA134" s="313"/>
      <c r="BB134" s="313"/>
      <c r="BC134" s="313"/>
      <c r="BD134" s="313"/>
      <c r="BE134" s="314"/>
      <c r="BW134" s="314"/>
      <c r="BX134" s="314"/>
      <c r="BY134" s="314"/>
      <c r="BZ134" s="314"/>
      <c r="CA134" s="314"/>
      <c r="CB134" s="314"/>
      <c r="CC134" s="314"/>
      <c r="CD134" s="314"/>
    </row>
    <row r="135" ht="28.5" customHeight="1">
      <c r="A135" s="767"/>
      <c r="B135" s="768"/>
      <c r="C135" s="768"/>
      <c r="D135" s="769"/>
      <c r="E135" s="769"/>
      <c r="F135" s="770"/>
      <c r="G135" s="336"/>
      <c r="H135" s="771"/>
      <c r="I135" s="770"/>
      <c r="J135" s="770"/>
      <c r="K135" s="772"/>
      <c r="L135" s="314"/>
      <c r="M135" s="314"/>
      <c r="N135" s="769"/>
      <c r="O135" s="769"/>
      <c r="P135" s="773"/>
      <c r="Q135" s="774"/>
      <c r="R135" s="774"/>
      <c r="S135" s="775"/>
      <c r="AH135" s="776"/>
      <c r="AI135" s="776"/>
      <c r="AJ135" s="732"/>
      <c r="AK135" s="732"/>
      <c r="AL135" s="776"/>
      <c r="AM135" s="776"/>
      <c r="AN135" s="17"/>
      <c r="AO135" s="17"/>
      <c r="AP135" s="17"/>
      <c r="AQ135" s="17"/>
      <c r="AR135" s="17"/>
      <c r="AS135" s="17"/>
      <c r="AT135" s="17"/>
      <c r="AU135" s="732"/>
      <c r="AV135" s="313"/>
      <c r="AW135" s="313"/>
      <c r="AX135" s="313"/>
      <c r="AY135" s="313"/>
      <c r="AZ135" s="313"/>
      <c r="BA135" s="313"/>
      <c r="BB135" s="313"/>
      <c r="BC135" s="313"/>
      <c r="BD135" s="313"/>
      <c r="BE135" s="314"/>
      <c r="BW135" s="314"/>
      <c r="BX135" s="314"/>
      <c r="BY135" s="314"/>
      <c r="BZ135" s="314"/>
      <c r="CA135" s="314"/>
      <c r="CB135" s="314"/>
      <c r="CC135" s="314"/>
      <c r="CD135" s="314"/>
    </row>
    <row r="136" ht="28.5" customHeight="1">
      <c r="A136" s="767"/>
      <c r="B136" s="768"/>
      <c r="C136" s="768"/>
      <c r="D136" s="769"/>
      <c r="E136" s="769"/>
      <c r="F136" s="770"/>
      <c r="G136" s="336"/>
      <c r="H136" s="771"/>
      <c r="I136" s="770"/>
      <c r="J136" s="770"/>
      <c r="K136" s="772"/>
      <c r="L136" s="314"/>
      <c r="M136" s="314"/>
      <c r="N136" s="769"/>
      <c r="O136" s="769"/>
      <c r="P136" s="773"/>
      <c r="Q136" s="774"/>
      <c r="R136" s="774"/>
      <c r="S136" s="775"/>
      <c r="AH136" s="776"/>
      <c r="AI136" s="776"/>
      <c r="AJ136" s="732"/>
      <c r="AK136" s="732"/>
      <c r="AL136" s="776"/>
      <c r="AM136" s="776"/>
      <c r="AN136" s="17"/>
      <c r="AO136" s="17"/>
      <c r="AP136" s="17"/>
      <c r="AQ136" s="17"/>
      <c r="AR136" s="17"/>
      <c r="AS136" s="17"/>
      <c r="AT136" s="17"/>
      <c r="AU136" s="732"/>
      <c r="AV136" s="313"/>
      <c r="AW136" s="313"/>
      <c r="AX136" s="313"/>
      <c r="AY136" s="313"/>
      <c r="AZ136" s="313"/>
      <c r="BA136" s="313"/>
      <c r="BB136" s="313"/>
      <c r="BC136" s="313"/>
      <c r="BD136" s="313"/>
      <c r="BE136" s="314"/>
      <c r="BW136" s="314"/>
      <c r="BX136" s="314"/>
      <c r="BY136" s="314"/>
      <c r="BZ136" s="314"/>
      <c r="CA136" s="314"/>
      <c r="CB136" s="314"/>
      <c r="CC136" s="314"/>
      <c r="CD136" s="314"/>
    </row>
    <row r="137" ht="28.5" customHeight="1">
      <c r="A137" s="767"/>
      <c r="B137" s="768"/>
      <c r="C137" s="768"/>
      <c r="D137" s="769"/>
      <c r="E137" s="769"/>
      <c r="F137" s="770"/>
      <c r="G137" s="336"/>
      <c r="H137" s="771"/>
      <c r="I137" s="770"/>
      <c r="J137" s="770"/>
      <c r="K137" s="772"/>
      <c r="L137" s="314"/>
      <c r="M137" s="314"/>
      <c r="N137" s="769"/>
      <c r="O137" s="769"/>
      <c r="P137" s="773"/>
      <c r="Q137" s="774"/>
      <c r="R137" s="774"/>
      <c r="S137" s="775"/>
      <c r="AH137" s="776"/>
      <c r="AI137" s="776"/>
      <c r="AJ137" s="732"/>
      <c r="AK137" s="732"/>
      <c r="AL137" s="776"/>
      <c r="AM137" s="776"/>
      <c r="AN137" s="17"/>
      <c r="AO137" s="17"/>
      <c r="AP137" s="17"/>
      <c r="AQ137" s="17"/>
      <c r="AR137" s="17"/>
      <c r="AS137" s="17"/>
      <c r="AT137" s="17"/>
      <c r="AU137" s="732"/>
      <c r="AV137" s="313"/>
      <c r="AW137" s="313"/>
      <c r="AX137" s="313"/>
      <c r="AY137" s="313"/>
      <c r="AZ137" s="313"/>
      <c r="BA137" s="313"/>
      <c r="BB137" s="313"/>
      <c r="BC137" s="313"/>
      <c r="BD137" s="313"/>
      <c r="BE137" s="314"/>
      <c r="BW137" s="314"/>
      <c r="BX137" s="314"/>
      <c r="BY137" s="314"/>
      <c r="BZ137" s="314"/>
      <c r="CA137" s="314"/>
      <c r="CB137" s="314"/>
      <c r="CC137" s="314"/>
      <c r="CD137" s="314"/>
    </row>
    <row r="138" ht="28.5" customHeight="1">
      <c r="A138" s="767"/>
      <c r="B138" s="768"/>
      <c r="C138" s="768"/>
      <c r="D138" s="769"/>
      <c r="E138" s="769"/>
      <c r="F138" s="770"/>
      <c r="G138" s="336"/>
      <c r="H138" s="771"/>
      <c r="I138" s="770"/>
      <c r="J138" s="770"/>
      <c r="K138" s="772"/>
      <c r="L138" s="314"/>
      <c r="M138" s="314"/>
      <c r="N138" s="769"/>
      <c r="O138" s="769"/>
      <c r="P138" s="773"/>
      <c r="Q138" s="774"/>
      <c r="R138" s="774"/>
      <c r="S138" s="775"/>
      <c r="AH138" s="776"/>
      <c r="AI138" s="776"/>
      <c r="AJ138" s="732"/>
      <c r="AK138" s="732"/>
      <c r="AL138" s="776"/>
      <c r="AM138" s="776"/>
      <c r="AN138" s="17"/>
      <c r="AO138" s="17"/>
      <c r="AP138" s="17"/>
      <c r="AQ138" s="17"/>
      <c r="AR138" s="17"/>
      <c r="AS138" s="17"/>
      <c r="AT138" s="17"/>
      <c r="AU138" s="732"/>
      <c r="AV138" s="313"/>
      <c r="AW138" s="313"/>
      <c r="AX138" s="313"/>
      <c r="AY138" s="313"/>
      <c r="AZ138" s="313"/>
      <c r="BA138" s="313"/>
      <c r="BB138" s="313"/>
      <c r="BC138" s="313"/>
      <c r="BD138" s="313"/>
      <c r="BE138" s="314"/>
      <c r="BW138" s="314"/>
      <c r="BX138" s="314"/>
      <c r="BY138" s="314"/>
      <c r="BZ138" s="314"/>
      <c r="CA138" s="314"/>
      <c r="CB138" s="314"/>
      <c r="CC138" s="314"/>
      <c r="CD138" s="314"/>
    </row>
    <row r="139" ht="28.5" customHeight="1">
      <c r="A139" s="767"/>
      <c r="B139" s="768"/>
      <c r="C139" s="768"/>
      <c r="D139" s="769"/>
      <c r="E139" s="769"/>
      <c r="F139" s="770"/>
      <c r="G139" s="336"/>
      <c r="H139" s="771"/>
      <c r="I139" s="770"/>
      <c r="J139" s="770"/>
      <c r="K139" s="772"/>
      <c r="L139" s="314"/>
      <c r="M139" s="314"/>
      <c r="N139" s="769"/>
      <c r="O139" s="769"/>
      <c r="P139" s="773"/>
      <c r="Q139" s="774"/>
      <c r="R139" s="774"/>
      <c r="S139" s="775"/>
      <c r="AH139" s="776"/>
      <c r="AI139" s="776"/>
      <c r="AJ139" s="732"/>
      <c r="AK139" s="732"/>
      <c r="AL139" s="776"/>
      <c r="AM139" s="776"/>
      <c r="AN139" s="17"/>
      <c r="AO139" s="17"/>
      <c r="AP139" s="17"/>
      <c r="AQ139" s="17"/>
      <c r="AR139" s="17"/>
      <c r="AS139" s="17"/>
      <c r="AT139" s="17"/>
      <c r="AU139" s="732"/>
      <c r="AV139" s="313"/>
      <c r="AW139" s="313"/>
      <c r="AX139" s="313"/>
      <c r="AY139" s="313"/>
      <c r="AZ139" s="313"/>
      <c r="BA139" s="313"/>
      <c r="BB139" s="313"/>
      <c r="BC139" s="313"/>
      <c r="BD139" s="313"/>
      <c r="BE139" s="314"/>
      <c r="BW139" s="314"/>
      <c r="BX139" s="314"/>
      <c r="BY139" s="314"/>
      <c r="BZ139" s="314"/>
      <c r="CA139" s="314"/>
      <c r="CB139" s="314"/>
      <c r="CC139" s="314"/>
      <c r="CD139" s="314"/>
    </row>
    <row r="140" ht="28.5" customHeight="1">
      <c r="A140" s="767"/>
      <c r="B140" s="768"/>
      <c r="C140" s="768"/>
      <c r="D140" s="769"/>
      <c r="E140" s="769"/>
      <c r="F140" s="770"/>
      <c r="G140" s="336"/>
      <c r="H140" s="771"/>
      <c r="I140" s="770"/>
      <c r="J140" s="770"/>
      <c r="K140" s="772"/>
      <c r="L140" s="314"/>
      <c r="M140" s="314"/>
      <c r="N140" s="769"/>
      <c r="O140" s="769"/>
      <c r="P140" s="773"/>
      <c r="Q140" s="774"/>
      <c r="R140" s="774"/>
      <c r="S140" s="775"/>
      <c r="AH140" s="776"/>
      <c r="AI140" s="776"/>
      <c r="AJ140" s="732"/>
      <c r="AK140" s="732"/>
      <c r="AL140" s="776"/>
      <c r="AM140" s="776"/>
      <c r="AN140" s="17"/>
      <c r="AO140" s="17"/>
      <c r="AP140" s="17"/>
      <c r="AQ140" s="17"/>
      <c r="AR140" s="17"/>
      <c r="AS140" s="17"/>
      <c r="AT140" s="17"/>
      <c r="AU140" s="732"/>
      <c r="AV140" s="313"/>
      <c r="AW140" s="313"/>
      <c r="AX140" s="313"/>
      <c r="AY140" s="313"/>
      <c r="AZ140" s="313"/>
      <c r="BA140" s="313"/>
      <c r="BB140" s="313"/>
      <c r="BC140" s="313"/>
      <c r="BD140" s="313"/>
      <c r="BE140" s="314"/>
      <c r="BW140" s="314"/>
      <c r="BX140" s="314"/>
      <c r="BY140" s="314"/>
      <c r="BZ140" s="314"/>
      <c r="CA140" s="314"/>
      <c r="CB140" s="314"/>
      <c r="CC140" s="314"/>
      <c r="CD140" s="314"/>
    </row>
    <row r="141" ht="28.5" customHeight="1">
      <c r="A141" s="767"/>
      <c r="B141" s="768"/>
      <c r="C141" s="768"/>
      <c r="D141" s="769"/>
      <c r="E141" s="769"/>
      <c r="F141" s="770"/>
      <c r="G141" s="336"/>
      <c r="H141" s="771"/>
      <c r="I141" s="770"/>
      <c r="J141" s="770"/>
      <c r="K141" s="772"/>
      <c r="L141" s="314"/>
      <c r="M141" s="314"/>
      <c r="N141" s="769"/>
      <c r="O141" s="769"/>
      <c r="P141" s="773"/>
      <c r="Q141" s="774"/>
      <c r="R141" s="774"/>
      <c r="S141" s="775"/>
      <c r="AH141" s="776"/>
      <c r="AI141" s="776"/>
      <c r="AJ141" s="732"/>
      <c r="AK141" s="732"/>
      <c r="AL141" s="776"/>
      <c r="AM141" s="776"/>
      <c r="AN141" s="17"/>
      <c r="AO141" s="17"/>
      <c r="AP141" s="17"/>
      <c r="AQ141" s="17"/>
      <c r="AR141" s="17"/>
      <c r="AS141" s="17"/>
      <c r="AT141" s="17"/>
      <c r="AU141" s="732"/>
      <c r="AV141" s="313"/>
      <c r="AW141" s="313"/>
      <c r="AX141" s="313"/>
      <c r="AY141" s="313"/>
      <c r="AZ141" s="313"/>
      <c r="BA141" s="313"/>
      <c r="BB141" s="313"/>
      <c r="BC141" s="313"/>
      <c r="BD141" s="313"/>
      <c r="BE141" s="314"/>
      <c r="BW141" s="314"/>
      <c r="BX141" s="314"/>
      <c r="BY141" s="314"/>
      <c r="BZ141" s="314"/>
      <c r="CA141" s="314"/>
      <c r="CB141" s="314"/>
      <c r="CC141" s="314"/>
      <c r="CD141" s="314"/>
    </row>
    <row r="142" ht="28.5" customHeight="1">
      <c r="A142" s="767"/>
      <c r="B142" s="768"/>
      <c r="C142" s="768"/>
      <c r="D142" s="769"/>
      <c r="E142" s="769"/>
      <c r="F142" s="770"/>
      <c r="G142" s="336"/>
      <c r="H142" s="771"/>
      <c r="I142" s="770"/>
      <c r="J142" s="770"/>
      <c r="K142" s="772"/>
      <c r="L142" s="314"/>
      <c r="M142" s="314"/>
      <c r="N142" s="769"/>
      <c r="O142" s="769"/>
      <c r="P142" s="773"/>
      <c r="Q142" s="774"/>
      <c r="R142" s="774"/>
      <c r="S142" s="775"/>
      <c r="AH142" s="776"/>
      <c r="AI142" s="776"/>
      <c r="AJ142" s="732"/>
      <c r="AK142" s="732"/>
      <c r="AL142" s="776"/>
      <c r="AM142" s="776"/>
      <c r="AN142" s="17"/>
      <c r="AO142" s="17"/>
      <c r="AP142" s="17"/>
      <c r="AQ142" s="17"/>
      <c r="AR142" s="17"/>
      <c r="AS142" s="17"/>
      <c r="AT142" s="17"/>
      <c r="AU142" s="732"/>
      <c r="AV142" s="313"/>
      <c r="AW142" s="313"/>
      <c r="AX142" s="313"/>
      <c r="AY142" s="313"/>
      <c r="AZ142" s="313"/>
      <c r="BA142" s="313"/>
      <c r="BB142" s="313"/>
      <c r="BC142" s="313"/>
      <c r="BD142" s="313"/>
      <c r="BE142" s="314"/>
      <c r="BW142" s="314"/>
      <c r="BX142" s="314"/>
      <c r="BY142" s="314"/>
      <c r="BZ142" s="314"/>
      <c r="CA142" s="314"/>
      <c r="CB142" s="314"/>
      <c r="CC142" s="314"/>
      <c r="CD142" s="314"/>
    </row>
    <row r="143" ht="28.5" customHeight="1">
      <c r="A143" s="767"/>
      <c r="B143" s="768"/>
      <c r="C143" s="768"/>
      <c r="D143" s="769"/>
      <c r="E143" s="769"/>
      <c r="F143" s="770"/>
      <c r="G143" s="336"/>
      <c r="H143" s="771"/>
      <c r="I143" s="770"/>
      <c r="J143" s="770"/>
      <c r="K143" s="772"/>
      <c r="L143" s="314"/>
      <c r="M143" s="314"/>
      <c r="N143" s="769"/>
      <c r="O143" s="769"/>
      <c r="P143" s="773"/>
      <c r="Q143" s="774"/>
      <c r="R143" s="774"/>
      <c r="S143" s="775"/>
      <c r="AH143" s="776"/>
      <c r="AI143" s="776"/>
      <c r="AJ143" s="732"/>
      <c r="AK143" s="732"/>
      <c r="AL143" s="776"/>
      <c r="AM143" s="776"/>
      <c r="AN143" s="17"/>
      <c r="AO143" s="17"/>
      <c r="AP143" s="17"/>
      <c r="AQ143" s="17"/>
      <c r="AR143" s="17"/>
      <c r="AS143" s="17"/>
      <c r="AT143" s="17"/>
      <c r="AU143" s="732"/>
      <c r="AV143" s="313"/>
      <c r="AW143" s="313"/>
      <c r="AX143" s="313"/>
      <c r="AY143" s="313"/>
      <c r="AZ143" s="313"/>
      <c r="BA143" s="313"/>
      <c r="BB143" s="313"/>
      <c r="BC143" s="313"/>
      <c r="BD143" s="313"/>
      <c r="BE143" s="314"/>
      <c r="BW143" s="314"/>
      <c r="BX143" s="314"/>
      <c r="BY143" s="314"/>
      <c r="BZ143" s="314"/>
      <c r="CA143" s="314"/>
      <c r="CB143" s="314"/>
      <c r="CC143" s="314"/>
      <c r="CD143" s="314"/>
    </row>
    <row r="144" ht="28.5" customHeight="1">
      <c r="A144" s="767"/>
      <c r="B144" s="768"/>
      <c r="C144" s="768"/>
      <c r="D144" s="769"/>
      <c r="E144" s="769"/>
      <c r="F144" s="770"/>
      <c r="G144" s="336"/>
      <c r="H144" s="771"/>
      <c r="I144" s="770"/>
      <c r="J144" s="770"/>
      <c r="K144" s="772"/>
      <c r="L144" s="314"/>
      <c r="M144" s="314"/>
      <c r="N144" s="769"/>
      <c r="O144" s="769"/>
      <c r="P144" s="773"/>
      <c r="Q144" s="774"/>
      <c r="R144" s="774"/>
      <c r="S144" s="775"/>
      <c r="AH144" s="776"/>
      <c r="AI144" s="776"/>
      <c r="AJ144" s="732"/>
      <c r="AK144" s="732"/>
      <c r="AL144" s="776"/>
      <c r="AM144" s="776"/>
      <c r="AN144" s="17"/>
      <c r="AO144" s="17"/>
      <c r="AP144" s="17"/>
      <c r="AQ144" s="17"/>
      <c r="AR144" s="17"/>
      <c r="AS144" s="17"/>
      <c r="AT144" s="17"/>
      <c r="AU144" s="732"/>
      <c r="AV144" s="313"/>
      <c r="AW144" s="313"/>
      <c r="AX144" s="313"/>
      <c r="AY144" s="313"/>
      <c r="AZ144" s="313"/>
      <c r="BA144" s="313"/>
      <c r="BB144" s="313"/>
      <c r="BC144" s="313"/>
      <c r="BD144" s="313"/>
      <c r="BE144" s="314"/>
      <c r="BW144" s="314"/>
      <c r="BX144" s="314"/>
      <c r="BY144" s="314"/>
      <c r="BZ144" s="314"/>
      <c r="CA144" s="314"/>
      <c r="CB144" s="314"/>
      <c r="CC144" s="314"/>
      <c r="CD144" s="314"/>
    </row>
    <row r="145" ht="28.5" customHeight="1">
      <c r="A145" s="767"/>
      <c r="B145" s="768"/>
      <c r="C145" s="768"/>
      <c r="D145" s="769"/>
      <c r="E145" s="769"/>
      <c r="F145" s="770"/>
      <c r="G145" s="336"/>
      <c r="H145" s="771"/>
      <c r="I145" s="770"/>
      <c r="J145" s="770"/>
      <c r="K145" s="772"/>
      <c r="L145" s="314"/>
      <c r="M145" s="314"/>
      <c r="N145" s="769"/>
      <c r="O145" s="769"/>
      <c r="P145" s="773"/>
      <c r="Q145" s="774"/>
      <c r="R145" s="774"/>
      <c r="S145" s="775"/>
      <c r="AH145" s="776"/>
      <c r="AI145" s="776"/>
      <c r="AJ145" s="732"/>
      <c r="AK145" s="732"/>
      <c r="AL145" s="776"/>
      <c r="AM145" s="776"/>
      <c r="AN145" s="17"/>
      <c r="AO145" s="17"/>
      <c r="AP145" s="17"/>
      <c r="AQ145" s="17"/>
      <c r="AR145" s="17"/>
      <c r="AS145" s="17"/>
      <c r="AT145" s="17"/>
      <c r="AU145" s="732"/>
      <c r="AV145" s="313"/>
      <c r="AW145" s="313"/>
      <c r="AX145" s="313"/>
      <c r="AY145" s="313"/>
      <c r="AZ145" s="313"/>
      <c r="BA145" s="313"/>
      <c r="BB145" s="313"/>
      <c r="BC145" s="313"/>
      <c r="BD145" s="313"/>
      <c r="BE145" s="314"/>
      <c r="BW145" s="314"/>
      <c r="BX145" s="314"/>
      <c r="BY145" s="314"/>
      <c r="BZ145" s="314"/>
      <c r="CA145" s="314"/>
      <c r="CB145" s="314"/>
      <c r="CC145" s="314"/>
      <c r="CD145" s="314"/>
    </row>
    <row r="146" ht="28.5" customHeight="1">
      <c r="A146" s="767"/>
      <c r="B146" s="768"/>
      <c r="C146" s="768"/>
      <c r="D146" s="769"/>
      <c r="E146" s="769"/>
      <c r="F146" s="770"/>
      <c r="G146" s="336"/>
      <c r="H146" s="771"/>
      <c r="I146" s="770"/>
      <c r="J146" s="770"/>
      <c r="K146" s="772"/>
      <c r="L146" s="314"/>
      <c r="M146" s="314"/>
      <c r="N146" s="769"/>
      <c r="O146" s="769"/>
      <c r="P146" s="773"/>
      <c r="Q146" s="774"/>
      <c r="R146" s="774"/>
      <c r="S146" s="775"/>
      <c r="AH146" s="776"/>
      <c r="AI146" s="776"/>
      <c r="AJ146" s="732"/>
      <c r="AK146" s="732"/>
      <c r="AL146" s="776"/>
      <c r="AM146" s="776"/>
      <c r="AN146" s="17"/>
      <c r="AO146" s="17"/>
      <c r="AP146" s="17"/>
      <c r="AQ146" s="17"/>
      <c r="AR146" s="17"/>
      <c r="AS146" s="17"/>
      <c r="AT146" s="17"/>
      <c r="AU146" s="732"/>
      <c r="AV146" s="313"/>
      <c r="AW146" s="313"/>
      <c r="AX146" s="313"/>
      <c r="AY146" s="313"/>
      <c r="AZ146" s="313"/>
      <c r="BA146" s="313"/>
      <c r="BB146" s="313"/>
      <c r="BC146" s="313"/>
      <c r="BD146" s="313"/>
      <c r="BE146" s="314"/>
      <c r="BW146" s="314"/>
      <c r="BX146" s="314"/>
      <c r="BY146" s="314"/>
      <c r="BZ146" s="314"/>
      <c r="CA146" s="314"/>
      <c r="CB146" s="314"/>
      <c r="CC146" s="314"/>
      <c r="CD146" s="314"/>
    </row>
    <row r="147" ht="28.5" customHeight="1">
      <c r="A147" s="767"/>
      <c r="B147" s="768"/>
      <c r="C147" s="768"/>
      <c r="D147" s="769"/>
      <c r="E147" s="769"/>
      <c r="F147" s="770"/>
      <c r="G147" s="336"/>
      <c r="H147" s="771"/>
      <c r="I147" s="770"/>
      <c r="J147" s="770"/>
      <c r="K147" s="772"/>
      <c r="L147" s="314"/>
      <c r="M147" s="314"/>
      <c r="N147" s="769"/>
      <c r="O147" s="769"/>
      <c r="P147" s="773"/>
      <c r="Q147" s="774"/>
      <c r="R147" s="774"/>
      <c r="S147" s="775"/>
      <c r="AH147" s="776"/>
      <c r="AI147" s="776"/>
      <c r="AJ147" s="732"/>
      <c r="AK147" s="732"/>
      <c r="AL147" s="776"/>
      <c r="AM147" s="776"/>
      <c r="AN147" s="17"/>
      <c r="AO147" s="17"/>
      <c r="AP147" s="17"/>
      <c r="AQ147" s="17"/>
      <c r="AR147" s="17"/>
      <c r="AS147" s="17"/>
      <c r="AT147" s="17"/>
      <c r="AU147" s="732"/>
      <c r="AV147" s="313"/>
      <c r="AW147" s="313"/>
      <c r="AX147" s="313"/>
      <c r="AY147" s="313"/>
      <c r="AZ147" s="313"/>
      <c r="BA147" s="313"/>
      <c r="BB147" s="313"/>
      <c r="BC147" s="313"/>
      <c r="BD147" s="313"/>
      <c r="BE147" s="314"/>
      <c r="BW147" s="314"/>
      <c r="BX147" s="314"/>
      <c r="BY147" s="314"/>
      <c r="BZ147" s="314"/>
      <c r="CA147" s="314"/>
      <c r="CB147" s="314"/>
      <c r="CC147" s="314"/>
      <c r="CD147" s="314"/>
    </row>
    <row r="148" ht="28.5" customHeight="1">
      <c r="A148" s="767"/>
      <c r="B148" s="768"/>
      <c r="C148" s="768"/>
      <c r="D148" s="769"/>
      <c r="E148" s="769"/>
      <c r="F148" s="770"/>
      <c r="G148" s="336"/>
      <c r="H148" s="771"/>
      <c r="I148" s="770"/>
      <c r="J148" s="770"/>
      <c r="K148" s="772"/>
      <c r="L148" s="314"/>
      <c r="M148" s="314"/>
      <c r="N148" s="769"/>
      <c r="O148" s="769"/>
      <c r="P148" s="773"/>
      <c r="Q148" s="774"/>
      <c r="R148" s="774"/>
      <c r="S148" s="775"/>
      <c r="AH148" s="776"/>
      <c r="AI148" s="776"/>
      <c r="AJ148" s="732"/>
      <c r="AK148" s="732"/>
      <c r="AL148" s="776"/>
      <c r="AM148" s="776"/>
      <c r="AN148" s="17"/>
      <c r="AO148" s="17"/>
      <c r="AP148" s="17"/>
      <c r="AQ148" s="17"/>
      <c r="AR148" s="17"/>
      <c r="AS148" s="17"/>
      <c r="AT148" s="17"/>
      <c r="AU148" s="732"/>
      <c r="AV148" s="313"/>
      <c r="AW148" s="313"/>
      <c r="AX148" s="313"/>
      <c r="AY148" s="313"/>
      <c r="AZ148" s="313"/>
      <c r="BA148" s="313"/>
      <c r="BB148" s="313"/>
      <c r="BC148" s="313"/>
      <c r="BD148" s="313"/>
      <c r="BE148" s="314"/>
      <c r="BW148" s="314"/>
      <c r="BX148" s="314"/>
      <c r="BY148" s="314"/>
      <c r="BZ148" s="314"/>
      <c r="CA148" s="314"/>
      <c r="CB148" s="314"/>
      <c r="CC148" s="314"/>
      <c r="CD148" s="314"/>
    </row>
    <row r="149" ht="28.5" customHeight="1">
      <c r="A149" s="767"/>
      <c r="B149" s="768"/>
      <c r="C149" s="768"/>
      <c r="D149" s="769"/>
      <c r="E149" s="769"/>
      <c r="F149" s="770"/>
      <c r="G149" s="336"/>
      <c r="H149" s="771"/>
      <c r="I149" s="770"/>
      <c r="J149" s="770"/>
      <c r="K149" s="772"/>
      <c r="L149" s="314"/>
      <c r="M149" s="314"/>
      <c r="N149" s="769"/>
      <c r="O149" s="769"/>
      <c r="P149" s="773"/>
      <c r="Q149" s="774"/>
      <c r="R149" s="774"/>
      <c r="S149" s="775"/>
      <c r="AH149" s="776"/>
      <c r="AI149" s="776"/>
      <c r="AJ149" s="732"/>
      <c r="AK149" s="732"/>
      <c r="AL149" s="776"/>
      <c r="AM149" s="776"/>
      <c r="AN149" s="17"/>
      <c r="AO149" s="17"/>
      <c r="AP149" s="17"/>
      <c r="AQ149" s="17"/>
      <c r="AR149" s="17"/>
      <c r="AS149" s="17"/>
      <c r="AT149" s="17"/>
      <c r="AU149" s="732"/>
      <c r="AV149" s="313"/>
      <c r="AW149" s="313"/>
      <c r="AX149" s="313"/>
      <c r="AY149" s="313"/>
      <c r="AZ149" s="313"/>
      <c r="BA149" s="313"/>
      <c r="BB149" s="313"/>
      <c r="BC149" s="313"/>
      <c r="BD149" s="313"/>
      <c r="BE149" s="314"/>
      <c r="BW149" s="314"/>
      <c r="BX149" s="314"/>
      <c r="BY149" s="314"/>
      <c r="BZ149" s="314"/>
      <c r="CA149" s="314"/>
      <c r="CB149" s="314"/>
      <c r="CC149" s="314"/>
      <c r="CD149" s="314"/>
    </row>
    <row r="150" ht="28.5" customHeight="1">
      <c r="A150" s="767"/>
      <c r="B150" s="768"/>
      <c r="C150" s="768"/>
      <c r="D150" s="769"/>
      <c r="E150" s="769"/>
      <c r="F150" s="770"/>
      <c r="G150" s="336"/>
      <c r="H150" s="771"/>
      <c r="I150" s="770"/>
      <c r="J150" s="770"/>
      <c r="K150" s="772"/>
      <c r="L150" s="314"/>
      <c r="M150" s="314"/>
      <c r="N150" s="769"/>
      <c r="O150" s="769"/>
      <c r="P150" s="773"/>
      <c r="Q150" s="774"/>
      <c r="R150" s="774"/>
      <c r="S150" s="775"/>
      <c r="AH150" s="776"/>
      <c r="AI150" s="776"/>
      <c r="AJ150" s="732"/>
      <c r="AK150" s="732"/>
      <c r="AL150" s="776"/>
      <c r="AM150" s="776"/>
      <c r="AN150" s="17"/>
      <c r="AO150" s="17"/>
      <c r="AP150" s="17"/>
      <c r="AQ150" s="17"/>
      <c r="AR150" s="17"/>
      <c r="AS150" s="17"/>
      <c r="AT150" s="17"/>
      <c r="AU150" s="732"/>
      <c r="AV150" s="313"/>
      <c r="AW150" s="313"/>
      <c r="AX150" s="313"/>
      <c r="AY150" s="313"/>
      <c r="AZ150" s="313"/>
      <c r="BA150" s="313"/>
      <c r="BB150" s="313"/>
      <c r="BC150" s="313"/>
      <c r="BD150" s="313"/>
      <c r="BE150" s="314"/>
      <c r="BW150" s="314"/>
      <c r="BX150" s="314"/>
      <c r="BY150" s="314"/>
      <c r="BZ150" s="314"/>
      <c r="CA150" s="314"/>
      <c r="CB150" s="314"/>
      <c r="CC150" s="314"/>
      <c r="CD150" s="314"/>
    </row>
    <row r="151" ht="28.5" customHeight="1">
      <c r="A151" s="767"/>
      <c r="B151" s="768"/>
      <c r="C151" s="768"/>
      <c r="D151" s="769"/>
      <c r="E151" s="769"/>
      <c r="F151" s="770"/>
      <c r="G151" s="336"/>
      <c r="H151" s="771"/>
      <c r="I151" s="770"/>
      <c r="J151" s="770"/>
      <c r="K151" s="772"/>
      <c r="L151" s="314"/>
      <c r="M151" s="314"/>
      <c r="N151" s="769"/>
      <c r="O151" s="769"/>
      <c r="P151" s="773"/>
      <c r="Q151" s="774"/>
      <c r="R151" s="774"/>
      <c r="S151" s="775"/>
      <c r="AH151" s="776"/>
      <c r="AI151" s="776"/>
      <c r="AJ151" s="732"/>
      <c r="AK151" s="732"/>
      <c r="AL151" s="776"/>
      <c r="AM151" s="776"/>
      <c r="AN151" s="17"/>
      <c r="AO151" s="17"/>
      <c r="AP151" s="17"/>
      <c r="AQ151" s="17"/>
      <c r="AR151" s="17"/>
      <c r="AS151" s="17"/>
      <c r="AT151" s="17"/>
      <c r="AU151" s="732"/>
      <c r="AV151" s="313"/>
      <c r="AW151" s="313"/>
      <c r="AX151" s="313"/>
      <c r="AY151" s="313"/>
      <c r="AZ151" s="313"/>
      <c r="BA151" s="313"/>
      <c r="BB151" s="313"/>
      <c r="BC151" s="313"/>
      <c r="BD151" s="313"/>
      <c r="BE151" s="314"/>
      <c r="BW151" s="314"/>
      <c r="BX151" s="314"/>
      <c r="BY151" s="314"/>
      <c r="BZ151" s="314"/>
      <c r="CA151" s="314"/>
      <c r="CB151" s="314"/>
      <c r="CC151" s="314"/>
      <c r="CD151" s="314"/>
    </row>
    <row r="152" ht="28.5" customHeight="1">
      <c r="A152" s="767"/>
      <c r="B152" s="768"/>
      <c r="C152" s="768"/>
      <c r="D152" s="769"/>
      <c r="E152" s="769"/>
      <c r="F152" s="770"/>
      <c r="G152" s="336"/>
      <c r="H152" s="771"/>
      <c r="I152" s="770"/>
      <c r="J152" s="770"/>
      <c r="K152" s="772"/>
      <c r="L152" s="314"/>
      <c r="M152" s="314"/>
      <c r="N152" s="769"/>
      <c r="O152" s="769"/>
      <c r="P152" s="773"/>
      <c r="Q152" s="774"/>
      <c r="R152" s="774"/>
      <c r="S152" s="775"/>
      <c r="AH152" s="776"/>
      <c r="AI152" s="776"/>
      <c r="AJ152" s="732"/>
      <c r="AK152" s="732"/>
      <c r="AL152" s="776"/>
      <c r="AM152" s="776"/>
      <c r="AN152" s="17"/>
      <c r="AO152" s="17"/>
      <c r="AP152" s="17"/>
      <c r="AQ152" s="17"/>
      <c r="AR152" s="17"/>
      <c r="AS152" s="17"/>
      <c r="AT152" s="17"/>
      <c r="AU152" s="732"/>
      <c r="AV152" s="313"/>
      <c r="AW152" s="313"/>
      <c r="AX152" s="313"/>
      <c r="AY152" s="313"/>
      <c r="AZ152" s="313"/>
      <c r="BA152" s="313"/>
      <c r="BB152" s="313"/>
      <c r="BC152" s="313"/>
      <c r="BD152" s="313"/>
      <c r="BE152" s="314"/>
      <c r="BW152" s="314"/>
      <c r="BX152" s="314"/>
      <c r="BY152" s="314"/>
      <c r="BZ152" s="314"/>
      <c r="CA152" s="314"/>
      <c r="CB152" s="314"/>
      <c r="CC152" s="314"/>
      <c r="CD152" s="314"/>
    </row>
    <row r="153" ht="28.5" customHeight="1">
      <c r="A153" s="767"/>
      <c r="B153" s="768"/>
      <c r="C153" s="768"/>
      <c r="D153" s="769"/>
      <c r="E153" s="769"/>
      <c r="F153" s="770"/>
      <c r="G153" s="336"/>
      <c r="H153" s="771"/>
      <c r="I153" s="770"/>
      <c r="J153" s="770"/>
      <c r="K153" s="772"/>
      <c r="L153" s="314"/>
      <c r="M153" s="314"/>
      <c r="N153" s="769"/>
      <c r="O153" s="769"/>
      <c r="P153" s="773"/>
      <c r="Q153" s="774"/>
      <c r="R153" s="774"/>
      <c r="S153" s="775"/>
      <c r="AH153" s="776"/>
      <c r="AI153" s="776"/>
      <c r="AJ153" s="732"/>
      <c r="AK153" s="732"/>
      <c r="AL153" s="776"/>
      <c r="AM153" s="776"/>
      <c r="AN153" s="17"/>
      <c r="AO153" s="17"/>
      <c r="AP153" s="17"/>
      <c r="AQ153" s="17"/>
      <c r="AR153" s="17"/>
      <c r="AS153" s="17"/>
      <c r="AT153" s="17"/>
      <c r="AU153" s="732"/>
      <c r="AV153" s="313"/>
      <c r="AW153" s="313"/>
      <c r="AX153" s="313"/>
      <c r="AY153" s="313"/>
      <c r="AZ153" s="313"/>
      <c r="BA153" s="313"/>
      <c r="BB153" s="313"/>
      <c r="BC153" s="313"/>
      <c r="BD153" s="313"/>
      <c r="BE153" s="314"/>
      <c r="BW153" s="314"/>
      <c r="BX153" s="314"/>
      <c r="BY153" s="314"/>
      <c r="BZ153" s="314"/>
      <c r="CA153" s="314"/>
      <c r="CB153" s="314"/>
      <c r="CC153" s="314"/>
      <c r="CD153" s="314"/>
    </row>
    <row r="154" ht="28.5" customHeight="1">
      <c r="A154" s="767"/>
      <c r="B154" s="768"/>
      <c r="C154" s="768"/>
      <c r="D154" s="769"/>
      <c r="E154" s="769"/>
      <c r="F154" s="770"/>
      <c r="G154" s="336"/>
      <c r="H154" s="771"/>
      <c r="I154" s="770"/>
      <c r="J154" s="770"/>
      <c r="K154" s="772"/>
      <c r="L154" s="314"/>
      <c r="M154" s="314"/>
      <c r="N154" s="769"/>
      <c r="O154" s="769"/>
      <c r="P154" s="773"/>
      <c r="Q154" s="774"/>
      <c r="R154" s="774"/>
      <c r="S154" s="775"/>
      <c r="AH154" s="776"/>
      <c r="AI154" s="776"/>
      <c r="AJ154" s="732"/>
      <c r="AK154" s="732"/>
      <c r="AL154" s="776"/>
      <c r="AM154" s="776"/>
      <c r="AN154" s="17"/>
      <c r="AO154" s="17"/>
      <c r="AP154" s="17"/>
      <c r="AQ154" s="17"/>
      <c r="AR154" s="17"/>
      <c r="AS154" s="17"/>
      <c r="AT154" s="17"/>
      <c r="AU154" s="732"/>
      <c r="AV154" s="313"/>
      <c r="AW154" s="313"/>
      <c r="AX154" s="313"/>
      <c r="AY154" s="313"/>
      <c r="AZ154" s="313"/>
      <c r="BA154" s="313"/>
      <c r="BB154" s="313"/>
      <c r="BC154" s="313"/>
      <c r="BD154" s="313"/>
      <c r="BE154" s="314"/>
      <c r="BW154" s="314"/>
      <c r="BX154" s="314"/>
      <c r="BY154" s="314"/>
      <c r="BZ154" s="314"/>
      <c r="CA154" s="314"/>
      <c r="CB154" s="314"/>
      <c r="CC154" s="314"/>
      <c r="CD154" s="314"/>
    </row>
    <row r="155" ht="28.5" customHeight="1">
      <c r="A155" s="767"/>
      <c r="B155" s="768"/>
      <c r="C155" s="768"/>
      <c r="D155" s="769"/>
      <c r="E155" s="769"/>
      <c r="F155" s="770"/>
      <c r="G155" s="336"/>
      <c r="H155" s="771"/>
      <c r="I155" s="770"/>
      <c r="J155" s="770"/>
      <c r="K155" s="772"/>
      <c r="L155" s="314"/>
      <c r="M155" s="314"/>
      <c r="N155" s="769"/>
      <c r="O155" s="769"/>
      <c r="P155" s="773"/>
      <c r="Q155" s="774"/>
      <c r="R155" s="774"/>
      <c r="S155" s="775"/>
      <c r="AH155" s="776"/>
      <c r="AI155" s="776"/>
      <c r="AJ155" s="732"/>
      <c r="AK155" s="732"/>
      <c r="AL155" s="776"/>
      <c r="AM155" s="776"/>
      <c r="AN155" s="17"/>
      <c r="AO155" s="17"/>
      <c r="AP155" s="17"/>
      <c r="AQ155" s="17"/>
      <c r="AR155" s="17"/>
      <c r="AS155" s="17"/>
      <c r="AT155" s="17"/>
      <c r="AU155" s="732"/>
      <c r="AV155" s="313"/>
      <c r="AW155" s="313"/>
      <c r="AX155" s="313"/>
      <c r="AY155" s="313"/>
      <c r="AZ155" s="313"/>
      <c r="BA155" s="313"/>
      <c r="BB155" s="313"/>
      <c r="BC155" s="313"/>
      <c r="BD155" s="313"/>
      <c r="BE155" s="314"/>
      <c r="BW155" s="314"/>
      <c r="BX155" s="314"/>
      <c r="BY155" s="314"/>
      <c r="BZ155" s="314"/>
      <c r="CA155" s="314"/>
      <c r="CB155" s="314"/>
      <c r="CC155" s="314"/>
      <c r="CD155" s="314"/>
    </row>
    <row r="156" ht="28.5" customHeight="1">
      <c r="A156" s="767"/>
      <c r="B156" s="768"/>
      <c r="C156" s="768"/>
      <c r="D156" s="769"/>
      <c r="E156" s="769"/>
      <c r="F156" s="770"/>
      <c r="G156" s="336"/>
      <c r="H156" s="771"/>
      <c r="I156" s="770"/>
      <c r="J156" s="770"/>
      <c r="K156" s="772"/>
      <c r="L156" s="314"/>
      <c r="M156" s="314"/>
      <c r="N156" s="769"/>
      <c r="O156" s="769"/>
      <c r="P156" s="773"/>
      <c r="Q156" s="774"/>
      <c r="R156" s="774"/>
      <c r="S156" s="775"/>
      <c r="AH156" s="776"/>
      <c r="AI156" s="776"/>
      <c r="AJ156" s="732"/>
      <c r="AK156" s="732"/>
      <c r="AL156" s="776"/>
      <c r="AM156" s="776"/>
      <c r="AN156" s="17"/>
      <c r="AO156" s="17"/>
      <c r="AP156" s="17"/>
      <c r="AQ156" s="17"/>
      <c r="AR156" s="17"/>
      <c r="AS156" s="17"/>
      <c r="AT156" s="17"/>
      <c r="AU156" s="732"/>
      <c r="AV156" s="313"/>
      <c r="AW156" s="313"/>
      <c r="AX156" s="313"/>
      <c r="AY156" s="313"/>
      <c r="AZ156" s="313"/>
      <c r="BA156" s="313"/>
      <c r="BB156" s="313"/>
      <c r="BC156" s="313"/>
      <c r="BD156" s="313"/>
      <c r="BE156" s="314"/>
      <c r="BW156" s="314"/>
      <c r="BX156" s="314"/>
      <c r="BY156" s="314"/>
      <c r="BZ156" s="314"/>
      <c r="CA156" s="314"/>
      <c r="CB156" s="314"/>
      <c r="CC156" s="314"/>
      <c r="CD156" s="314"/>
    </row>
    <row r="157" ht="28.5" customHeight="1">
      <c r="A157" s="767"/>
      <c r="B157" s="768"/>
      <c r="C157" s="768"/>
      <c r="D157" s="769"/>
      <c r="E157" s="769"/>
      <c r="F157" s="770"/>
      <c r="G157" s="336"/>
      <c r="H157" s="771"/>
      <c r="I157" s="770"/>
      <c r="J157" s="770"/>
      <c r="K157" s="772"/>
      <c r="L157" s="314"/>
      <c r="M157" s="314"/>
      <c r="N157" s="769"/>
      <c r="O157" s="769"/>
      <c r="P157" s="773"/>
      <c r="Q157" s="774"/>
      <c r="R157" s="774"/>
      <c r="S157" s="775"/>
      <c r="AH157" s="776"/>
      <c r="AI157" s="776"/>
      <c r="AJ157" s="732"/>
      <c r="AK157" s="732"/>
      <c r="AL157" s="776"/>
      <c r="AM157" s="776"/>
      <c r="AN157" s="17"/>
      <c r="AO157" s="17"/>
      <c r="AP157" s="17"/>
      <c r="AQ157" s="17"/>
      <c r="AR157" s="17"/>
      <c r="AS157" s="17"/>
      <c r="AT157" s="17"/>
      <c r="AU157" s="732"/>
      <c r="AV157" s="313"/>
      <c r="AW157" s="313"/>
      <c r="AX157" s="313"/>
      <c r="AY157" s="313"/>
      <c r="AZ157" s="313"/>
      <c r="BA157" s="313"/>
      <c r="BB157" s="313"/>
      <c r="BC157" s="313"/>
      <c r="BD157" s="313"/>
      <c r="BE157" s="314"/>
      <c r="BW157" s="314"/>
      <c r="BX157" s="314"/>
      <c r="BY157" s="314"/>
      <c r="BZ157" s="314"/>
      <c r="CA157" s="314"/>
      <c r="CB157" s="314"/>
      <c r="CC157" s="314"/>
      <c r="CD157" s="314"/>
    </row>
    <row r="158" ht="28.5" customHeight="1">
      <c r="A158" s="767"/>
      <c r="B158" s="768"/>
      <c r="C158" s="768"/>
      <c r="D158" s="769"/>
      <c r="E158" s="769"/>
      <c r="F158" s="770"/>
      <c r="G158" s="336"/>
      <c r="H158" s="771"/>
      <c r="I158" s="770"/>
      <c r="J158" s="770"/>
      <c r="K158" s="772"/>
      <c r="L158" s="314"/>
      <c r="M158" s="314"/>
      <c r="N158" s="769"/>
      <c r="O158" s="769"/>
      <c r="P158" s="773"/>
      <c r="Q158" s="774"/>
      <c r="R158" s="774"/>
      <c r="S158" s="775"/>
      <c r="AH158" s="776"/>
      <c r="AI158" s="776"/>
      <c r="AJ158" s="732"/>
      <c r="AK158" s="732"/>
      <c r="AL158" s="776"/>
      <c r="AM158" s="776"/>
      <c r="AN158" s="17"/>
      <c r="AO158" s="17"/>
      <c r="AP158" s="17"/>
      <c r="AQ158" s="17"/>
      <c r="AR158" s="17"/>
      <c r="AS158" s="17"/>
      <c r="AT158" s="17"/>
      <c r="AU158" s="732"/>
      <c r="AV158" s="313"/>
      <c r="AW158" s="313"/>
      <c r="AX158" s="313"/>
      <c r="AY158" s="313"/>
      <c r="AZ158" s="313"/>
      <c r="BA158" s="313"/>
      <c r="BB158" s="313"/>
      <c r="BC158" s="313"/>
      <c r="BD158" s="313"/>
      <c r="BE158" s="314"/>
      <c r="BW158" s="314"/>
      <c r="BX158" s="314"/>
      <c r="BY158" s="314"/>
      <c r="BZ158" s="314"/>
      <c r="CA158" s="314"/>
      <c r="CB158" s="314"/>
      <c r="CC158" s="314"/>
      <c r="CD158" s="314"/>
    </row>
    <row r="159" ht="28.5" customHeight="1">
      <c r="A159" s="767"/>
      <c r="B159" s="768"/>
      <c r="C159" s="768"/>
      <c r="D159" s="769"/>
      <c r="E159" s="769"/>
      <c r="F159" s="770"/>
      <c r="G159" s="336"/>
      <c r="H159" s="771"/>
      <c r="I159" s="770"/>
      <c r="J159" s="770"/>
      <c r="K159" s="772"/>
      <c r="L159" s="314"/>
      <c r="M159" s="314"/>
      <c r="N159" s="769"/>
      <c r="O159" s="769"/>
      <c r="P159" s="773"/>
      <c r="Q159" s="774"/>
      <c r="R159" s="774"/>
      <c r="S159" s="775"/>
      <c r="AH159" s="776"/>
      <c r="AI159" s="776"/>
      <c r="AJ159" s="732"/>
      <c r="AK159" s="732"/>
      <c r="AL159" s="776"/>
      <c r="AM159" s="776"/>
      <c r="AN159" s="17"/>
      <c r="AO159" s="17"/>
      <c r="AP159" s="17"/>
      <c r="AQ159" s="17"/>
      <c r="AR159" s="17"/>
      <c r="AS159" s="17"/>
      <c r="AT159" s="17"/>
      <c r="AU159" s="732"/>
      <c r="AV159" s="313"/>
      <c r="AW159" s="313"/>
      <c r="AX159" s="313"/>
      <c r="AY159" s="313"/>
      <c r="AZ159" s="313"/>
      <c r="BA159" s="313"/>
      <c r="BB159" s="313"/>
      <c r="BC159" s="313"/>
      <c r="BD159" s="313"/>
      <c r="BE159" s="314"/>
      <c r="BW159" s="314"/>
      <c r="BX159" s="314"/>
      <c r="BY159" s="314"/>
      <c r="BZ159" s="314"/>
      <c r="CA159" s="314"/>
      <c r="CB159" s="314"/>
      <c r="CC159" s="314"/>
      <c r="CD159" s="314"/>
    </row>
    <row r="160" ht="28.5" customHeight="1">
      <c r="A160" s="767"/>
      <c r="B160" s="768"/>
      <c r="C160" s="768"/>
      <c r="D160" s="769"/>
      <c r="E160" s="769"/>
      <c r="F160" s="770"/>
      <c r="G160" s="336"/>
      <c r="H160" s="771"/>
      <c r="I160" s="770"/>
      <c r="J160" s="770"/>
      <c r="K160" s="772"/>
      <c r="L160" s="314"/>
      <c r="M160" s="314"/>
      <c r="N160" s="769"/>
      <c r="O160" s="769"/>
      <c r="P160" s="773"/>
      <c r="Q160" s="774"/>
      <c r="R160" s="774"/>
      <c r="S160" s="775"/>
      <c r="AH160" s="776"/>
      <c r="AI160" s="776"/>
      <c r="AJ160" s="732"/>
      <c r="AK160" s="732"/>
      <c r="AL160" s="776"/>
      <c r="AM160" s="776"/>
      <c r="AN160" s="17"/>
      <c r="AO160" s="17"/>
      <c r="AP160" s="17"/>
      <c r="AQ160" s="17"/>
      <c r="AR160" s="17"/>
      <c r="AS160" s="17"/>
      <c r="AT160" s="17"/>
      <c r="AU160" s="732"/>
      <c r="AV160" s="313"/>
      <c r="AW160" s="313"/>
      <c r="AX160" s="313"/>
      <c r="AY160" s="313"/>
      <c r="AZ160" s="313"/>
      <c r="BA160" s="313"/>
      <c r="BB160" s="313"/>
      <c r="BC160" s="313"/>
      <c r="BD160" s="313"/>
      <c r="BE160" s="314"/>
      <c r="BW160" s="314"/>
      <c r="BX160" s="314"/>
      <c r="BY160" s="314"/>
      <c r="BZ160" s="314"/>
      <c r="CA160" s="314"/>
      <c r="CB160" s="314"/>
      <c r="CC160" s="314"/>
      <c r="CD160" s="314"/>
    </row>
    <row r="161" ht="28.5" customHeight="1">
      <c r="A161" s="767"/>
      <c r="B161" s="768"/>
      <c r="C161" s="768"/>
      <c r="D161" s="769"/>
      <c r="E161" s="769"/>
      <c r="F161" s="770"/>
      <c r="G161" s="336"/>
      <c r="H161" s="771"/>
      <c r="I161" s="770"/>
      <c r="J161" s="770"/>
      <c r="K161" s="772"/>
      <c r="L161" s="314"/>
      <c r="M161" s="314"/>
      <c r="N161" s="769"/>
      <c r="O161" s="769"/>
      <c r="P161" s="773"/>
      <c r="Q161" s="774"/>
      <c r="R161" s="774"/>
      <c r="S161" s="775"/>
      <c r="AH161" s="776"/>
      <c r="AI161" s="776"/>
      <c r="AJ161" s="732"/>
      <c r="AK161" s="732"/>
      <c r="AL161" s="776"/>
      <c r="AM161" s="776"/>
      <c r="AN161" s="17"/>
      <c r="AO161" s="17"/>
      <c r="AP161" s="17"/>
      <c r="AQ161" s="17"/>
      <c r="AR161" s="17"/>
      <c r="AS161" s="17"/>
      <c r="AT161" s="17"/>
      <c r="AU161" s="732"/>
      <c r="AV161" s="313"/>
      <c r="AW161" s="313"/>
      <c r="AX161" s="313"/>
      <c r="AY161" s="313"/>
      <c r="AZ161" s="313"/>
      <c r="BA161" s="313"/>
      <c r="BB161" s="313"/>
      <c r="BC161" s="313"/>
      <c r="BD161" s="313"/>
      <c r="BE161" s="314"/>
      <c r="BW161" s="314"/>
      <c r="BX161" s="314"/>
      <c r="BY161" s="314"/>
      <c r="BZ161" s="314"/>
      <c r="CA161" s="314"/>
      <c r="CB161" s="314"/>
      <c r="CC161" s="314"/>
      <c r="CD161" s="314"/>
    </row>
    <row r="162" ht="28.5" customHeight="1">
      <c r="A162" s="767"/>
      <c r="B162" s="768"/>
      <c r="C162" s="768"/>
      <c r="D162" s="769"/>
      <c r="E162" s="769"/>
      <c r="F162" s="770"/>
      <c r="G162" s="336"/>
      <c r="H162" s="771"/>
      <c r="I162" s="770"/>
      <c r="J162" s="770"/>
      <c r="K162" s="772"/>
      <c r="L162" s="314"/>
      <c r="M162" s="314"/>
      <c r="N162" s="769"/>
      <c r="O162" s="769"/>
      <c r="P162" s="773"/>
      <c r="Q162" s="774"/>
      <c r="R162" s="774"/>
      <c r="S162" s="775"/>
      <c r="AH162" s="776"/>
      <c r="AI162" s="776"/>
      <c r="AJ162" s="732"/>
      <c r="AK162" s="732"/>
      <c r="AL162" s="776"/>
      <c r="AM162" s="776"/>
      <c r="AN162" s="17"/>
      <c r="AO162" s="17"/>
      <c r="AP162" s="17"/>
      <c r="AQ162" s="17"/>
      <c r="AR162" s="17"/>
      <c r="AS162" s="17"/>
      <c r="AT162" s="17"/>
      <c r="AU162" s="732"/>
      <c r="AV162" s="313"/>
      <c r="AW162" s="313"/>
      <c r="AX162" s="313"/>
      <c r="AY162" s="313"/>
      <c r="AZ162" s="313"/>
      <c r="BA162" s="313"/>
      <c r="BB162" s="313"/>
      <c r="BC162" s="313"/>
      <c r="BD162" s="313"/>
      <c r="BE162" s="314"/>
      <c r="BW162" s="314"/>
      <c r="BX162" s="314"/>
      <c r="BY162" s="314"/>
      <c r="BZ162" s="314"/>
      <c r="CA162" s="314"/>
      <c r="CB162" s="314"/>
      <c r="CC162" s="314"/>
      <c r="CD162" s="314"/>
    </row>
    <row r="163" ht="28.5" customHeight="1">
      <c r="A163" s="767"/>
      <c r="B163" s="768"/>
      <c r="C163" s="768"/>
      <c r="D163" s="769"/>
      <c r="E163" s="769"/>
      <c r="F163" s="770"/>
      <c r="G163" s="336"/>
      <c r="H163" s="771"/>
      <c r="I163" s="770"/>
      <c r="J163" s="770"/>
      <c r="K163" s="772"/>
      <c r="L163" s="314"/>
      <c r="M163" s="314"/>
      <c r="N163" s="769"/>
      <c r="O163" s="769"/>
      <c r="P163" s="773"/>
      <c r="Q163" s="774"/>
      <c r="R163" s="774"/>
      <c r="S163" s="775"/>
      <c r="AH163" s="776"/>
      <c r="AI163" s="776"/>
      <c r="AJ163" s="732"/>
      <c r="AK163" s="732"/>
      <c r="AL163" s="776"/>
      <c r="AM163" s="776"/>
      <c r="AN163" s="17"/>
      <c r="AO163" s="17"/>
      <c r="AP163" s="17"/>
      <c r="AQ163" s="17"/>
      <c r="AR163" s="17"/>
      <c r="AS163" s="17"/>
      <c r="AT163" s="17"/>
      <c r="AU163" s="732"/>
      <c r="AV163" s="313"/>
      <c r="AW163" s="313"/>
      <c r="AX163" s="313"/>
      <c r="AY163" s="313"/>
      <c r="AZ163" s="313"/>
      <c r="BA163" s="313"/>
      <c r="BB163" s="313"/>
      <c r="BC163" s="313"/>
      <c r="BD163" s="313"/>
      <c r="BE163" s="314"/>
      <c r="BW163" s="314"/>
      <c r="BX163" s="314"/>
      <c r="BY163" s="314"/>
      <c r="BZ163" s="314"/>
      <c r="CA163" s="314"/>
      <c r="CB163" s="314"/>
      <c r="CC163" s="314"/>
      <c r="CD163" s="314"/>
    </row>
    <row r="164" ht="28.5" customHeight="1">
      <c r="A164" s="767"/>
      <c r="B164" s="768"/>
      <c r="C164" s="768"/>
      <c r="D164" s="769"/>
      <c r="E164" s="769"/>
      <c r="F164" s="770"/>
      <c r="G164" s="336"/>
      <c r="H164" s="771"/>
      <c r="I164" s="770"/>
      <c r="J164" s="770"/>
      <c r="K164" s="772"/>
      <c r="L164" s="314"/>
      <c r="M164" s="314"/>
      <c r="N164" s="769"/>
      <c r="O164" s="769"/>
      <c r="P164" s="773"/>
      <c r="Q164" s="774"/>
      <c r="R164" s="774"/>
      <c r="S164" s="775"/>
      <c r="AH164" s="776"/>
      <c r="AI164" s="776"/>
      <c r="AJ164" s="732"/>
      <c r="AK164" s="732"/>
      <c r="AL164" s="776"/>
      <c r="AM164" s="776"/>
      <c r="AN164" s="17"/>
      <c r="AO164" s="17"/>
      <c r="AP164" s="17"/>
      <c r="AQ164" s="17"/>
      <c r="AR164" s="17"/>
      <c r="AS164" s="17"/>
      <c r="AT164" s="17"/>
      <c r="AU164" s="732"/>
      <c r="AV164" s="313"/>
      <c r="AW164" s="313"/>
      <c r="AX164" s="313"/>
      <c r="AY164" s="313"/>
      <c r="AZ164" s="313"/>
      <c r="BA164" s="313"/>
      <c r="BB164" s="313"/>
      <c r="BC164" s="313"/>
      <c r="BD164" s="313"/>
      <c r="BE164" s="314"/>
      <c r="BW164" s="314"/>
      <c r="BX164" s="314"/>
      <c r="BY164" s="314"/>
      <c r="BZ164" s="314"/>
      <c r="CA164" s="314"/>
      <c r="CB164" s="314"/>
      <c r="CC164" s="314"/>
      <c r="CD164" s="314"/>
    </row>
    <row r="165" ht="28.5" customHeight="1">
      <c r="A165" s="767"/>
      <c r="B165" s="768"/>
      <c r="C165" s="768"/>
      <c r="D165" s="769"/>
      <c r="E165" s="769"/>
      <c r="F165" s="770"/>
      <c r="G165" s="336"/>
      <c r="H165" s="771"/>
      <c r="I165" s="770"/>
      <c r="J165" s="770"/>
      <c r="K165" s="772"/>
      <c r="L165" s="314"/>
      <c r="M165" s="314"/>
      <c r="N165" s="769"/>
      <c r="O165" s="769"/>
      <c r="P165" s="773"/>
      <c r="Q165" s="774"/>
      <c r="R165" s="774"/>
      <c r="S165" s="775"/>
      <c r="AH165" s="776"/>
      <c r="AI165" s="776"/>
      <c r="AJ165" s="732"/>
      <c r="AK165" s="732"/>
      <c r="AL165" s="776"/>
      <c r="AM165" s="776"/>
      <c r="AN165" s="17"/>
      <c r="AO165" s="17"/>
      <c r="AP165" s="17"/>
      <c r="AQ165" s="17"/>
      <c r="AR165" s="17"/>
      <c r="AS165" s="17"/>
      <c r="AT165" s="17"/>
      <c r="AU165" s="732"/>
      <c r="AV165" s="313"/>
      <c r="AW165" s="313"/>
      <c r="AX165" s="313"/>
      <c r="AY165" s="313"/>
      <c r="AZ165" s="313"/>
      <c r="BA165" s="313"/>
      <c r="BB165" s="313"/>
      <c r="BC165" s="313"/>
      <c r="BD165" s="313"/>
      <c r="BE165" s="314"/>
      <c r="BW165" s="314"/>
      <c r="BX165" s="314"/>
      <c r="BY165" s="314"/>
      <c r="BZ165" s="314"/>
      <c r="CA165" s="314"/>
      <c r="CB165" s="314"/>
      <c r="CC165" s="314"/>
      <c r="CD165" s="314"/>
    </row>
    <row r="166" ht="28.5" customHeight="1">
      <c r="A166" s="767"/>
      <c r="B166" s="768"/>
      <c r="C166" s="768"/>
      <c r="D166" s="769"/>
      <c r="E166" s="769"/>
      <c r="F166" s="770"/>
      <c r="G166" s="336"/>
      <c r="H166" s="771"/>
      <c r="I166" s="770"/>
      <c r="J166" s="770"/>
      <c r="K166" s="772"/>
      <c r="L166" s="314"/>
      <c r="M166" s="314"/>
      <c r="N166" s="769"/>
      <c r="O166" s="769"/>
      <c r="P166" s="773"/>
      <c r="Q166" s="774"/>
      <c r="R166" s="774"/>
      <c r="S166" s="775"/>
      <c r="AH166" s="776"/>
      <c r="AI166" s="776"/>
      <c r="AJ166" s="732"/>
      <c r="AK166" s="732"/>
      <c r="AL166" s="776"/>
      <c r="AM166" s="776"/>
      <c r="AN166" s="17"/>
      <c r="AO166" s="17"/>
      <c r="AP166" s="17"/>
      <c r="AQ166" s="17"/>
      <c r="AR166" s="17"/>
      <c r="AS166" s="17"/>
      <c r="AT166" s="17"/>
      <c r="AU166" s="732"/>
      <c r="AV166" s="313"/>
      <c r="AW166" s="313"/>
      <c r="AX166" s="313"/>
      <c r="AY166" s="313"/>
      <c r="AZ166" s="313"/>
      <c r="BA166" s="313"/>
      <c r="BB166" s="313"/>
      <c r="BC166" s="313"/>
      <c r="BD166" s="313"/>
      <c r="BE166" s="314"/>
      <c r="BW166" s="314"/>
      <c r="BX166" s="314"/>
      <c r="BY166" s="314"/>
      <c r="BZ166" s="314"/>
      <c r="CA166" s="314"/>
      <c r="CB166" s="314"/>
      <c r="CC166" s="314"/>
      <c r="CD166" s="314"/>
    </row>
    <row r="167" ht="28.5" customHeight="1">
      <c r="A167" s="767"/>
      <c r="B167" s="768"/>
      <c r="C167" s="768"/>
      <c r="D167" s="769"/>
      <c r="E167" s="769"/>
      <c r="F167" s="770"/>
      <c r="G167" s="336"/>
      <c r="H167" s="771"/>
      <c r="I167" s="770"/>
      <c r="J167" s="770"/>
      <c r="K167" s="772"/>
      <c r="L167" s="314"/>
      <c r="M167" s="314"/>
      <c r="N167" s="769"/>
      <c r="O167" s="769"/>
      <c r="P167" s="773"/>
      <c r="Q167" s="774"/>
      <c r="R167" s="774"/>
      <c r="S167" s="775"/>
      <c r="AH167" s="776"/>
      <c r="AI167" s="776"/>
      <c r="AJ167" s="732"/>
      <c r="AK167" s="732"/>
      <c r="AL167" s="776"/>
      <c r="AM167" s="776"/>
      <c r="AN167" s="17"/>
      <c r="AO167" s="17"/>
      <c r="AP167" s="17"/>
      <c r="AQ167" s="17"/>
      <c r="AR167" s="17"/>
      <c r="AS167" s="17"/>
      <c r="AT167" s="17"/>
      <c r="AU167" s="732"/>
      <c r="AV167" s="313"/>
      <c r="AW167" s="313"/>
      <c r="AX167" s="313"/>
      <c r="AY167" s="313"/>
      <c r="AZ167" s="313"/>
      <c r="BA167" s="313"/>
      <c r="BB167" s="313"/>
      <c r="BC167" s="313"/>
      <c r="BD167" s="313"/>
      <c r="BE167" s="314"/>
      <c r="BW167" s="314"/>
      <c r="BX167" s="314"/>
      <c r="BY167" s="314"/>
      <c r="BZ167" s="314"/>
      <c r="CA167" s="314"/>
      <c r="CB167" s="314"/>
      <c r="CC167" s="314"/>
      <c r="CD167" s="314"/>
    </row>
    <row r="168" ht="28.5" customHeight="1">
      <c r="A168" s="767"/>
      <c r="B168" s="768"/>
      <c r="C168" s="768"/>
      <c r="D168" s="769"/>
      <c r="E168" s="769"/>
      <c r="F168" s="770"/>
      <c r="G168" s="336"/>
      <c r="H168" s="771"/>
      <c r="I168" s="770"/>
      <c r="J168" s="770"/>
      <c r="K168" s="772"/>
      <c r="L168" s="314"/>
      <c r="M168" s="314"/>
      <c r="N168" s="769"/>
      <c r="O168" s="769"/>
      <c r="P168" s="773"/>
      <c r="Q168" s="774"/>
      <c r="R168" s="774"/>
      <c r="S168" s="775"/>
      <c r="AH168" s="776"/>
      <c r="AI168" s="776"/>
      <c r="AJ168" s="732"/>
      <c r="AK168" s="732"/>
      <c r="AL168" s="776"/>
      <c r="AM168" s="776"/>
      <c r="AN168" s="17"/>
      <c r="AO168" s="17"/>
      <c r="AP168" s="17"/>
      <c r="AQ168" s="17"/>
      <c r="AR168" s="17"/>
      <c r="AS168" s="17"/>
      <c r="AT168" s="17"/>
      <c r="AU168" s="732"/>
      <c r="AV168" s="313"/>
      <c r="AW168" s="313"/>
      <c r="AX168" s="313"/>
      <c r="AY168" s="313"/>
      <c r="AZ168" s="313"/>
      <c r="BA168" s="313"/>
      <c r="BB168" s="313"/>
      <c r="BC168" s="313"/>
      <c r="BD168" s="313"/>
      <c r="BE168" s="314"/>
      <c r="BW168" s="314"/>
      <c r="BX168" s="314"/>
      <c r="BY168" s="314"/>
      <c r="BZ168" s="314"/>
      <c r="CA168" s="314"/>
      <c r="CB168" s="314"/>
      <c r="CC168" s="314"/>
      <c r="CD168" s="314"/>
    </row>
    <row r="169" ht="28.5" customHeight="1">
      <c r="A169" s="767"/>
      <c r="B169" s="768"/>
      <c r="C169" s="768"/>
      <c r="D169" s="769"/>
      <c r="E169" s="769"/>
      <c r="F169" s="770"/>
      <c r="G169" s="336"/>
      <c r="H169" s="771"/>
      <c r="I169" s="770"/>
      <c r="J169" s="770"/>
      <c r="K169" s="772"/>
      <c r="L169" s="314"/>
      <c r="M169" s="314"/>
      <c r="N169" s="769"/>
      <c r="O169" s="769"/>
      <c r="P169" s="773"/>
      <c r="Q169" s="774"/>
      <c r="R169" s="774"/>
      <c r="S169" s="775"/>
      <c r="AH169" s="776"/>
      <c r="AI169" s="776"/>
      <c r="AJ169" s="732"/>
      <c r="AK169" s="732"/>
      <c r="AL169" s="776"/>
      <c r="AM169" s="776"/>
      <c r="AN169" s="17"/>
      <c r="AO169" s="17"/>
      <c r="AP169" s="17"/>
      <c r="AQ169" s="17"/>
      <c r="AR169" s="17"/>
      <c r="AS169" s="17"/>
      <c r="AT169" s="17"/>
      <c r="AU169" s="732"/>
      <c r="AV169" s="313"/>
      <c r="AW169" s="313"/>
      <c r="AX169" s="313"/>
      <c r="AY169" s="313"/>
      <c r="AZ169" s="313"/>
      <c r="BA169" s="313"/>
      <c r="BB169" s="313"/>
      <c r="BC169" s="313"/>
      <c r="BD169" s="313"/>
      <c r="BE169" s="314"/>
      <c r="BW169" s="314"/>
      <c r="BX169" s="314"/>
      <c r="BY169" s="314"/>
      <c r="BZ169" s="314"/>
      <c r="CA169" s="314"/>
      <c r="CB169" s="314"/>
      <c r="CC169" s="314"/>
      <c r="CD169" s="314"/>
    </row>
    <row r="170" ht="28.5" customHeight="1">
      <c r="A170" s="767"/>
      <c r="B170" s="768"/>
      <c r="C170" s="768"/>
      <c r="D170" s="769"/>
      <c r="E170" s="769"/>
      <c r="F170" s="770"/>
      <c r="G170" s="336"/>
      <c r="H170" s="771"/>
      <c r="I170" s="770"/>
      <c r="J170" s="770"/>
      <c r="K170" s="772"/>
      <c r="L170" s="314"/>
      <c r="M170" s="314"/>
      <c r="N170" s="769"/>
      <c r="O170" s="769"/>
      <c r="P170" s="773"/>
      <c r="Q170" s="774"/>
      <c r="R170" s="774"/>
      <c r="S170" s="775"/>
      <c r="AH170" s="776"/>
      <c r="AI170" s="776"/>
      <c r="AJ170" s="732"/>
      <c r="AK170" s="732"/>
      <c r="AL170" s="776"/>
      <c r="AM170" s="776"/>
      <c r="AN170" s="17"/>
      <c r="AO170" s="17"/>
      <c r="AP170" s="17"/>
      <c r="AQ170" s="17"/>
      <c r="AR170" s="17"/>
      <c r="AS170" s="17"/>
      <c r="AT170" s="17"/>
      <c r="AU170" s="732"/>
      <c r="AV170" s="313"/>
      <c r="AW170" s="313"/>
      <c r="AX170" s="313"/>
      <c r="AY170" s="313"/>
      <c r="AZ170" s="313"/>
      <c r="BA170" s="313"/>
      <c r="BB170" s="313"/>
      <c r="BC170" s="313"/>
      <c r="BD170" s="313"/>
      <c r="BE170" s="314"/>
      <c r="BW170" s="314"/>
      <c r="BX170" s="314"/>
      <c r="BY170" s="314"/>
      <c r="BZ170" s="314"/>
      <c r="CA170" s="314"/>
      <c r="CB170" s="314"/>
      <c r="CC170" s="314"/>
      <c r="CD170" s="314"/>
    </row>
    <row r="171" ht="28.5" customHeight="1">
      <c r="A171" s="767"/>
      <c r="B171" s="768"/>
      <c r="C171" s="768"/>
      <c r="D171" s="769"/>
      <c r="E171" s="769"/>
      <c r="F171" s="770"/>
      <c r="G171" s="336"/>
      <c r="H171" s="771"/>
      <c r="I171" s="770"/>
      <c r="J171" s="770"/>
      <c r="K171" s="772"/>
      <c r="L171" s="314"/>
      <c r="M171" s="314"/>
      <c r="N171" s="769"/>
      <c r="O171" s="769"/>
      <c r="P171" s="773"/>
      <c r="Q171" s="774"/>
      <c r="R171" s="774"/>
      <c r="S171" s="775"/>
      <c r="AH171" s="776"/>
      <c r="AI171" s="776"/>
      <c r="AJ171" s="732"/>
      <c r="AK171" s="732"/>
      <c r="AL171" s="776"/>
      <c r="AM171" s="776"/>
      <c r="AN171" s="17"/>
      <c r="AO171" s="17"/>
      <c r="AP171" s="17"/>
      <c r="AQ171" s="17"/>
      <c r="AR171" s="17"/>
      <c r="AS171" s="17"/>
      <c r="AT171" s="17"/>
      <c r="AU171" s="732"/>
      <c r="AV171" s="313"/>
      <c r="AW171" s="313"/>
      <c r="AX171" s="313"/>
      <c r="AY171" s="313"/>
      <c r="AZ171" s="313"/>
      <c r="BA171" s="313"/>
      <c r="BB171" s="313"/>
      <c r="BC171" s="313"/>
      <c r="BD171" s="313"/>
      <c r="BE171" s="314"/>
      <c r="BW171" s="314"/>
      <c r="BX171" s="314"/>
      <c r="BY171" s="314"/>
      <c r="BZ171" s="314"/>
      <c r="CA171" s="314"/>
      <c r="CB171" s="314"/>
      <c r="CC171" s="314"/>
      <c r="CD171" s="314"/>
    </row>
    <row r="172" ht="28.5" customHeight="1">
      <c r="A172" s="767"/>
      <c r="B172" s="768"/>
      <c r="C172" s="768"/>
      <c r="D172" s="769"/>
      <c r="E172" s="769"/>
      <c r="F172" s="770"/>
      <c r="G172" s="336"/>
      <c r="H172" s="771"/>
      <c r="I172" s="770"/>
      <c r="J172" s="770"/>
      <c r="K172" s="772"/>
      <c r="L172" s="314"/>
      <c r="M172" s="314"/>
      <c r="N172" s="769"/>
      <c r="O172" s="769"/>
      <c r="P172" s="773"/>
      <c r="Q172" s="774"/>
      <c r="R172" s="774"/>
      <c r="S172" s="775"/>
      <c r="AH172" s="776"/>
      <c r="AI172" s="776"/>
      <c r="AJ172" s="732"/>
      <c r="AK172" s="732"/>
      <c r="AL172" s="776"/>
      <c r="AM172" s="776"/>
      <c r="AN172" s="17"/>
      <c r="AO172" s="17"/>
      <c r="AP172" s="17"/>
      <c r="AQ172" s="17"/>
      <c r="AR172" s="17"/>
      <c r="AS172" s="17"/>
      <c r="AT172" s="17"/>
      <c r="AU172" s="732"/>
      <c r="AV172" s="313"/>
      <c r="AW172" s="313"/>
      <c r="AX172" s="313"/>
      <c r="AY172" s="313"/>
      <c r="AZ172" s="313"/>
      <c r="BA172" s="313"/>
      <c r="BB172" s="313"/>
      <c r="BC172" s="313"/>
      <c r="BD172" s="313"/>
      <c r="BE172" s="314"/>
      <c r="BW172" s="314"/>
      <c r="BX172" s="314"/>
      <c r="BY172" s="314"/>
      <c r="BZ172" s="314"/>
      <c r="CA172" s="314"/>
      <c r="CB172" s="314"/>
      <c r="CC172" s="314"/>
      <c r="CD172" s="314"/>
    </row>
    <row r="173" ht="28.5" customHeight="1">
      <c r="A173" s="767"/>
      <c r="B173" s="768"/>
      <c r="C173" s="768"/>
      <c r="D173" s="769"/>
      <c r="E173" s="769"/>
      <c r="F173" s="770"/>
      <c r="G173" s="336"/>
      <c r="H173" s="771"/>
      <c r="I173" s="770"/>
      <c r="J173" s="770"/>
      <c r="K173" s="772"/>
      <c r="L173" s="314"/>
      <c r="M173" s="314"/>
      <c r="N173" s="769"/>
      <c r="O173" s="769"/>
      <c r="P173" s="773"/>
      <c r="Q173" s="774"/>
      <c r="R173" s="774"/>
      <c r="S173" s="775"/>
      <c r="AH173" s="776"/>
      <c r="AI173" s="776"/>
      <c r="AJ173" s="732"/>
      <c r="AK173" s="732"/>
      <c r="AL173" s="776"/>
      <c r="AM173" s="776"/>
      <c r="AN173" s="17"/>
      <c r="AO173" s="17"/>
      <c r="AP173" s="17"/>
      <c r="AQ173" s="17"/>
      <c r="AR173" s="17"/>
      <c r="AS173" s="17"/>
      <c r="AT173" s="17"/>
      <c r="AU173" s="732"/>
      <c r="AV173" s="313"/>
      <c r="AW173" s="313"/>
      <c r="AX173" s="313"/>
      <c r="AY173" s="313"/>
      <c r="AZ173" s="313"/>
      <c r="BA173" s="313"/>
      <c r="BB173" s="313"/>
      <c r="BC173" s="313"/>
      <c r="BD173" s="313"/>
      <c r="BE173" s="314"/>
      <c r="BW173" s="314"/>
      <c r="BX173" s="314"/>
      <c r="BY173" s="314"/>
      <c r="BZ173" s="314"/>
      <c r="CA173" s="314"/>
      <c r="CB173" s="314"/>
      <c r="CC173" s="314"/>
      <c r="CD173" s="314"/>
    </row>
    <row r="174" ht="28.5" customHeight="1">
      <c r="A174" s="767"/>
      <c r="B174" s="768"/>
      <c r="C174" s="768"/>
      <c r="D174" s="769"/>
      <c r="E174" s="769"/>
      <c r="F174" s="770"/>
      <c r="G174" s="336"/>
      <c r="H174" s="771"/>
      <c r="I174" s="770"/>
      <c r="J174" s="770"/>
      <c r="K174" s="772"/>
      <c r="L174" s="314"/>
      <c r="M174" s="314"/>
      <c r="N174" s="769"/>
      <c r="O174" s="769"/>
      <c r="P174" s="773"/>
      <c r="Q174" s="774"/>
      <c r="R174" s="774"/>
      <c r="S174" s="775"/>
      <c r="AH174" s="776"/>
      <c r="AI174" s="776"/>
      <c r="AJ174" s="732"/>
      <c r="AK174" s="732"/>
      <c r="AL174" s="776"/>
      <c r="AM174" s="776"/>
      <c r="AN174" s="17"/>
      <c r="AO174" s="17"/>
      <c r="AP174" s="17"/>
      <c r="AQ174" s="17"/>
      <c r="AR174" s="17"/>
      <c r="AS174" s="17"/>
      <c r="AT174" s="17"/>
      <c r="AU174" s="732"/>
      <c r="AV174" s="313"/>
      <c r="AW174" s="313"/>
      <c r="AX174" s="313"/>
      <c r="AY174" s="313"/>
      <c r="AZ174" s="313"/>
      <c r="BA174" s="313"/>
      <c r="BB174" s="313"/>
      <c r="BC174" s="313"/>
      <c r="BD174" s="313"/>
      <c r="BE174" s="314"/>
      <c r="BW174" s="314"/>
      <c r="BX174" s="314"/>
      <c r="BY174" s="314"/>
      <c r="BZ174" s="314"/>
      <c r="CA174" s="314"/>
      <c r="CB174" s="314"/>
      <c r="CC174" s="314"/>
      <c r="CD174" s="314"/>
    </row>
    <row r="175" ht="28.5" customHeight="1">
      <c r="A175" s="767"/>
      <c r="B175" s="768"/>
      <c r="C175" s="768"/>
      <c r="D175" s="769"/>
      <c r="E175" s="769"/>
      <c r="F175" s="770"/>
      <c r="G175" s="336"/>
      <c r="H175" s="771"/>
      <c r="I175" s="770"/>
      <c r="J175" s="770"/>
      <c r="K175" s="772"/>
      <c r="L175" s="314"/>
      <c r="M175" s="314"/>
      <c r="N175" s="769"/>
      <c r="O175" s="769"/>
      <c r="P175" s="773"/>
      <c r="Q175" s="774"/>
      <c r="R175" s="774"/>
      <c r="S175" s="775"/>
      <c r="AH175" s="776"/>
      <c r="AI175" s="776"/>
      <c r="AJ175" s="732"/>
      <c r="AK175" s="732"/>
      <c r="AL175" s="776"/>
      <c r="AM175" s="776"/>
      <c r="AN175" s="17"/>
      <c r="AO175" s="17"/>
      <c r="AP175" s="17"/>
      <c r="AQ175" s="17"/>
      <c r="AR175" s="17"/>
      <c r="AS175" s="17"/>
      <c r="AT175" s="17"/>
      <c r="AU175" s="732"/>
      <c r="AV175" s="313"/>
      <c r="AW175" s="313"/>
      <c r="AX175" s="313"/>
      <c r="AY175" s="313"/>
      <c r="AZ175" s="313"/>
      <c r="BA175" s="313"/>
      <c r="BB175" s="313"/>
      <c r="BC175" s="313"/>
      <c r="BD175" s="313"/>
      <c r="BE175" s="314"/>
      <c r="BW175" s="314"/>
      <c r="BX175" s="314"/>
      <c r="BY175" s="314"/>
      <c r="BZ175" s="314"/>
      <c r="CA175" s="314"/>
      <c r="CB175" s="314"/>
      <c r="CC175" s="314"/>
      <c r="CD175" s="314"/>
    </row>
    <row r="176" ht="28.5" customHeight="1">
      <c r="A176" s="767"/>
      <c r="B176" s="768"/>
      <c r="C176" s="768"/>
      <c r="D176" s="769"/>
      <c r="E176" s="769"/>
      <c r="F176" s="770"/>
      <c r="G176" s="336"/>
      <c r="H176" s="771"/>
      <c r="I176" s="770"/>
      <c r="J176" s="770"/>
      <c r="K176" s="772"/>
      <c r="L176" s="314"/>
      <c r="M176" s="314"/>
      <c r="N176" s="769"/>
      <c r="O176" s="769"/>
      <c r="P176" s="773"/>
      <c r="Q176" s="774"/>
      <c r="R176" s="774"/>
      <c r="S176" s="775"/>
      <c r="AH176" s="776"/>
      <c r="AI176" s="776"/>
      <c r="AJ176" s="732"/>
      <c r="AK176" s="732"/>
      <c r="AL176" s="776"/>
      <c r="AM176" s="776"/>
      <c r="AN176" s="17"/>
      <c r="AO176" s="17"/>
      <c r="AP176" s="17"/>
      <c r="AQ176" s="17"/>
      <c r="AR176" s="17"/>
      <c r="AS176" s="17"/>
      <c r="AT176" s="17"/>
      <c r="AU176" s="732"/>
      <c r="AV176" s="313"/>
      <c r="AW176" s="313"/>
      <c r="AX176" s="313"/>
      <c r="AY176" s="313"/>
      <c r="AZ176" s="313"/>
      <c r="BA176" s="313"/>
      <c r="BB176" s="313"/>
      <c r="BC176" s="313"/>
      <c r="BD176" s="313"/>
      <c r="BE176" s="314"/>
      <c r="BW176" s="314"/>
      <c r="BX176" s="314"/>
      <c r="BY176" s="314"/>
      <c r="BZ176" s="314"/>
      <c r="CA176" s="314"/>
      <c r="CB176" s="314"/>
      <c r="CC176" s="314"/>
      <c r="CD176" s="314"/>
    </row>
    <row r="177" ht="28.5" customHeight="1">
      <c r="A177" s="767"/>
      <c r="B177" s="768"/>
      <c r="C177" s="768"/>
      <c r="D177" s="769"/>
      <c r="E177" s="769"/>
      <c r="F177" s="770"/>
      <c r="G177" s="336"/>
      <c r="H177" s="771"/>
      <c r="I177" s="770"/>
      <c r="J177" s="770"/>
      <c r="K177" s="772"/>
      <c r="L177" s="314"/>
      <c r="M177" s="314"/>
      <c r="N177" s="769"/>
      <c r="O177" s="769"/>
      <c r="P177" s="773"/>
      <c r="Q177" s="774"/>
      <c r="R177" s="774"/>
      <c r="S177" s="775"/>
      <c r="AH177" s="776"/>
      <c r="AI177" s="776"/>
      <c r="AJ177" s="732"/>
      <c r="AK177" s="732"/>
      <c r="AL177" s="776"/>
      <c r="AM177" s="776"/>
      <c r="AN177" s="17"/>
      <c r="AO177" s="17"/>
      <c r="AP177" s="17"/>
      <c r="AQ177" s="17"/>
      <c r="AR177" s="17"/>
      <c r="AS177" s="17"/>
      <c r="AT177" s="17"/>
      <c r="AU177" s="732"/>
      <c r="AV177" s="313"/>
      <c r="AW177" s="313"/>
      <c r="AX177" s="313"/>
      <c r="AY177" s="313"/>
      <c r="AZ177" s="313"/>
      <c r="BA177" s="313"/>
      <c r="BB177" s="313"/>
      <c r="BC177" s="313"/>
      <c r="BD177" s="313"/>
      <c r="BE177" s="314"/>
      <c r="BW177" s="314"/>
      <c r="BX177" s="314"/>
      <c r="BY177" s="314"/>
      <c r="BZ177" s="314"/>
      <c r="CA177" s="314"/>
      <c r="CB177" s="314"/>
      <c r="CC177" s="314"/>
      <c r="CD177" s="314"/>
    </row>
    <row r="178" ht="28.5" customHeight="1">
      <c r="A178" s="767"/>
      <c r="B178" s="768"/>
      <c r="C178" s="768"/>
      <c r="D178" s="769"/>
      <c r="E178" s="769"/>
      <c r="F178" s="770"/>
      <c r="G178" s="336"/>
      <c r="H178" s="771"/>
      <c r="I178" s="770"/>
      <c r="J178" s="770"/>
      <c r="K178" s="772"/>
      <c r="L178" s="314"/>
      <c r="M178" s="314"/>
      <c r="N178" s="769"/>
      <c r="O178" s="769"/>
      <c r="P178" s="773"/>
      <c r="Q178" s="774"/>
      <c r="R178" s="774"/>
      <c r="S178" s="775"/>
      <c r="AH178" s="776"/>
      <c r="AI178" s="776"/>
      <c r="AJ178" s="732"/>
      <c r="AK178" s="732"/>
      <c r="AL178" s="776"/>
      <c r="AM178" s="776"/>
      <c r="AN178" s="17"/>
      <c r="AO178" s="17"/>
      <c r="AP178" s="17"/>
      <c r="AQ178" s="17"/>
      <c r="AR178" s="17"/>
      <c r="AS178" s="17"/>
      <c r="AT178" s="17"/>
      <c r="AU178" s="732"/>
      <c r="AV178" s="313"/>
      <c r="AW178" s="313"/>
      <c r="AX178" s="313"/>
      <c r="AY178" s="313"/>
      <c r="AZ178" s="313"/>
      <c r="BA178" s="313"/>
      <c r="BB178" s="313"/>
      <c r="BC178" s="313"/>
      <c r="BD178" s="313"/>
      <c r="BE178" s="314"/>
      <c r="BW178" s="314"/>
      <c r="BX178" s="314"/>
      <c r="BY178" s="314"/>
      <c r="BZ178" s="314"/>
      <c r="CA178" s="314"/>
      <c r="CB178" s="314"/>
      <c r="CC178" s="314"/>
      <c r="CD178" s="314"/>
    </row>
    <row r="179" ht="28.5" customHeight="1">
      <c r="A179" s="767"/>
      <c r="B179" s="768"/>
      <c r="C179" s="768"/>
      <c r="D179" s="769"/>
      <c r="E179" s="769"/>
      <c r="F179" s="770"/>
      <c r="G179" s="336"/>
      <c r="H179" s="771"/>
      <c r="I179" s="770"/>
      <c r="J179" s="770"/>
      <c r="K179" s="772"/>
      <c r="L179" s="314"/>
      <c r="M179" s="314"/>
      <c r="N179" s="769"/>
      <c r="O179" s="769"/>
      <c r="P179" s="773"/>
      <c r="Q179" s="774"/>
      <c r="R179" s="774"/>
      <c r="S179" s="775"/>
      <c r="AH179" s="776"/>
      <c r="AI179" s="776"/>
      <c r="AJ179" s="732"/>
      <c r="AK179" s="732"/>
      <c r="AL179" s="776"/>
      <c r="AM179" s="776"/>
      <c r="AN179" s="17"/>
      <c r="AO179" s="17"/>
      <c r="AP179" s="17"/>
      <c r="AQ179" s="17"/>
      <c r="AR179" s="17"/>
      <c r="AS179" s="17"/>
      <c r="AT179" s="17"/>
      <c r="AU179" s="732"/>
      <c r="AV179" s="313"/>
      <c r="AW179" s="313"/>
      <c r="AX179" s="313"/>
      <c r="AY179" s="313"/>
      <c r="AZ179" s="313"/>
      <c r="BA179" s="313"/>
      <c r="BB179" s="313"/>
      <c r="BC179" s="313"/>
      <c r="BD179" s="313"/>
      <c r="BE179" s="314"/>
      <c r="BW179" s="314"/>
      <c r="BX179" s="314"/>
      <c r="BY179" s="314"/>
      <c r="BZ179" s="314"/>
      <c r="CA179" s="314"/>
      <c r="CB179" s="314"/>
      <c r="CC179" s="314"/>
      <c r="CD179" s="314"/>
    </row>
    <row r="180" ht="28.5" customHeight="1">
      <c r="A180" s="767"/>
      <c r="B180" s="768"/>
      <c r="C180" s="768"/>
      <c r="D180" s="769"/>
      <c r="E180" s="769"/>
      <c r="F180" s="770"/>
      <c r="G180" s="336"/>
      <c r="H180" s="771"/>
      <c r="I180" s="770"/>
      <c r="J180" s="770"/>
      <c r="K180" s="772"/>
      <c r="L180" s="314"/>
      <c r="M180" s="314"/>
      <c r="N180" s="769"/>
      <c r="O180" s="769"/>
      <c r="P180" s="773"/>
      <c r="Q180" s="774"/>
      <c r="R180" s="774"/>
      <c r="S180" s="775"/>
      <c r="AH180" s="776"/>
      <c r="AI180" s="776"/>
      <c r="AJ180" s="732"/>
      <c r="AK180" s="732"/>
      <c r="AL180" s="776"/>
      <c r="AM180" s="776"/>
      <c r="AN180" s="17"/>
      <c r="AO180" s="17"/>
      <c r="AP180" s="17"/>
      <c r="AQ180" s="17"/>
      <c r="AR180" s="17"/>
      <c r="AS180" s="17"/>
      <c r="AT180" s="17"/>
      <c r="AU180" s="732"/>
      <c r="AV180" s="313"/>
      <c r="AW180" s="313"/>
      <c r="AX180" s="313"/>
      <c r="AY180" s="313"/>
      <c r="AZ180" s="313"/>
      <c r="BA180" s="313"/>
      <c r="BB180" s="313"/>
      <c r="BC180" s="313"/>
      <c r="BD180" s="313"/>
      <c r="BE180" s="314"/>
      <c r="BW180" s="314"/>
      <c r="BX180" s="314"/>
      <c r="BY180" s="314"/>
      <c r="BZ180" s="314"/>
      <c r="CA180" s="314"/>
      <c r="CB180" s="314"/>
      <c r="CC180" s="314"/>
      <c r="CD180" s="314"/>
    </row>
    <row r="181" ht="28.5" customHeight="1">
      <c r="A181" s="767"/>
      <c r="B181" s="768"/>
      <c r="C181" s="768"/>
      <c r="D181" s="769"/>
      <c r="E181" s="769"/>
      <c r="F181" s="770"/>
      <c r="G181" s="336"/>
      <c r="H181" s="771"/>
      <c r="I181" s="770"/>
      <c r="J181" s="770"/>
      <c r="K181" s="772"/>
      <c r="L181" s="314"/>
      <c r="M181" s="314"/>
      <c r="N181" s="769"/>
      <c r="O181" s="769"/>
      <c r="P181" s="773"/>
      <c r="Q181" s="774"/>
      <c r="R181" s="774"/>
      <c r="S181" s="775"/>
      <c r="AH181" s="776"/>
      <c r="AI181" s="776"/>
      <c r="AJ181" s="732"/>
      <c r="AK181" s="732"/>
      <c r="AL181" s="776"/>
      <c r="AM181" s="776"/>
      <c r="AN181" s="17"/>
      <c r="AO181" s="17"/>
      <c r="AP181" s="17"/>
      <c r="AQ181" s="17"/>
      <c r="AR181" s="17"/>
      <c r="AS181" s="17"/>
      <c r="AT181" s="17"/>
      <c r="AU181" s="732"/>
      <c r="AV181" s="313"/>
      <c r="AW181" s="313"/>
      <c r="AX181" s="313"/>
      <c r="AY181" s="313"/>
      <c r="AZ181" s="313"/>
      <c r="BA181" s="313"/>
      <c r="BB181" s="313"/>
      <c r="BC181" s="313"/>
      <c r="BD181" s="313"/>
      <c r="BE181" s="314"/>
      <c r="BW181" s="314"/>
      <c r="BX181" s="314"/>
      <c r="BY181" s="314"/>
      <c r="BZ181" s="314"/>
      <c r="CA181" s="314"/>
      <c r="CB181" s="314"/>
      <c r="CC181" s="314"/>
      <c r="CD181" s="314"/>
    </row>
    <row r="182" ht="28.5" customHeight="1">
      <c r="A182" s="767"/>
      <c r="B182" s="768"/>
      <c r="C182" s="768"/>
      <c r="D182" s="769"/>
      <c r="E182" s="769"/>
      <c r="F182" s="770"/>
      <c r="G182" s="336"/>
      <c r="H182" s="771"/>
      <c r="I182" s="770"/>
      <c r="J182" s="770"/>
      <c r="K182" s="772"/>
      <c r="L182" s="314"/>
      <c r="M182" s="314"/>
      <c r="N182" s="769"/>
      <c r="O182" s="769"/>
      <c r="P182" s="773"/>
      <c r="Q182" s="774"/>
      <c r="R182" s="774"/>
      <c r="S182" s="775"/>
      <c r="AH182" s="776"/>
      <c r="AI182" s="776"/>
      <c r="AJ182" s="732"/>
      <c r="AK182" s="732"/>
      <c r="AL182" s="776"/>
      <c r="AM182" s="776"/>
      <c r="AN182" s="17"/>
      <c r="AO182" s="17"/>
      <c r="AP182" s="17"/>
      <c r="AQ182" s="17"/>
      <c r="AR182" s="17"/>
      <c r="AS182" s="17"/>
      <c r="AT182" s="17"/>
      <c r="AU182" s="732"/>
      <c r="AV182" s="313"/>
      <c r="AW182" s="313"/>
      <c r="AX182" s="313"/>
      <c r="AY182" s="313"/>
      <c r="AZ182" s="313"/>
      <c r="BA182" s="313"/>
      <c r="BB182" s="313"/>
      <c r="BC182" s="313"/>
      <c r="BD182" s="313"/>
      <c r="BE182" s="314"/>
      <c r="BW182" s="314"/>
      <c r="BX182" s="314"/>
      <c r="BY182" s="314"/>
      <c r="BZ182" s="314"/>
      <c r="CA182" s="314"/>
      <c r="CB182" s="314"/>
      <c r="CC182" s="314"/>
      <c r="CD182" s="314"/>
    </row>
    <row r="183" ht="28.5" customHeight="1">
      <c r="A183" s="767"/>
      <c r="B183" s="768"/>
      <c r="C183" s="768"/>
      <c r="D183" s="769"/>
      <c r="E183" s="769"/>
      <c r="F183" s="770"/>
      <c r="G183" s="336"/>
      <c r="H183" s="771"/>
      <c r="I183" s="770"/>
      <c r="J183" s="770"/>
      <c r="K183" s="772"/>
      <c r="L183" s="314"/>
      <c r="M183" s="314"/>
      <c r="N183" s="769"/>
      <c r="O183" s="769"/>
      <c r="P183" s="773"/>
      <c r="Q183" s="774"/>
      <c r="R183" s="774"/>
      <c r="S183" s="775"/>
      <c r="AH183" s="776"/>
      <c r="AI183" s="776"/>
      <c r="AJ183" s="732"/>
      <c r="AK183" s="732"/>
      <c r="AL183" s="776"/>
      <c r="AM183" s="776"/>
      <c r="AN183" s="17"/>
      <c r="AO183" s="17"/>
      <c r="AP183" s="17"/>
      <c r="AQ183" s="17"/>
      <c r="AR183" s="17"/>
      <c r="AS183" s="17"/>
      <c r="AT183" s="17"/>
      <c r="AU183" s="732"/>
      <c r="AV183" s="313"/>
      <c r="AW183" s="313"/>
      <c r="AX183" s="313"/>
      <c r="AY183" s="313"/>
      <c r="AZ183" s="313"/>
      <c r="BA183" s="313"/>
      <c r="BB183" s="313"/>
      <c r="BC183" s="313"/>
      <c r="BD183" s="313"/>
      <c r="BE183" s="314"/>
      <c r="BW183" s="314"/>
      <c r="BX183" s="314"/>
      <c r="BY183" s="314"/>
      <c r="BZ183" s="314"/>
      <c r="CA183" s="314"/>
      <c r="CB183" s="314"/>
      <c r="CC183" s="314"/>
      <c r="CD183" s="314"/>
    </row>
    <row r="184" ht="28.5" customHeight="1">
      <c r="A184" s="767"/>
      <c r="B184" s="768"/>
      <c r="C184" s="768"/>
      <c r="D184" s="769"/>
      <c r="E184" s="769"/>
      <c r="F184" s="770"/>
      <c r="G184" s="336"/>
      <c r="H184" s="771"/>
      <c r="I184" s="770"/>
      <c r="J184" s="770"/>
      <c r="K184" s="772"/>
      <c r="L184" s="314"/>
      <c r="M184" s="314"/>
      <c r="N184" s="769"/>
      <c r="O184" s="769"/>
      <c r="P184" s="773"/>
      <c r="Q184" s="774"/>
      <c r="R184" s="774"/>
      <c r="S184" s="775"/>
      <c r="AH184" s="776"/>
      <c r="AI184" s="776"/>
      <c r="AJ184" s="732"/>
      <c r="AK184" s="732"/>
      <c r="AL184" s="776"/>
      <c r="AM184" s="776"/>
      <c r="AN184" s="17"/>
      <c r="AO184" s="17"/>
      <c r="AP184" s="17"/>
      <c r="AQ184" s="17"/>
      <c r="AR184" s="17"/>
      <c r="AS184" s="17"/>
      <c r="AT184" s="17"/>
      <c r="AU184" s="732"/>
      <c r="AV184" s="313"/>
      <c r="AW184" s="313"/>
      <c r="AX184" s="313"/>
      <c r="AY184" s="313"/>
      <c r="AZ184" s="313"/>
      <c r="BA184" s="313"/>
      <c r="BB184" s="313"/>
      <c r="BC184" s="313"/>
      <c r="BD184" s="313"/>
      <c r="BE184" s="314"/>
      <c r="BW184" s="314"/>
      <c r="BX184" s="314"/>
      <c r="BY184" s="314"/>
      <c r="BZ184" s="314"/>
      <c r="CA184" s="314"/>
      <c r="CB184" s="314"/>
      <c r="CC184" s="314"/>
      <c r="CD184" s="314"/>
    </row>
    <row r="185" ht="28.5" customHeight="1">
      <c r="A185" s="767"/>
      <c r="B185" s="768"/>
      <c r="C185" s="768"/>
      <c r="D185" s="769"/>
      <c r="E185" s="769"/>
      <c r="F185" s="770"/>
      <c r="G185" s="336"/>
      <c r="H185" s="771"/>
      <c r="I185" s="770"/>
      <c r="J185" s="770"/>
      <c r="K185" s="772"/>
      <c r="L185" s="314"/>
      <c r="M185" s="314"/>
      <c r="N185" s="769"/>
      <c r="O185" s="769"/>
      <c r="P185" s="773"/>
      <c r="Q185" s="774"/>
      <c r="R185" s="774"/>
      <c r="S185" s="775"/>
      <c r="AH185" s="776"/>
      <c r="AI185" s="776"/>
      <c r="AJ185" s="732"/>
      <c r="AK185" s="732"/>
      <c r="AL185" s="776"/>
      <c r="AM185" s="776"/>
      <c r="AN185" s="17"/>
      <c r="AO185" s="17"/>
      <c r="AP185" s="17"/>
      <c r="AQ185" s="17"/>
      <c r="AR185" s="17"/>
      <c r="AS185" s="17"/>
      <c r="AT185" s="17"/>
      <c r="AU185" s="732"/>
      <c r="AV185" s="313"/>
      <c r="AW185" s="313"/>
      <c r="AX185" s="313"/>
      <c r="AY185" s="313"/>
      <c r="AZ185" s="313"/>
      <c r="BA185" s="313"/>
      <c r="BB185" s="313"/>
      <c r="BC185" s="313"/>
      <c r="BD185" s="313"/>
      <c r="BE185" s="314"/>
      <c r="BW185" s="314"/>
      <c r="BX185" s="314"/>
      <c r="BY185" s="314"/>
      <c r="BZ185" s="314"/>
      <c r="CA185" s="314"/>
      <c r="CB185" s="314"/>
      <c r="CC185" s="314"/>
      <c r="CD185" s="314"/>
    </row>
    <row r="186" ht="28.5" customHeight="1">
      <c r="A186" s="767"/>
      <c r="B186" s="768"/>
      <c r="C186" s="768"/>
      <c r="D186" s="769"/>
      <c r="E186" s="769"/>
      <c r="F186" s="770"/>
      <c r="G186" s="336"/>
      <c r="H186" s="771"/>
      <c r="I186" s="770"/>
      <c r="J186" s="770"/>
      <c r="K186" s="772"/>
      <c r="L186" s="314"/>
      <c r="M186" s="314"/>
      <c r="N186" s="769"/>
      <c r="O186" s="769"/>
      <c r="P186" s="773"/>
      <c r="Q186" s="774"/>
      <c r="R186" s="774"/>
      <c r="S186" s="775"/>
      <c r="AH186" s="776"/>
      <c r="AI186" s="776"/>
      <c r="AJ186" s="732"/>
      <c r="AK186" s="732"/>
      <c r="AL186" s="776"/>
      <c r="AM186" s="776"/>
      <c r="AN186" s="17"/>
      <c r="AO186" s="17"/>
      <c r="AP186" s="17"/>
      <c r="AQ186" s="17"/>
      <c r="AR186" s="17"/>
      <c r="AS186" s="17"/>
      <c r="AT186" s="17"/>
      <c r="AU186" s="732"/>
      <c r="AV186" s="313"/>
      <c r="AW186" s="313"/>
      <c r="AX186" s="313"/>
      <c r="AY186" s="313"/>
      <c r="AZ186" s="313"/>
      <c r="BA186" s="313"/>
      <c r="BB186" s="313"/>
      <c r="BC186" s="313"/>
      <c r="BD186" s="313"/>
      <c r="BE186" s="314"/>
      <c r="BW186" s="314"/>
      <c r="BX186" s="314"/>
      <c r="BY186" s="314"/>
      <c r="BZ186" s="314"/>
      <c r="CA186" s="314"/>
      <c r="CB186" s="314"/>
      <c r="CC186" s="314"/>
      <c r="CD186" s="314"/>
    </row>
    <row r="187" ht="28.5" customHeight="1">
      <c r="A187" s="767"/>
      <c r="B187" s="768"/>
      <c r="C187" s="768"/>
      <c r="D187" s="769"/>
      <c r="E187" s="769"/>
      <c r="F187" s="770"/>
      <c r="G187" s="336"/>
      <c r="H187" s="771"/>
      <c r="I187" s="770"/>
      <c r="J187" s="770"/>
      <c r="K187" s="772"/>
      <c r="L187" s="314"/>
      <c r="M187" s="314"/>
      <c r="N187" s="769"/>
      <c r="O187" s="769"/>
      <c r="P187" s="773"/>
      <c r="Q187" s="774"/>
      <c r="R187" s="774"/>
      <c r="S187" s="775"/>
      <c r="AH187" s="776"/>
      <c r="AI187" s="776"/>
      <c r="AJ187" s="732"/>
      <c r="AK187" s="732"/>
      <c r="AL187" s="776"/>
      <c r="AM187" s="776"/>
      <c r="AN187" s="17"/>
      <c r="AO187" s="17"/>
      <c r="AP187" s="17"/>
      <c r="AQ187" s="17"/>
      <c r="AR187" s="17"/>
      <c r="AS187" s="17"/>
      <c r="AT187" s="17"/>
      <c r="AU187" s="732"/>
      <c r="AV187" s="313"/>
      <c r="AW187" s="313"/>
      <c r="AX187" s="313"/>
      <c r="AY187" s="313"/>
      <c r="AZ187" s="313"/>
      <c r="BA187" s="313"/>
      <c r="BB187" s="313"/>
      <c r="BC187" s="313"/>
      <c r="BD187" s="313"/>
      <c r="BE187" s="314"/>
      <c r="BW187" s="314"/>
      <c r="BX187" s="314"/>
      <c r="BY187" s="314"/>
      <c r="BZ187" s="314"/>
      <c r="CA187" s="314"/>
      <c r="CB187" s="314"/>
      <c r="CC187" s="314"/>
      <c r="CD187" s="314"/>
    </row>
    <row r="188" ht="28.5" customHeight="1">
      <c r="A188" s="767"/>
      <c r="B188" s="768"/>
      <c r="C188" s="768"/>
      <c r="D188" s="769"/>
      <c r="E188" s="769"/>
      <c r="F188" s="770"/>
      <c r="G188" s="336"/>
      <c r="H188" s="771"/>
      <c r="I188" s="770"/>
      <c r="J188" s="770"/>
      <c r="K188" s="772"/>
      <c r="L188" s="314"/>
      <c r="M188" s="314"/>
      <c r="N188" s="769"/>
      <c r="O188" s="769"/>
      <c r="P188" s="773"/>
      <c r="Q188" s="774"/>
      <c r="R188" s="774"/>
      <c r="S188" s="775"/>
      <c r="AH188" s="776"/>
      <c r="AI188" s="776"/>
      <c r="AJ188" s="732"/>
      <c r="AK188" s="732"/>
      <c r="AL188" s="776"/>
      <c r="AM188" s="776"/>
      <c r="AN188" s="17"/>
      <c r="AO188" s="17"/>
      <c r="AP188" s="17"/>
      <c r="AQ188" s="17"/>
      <c r="AR188" s="17"/>
      <c r="AS188" s="17"/>
      <c r="AT188" s="17"/>
      <c r="AU188" s="732"/>
      <c r="AV188" s="313"/>
      <c r="AW188" s="313"/>
      <c r="AX188" s="313"/>
      <c r="AY188" s="313"/>
      <c r="AZ188" s="313"/>
      <c r="BA188" s="313"/>
      <c r="BB188" s="313"/>
      <c r="BC188" s="313"/>
      <c r="BD188" s="313"/>
      <c r="BE188" s="314"/>
      <c r="BW188" s="314"/>
      <c r="BX188" s="314"/>
      <c r="BY188" s="314"/>
      <c r="BZ188" s="314"/>
      <c r="CA188" s="314"/>
      <c r="CB188" s="314"/>
      <c r="CC188" s="314"/>
      <c r="CD188" s="314"/>
    </row>
    <row r="189" ht="28.5" customHeight="1">
      <c r="A189" s="767"/>
      <c r="B189" s="768"/>
      <c r="C189" s="768"/>
      <c r="D189" s="769"/>
      <c r="E189" s="769"/>
      <c r="F189" s="770"/>
      <c r="G189" s="336"/>
      <c r="H189" s="771"/>
      <c r="I189" s="770"/>
      <c r="J189" s="770"/>
      <c r="K189" s="772"/>
      <c r="L189" s="314"/>
      <c r="M189" s="314"/>
      <c r="N189" s="769"/>
      <c r="O189" s="769"/>
      <c r="P189" s="773"/>
      <c r="Q189" s="774"/>
      <c r="R189" s="774"/>
      <c r="S189" s="775"/>
      <c r="AH189" s="776"/>
      <c r="AI189" s="776"/>
      <c r="AJ189" s="732"/>
      <c r="AK189" s="732"/>
      <c r="AL189" s="776"/>
      <c r="AM189" s="776"/>
      <c r="AN189" s="17"/>
      <c r="AO189" s="17"/>
      <c r="AP189" s="17"/>
      <c r="AQ189" s="17"/>
      <c r="AR189" s="17"/>
      <c r="AS189" s="17"/>
      <c r="AT189" s="17"/>
      <c r="AU189" s="732"/>
      <c r="AV189" s="313"/>
      <c r="AW189" s="313"/>
      <c r="AX189" s="313"/>
      <c r="AY189" s="313"/>
      <c r="AZ189" s="313"/>
      <c r="BA189" s="313"/>
      <c r="BB189" s="313"/>
      <c r="BC189" s="313"/>
      <c r="BD189" s="313"/>
      <c r="BE189" s="314"/>
      <c r="BW189" s="314"/>
      <c r="BX189" s="314"/>
      <c r="BY189" s="314"/>
      <c r="BZ189" s="314"/>
      <c r="CA189" s="314"/>
      <c r="CB189" s="314"/>
      <c r="CC189" s="314"/>
      <c r="CD189" s="314"/>
    </row>
    <row r="190" ht="28.5" customHeight="1">
      <c r="A190" s="767"/>
      <c r="B190" s="768"/>
      <c r="C190" s="768"/>
      <c r="D190" s="769"/>
      <c r="E190" s="769"/>
      <c r="F190" s="770"/>
      <c r="G190" s="336"/>
      <c r="H190" s="771"/>
      <c r="I190" s="770"/>
      <c r="J190" s="770"/>
      <c r="K190" s="772"/>
      <c r="L190" s="314"/>
      <c r="M190" s="314"/>
      <c r="N190" s="769"/>
      <c r="O190" s="769"/>
      <c r="P190" s="773"/>
      <c r="Q190" s="774"/>
      <c r="R190" s="774"/>
      <c r="S190" s="775"/>
      <c r="AH190" s="776"/>
      <c r="AI190" s="776"/>
      <c r="AJ190" s="732"/>
      <c r="AK190" s="732"/>
      <c r="AL190" s="776"/>
      <c r="AM190" s="776"/>
      <c r="AN190" s="17"/>
      <c r="AO190" s="17"/>
      <c r="AP190" s="17"/>
      <c r="AQ190" s="17"/>
      <c r="AR190" s="17"/>
      <c r="AS190" s="17"/>
      <c r="AT190" s="17"/>
      <c r="AU190" s="732"/>
      <c r="AV190" s="313"/>
      <c r="AW190" s="313"/>
      <c r="AX190" s="313"/>
      <c r="AY190" s="313"/>
      <c r="AZ190" s="313"/>
      <c r="BA190" s="313"/>
      <c r="BB190" s="313"/>
      <c r="BC190" s="313"/>
      <c r="BD190" s="313"/>
      <c r="BE190" s="314"/>
      <c r="BW190" s="314"/>
      <c r="BX190" s="314"/>
      <c r="BY190" s="314"/>
      <c r="BZ190" s="314"/>
      <c r="CA190" s="314"/>
      <c r="CB190" s="314"/>
      <c r="CC190" s="314"/>
      <c r="CD190" s="314"/>
    </row>
    <row r="191" ht="28.5" customHeight="1">
      <c r="A191" s="767"/>
      <c r="B191" s="768"/>
      <c r="C191" s="768"/>
      <c r="D191" s="769"/>
      <c r="E191" s="769"/>
      <c r="F191" s="770"/>
      <c r="G191" s="336"/>
      <c r="H191" s="771"/>
      <c r="I191" s="770"/>
      <c r="J191" s="770"/>
      <c r="K191" s="772"/>
      <c r="L191" s="314"/>
      <c r="M191" s="314"/>
      <c r="N191" s="769"/>
      <c r="O191" s="769"/>
      <c r="P191" s="773"/>
      <c r="Q191" s="774"/>
      <c r="R191" s="774"/>
      <c r="S191" s="775"/>
      <c r="AH191" s="776"/>
      <c r="AI191" s="776"/>
      <c r="AJ191" s="732"/>
      <c r="AK191" s="732"/>
      <c r="AL191" s="776"/>
      <c r="AM191" s="776"/>
      <c r="AN191" s="17"/>
      <c r="AO191" s="17"/>
      <c r="AP191" s="17"/>
      <c r="AQ191" s="17"/>
      <c r="AR191" s="17"/>
      <c r="AS191" s="17"/>
      <c r="AT191" s="17"/>
      <c r="AU191" s="732"/>
      <c r="AV191" s="313"/>
      <c r="AW191" s="313"/>
      <c r="AX191" s="313"/>
      <c r="AY191" s="313"/>
      <c r="AZ191" s="313"/>
      <c r="BA191" s="313"/>
      <c r="BB191" s="313"/>
      <c r="BC191" s="313"/>
      <c r="BD191" s="313"/>
      <c r="BE191" s="314"/>
      <c r="BW191" s="314"/>
      <c r="BX191" s="314"/>
      <c r="BY191" s="314"/>
      <c r="BZ191" s="314"/>
      <c r="CA191" s="314"/>
      <c r="CB191" s="314"/>
      <c r="CC191" s="314"/>
      <c r="CD191" s="314"/>
    </row>
    <row r="192" ht="28.5" customHeight="1">
      <c r="A192" s="767"/>
      <c r="B192" s="768"/>
      <c r="C192" s="768"/>
      <c r="D192" s="769"/>
      <c r="E192" s="769"/>
      <c r="F192" s="770"/>
      <c r="G192" s="336"/>
      <c r="H192" s="771"/>
      <c r="I192" s="770"/>
      <c r="J192" s="770"/>
      <c r="K192" s="772"/>
      <c r="L192" s="314"/>
      <c r="M192" s="314"/>
      <c r="N192" s="769"/>
      <c r="O192" s="769"/>
      <c r="P192" s="773"/>
      <c r="Q192" s="774"/>
      <c r="R192" s="774"/>
      <c r="S192" s="775"/>
      <c r="AH192" s="776"/>
      <c r="AI192" s="776"/>
      <c r="AJ192" s="732"/>
      <c r="AK192" s="732"/>
      <c r="AL192" s="776"/>
      <c r="AM192" s="776"/>
      <c r="AN192" s="17"/>
      <c r="AO192" s="17"/>
      <c r="AP192" s="17"/>
      <c r="AQ192" s="17"/>
      <c r="AR192" s="17"/>
      <c r="AS192" s="17"/>
      <c r="AT192" s="17"/>
      <c r="AU192" s="732"/>
      <c r="AV192" s="313"/>
      <c r="AW192" s="313"/>
      <c r="AX192" s="313"/>
      <c r="AY192" s="313"/>
      <c r="AZ192" s="313"/>
      <c r="BA192" s="313"/>
      <c r="BB192" s="313"/>
      <c r="BC192" s="313"/>
      <c r="BD192" s="313"/>
      <c r="BE192" s="314"/>
      <c r="BW192" s="314"/>
      <c r="BX192" s="314"/>
      <c r="BY192" s="314"/>
      <c r="BZ192" s="314"/>
      <c r="CA192" s="314"/>
      <c r="CB192" s="314"/>
      <c r="CC192" s="314"/>
      <c r="CD192" s="314"/>
    </row>
    <row r="193" ht="28.5" customHeight="1">
      <c r="A193" s="767"/>
      <c r="B193" s="768"/>
      <c r="C193" s="768"/>
      <c r="D193" s="769"/>
      <c r="E193" s="769"/>
      <c r="F193" s="770"/>
      <c r="G193" s="336"/>
      <c r="H193" s="771"/>
      <c r="I193" s="770"/>
      <c r="J193" s="770"/>
      <c r="K193" s="772"/>
      <c r="L193" s="314"/>
      <c r="M193" s="314"/>
      <c r="N193" s="769"/>
      <c r="O193" s="769"/>
      <c r="P193" s="773"/>
      <c r="Q193" s="774"/>
      <c r="R193" s="774"/>
      <c r="S193" s="775"/>
      <c r="AH193" s="776"/>
      <c r="AI193" s="776"/>
      <c r="AJ193" s="732"/>
      <c r="AK193" s="732"/>
      <c r="AL193" s="776"/>
      <c r="AM193" s="776"/>
      <c r="AN193" s="17"/>
      <c r="AO193" s="17"/>
      <c r="AP193" s="17"/>
      <c r="AQ193" s="17"/>
      <c r="AR193" s="17"/>
      <c r="AS193" s="17"/>
      <c r="AT193" s="17"/>
      <c r="AU193" s="732"/>
      <c r="AV193" s="313"/>
      <c r="AW193" s="313"/>
      <c r="AX193" s="313"/>
      <c r="AY193" s="313"/>
      <c r="AZ193" s="313"/>
      <c r="BA193" s="313"/>
      <c r="BB193" s="313"/>
      <c r="BC193" s="313"/>
      <c r="BD193" s="313"/>
      <c r="BE193" s="314"/>
      <c r="BW193" s="314"/>
      <c r="BX193" s="314"/>
      <c r="BY193" s="314"/>
      <c r="BZ193" s="314"/>
      <c r="CA193" s="314"/>
      <c r="CB193" s="314"/>
      <c r="CC193" s="314"/>
      <c r="CD193" s="314"/>
    </row>
    <row r="194" ht="28.5" customHeight="1">
      <c r="A194" s="767"/>
      <c r="B194" s="768"/>
      <c r="C194" s="768"/>
      <c r="D194" s="769"/>
      <c r="E194" s="769"/>
      <c r="F194" s="770"/>
      <c r="G194" s="336"/>
      <c r="H194" s="771"/>
      <c r="I194" s="770"/>
      <c r="J194" s="770"/>
      <c r="K194" s="772"/>
      <c r="L194" s="314"/>
      <c r="M194" s="314"/>
      <c r="N194" s="769"/>
      <c r="O194" s="769"/>
      <c r="P194" s="773"/>
      <c r="Q194" s="774"/>
      <c r="R194" s="774"/>
      <c r="S194" s="775"/>
      <c r="AH194" s="776"/>
      <c r="AI194" s="776"/>
      <c r="AJ194" s="732"/>
      <c r="AK194" s="732"/>
      <c r="AL194" s="776"/>
      <c r="AM194" s="776"/>
      <c r="AN194" s="17"/>
      <c r="AO194" s="17"/>
      <c r="AP194" s="17"/>
      <c r="AQ194" s="17"/>
      <c r="AR194" s="17"/>
      <c r="AS194" s="17"/>
      <c r="AT194" s="17"/>
      <c r="AU194" s="732"/>
      <c r="AV194" s="313"/>
      <c r="AW194" s="313"/>
      <c r="AX194" s="313"/>
      <c r="AY194" s="313"/>
      <c r="AZ194" s="313"/>
      <c r="BA194" s="313"/>
      <c r="BB194" s="313"/>
      <c r="BC194" s="313"/>
      <c r="BD194" s="313"/>
      <c r="BE194" s="314"/>
      <c r="BW194" s="314"/>
      <c r="BX194" s="314"/>
      <c r="BY194" s="314"/>
      <c r="BZ194" s="314"/>
      <c r="CA194" s="314"/>
      <c r="CB194" s="314"/>
      <c r="CC194" s="314"/>
      <c r="CD194" s="314"/>
    </row>
    <row r="195" ht="28.5" customHeight="1">
      <c r="A195" s="767"/>
      <c r="B195" s="768"/>
      <c r="C195" s="768"/>
      <c r="D195" s="769"/>
      <c r="E195" s="769"/>
      <c r="F195" s="770"/>
      <c r="G195" s="336"/>
      <c r="H195" s="771"/>
      <c r="I195" s="770"/>
      <c r="J195" s="770"/>
      <c r="K195" s="772"/>
      <c r="L195" s="314"/>
      <c r="M195" s="314"/>
      <c r="N195" s="769"/>
      <c r="O195" s="769"/>
      <c r="P195" s="773"/>
      <c r="Q195" s="774"/>
      <c r="R195" s="774"/>
      <c r="S195" s="775"/>
      <c r="AH195" s="776"/>
      <c r="AI195" s="776"/>
      <c r="AJ195" s="732"/>
      <c r="AK195" s="732"/>
      <c r="AL195" s="776"/>
      <c r="AM195" s="776"/>
      <c r="AN195" s="17"/>
      <c r="AO195" s="17"/>
      <c r="AP195" s="17"/>
      <c r="AQ195" s="17"/>
      <c r="AR195" s="17"/>
      <c r="AS195" s="17"/>
      <c r="AT195" s="17"/>
      <c r="AU195" s="732"/>
      <c r="AV195" s="313"/>
      <c r="AW195" s="313"/>
      <c r="AX195" s="313"/>
      <c r="AY195" s="313"/>
      <c r="AZ195" s="313"/>
      <c r="BA195" s="313"/>
      <c r="BB195" s="313"/>
      <c r="BC195" s="313"/>
      <c r="BD195" s="313"/>
      <c r="BE195" s="314"/>
      <c r="BW195" s="314"/>
      <c r="BX195" s="314"/>
      <c r="BY195" s="314"/>
      <c r="BZ195" s="314"/>
      <c r="CA195" s="314"/>
      <c r="CB195" s="314"/>
      <c r="CC195" s="314"/>
      <c r="CD195" s="314"/>
    </row>
    <row r="196" ht="28.5" customHeight="1">
      <c r="A196" s="767"/>
      <c r="B196" s="768"/>
      <c r="C196" s="768"/>
      <c r="D196" s="769"/>
      <c r="E196" s="769"/>
      <c r="F196" s="770"/>
      <c r="G196" s="336"/>
      <c r="H196" s="771"/>
      <c r="I196" s="770"/>
      <c r="J196" s="770"/>
      <c r="K196" s="772"/>
      <c r="L196" s="314"/>
      <c r="M196" s="314"/>
      <c r="N196" s="769"/>
      <c r="O196" s="769"/>
      <c r="P196" s="773"/>
      <c r="Q196" s="774"/>
      <c r="R196" s="774"/>
      <c r="S196" s="775"/>
      <c r="AH196" s="776"/>
      <c r="AI196" s="776"/>
      <c r="AJ196" s="732"/>
      <c r="AK196" s="732"/>
      <c r="AL196" s="776"/>
      <c r="AM196" s="776"/>
      <c r="AN196" s="17"/>
      <c r="AO196" s="17"/>
      <c r="AP196" s="17"/>
      <c r="AQ196" s="17"/>
      <c r="AR196" s="17"/>
      <c r="AS196" s="17"/>
      <c r="AT196" s="17"/>
      <c r="AU196" s="732"/>
      <c r="AV196" s="313"/>
      <c r="AW196" s="313"/>
      <c r="AX196" s="313"/>
      <c r="AY196" s="313"/>
      <c r="AZ196" s="313"/>
      <c r="BA196" s="313"/>
      <c r="BB196" s="313"/>
      <c r="BC196" s="313"/>
      <c r="BD196" s="313"/>
      <c r="BE196" s="314"/>
      <c r="BW196" s="314"/>
      <c r="BX196" s="314"/>
      <c r="BY196" s="314"/>
      <c r="BZ196" s="314"/>
      <c r="CA196" s="314"/>
      <c r="CB196" s="314"/>
      <c r="CC196" s="314"/>
      <c r="CD196" s="314"/>
    </row>
    <row r="197" ht="28.5" customHeight="1">
      <c r="A197" s="767"/>
      <c r="B197" s="768"/>
      <c r="C197" s="768"/>
      <c r="D197" s="769"/>
      <c r="E197" s="769"/>
      <c r="F197" s="770"/>
      <c r="G197" s="336"/>
      <c r="H197" s="771"/>
      <c r="I197" s="770"/>
      <c r="J197" s="770"/>
      <c r="K197" s="772"/>
      <c r="L197" s="314"/>
      <c r="M197" s="314"/>
      <c r="N197" s="769"/>
      <c r="O197" s="769"/>
      <c r="P197" s="773"/>
      <c r="Q197" s="774"/>
      <c r="R197" s="774"/>
      <c r="S197" s="775"/>
      <c r="AH197" s="776"/>
      <c r="AI197" s="776"/>
      <c r="AJ197" s="732"/>
      <c r="AK197" s="732"/>
      <c r="AL197" s="776"/>
      <c r="AM197" s="776"/>
      <c r="AN197" s="17"/>
      <c r="AO197" s="17"/>
      <c r="AP197" s="17"/>
      <c r="AQ197" s="17"/>
      <c r="AR197" s="17"/>
      <c r="AS197" s="17"/>
      <c r="AT197" s="17"/>
      <c r="AU197" s="732"/>
      <c r="AV197" s="313"/>
      <c r="AW197" s="313"/>
      <c r="AX197" s="313"/>
      <c r="AY197" s="313"/>
      <c r="AZ197" s="313"/>
      <c r="BA197" s="313"/>
      <c r="BB197" s="313"/>
      <c r="BC197" s="313"/>
      <c r="BD197" s="313"/>
      <c r="BE197" s="314"/>
      <c r="BW197" s="314"/>
      <c r="BX197" s="314"/>
      <c r="BY197" s="314"/>
      <c r="BZ197" s="314"/>
      <c r="CA197" s="314"/>
      <c r="CB197" s="314"/>
      <c r="CC197" s="314"/>
      <c r="CD197" s="314"/>
    </row>
    <row r="198" ht="28.5" customHeight="1">
      <c r="A198" s="767"/>
      <c r="B198" s="768"/>
      <c r="C198" s="768"/>
      <c r="D198" s="769"/>
      <c r="E198" s="769"/>
      <c r="F198" s="770"/>
      <c r="G198" s="336"/>
      <c r="H198" s="771"/>
      <c r="I198" s="770"/>
      <c r="J198" s="770"/>
      <c r="K198" s="772"/>
      <c r="L198" s="314"/>
      <c r="M198" s="314"/>
      <c r="N198" s="769"/>
      <c r="O198" s="769"/>
      <c r="P198" s="773"/>
      <c r="Q198" s="774"/>
      <c r="R198" s="774"/>
      <c r="S198" s="775"/>
      <c r="AH198" s="776"/>
      <c r="AI198" s="776"/>
      <c r="AJ198" s="732"/>
      <c r="AK198" s="732"/>
      <c r="AL198" s="776"/>
      <c r="AM198" s="776"/>
      <c r="AN198" s="17"/>
      <c r="AO198" s="17"/>
      <c r="AP198" s="17"/>
      <c r="AQ198" s="17"/>
      <c r="AR198" s="17"/>
      <c r="AS198" s="17"/>
      <c r="AT198" s="17"/>
      <c r="AU198" s="732"/>
      <c r="AV198" s="313"/>
      <c r="AW198" s="313"/>
      <c r="AX198" s="313"/>
      <c r="AY198" s="313"/>
      <c r="AZ198" s="313"/>
      <c r="BA198" s="313"/>
      <c r="BB198" s="313"/>
      <c r="BC198" s="313"/>
      <c r="BD198" s="313"/>
      <c r="BE198" s="314"/>
      <c r="BW198" s="314"/>
      <c r="BX198" s="314"/>
      <c r="BY198" s="314"/>
      <c r="BZ198" s="314"/>
      <c r="CA198" s="314"/>
      <c r="CB198" s="314"/>
      <c r="CC198" s="314"/>
      <c r="CD198" s="314"/>
    </row>
    <row r="199" ht="28.5" customHeight="1">
      <c r="A199" s="767"/>
      <c r="B199" s="768"/>
      <c r="C199" s="768"/>
      <c r="D199" s="769"/>
      <c r="E199" s="769"/>
      <c r="F199" s="770"/>
      <c r="G199" s="336"/>
      <c r="H199" s="771"/>
      <c r="I199" s="770"/>
      <c r="J199" s="770"/>
      <c r="K199" s="772"/>
      <c r="L199" s="314"/>
      <c r="M199" s="314"/>
      <c r="N199" s="769"/>
      <c r="O199" s="769"/>
      <c r="P199" s="773"/>
      <c r="Q199" s="774"/>
      <c r="R199" s="774"/>
      <c r="S199" s="775"/>
      <c r="AH199" s="776"/>
      <c r="AI199" s="776"/>
      <c r="AJ199" s="732"/>
      <c r="AK199" s="732"/>
      <c r="AL199" s="776"/>
      <c r="AM199" s="776"/>
      <c r="AN199" s="17"/>
      <c r="AO199" s="17"/>
      <c r="AP199" s="17"/>
      <c r="AQ199" s="17"/>
      <c r="AR199" s="17"/>
      <c r="AS199" s="17"/>
      <c r="AT199" s="17"/>
      <c r="AU199" s="732"/>
      <c r="AV199" s="313"/>
      <c r="AW199" s="313"/>
      <c r="AX199" s="313"/>
      <c r="AY199" s="313"/>
      <c r="AZ199" s="313"/>
      <c r="BA199" s="313"/>
      <c r="BB199" s="313"/>
      <c r="BC199" s="313"/>
      <c r="BD199" s="313"/>
      <c r="BE199" s="314"/>
      <c r="BW199" s="314"/>
      <c r="BX199" s="314"/>
      <c r="BY199" s="314"/>
      <c r="BZ199" s="314"/>
      <c r="CA199" s="314"/>
      <c r="CB199" s="314"/>
      <c r="CC199" s="314"/>
      <c r="CD199" s="314"/>
    </row>
    <row r="200" ht="28.5" customHeight="1">
      <c r="A200" s="767"/>
      <c r="B200" s="768"/>
      <c r="C200" s="768"/>
      <c r="D200" s="769"/>
      <c r="E200" s="769"/>
      <c r="F200" s="770"/>
      <c r="G200" s="336"/>
      <c r="H200" s="771"/>
      <c r="I200" s="770"/>
      <c r="J200" s="770"/>
      <c r="K200" s="772"/>
      <c r="L200" s="314"/>
      <c r="M200" s="314"/>
      <c r="N200" s="769"/>
      <c r="O200" s="769"/>
      <c r="P200" s="773"/>
      <c r="Q200" s="774"/>
      <c r="R200" s="774"/>
      <c r="S200" s="775"/>
      <c r="AH200" s="776"/>
      <c r="AI200" s="776"/>
      <c r="AJ200" s="732"/>
      <c r="AK200" s="732"/>
      <c r="AL200" s="776"/>
      <c r="AM200" s="776"/>
      <c r="AN200" s="17"/>
      <c r="AO200" s="17"/>
      <c r="AP200" s="17"/>
      <c r="AQ200" s="17"/>
      <c r="AR200" s="17"/>
      <c r="AS200" s="17"/>
      <c r="AT200" s="17"/>
      <c r="AU200" s="732"/>
      <c r="AV200" s="313"/>
      <c r="AW200" s="313"/>
      <c r="AX200" s="313"/>
      <c r="AY200" s="313"/>
      <c r="AZ200" s="313"/>
      <c r="BA200" s="313"/>
      <c r="BB200" s="313"/>
      <c r="BC200" s="313"/>
      <c r="BD200" s="313"/>
      <c r="BE200" s="314"/>
      <c r="BW200" s="314"/>
      <c r="BX200" s="314"/>
      <c r="BY200" s="314"/>
      <c r="BZ200" s="314"/>
      <c r="CA200" s="314"/>
      <c r="CB200" s="314"/>
      <c r="CC200" s="314"/>
      <c r="CD200" s="314"/>
    </row>
    <row r="201" ht="28.5" customHeight="1">
      <c r="A201" s="767"/>
      <c r="B201" s="768"/>
      <c r="C201" s="768"/>
      <c r="D201" s="769"/>
      <c r="E201" s="769"/>
      <c r="F201" s="770"/>
      <c r="G201" s="336"/>
      <c r="H201" s="771"/>
      <c r="I201" s="770"/>
      <c r="J201" s="770"/>
      <c r="K201" s="772"/>
      <c r="L201" s="314"/>
      <c r="M201" s="314"/>
      <c r="N201" s="769"/>
      <c r="O201" s="769"/>
      <c r="P201" s="773"/>
      <c r="Q201" s="774"/>
      <c r="R201" s="774"/>
      <c r="S201" s="775"/>
      <c r="AH201" s="776"/>
      <c r="AI201" s="776"/>
      <c r="AJ201" s="732"/>
      <c r="AK201" s="732"/>
      <c r="AL201" s="776"/>
      <c r="AM201" s="776"/>
      <c r="AN201" s="17"/>
      <c r="AO201" s="17"/>
      <c r="AP201" s="17"/>
      <c r="AQ201" s="17"/>
      <c r="AR201" s="17"/>
      <c r="AS201" s="17"/>
      <c r="AT201" s="17"/>
      <c r="AU201" s="732"/>
      <c r="AV201" s="313"/>
      <c r="AW201" s="313"/>
      <c r="AX201" s="313"/>
      <c r="AY201" s="313"/>
      <c r="AZ201" s="313"/>
      <c r="BA201" s="313"/>
      <c r="BB201" s="313"/>
      <c r="BC201" s="313"/>
      <c r="BD201" s="313"/>
      <c r="BE201" s="314"/>
      <c r="BW201" s="314"/>
      <c r="BX201" s="314"/>
      <c r="BY201" s="314"/>
      <c r="BZ201" s="314"/>
      <c r="CA201" s="314"/>
      <c r="CB201" s="314"/>
      <c r="CC201" s="314"/>
      <c r="CD201" s="314"/>
    </row>
    <row r="202" ht="28.5" customHeight="1">
      <c r="A202" s="767"/>
      <c r="B202" s="768"/>
      <c r="C202" s="768"/>
      <c r="D202" s="769"/>
      <c r="E202" s="769"/>
      <c r="F202" s="770"/>
      <c r="G202" s="336"/>
      <c r="H202" s="771"/>
      <c r="I202" s="770"/>
      <c r="J202" s="770"/>
      <c r="K202" s="772"/>
      <c r="L202" s="314"/>
      <c r="M202" s="314"/>
      <c r="N202" s="769"/>
      <c r="O202" s="769"/>
      <c r="P202" s="773"/>
      <c r="Q202" s="774"/>
      <c r="R202" s="774"/>
      <c r="S202" s="775"/>
      <c r="AH202" s="776"/>
      <c r="AI202" s="776"/>
      <c r="AJ202" s="732"/>
      <c r="AK202" s="732"/>
      <c r="AL202" s="776"/>
      <c r="AM202" s="776"/>
      <c r="AN202" s="17"/>
      <c r="AO202" s="17"/>
      <c r="AP202" s="17"/>
      <c r="AQ202" s="17"/>
      <c r="AR202" s="17"/>
      <c r="AS202" s="17"/>
      <c r="AT202" s="17"/>
      <c r="AU202" s="732"/>
      <c r="AV202" s="313"/>
      <c r="AW202" s="313"/>
      <c r="AX202" s="313"/>
      <c r="AY202" s="313"/>
      <c r="AZ202" s="313"/>
      <c r="BA202" s="313"/>
      <c r="BB202" s="313"/>
      <c r="BC202" s="313"/>
      <c r="BD202" s="313"/>
      <c r="BE202" s="314"/>
      <c r="BW202" s="314"/>
      <c r="BX202" s="314"/>
      <c r="BY202" s="314"/>
      <c r="BZ202" s="314"/>
      <c r="CA202" s="314"/>
      <c r="CB202" s="314"/>
      <c r="CC202" s="314"/>
      <c r="CD202" s="314"/>
    </row>
    <row r="203" ht="28.5" customHeight="1">
      <c r="A203" s="767"/>
      <c r="B203" s="768"/>
      <c r="C203" s="768"/>
      <c r="D203" s="769"/>
      <c r="E203" s="769"/>
      <c r="F203" s="770"/>
      <c r="G203" s="336"/>
      <c r="H203" s="771"/>
      <c r="I203" s="770"/>
      <c r="J203" s="770"/>
      <c r="K203" s="772"/>
      <c r="L203" s="314"/>
      <c r="M203" s="314"/>
      <c r="N203" s="769"/>
      <c r="O203" s="769"/>
      <c r="P203" s="773"/>
      <c r="Q203" s="774"/>
      <c r="R203" s="774"/>
      <c r="S203" s="775"/>
      <c r="AH203" s="776"/>
      <c r="AI203" s="776"/>
      <c r="AJ203" s="732"/>
      <c r="AK203" s="732"/>
      <c r="AL203" s="776"/>
      <c r="AM203" s="776"/>
      <c r="AN203" s="17"/>
      <c r="AO203" s="17"/>
      <c r="AP203" s="17"/>
      <c r="AQ203" s="17"/>
      <c r="AR203" s="17"/>
      <c r="AS203" s="17"/>
      <c r="AT203" s="17"/>
      <c r="AU203" s="732"/>
      <c r="AV203" s="313"/>
      <c r="AW203" s="313"/>
      <c r="AX203" s="313"/>
      <c r="AY203" s="313"/>
      <c r="AZ203" s="313"/>
      <c r="BA203" s="313"/>
      <c r="BB203" s="313"/>
      <c r="BC203" s="313"/>
      <c r="BD203" s="313"/>
      <c r="BE203" s="314"/>
      <c r="BW203" s="314"/>
      <c r="BX203" s="314"/>
      <c r="BY203" s="314"/>
      <c r="BZ203" s="314"/>
      <c r="CA203" s="314"/>
      <c r="CB203" s="314"/>
      <c r="CC203" s="314"/>
      <c r="CD203" s="314"/>
    </row>
    <row r="204" ht="28.5" customHeight="1">
      <c r="A204" s="767"/>
      <c r="B204" s="768"/>
      <c r="C204" s="768"/>
      <c r="D204" s="769"/>
      <c r="E204" s="769"/>
      <c r="F204" s="770"/>
      <c r="G204" s="336"/>
      <c r="H204" s="771"/>
      <c r="I204" s="770"/>
      <c r="J204" s="770"/>
      <c r="K204" s="772"/>
      <c r="L204" s="314"/>
      <c r="M204" s="314"/>
      <c r="N204" s="769"/>
      <c r="O204" s="769"/>
      <c r="P204" s="773"/>
      <c r="Q204" s="774"/>
      <c r="R204" s="774"/>
      <c r="S204" s="775"/>
      <c r="AH204" s="776"/>
      <c r="AI204" s="776"/>
      <c r="AJ204" s="732"/>
      <c r="AK204" s="732"/>
      <c r="AL204" s="776"/>
      <c r="AM204" s="776"/>
      <c r="AN204" s="17"/>
      <c r="AO204" s="17"/>
      <c r="AP204" s="17"/>
      <c r="AQ204" s="17"/>
      <c r="AR204" s="17"/>
      <c r="AS204" s="17"/>
      <c r="AT204" s="17"/>
      <c r="AU204" s="732"/>
      <c r="AV204" s="313"/>
      <c r="AW204" s="313"/>
      <c r="AX204" s="313"/>
      <c r="AY204" s="313"/>
      <c r="AZ204" s="313"/>
      <c r="BA204" s="313"/>
      <c r="BB204" s="313"/>
      <c r="BC204" s="313"/>
      <c r="BD204" s="313"/>
      <c r="BE204" s="314"/>
      <c r="BW204" s="314"/>
      <c r="BX204" s="314"/>
      <c r="BY204" s="314"/>
      <c r="BZ204" s="314"/>
      <c r="CA204" s="314"/>
      <c r="CB204" s="314"/>
      <c r="CC204" s="314"/>
      <c r="CD204" s="314"/>
    </row>
    <row r="205" ht="28.5" customHeight="1">
      <c r="A205" s="767"/>
      <c r="B205" s="768"/>
      <c r="C205" s="768"/>
      <c r="D205" s="769"/>
      <c r="E205" s="769"/>
      <c r="F205" s="770"/>
      <c r="G205" s="336"/>
      <c r="H205" s="771"/>
      <c r="I205" s="770"/>
      <c r="J205" s="770"/>
      <c r="K205" s="772"/>
      <c r="L205" s="314"/>
      <c r="M205" s="314"/>
      <c r="N205" s="769"/>
      <c r="O205" s="769"/>
      <c r="P205" s="773"/>
      <c r="Q205" s="774"/>
      <c r="R205" s="774"/>
      <c r="S205" s="775"/>
      <c r="AH205" s="776"/>
      <c r="AI205" s="776"/>
      <c r="AJ205" s="732"/>
      <c r="AK205" s="732"/>
      <c r="AL205" s="776"/>
      <c r="AM205" s="776"/>
      <c r="AN205" s="17"/>
      <c r="AO205" s="17"/>
      <c r="AP205" s="17"/>
      <c r="AQ205" s="17"/>
      <c r="AR205" s="17"/>
      <c r="AS205" s="17"/>
      <c r="AT205" s="17"/>
      <c r="AU205" s="732"/>
      <c r="AV205" s="313"/>
      <c r="AW205" s="313"/>
      <c r="AX205" s="313"/>
      <c r="AY205" s="313"/>
      <c r="AZ205" s="313"/>
      <c r="BA205" s="313"/>
      <c r="BB205" s="313"/>
      <c r="BC205" s="313"/>
      <c r="BD205" s="313"/>
      <c r="BE205" s="314"/>
      <c r="BW205" s="314"/>
      <c r="BX205" s="314"/>
      <c r="BY205" s="314"/>
      <c r="BZ205" s="314"/>
      <c r="CA205" s="314"/>
      <c r="CB205" s="314"/>
      <c r="CC205" s="314"/>
      <c r="CD205" s="314"/>
    </row>
    <row r="206" ht="28.5" customHeight="1">
      <c r="A206" s="767"/>
      <c r="B206" s="768"/>
      <c r="C206" s="768"/>
      <c r="D206" s="769"/>
      <c r="E206" s="769"/>
      <c r="F206" s="770"/>
      <c r="G206" s="336"/>
      <c r="H206" s="771"/>
      <c r="I206" s="770"/>
      <c r="J206" s="770"/>
      <c r="K206" s="772"/>
      <c r="L206" s="314"/>
      <c r="M206" s="314"/>
      <c r="N206" s="769"/>
      <c r="O206" s="769"/>
      <c r="P206" s="773"/>
      <c r="Q206" s="774"/>
      <c r="R206" s="774"/>
      <c r="S206" s="775"/>
      <c r="AH206" s="776"/>
      <c r="AI206" s="776"/>
      <c r="AJ206" s="732"/>
      <c r="AK206" s="732"/>
      <c r="AL206" s="776"/>
      <c r="AM206" s="776"/>
      <c r="AN206" s="17"/>
      <c r="AO206" s="17"/>
      <c r="AP206" s="17"/>
      <c r="AQ206" s="17"/>
      <c r="AR206" s="17"/>
      <c r="AS206" s="17"/>
      <c r="AT206" s="17"/>
      <c r="AU206" s="732"/>
      <c r="AV206" s="313"/>
      <c r="AW206" s="313"/>
      <c r="AX206" s="313"/>
      <c r="AY206" s="313"/>
      <c r="AZ206" s="313"/>
      <c r="BA206" s="313"/>
      <c r="BB206" s="313"/>
      <c r="BC206" s="313"/>
      <c r="BD206" s="313"/>
      <c r="BE206" s="314"/>
      <c r="BW206" s="314"/>
      <c r="BX206" s="314"/>
      <c r="BY206" s="314"/>
      <c r="BZ206" s="314"/>
      <c r="CA206" s="314"/>
      <c r="CB206" s="314"/>
      <c r="CC206" s="314"/>
      <c r="CD206" s="314"/>
    </row>
    <row r="207" ht="28.5" customHeight="1">
      <c r="A207" s="767"/>
      <c r="B207" s="768"/>
      <c r="C207" s="768"/>
      <c r="D207" s="769"/>
      <c r="E207" s="769"/>
      <c r="F207" s="770"/>
      <c r="G207" s="336"/>
      <c r="H207" s="771"/>
      <c r="I207" s="770"/>
      <c r="J207" s="770"/>
      <c r="K207" s="772"/>
      <c r="L207" s="314"/>
      <c r="M207" s="314"/>
      <c r="N207" s="769"/>
      <c r="O207" s="769"/>
      <c r="P207" s="773"/>
      <c r="Q207" s="774"/>
      <c r="R207" s="774"/>
      <c r="S207" s="775"/>
      <c r="AH207" s="776"/>
      <c r="AI207" s="776"/>
      <c r="AJ207" s="732"/>
      <c r="AK207" s="732"/>
      <c r="AL207" s="776"/>
      <c r="AM207" s="776"/>
      <c r="AN207" s="17"/>
      <c r="AO207" s="17"/>
      <c r="AP207" s="17"/>
      <c r="AQ207" s="17"/>
      <c r="AR207" s="17"/>
      <c r="AS207" s="17"/>
      <c r="AT207" s="17"/>
      <c r="AU207" s="732"/>
      <c r="AV207" s="313"/>
      <c r="AW207" s="313"/>
      <c r="AX207" s="313"/>
      <c r="AY207" s="313"/>
      <c r="AZ207" s="313"/>
      <c r="BA207" s="313"/>
      <c r="BB207" s="313"/>
      <c r="BC207" s="313"/>
      <c r="BD207" s="313"/>
      <c r="BE207" s="314"/>
      <c r="BW207" s="314"/>
      <c r="BX207" s="314"/>
      <c r="BY207" s="314"/>
      <c r="BZ207" s="314"/>
      <c r="CA207" s="314"/>
      <c r="CB207" s="314"/>
      <c r="CC207" s="314"/>
      <c r="CD207" s="314"/>
    </row>
    <row r="208" ht="28.5" customHeight="1">
      <c r="A208" s="767"/>
      <c r="B208" s="768"/>
      <c r="C208" s="768"/>
      <c r="D208" s="769"/>
      <c r="E208" s="769"/>
      <c r="F208" s="770"/>
      <c r="G208" s="336"/>
      <c r="H208" s="771"/>
      <c r="I208" s="770"/>
      <c r="J208" s="770"/>
      <c r="K208" s="772"/>
      <c r="L208" s="314"/>
      <c r="M208" s="314"/>
      <c r="N208" s="769"/>
      <c r="O208" s="769"/>
      <c r="P208" s="773"/>
      <c r="Q208" s="774"/>
      <c r="R208" s="774"/>
      <c r="S208" s="775"/>
      <c r="AH208" s="776"/>
      <c r="AI208" s="776"/>
      <c r="AJ208" s="732"/>
      <c r="AK208" s="732"/>
      <c r="AL208" s="776"/>
      <c r="AM208" s="776"/>
      <c r="AN208" s="17"/>
      <c r="AO208" s="17"/>
      <c r="AP208" s="17"/>
      <c r="AQ208" s="17"/>
      <c r="AR208" s="17"/>
      <c r="AS208" s="17"/>
      <c r="AT208" s="17"/>
      <c r="AU208" s="732"/>
      <c r="AV208" s="313"/>
      <c r="AW208" s="313"/>
      <c r="AX208" s="313"/>
      <c r="AY208" s="313"/>
      <c r="AZ208" s="313"/>
      <c r="BA208" s="313"/>
      <c r="BB208" s="313"/>
      <c r="BC208" s="313"/>
      <c r="BD208" s="313"/>
      <c r="BE208" s="314"/>
      <c r="BW208" s="314"/>
      <c r="BX208" s="314"/>
      <c r="BY208" s="314"/>
      <c r="BZ208" s="314"/>
      <c r="CA208" s="314"/>
      <c r="CB208" s="314"/>
      <c r="CC208" s="314"/>
      <c r="CD208" s="314"/>
    </row>
    <row r="209" ht="28.5" customHeight="1">
      <c r="A209" s="767"/>
      <c r="B209" s="768"/>
      <c r="C209" s="768"/>
      <c r="D209" s="769"/>
      <c r="E209" s="769"/>
      <c r="F209" s="770"/>
      <c r="G209" s="336"/>
      <c r="H209" s="771"/>
      <c r="I209" s="770"/>
      <c r="J209" s="770"/>
      <c r="K209" s="772"/>
      <c r="L209" s="314"/>
      <c r="M209" s="314"/>
      <c r="N209" s="769"/>
      <c r="O209" s="769"/>
      <c r="P209" s="773"/>
      <c r="Q209" s="774"/>
      <c r="R209" s="774"/>
      <c r="S209" s="775"/>
      <c r="AH209" s="776"/>
      <c r="AI209" s="776"/>
      <c r="AJ209" s="732"/>
      <c r="AK209" s="732"/>
      <c r="AL209" s="776"/>
      <c r="AM209" s="776"/>
      <c r="AN209" s="17"/>
      <c r="AO209" s="17"/>
      <c r="AP209" s="17"/>
      <c r="AQ209" s="17"/>
      <c r="AR209" s="17"/>
      <c r="AS209" s="17"/>
      <c r="AT209" s="17"/>
      <c r="AU209" s="732"/>
      <c r="AV209" s="313"/>
      <c r="AW209" s="313"/>
      <c r="AX209" s="313"/>
      <c r="AY209" s="313"/>
      <c r="AZ209" s="313"/>
      <c r="BA209" s="313"/>
      <c r="BB209" s="313"/>
      <c r="BC209" s="313"/>
      <c r="BD209" s="313"/>
      <c r="BE209" s="314"/>
      <c r="BW209" s="314"/>
      <c r="BX209" s="314"/>
      <c r="BY209" s="314"/>
      <c r="BZ209" s="314"/>
      <c r="CA209" s="314"/>
      <c r="CB209" s="314"/>
      <c r="CC209" s="314"/>
      <c r="CD209" s="314"/>
    </row>
    <row r="210" ht="28.5" customHeight="1">
      <c r="A210" s="767"/>
      <c r="B210" s="768"/>
      <c r="C210" s="768"/>
      <c r="D210" s="769"/>
      <c r="E210" s="769"/>
      <c r="F210" s="770"/>
      <c r="G210" s="336"/>
      <c r="H210" s="771"/>
      <c r="I210" s="770"/>
      <c r="J210" s="770"/>
      <c r="K210" s="772"/>
      <c r="L210" s="314"/>
      <c r="M210" s="314"/>
      <c r="N210" s="769"/>
      <c r="O210" s="769"/>
      <c r="P210" s="773"/>
      <c r="Q210" s="774"/>
      <c r="R210" s="774"/>
      <c r="S210" s="775"/>
      <c r="AH210" s="776"/>
      <c r="AI210" s="776"/>
      <c r="AJ210" s="732"/>
      <c r="AK210" s="732"/>
      <c r="AL210" s="776"/>
      <c r="AM210" s="776"/>
      <c r="AN210" s="17"/>
      <c r="AO210" s="17"/>
      <c r="AP210" s="17"/>
      <c r="AQ210" s="17"/>
      <c r="AR210" s="17"/>
      <c r="AS210" s="17"/>
      <c r="AT210" s="17"/>
      <c r="AU210" s="732"/>
      <c r="AV210" s="313"/>
      <c r="AW210" s="313"/>
      <c r="AX210" s="313"/>
      <c r="AY210" s="313"/>
      <c r="AZ210" s="313"/>
      <c r="BA210" s="313"/>
      <c r="BB210" s="313"/>
      <c r="BC210" s="313"/>
      <c r="BD210" s="313"/>
      <c r="BE210" s="314"/>
      <c r="BW210" s="314"/>
      <c r="BX210" s="314"/>
      <c r="BY210" s="314"/>
      <c r="BZ210" s="314"/>
      <c r="CA210" s="314"/>
      <c r="CB210" s="314"/>
      <c r="CC210" s="314"/>
      <c r="CD210" s="314"/>
    </row>
    <row r="211" ht="28.5" customHeight="1">
      <c r="A211" s="767"/>
      <c r="B211" s="768"/>
      <c r="C211" s="768"/>
      <c r="D211" s="769"/>
      <c r="E211" s="769"/>
      <c r="F211" s="770"/>
      <c r="G211" s="336"/>
      <c r="H211" s="771"/>
      <c r="I211" s="770"/>
      <c r="J211" s="770"/>
      <c r="K211" s="772"/>
      <c r="L211" s="314"/>
      <c r="M211" s="314"/>
      <c r="N211" s="769"/>
      <c r="O211" s="769"/>
      <c r="P211" s="773"/>
      <c r="Q211" s="774"/>
      <c r="R211" s="774"/>
      <c r="S211" s="775"/>
      <c r="AH211" s="776"/>
      <c r="AI211" s="776"/>
      <c r="AJ211" s="732"/>
      <c r="AK211" s="732"/>
      <c r="AL211" s="776"/>
      <c r="AM211" s="776"/>
      <c r="AN211" s="17"/>
      <c r="AO211" s="17"/>
      <c r="AP211" s="17"/>
      <c r="AQ211" s="17"/>
      <c r="AR211" s="17"/>
      <c r="AS211" s="17"/>
      <c r="AT211" s="17"/>
      <c r="AU211" s="732"/>
      <c r="AV211" s="313"/>
      <c r="AW211" s="313"/>
      <c r="AX211" s="313"/>
      <c r="AY211" s="313"/>
      <c r="AZ211" s="313"/>
      <c r="BA211" s="313"/>
      <c r="BB211" s="313"/>
      <c r="BC211" s="313"/>
      <c r="BD211" s="313"/>
      <c r="BE211" s="314"/>
      <c r="BW211" s="314"/>
      <c r="BX211" s="314"/>
      <c r="BY211" s="314"/>
      <c r="BZ211" s="314"/>
      <c r="CA211" s="314"/>
      <c r="CB211" s="314"/>
      <c r="CC211" s="314"/>
      <c r="CD211" s="314"/>
    </row>
    <row r="212" ht="28.5" customHeight="1">
      <c r="A212" s="767"/>
      <c r="B212" s="768"/>
      <c r="C212" s="768"/>
      <c r="D212" s="769"/>
      <c r="E212" s="769"/>
      <c r="F212" s="770"/>
      <c r="G212" s="336"/>
      <c r="H212" s="771"/>
      <c r="I212" s="770"/>
      <c r="J212" s="770"/>
      <c r="K212" s="772"/>
      <c r="L212" s="314"/>
      <c r="M212" s="314"/>
      <c r="N212" s="769"/>
      <c r="O212" s="769"/>
      <c r="P212" s="773"/>
      <c r="Q212" s="774"/>
      <c r="R212" s="774"/>
      <c r="S212" s="775"/>
      <c r="AH212" s="776"/>
      <c r="AI212" s="776"/>
      <c r="AJ212" s="732"/>
      <c r="AK212" s="732"/>
      <c r="AL212" s="776"/>
      <c r="AM212" s="776"/>
      <c r="AN212" s="17"/>
      <c r="AO212" s="17"/>
      <c r="AP212" s="17"/>
      <c r="AQ212" s="17"/>
      <c r="AR212" s="17"/>
      <c r="AS212" s="17"/>
      <c r="AT212" s="17"/>
      <c r="AU212" s="732"/>
      <c r="AV212" s="313"/>
      <c r="AW212" s="313"/>
      <c r="AX212" s="313"/>
      <c r="AY212" s="313"/>
      <c r="AZ212" s="313"/>
      <c r="BA212" s="313"/>
      <c r="BB212" s="313"/>
      <c r="BC212" s="313"/>
      <c r="BD212" s="313"/>
      <c r="BE212" s="314"/>
      <c r="BW212" s="314"/>
      <c r="BX212" s="314"/>
      <c r="BY212" s="314"/>
      <c r="BZ212" s="314"/>
      <c r="CA212" s="314"/>
      <c r="CB212" s="314"/>
      <c r="CC212" s="314"/>
      <c r="CD212" s="314"/>
    </row>
    <row r="213" ht="28.5" customHeight="1">
      <c r="A213" s="767"/>
      <c r="B213" s="768"/>
      <c r="C213" s="768"/>
      <c r="D213" s="769"/>
      <c r="E213" s="769"/>
      <c r="F213" s="770"/>
      <c r="G213" s="336"/>
      <c r="H213" s="771"/>
      <c r="I213" s="770"/>
      <c r="J213" s="770"/>
      <c r="K213" s="772"/>
      <c r="L213" s="314"/>
      <c r="M213" s="314"/>
      <c r="N213" s="769"/>
      <c r="O213" s="769"/>
      <c r="P213" s="773"/>
      <c r="Q213" s="774"/>
      <c r="R213" s="774"/>
      <c r="S213" s="775"/>
      <c r="AH213" s="776"/>
      <c r="AI213" s="776"/>
      <c r="AJ213" s="732"/>
      <c r="AK213" s="732"/>
      <c r="AL213" s="776"/>
      <c r="AM213" s="776"/>
      <c r="AN213" s="17"/>
      <c r="AO213" s="17"/>
      <c r="AP213" s="17"/>
      <c r="AQ213" s="17"/>
      <c r="AR213" s="17"/>
      <c r="AS213" s="17"/>
      <c r="AT213" s="17"/>
      <c r="AU213" s="732"/>
      <c r="AV213" s="313"/>
      <c r="AW213" s="313"/>
      <c r="AX213" s="313"/>
      <c r="AY213" s="313"/>
      <c r="AZ213" s="313"/>
      <c r="BA213" s="313"/>
      <c r="BB213" s="313"/>
      <c r="BC213" s="313"/>
      <c r="BD213" s="313"/>
      <c r="BE213" s="314"/>
      <c r="BW213" s="314"/>
      <c r="BX213" s="314"/>
      <c r="BY213" s="314"/>
      <c r="BZ213" s="314"/>
      <c r="CA213" s="314"/>
      <c r="CB213" s="314"/>
      <c r="CC213" s="314"/>
      <c r="CD213" s="314"/>
    </row>
    <row r="214" ht="28.5" customHeight="1">
      <c r="A214" s="767"/>
      <c r="B214" s="768"/>
      <c r="C214" s="768"/>
      <c r="D214" s="769"/>
      <c r="E214" s="769"/>
      <c r="F214" s="770"/>
      <c r="G214" s="336"/>
      <c r="H214" s="771"/>
      <c r="I214" s="770"/>
      <c r="J214" s="770"/>
      <c r="K214" s="772"/>
      <c r="L214" s="314"/>
      <c r="M214" s="314"/>
      <c r="N214" s="769"/>
      <c r="O214" s="769"/>
      <c r="P214" s="773"/>
      <c r="Q214" s="774"/>
      <c r="R214" s="774"/>
      <c r="S214" s="775"/>
      <c r="AH214" s="776"/>
      <c r="AI214" s="776"/>
      <c r="AJ214" s="732"/>
      <c r="AK214" s="732"/>
      <c r="AL214" s="776"/>
      <c r="AM214" s="776"/>
      <c r="AN214" s="17"/>
      <c r="AO214" s="17"/>
      <c r="AP214" s="17"/>
      <c r="AQ214" s="17"/>
      <c r="AR214" s="17"/>
      <c r="AS214" s="17"/>
      <c r="AT214" s="17"/>
      <c r="AU214" s="732"/>
      <c r="AV214" s="313"/>
      <c r="AW214" s="313"/>
      <c r="AX214" s="313"/>
      <c r="AY214" s="313"/>
      <c r="AZ214" s="313"/>
      <c r="BA214" s="313"/>
      <c r="BB214" s="313"/>
      <c r="BC214" s="313"/>
      <c r="BD214" s="313"/>
      <c r="BE214" s="314"/>
      <c r="BW214" s="314"/>
      <c r="BX214" s="314"/>
      <c r="BY214" s="314"/>
      <c r="BZ214" s="314"/>
      <c r="CA214" s="314"/>
      <c r="CB214" s="314"/>
      <c r="CC214" s="314"/>
      <c r="CD214" s="314"/>
    </row>
    <row r="215" ht="28.5" customHeight="1">
      <c r="A215" s="767"/>
      <c r="B215" s="768"/>
      <c r="C215" s="768"/>
      <c r="D215" s="769"/>
      <c r="E215" s="769"/>
      <c r="F215" s="770"/>
      <c r="G215" s="336"/>
      <c r="H215" s="771"/>
      <c r="I215" s="770"/>
      <c r="J215" s="770"/>
      <c r="K215" s="772"/>
      <c r="L215" s="314"/>
      <c r="M215" s="314"/>
      <c r="N215" s="769"/>
      <c r="O215" s="769"/>
      <c r="P215" s="773"/>
      <c r="Q215" s="774"/>
      <c r="R215" s="774"/>
      <c r="S215" s="775"/>
      <c r="AH215" s="776"/>
      <c r="AI215" s="776"/>
      <c r="AJ215" s="732"/>
      <c r="AK215" s="732"/>
      <c r="AL215" s="776"/>
      <c r="AM215" s="776"/>
      <c r="AN215" s="17"/>
      <c r="AO215" s="17"/>
      <c r="AP215" s="17"/>
      <c r="AQ215" s="17"/>
      <c r="AR215" s="17"/>
      <c r="AS215" s="17"/>
      <c r="AT215" s="17"/>
      <c r="AU215" s="732"/>
      <c r="AV215" s="313"/>
      <c r="AW215" s="313"/>
      <c r="AX215" s="313"/>
      <c r="AY215" s="313"/>
      <c r="AZ215" s="313"/>
      <c r="BA215" s="313"/>
      <c r="BB215" s="313"/>
      <c r="BC215" s="313"/>
      <c r="BD215" s="313"/>
      <c r="BE215" s="314"/>
      <c r="BW215" s="314"/>
      <c r="BX215" s="314"/>
      <c r="BY215" s="314"/>
      <c r="BZ215" s="314"/>
      <c r="CA215" s="314"/>
      <c r="CB215" s="314"/>
      <c r="CC215" s="314"/>
      <c r="CD215" s="314"/>
    </row>
    <row r="216" ht="28.5" customHeight="1">
      <c r="A216" s="767"/>
      <c r="B216" s="768"/>
      <c r="C216" s="768"/>
      <c r="D216" s="769"/>
      <c r="E216" s="769"/>
      <c r="F216" s="770"/>
      <c r="G216" s="336"/>
      <c r="H216" s="771"/>
      <c r="I216" s="770"/>
      <c r="J216" s="770"/>
      <c r="K216" s="772"/>
      <c r="L216" s="314"/>
      <c r="M216" s="314"/>
      <c r="N216" s="769"/>
      <c r="O216" s="769"/>
      <c r="P216" s="773"/>
      <c r="Q216" s="774"/>
      <c r="R216" s="774"/>
      <c r="S216" s="775"/>
      <c r="AH216" s="776"/>
      <c r="AI216" s="776"/>
      <c r="AJ216" s="732"/>
      <c r="AK216" s="732"/>
      <c r="AL216" s="776"/>
      <c r="AM216" s="776"/>
      <c r="AN216" s="17"/>
      <c r="AO216" s="17"/>
      <c r="AP216" s="17"/>
      <c r="AQ216" s="17"/>
      <c r="AR216" s="17"/>
      <c r="AS216" s="17"/>
      <c r="AT216" s="17"/>
      <c r="AU216" s="732"/>
      <c r="AV216" s="313"/>
      <c r="AW216" s="313"/>
      <c r="AX216" s="313"/>
      <c r="AY216" s="313"/>
      <c r="AZ216" s="313"/>
      <c r="BA216" s="313"/>
      <c r="BB216" s="313"/>
      <c r="BC216" s="313"/>
      <c r="BD216" s="313"/>
      <c r="BE216" s="314"/>
      <c r="BW216" s="314"/>
      <c r="BX216" s="314"/>
      <c r="BY216" s="314"/>
      <c r="BZ216" s="314"/>
      <c r="CA216" s="314"/>
      <c r="CB216" s="314"/>
      <c r="CC216" s="314"/>
      <c r="CD216" s="314"/>
    </row>
    <row r="217" ht="28.5" customHeight="1">
      <c r="A217" s="767"/>
      <c r="B217" s="768"/>
      <c r="C217" s="768"/>
      <c r="D217" s="769"/>
      <c r="E217" s="769"/>
      <c r="F217" s="770"/>
      <c r="G217" s="336"/>
      <c r="H217" s="771"/>
      <c r="I217" s="770"/>
      <c r="J217" s="770"/>
      <c r="K217" s="772"/>
      <c r="L217" s="314"/>
      <c r="M217" s="314"/>
      <c r="N217" s="769"/>
      <c r="O217" s="769"/>
      <c r="P217" s="773"/>
      <c r="Q217" s="774"/>
      <c r="R217" s="774"/>
      <c r="S217" s="775"/>
      <c r="AH217" s="776"/>
      <c r="AI217" s="776"/>
      <c r="AJ217" s="732"/>
      <c r="AK217" s="732"/>
      <c r="AL217" s="776"/>
      <c r="AM217" s="776"/>
      <c r="AN217" s="17"/>
      <c r="AO217" s="17"/>
      <c r="AP217" s="17"/>
      <c r="AQ217" s="17"/>
      <c r="AR217" s="17"/>
      <c r="AS217" s="17"/>
      <c r="AT217" s="17"/>
      <c r="AU217" s="732"/>
      <c r="AV217" s="313"/>
      <c r="AW217" s="313"/>
      <c r="AX217" s="313"/>
      <c r="AY217" s="313"/>
      <c r="AZ217" s="313"/>
      <c r="BA217" s="313"/>
      <c r="BB217" s="313"/>
      <c r="BC217" s="313"/>
      <c r="BD217" s="313"/>
      <c r="BE217" s="314"/>
      <c r="BW217" s="314"/>
      <c r="BX217" s="314"/>
      <c r="BY217" s="314"/>
      <c r="BZ217" s="314"/>
      <c r="CA217" s="314"/>
      <c r="CB217" s="314"/>
      <c r="CC217" s="314"/>
      <c r="CD217" s="314"/>
    </row>
    <row r="218" ht="28.5" customHeight="1">
      <c r="A218" s="767"/>
      <c r="B218" s="768"/>
      <c r="C218" s="768"/>
      <c r="D218" s="769"/>
      <c r="E218" s="769"/>
      <c r="F218" s="770"/>
      <c r="G218" s="336"/>
      <c r="H218" s="771"/>
      <c r="I218" s="770"/>
      <c r="J218" s="770"/>
      <c r="K218" s="772"/>
      <c r="L218" s="314"/>
      <c r="M218" s="314"/>
      <c r="N218" s="769"/>
      <c r="O218" s="769"/>
      <c r="P218" s="773"/>
      <c r="Q218" s="774"/>
      <c r="R218" s="774"/>
      <c r="S218" s="775"/>
      <c r="AH218" s="776"/>
      <c r="AI218" s="776"/>
      <c r="AJ218" s="732"/>
      <c r="AK218" s="732"/>
      <c r="AL218" s="776"/>
      <c r="AM218" s="776"/>
      <c r="AN218" s="17"/>
      <c r="AO218" s="17"/>
      <c r="AP218" s="17"/>
      <c r="AQ218" s="17"/>
      <c r="AR218" s="17"/>
      <c r="AS218" s="17"/>
      <c r="AT218" s="17"/>
      <c r="AU218" s="732"/>
      <c r="AV218" s="313"/>
      <c r="AW218" s="313"/>
      <c r="AX218" s="313"/>
      <c r="AY218" s="313"/>
      <c r="AZ218" s="313"/>
      <c r="BA218" s="313"/>
      <c r="BB218" s="313"/>
      <c r="BC218" s="313"/>
      <c r="BD218" s="313"/>
      <c r="BE218" s="314"/>
      <c r="BW218" s="314"/>
      <c r="BX218" s="314"/>
      <c r="BY218" s="314"/>
      <c r="BZ218" s="314"/>
      <c r="CA218" s="314"/>
      <c r="CB218" s="314"/>
      <c r="CC218" s="314"/>
      <c r="CD218" s="314"/>
    </row>
    <row r="219" ht="28.5" customHeight="1">
      <c r="A219" s="767"/>
      <c r="B219" s="768"/>
      <c r="C219" s="768"/>
      <c r="D219" s="769"/>
      <c r="E219" s="769"/>
      <c r="F219" s="770"/>
      <c r="G219" s="336"/>
      <c r="H219" s="771"/>
      <c r="I219" s="770"/>
      <c r="J219" s="770"/>
      <c r="K219" s="772"/>
      <c r="L219" s="314"/>
      <c r="M219" s="314"/>
      <c r="N219" s="769"/>
      <c r="O219" s="769"/>
      <c r="P219" s="773"/>
      <c r="Q219" s="774"/>
      <c r="R219" s="774"/>
      <c r="S219" s="775"/>
      <c r="AH219" s="776"/>
      <c r="AI219" s="776"/>
      <c r="AJ219" s="732"/>
      <c r="AK219" s="732"/>
      <c r="AL219" s="776"/>
      <c r="AM219" s="776"/>
      <c r="AN219" s="17"/>
      <c r="AO219" s="17"/>
      <c r="AP219" s="17"/>
      <c r="AQ219" s="17"/>
      <c r="AR219" s="17"/>
      <c r="AS219" s="17"/>
      <c r="AT219" s="17"/>
      <c r="AU219" s="732"/>
      <c r="AV219" s="313"/>
      <c r="AW219" s="313"/>
      <c r="AX219" s="313"/>
      <c r="AY219" s="313"/>
      <c r="AZ219" s="313"/>
      <c r="BA219" s="313"/>
      <c r="BB219" s="313"/>
      <c r="BC219" s="313"/>
      <c r="BD219" s="313"/>
      <c r="BE219" s="314"/>
      <c r="BW219" s="314"/>
      <c r="BX219" s="314"/>
      <c r="BY219" s="314"/>
      <c r="BZ219" s="314"/>
      <c r="CA219" s="314"/>
      <c r="CB219" s="314"/>
      <c r="CC219" s="314"/>
      <c r="CD219" s="314"/>
    </row>
    <row r="220" ht="28.5" customHeight="1">
      <c r="A220" s="767"/>
      <c r="B220" s="768"/>
      <c r="C220" s="768"/>
      <c r="D220" s="769"/>
      <c r="E220" s="769"/>
      <c r="F220" s="770"/>
      <c r="G220" s="336"/>
      <c r="H220" s="771"/>
      <c r="I220" s="770"/>
      <c r="J220" s="770"/>
      <c r="K220" s="772"/>
      <c r="L220" s="314"/>
      <c r="M220" s="314"/>
      <c r="N220" s="769"/>
      <c r="O220" s="769"/>
      <c r="P220" s="773"/>
      <c r="Q220" s="774"/>
      <c r="R220" s="774"/>
      <c r="S220" s="775"/>
      <c r="AH220" s="776"/>
      <c r="AI220" s="776"/>
      <c r="AJ220" s="732"/>
      <c r="AK220" s="732"/>
      <c r="AL220" s="776"/>
      <c r="AM220" s="776"/>
      <c r="AN220" s="17"/>
      <c r="AO220" s="17"/>
      <c r="AP220" s="17"/>
      <c r="AQ220" s="17"/>
      <c r="AR220" s="17"/>
      <c r="AS220" s="17"/>
      <c r="AT220" s="17"/>
      <c r="AU220" s="732"/>
      <c r="AV220" s="313"/>
      <c r="AW220" s="313"/>
      <c r="AX220" s="313"/>
      <c r="AY220" s="313"/>
      <c r="AZ220" s="313"/>
      <c r="BA220" s="313"/>
      <c r="BB220" s="313"/>
      <c r="BC220" s="313"/>
      <c r="BD220" s="313"/>
      <c r="BE220" s="314"/>
      <c r="BW220" s="314"/>
      <c r="BX220" s="314"/>
      <c r="BY220" s="314"/>
      <c r="BZ220" s="314"/>
      <c r="CA220" s="314"/>
      <c r="CB220" s="314"/>
      <c r="CC220" s="314"/>
      <c r="CD220" s="314"/>
    </row>
    <row r="221" ht="28.5" customHeight="1">
      <c r="A221" s="767"/>
      <c r="B221" s="768"/>
      <c r="C221" s="768"/>
      <c r="D221" s="769"/>
      <c r="E221" s="769"/>
      <c r="F221" s="770"/>
      <c r="G221" s="336"/>
      <c r="H221" s="771"/>
      <c r="I221" s="770"/>
      <c r="J221" s="770"/>
      <c r="K221" s="772"/>
      <c r="L221" s="314"/>
      <c r="M221" s="314"/>
      <c r="N221" s="769"/>
      <c r="O221" s="769"/>
      <c r="P221" s="773"/>
      <c r="Q221" s="774"/>
      <c r="R221" s="774"/>
      <c r="S221" s="775"/>
      <c r="AH221" s="776"/>
      <c r="AI221" s="776"/>
      <c r="AJ221" s="732"/>
      <c r="AK221" s="732"/>
      <c r="AL221" s="776"/>
      <c r="AM221" s="776"/>
      <c r="AN221" s="17"/>
      <c r="AO221" s="17"/>
      <c r="AP221" s="17"/>
      <c r="AQ221" s="17"/>
      <c r="AR221" s="17"/>
      <c r="AS221" s="17"/>
      <c r="AT221" s="17"/>
      <c r="AU221" s="732"/>
      <c r="AV221" s="313"/>
      <c r="AW221" s="313"/>
      <c r="AX221" s="313"/>
      <c r="AY221" s="313"/>
      <c r="AZ221" s="313"/>
      <c r="BA221" s="313"/>
      <c r="BB221" s="313"/>
      <c r="BC221" s="313"/>
      <c r="BD221" s="313"/>
      <c r="BE221" s="314"/>
      <c r="BW221" s="314"/>
      <c r="BX221" s="314"/>
      <c r="BY221" s="314"/>
      <c r="BZ221" s="314"/>
      <c r="CA221" s="314"/>
      <c r="CB221" s="314"/>
      <c r="CC221" s="314"/>
      <c r="CD221" s="314"/>
    </row>
    <row r="222" ht="28.5" customHeight="1">
      <c r="A222" s="767"/>
      <c r="B222" s="768"/>
      <c r="C222" s="768"/>
      <c r="D222" s="769"/>
      <c r="E222" s="769"/>
      <c r="F222" s="770"/>
      <c r="G222" s="336"/>
      <c r="H222" s="771"/>
      <c r="I222" s="770"/>
      <c r="J222" s="770"/>
      <c r="K222" s="772"/>
      <c r="L222" s="314"/>
      <c r="M222" s="314"/>
      <c r="N222" s="769"/>
      <c r="O222" s="769"/>
      <c r="P222" s="773"/>
      <c r="Q222" s="774"/>
      <c r="R222" s="774"/>
      <c r="S222" s="775"/>
      <c r="AH222" s="776"/>
      <c r="AI222" s="776"/>
      <c r="AJ222" s="732"/>
      <c r="AK222" s="732"/>
      <c r="AL222" s="776"/>
      <c r="AM222" s="776"/>
      <c r="AN222" s="17"/>
      <c r="AO222" s="17"/>
      <c r="AP222" s="17"/>
      <c r="AQ222" s="17"/>
      <c r="AR222" s="17"/>
      <c r="AS222" s="17"/>
      <c r="AT222" s="17"/>
      <c r="AU222" s="732"/>
      <c r="AV222" s="313"/>
      <c r="AW222" s="313"/>
      <c r="AX222" s="313"/>
      <c r="AY222" s="313"/>
      <c r="AZ222" s="313"/>
      <c r="BA222" s="313"/>
      <c r="BB222" s="313"/>
      <c r="BC222" s="313"/>
      <c r="BD222" s="313"/>
      <c r="BE222" s="314"/>
      <c r="BW222" s="314"/>
      <c r="BX222" s="314"/>
      <c r="BY222" s="314"/>
      <c r="BZ222" s="314"/>
      <c r="CA222" s="314"/>
      <c r="CB222" s="314"/>
      <c r="CC222" s="314"/>
      <c r="CD222" s="314"/>
    </row>
    <row r="223" ht="28.5" customHeight="1">
      <c r="A223" s="767"/>
      <c r="B223" s="768"/>
      <c r="C223" s="768"/>
      <c r="D223" s="769"/>
      <c r="E223" s="769"/>
      <c r="F223" s="770"/>
      <c r="G223" s="336"/>
      <c r="H223" s="771"/>
      <c r="I223" s="770"/>
      <c r="J223" s="770"/>
      <c r="K223" s="772"/>
      <c r="L223" s="314"/>
      <c r="M223" s="314"/>
      <c r="N223" s="769"/>
      <c r="O223" s="769"/>
      <c r="P223" s="773"/>
      <c r="Q223" s="774"/>
      <c r="R223" s="774"/>
      <c r="S223" s="775"/>
      <c r="AH223" s="776"/>
      <c r="AI223" s="776"/>
      <c r="AJ223" s="732"/>
      <c r="AK223" s="732"/>
      <c r="AL223" s="776"/>
      <c r="AM223" s="776"/>
      <c r="AN223" s="17"/>
      <c r="AO223" s="17"/>
      <c r="AP223" s="17"/>
      <c r="AQ223" s="17"/>
      <c r="AR223" s="17"/>
      <c r="AS223" s="17"/>
      <c r="AT223" s="17"/>
      <c r="AU223" s="732"/>
      <c r="AV223" s="313"/>
      <c r="AW223" s="313"/>
      <c r="AX223" s="313"/>
      <c r="AY223" s="313"/>
      <c r="AZ223" s="313"/>
      <c r="BA223" s="313"/>
      <c r="BB223" s="313"/>
      <c r="BC223" s="313"/>
      <c r="BD223" s="313"/>
      <c r="BE223" s="314"/>
      <c r="BW223" s="314"/>
      <c r="BX223" s="314"/>
      <c r="BY223" s="314"/>
      <c r="BZ223" s="314"/>
      <c r="CA223" s="314"/>
      <c r="CB223" s="314"/>
      <c r="CC223" s="314"/>
      <c r="CD223" s="314"/>
    </row>
    <row r="224" ht="28.5" customHeight="1">
      <c r="A224" s="767"/>
      <c r="B224" s="768"/>
      <c r="C224" s="768"/>
      <c r="D224" s="769"/>
      <c r="E224" s="769"/>
      <c r="F224" s="770"/>
      <c r="G224" s="336"/>
      <c r="H224" s="771"/>
      <c r="I224" s="770"/>
      <c r="J224" s="770"/>
      <c r="K224" s="772"/>
      <c r="L224" s="314"/>
      <c r="M224" s="314"/>
      <c r="N224" s="769"/>
      <c r="O224" s="769"/>
      <c r="P224" s="773"/>
      <c r="Q224" s="774"/>
      <c r="R224" s="774"/>
      <c r="S224" s="775"/>
      <c r="AH224" s="776"/>
      <c r="AI224" s="776"/>
      <c r="AJ224" s="732"/>
      <c r="AK224" s="732"/>
      <c r="AL224" s="776"/>
      <c r="AM224" s="776"/>
      <c r="AN224" s="17"/>
      <c r="AO224" s="17"/>
      <c r="AP224" s="17"/>
      <c r="AQ224" s="17"/>
      <c r="AR224" s="17"/>
      <c r="AS224" s="17"/>
      <c r="AT224" s="17"/>
      <c r="AU224" s="732"/>
      <c r="AV224" s="313"/>
      <c r="AW224" s="313"/>
      <c r="AX224" s="313"/>
      <c r="AY224" s="313"/>
      <c r="AZ224" s="313"/>
      <c r="BA224" s="313"/>
      <c r="BB224" s="313"/>
      <c r="BC224" s="313"/>
      <c r="BD224" s="313"/>
      <c r="BE224" s="314"/>
      <c r="BW224" s="314"/>
      <c r="BX224" s="314"/>
      <c r="BY224" s="314"/>
      <c r="BZ224" s="314"/>
      <c r="CA224" s="314"/>
      <c r="CB224" s="314"/>
      <c r="CC224" s="314"/>
      <c r="CD224" s="314"/>
    </row>
    <row r="225" ht="28.5" customHeight="1">
      <c r="A225" s="767"/>
      <c r="B225" s="768"/>
      <c r="C225" s="768"/>
      <c r="D225" s="769"/>
      <c r="E225" s="769"/>
      <c r="F225" s="770"/>
      <c r="G225" s="336"/>
      <c r="H225" s="771"/>
      <c r="I225" s="770"/>
      <c r="J225" s="770"/>
      <c r="K225" s="772"/>
      <c r="L225" s="314"/>
      <c r="M225" s="314"/>
      <c r="N225" s="769"/>
      <c r="O225" s="769"/>
      <c r="P225" s="773"/>
      <c r="Q225" s="774"/>
      <c r="R225" s="774"/>
      <c r="S225" s="775"/>
      <c r="AH225" s="776"/>
      <c r="AI225" s="776"/>
      <c r="AJ225" s="732"/>
      <c r="AK225" s="732"/>
      <c r="AL225" s="776"/>
      <c r="AM225" s="776"/>
      <c r="AN225" s="17"/>
      <c r="AO225" s="17"/>
      <c r="AP225" s="17"/>
      <c r="AQ225" s="17"/>
      <c r="AR225" s="17"/>
      <c r="AS225" s="17"/>
      <c r="AT225" s="17"/>
      <c r="AU225" s="732"/>
      <c r="AV225" s="313"/>
      <c r="AW225" s="313"/>
      <c r="AX225" s="313"/>
      <c r="AY225" s="313"/>
      <c r="AZ225" s="313"/>
      <c r="BA225" s="313"/>
      <c r="BB225" s="313"/>
      <c r="BC225" s="313"/>
      <c r="BD225" s="313"/>
      <c r="BE225" s="314"/>
      <c r="BW225" s="314"/>
      <c r="BX225" s="314"/>
      <c r="BY225" s="314"/>
      <c r="BZ225" s="314"/>
      <c r="CA225" s="314"/>
      <c r="CB225" s="314"/>
      <c r="CC225" s="314"/>
      <c r="CD225" s="314"/>
    </row>
    <row r="226" ht="28.5" customHeight="1">
      <c r="A226" s="767"/>
      <c r="B226" s="768"/>
      <c r="C226" s="768"/>
      <c r="D226" s="769"/>
      <c r="E226" s="769"/>
      <c r="F226" s="770"/>
      <c r="G226" s="336"/>
      <c r="H226" s="771"/>
      <c r="I226" s="770"/>
      <c r="J226" s="770"/>
      <c r="K226" s="772"/>
      <c r="L226" s="314"/>
      <c r="M226" s="314"/>
      <c r="N226" s="769"/>
      <c r="O226" s="769"/>
      <c r="P226" s="773"/>
      <c r="Q226" s="774"/>
      <c r="R226" s="774"/>
      <c r="S226" s="775"/>
      <c r="AH226" s="776"/>
      <c r="AI226" s="776"/>
      <c r="AJ226" s="732"/>
      <c r="AK226" s="732"/>
      <c r="AL226" s="776"/>
      <c r="AM226" s="776"/>
      <c r="AN226" s="17"/>
      <c r="AO226" s="17"/>
      <c r="AP226" s="17"/>
      <c r="AQ226" s="17"/>
      <c r="AR226" s="17"/>
      <c r="AS226" s="17"/>
      <c r="AT226" s="17"/>
      <c r="AU226" s="732"/>
      <c r="AV226" s="313"/>
      <c r="AW226" s="313"/>
      <c r="AX226" s="313"/>
      <c r="AY226" s="313"/>
      <c r="AZ226" s="313"/>
      <c r="BA226" s="313"/>
      <c r="BB226" s="313"/>
      <c r="BC226" s="313"/>
      <c r="BD226" s="313"/>
      <c r="BE226" s="314"/>
      <c r="BW226" s="314"/>
      <c r="BX226" s="314"/>
      <c r="BY226" s="314"/>
      <c r="BZ226" s="314"/>
      <c r="CA226" s="314"/>
      <c r="CB226" s="314"/>
      <c r="CC226" s="314"/>
      <c r="CD226" s="314"/>
    </row>
    <row r="227" ht="28.5" customHeight="1">
      <c r="A227" s="767"/>
      <c r="B227" s="768"/>
      <c r="C227" s="768"/>
      <c r="D227" s="769"/>
      <c r="E227" s="769"/>
      <c r="F227" s="770"/>
      <c r="G227" s="336"/>
      <c r="H227" s="771"/>
      <c r="I227" s="770"/>
      <c r="J227" s="770"/>
      <c r="K227" s="772"/>
      <c r="L227" s="314"/>
      <c r="M227" s="314"/>
      <c r="N227" s="769"/>
      <c r="O227" s="769"/>
      <c r="P227" s="773"/>
      <c r="Q227" s="774"/>
      <c r="R227" s="774"/>
      <c r="S227" s="775"/>
      <c r="AH227" s="776"/>
      <c r="AI227" s="776"/>
      <c r="AJ227" s="732"/>
      <c r="AK227" s="732"/>
      <c r="AL227" s="776"/>
      <c r="AM227" s="776"/>
      <c r="AN227" s="17"/>
      <c r="AO227" s="17"/>
      <c r="AP227" s="17"/>
      <c r="AQ227" s="17"/>
      <c r="AR227" s="17"/>
      <c r="AS227" s="17"/>
      <c r="AT227" s="17"/>
      <c r="AU227" s="732"/>
      <c r="AV227" s="313"/>
      <c r="AW227" s="313"/>
      <c r="AX227" s="313"/>
      <c r="AY227" s="313"/>
      <c r="AZ227" s="313"/>
      <c r="BA227" s="313"/>
      <c r="BB227" s="313"/>
      <c r="BC227" s="313"/>
      <c r="BD227" s="313"/>
      <c r="BE227" s="314"/>
      <c r="BW227" s="314"/>
      <c r="BX227" s="314"/>
      <c r="BY227" s="314"/>
      <c r="BZ227" s="314"/>
      <c r="CA227" s="314"/>
      <c r="CB227" s="314"/>
      <c r="CC227" s="314"/>
      <c r="CD227" s="314"/>
    </row>
    <row r="228" ht="28.5" customHeight="1">
      <c r="A228" s="767"/>
      <c r="B228" s="768"/>
      <c r="C228" s="768"/>
      <c r="D228" s="769"/>
      <c r="E228" s="769"/>
      <c r="F228" s="770"/>
      <c r="G228" s="336"/>
      <c r="H228" s="771"/>
      <c r="I228" s="770"/>
      <c r="J228" s="770"/>
      <c r="K228" s="772"/>
      <c r="L228" s="314"/>
      <c r="M228" s="314"/>
      <c r="N228" s="769"/>
      <c r="O228" s="769"/>
      <c r="P228" s="773"/>
      <c r="Q228" s="774"/>
      <c r="R228" s="774"/>
      <c r="S228" s="775"/>
      <c r="AH228" s="776"/>
      <c r="AI228" s="776"/>
      <c r="AJ228" s="732"/>
      <c r="AK228" s="732"/>
      <c r="AL228" s="776"/>
      <c r="AM228" s="776"/>
      <c r="AN228" s="17"/>
      <c r="AO228" s="17"/>
      <c r="AP228" s="17"/>
      <c r="AQ228" s="17"/>
      <c r="AR228" s="17"/>
      <c r="AS228" s="17"/>
      <c r="AT228" s="17"/>
      <c r="AU228" s="732"/>
      <c r="AV228" s="313"/>
      <c r="AW228" s="313"/>
      <c r="AX228" s="313"/>
      <c r="AY228" s="313"/>
      <c r="AZ228" s="313"/>
      <c r="BA228" s="313"/>
      <c r="BB228" s="313"/>
      <c r="BC228" s="313"/>
      <c r="BD228" s="313"/>
      <c r="BE228" s="314"/>
      <c r="BW228" s="314"/>
      <c r="BX228" s="314"/>
      <c r="BY228" s="314"/>
      <c r="BZ228" s="314"/>
      <c r="CA228" s="314"/>
      <c r="CB228" s="314"/>
      <c r="CC228" s="314"/>
      <c r="CD228" s="314"/>
    </row>
    <row r="229" ht="28.5" customHeight="1">
      <c r="A229" s="767"/>
      <c r="B229" s="768"/>
      <c r="C229" s="768"/>
      <c r="D229" s="769"/>
      <c r="E229" s="769"/>
      <c r="F229" s="770"/>
      <c r="G229" s="336"/>
      <c r="H229" s="771"/>
      <c r="I229" s="770"/>
      <c r="J229" s="770"/>
      <c r="K229" s="772"/>
      <c r="L229" s="314"/>
      <c r="M229" s="314"/>
      <c r="N229" s="769"/>
      <c r="O229" s="769"/>
      <c r="P229" s="773"/>
      <c r="Q229" s="774"/>
      <c r="R229" s="774"/>
      <c r="S229" s="775"/>
      <c r="AH229" s="776"/>
      <c r="AI229" s="776"/>
      <c r="AJ229" s="732"/>
      <c r="AK229" s="732"/>
      <c r="AL229" s="776"/>
      <c r="AM229" s="776"/>
      <c r="AN229" s="17"/>
      <c r="AO229" s="17"/>
      <c r="AP229" s="17"/>
      <c r="AQ229" s="17"/>
      <c r="AR229" s="17"/>
      <c r="AS229" s="17"/>
      <c r="AT229" s="17"/>
      <c r="AU229" s="732"/>
      <c r="AV229" s="313"/>
      <c r="AW229" s="313"/>
      <c r="AX229" s="313"/>
      <c r="AY229" s="313"/>
      <c r="AZ229" s="313"/>
      <c r="BA229" s="313"/>
      <c r="BB229" s="313"/>
      <c r="BC229" s="313"/>
      <c r="BD229" s="313"/>
      <c r="BE229" s="314"/>
      <c r="BW229" s="314"/>
      <c r="BX229" s="314"/>
      <c r="BY229" s="314"/>
      <c r="BZ229" s="314"/>
      <c r="CA229" s="314"/>
      <c r="CB229" s="314"/>
      <c r="CC229" s="314"/>
      <c r="CD229" s="314"/>
    </row>
    <row r="230" ht="28.5" customHeight="1">
      <c r="A230" s="767"/>
      <c r="B230" s="768"/>
      <c r="C230" s="768"/>
      <c r="D230" s="769"/>
      <c r="E230" s="769"/>
      <c r="F230" s="770"/>
      <c r="G230" s="336"/>
      <c r="H230" s="771"/>
      <c r="I230" s="770"/>
      <c r="J230" s="770"/>
      <c r="K230" s="772"/>
      <c r="L230" s="314"/>
      <c r="M230" s="314"/>
      <c r="N230" s="769"/>
      <c r="O230" s="769"/>
      <c r="P230" s="773"/>
      <c r="Q230" s="774"/>
      <c r="R230" s="774"/>
      <c r="S230" s="775"/>
      <c r="AH230" s="776"/>
      <c r="AI230" s="776"/>
      <c r="AJ230" s="732"/>
      <c r="AK230" s="732"/>
      <c r="AL230" s="776"/>
      <c r="AM230" s="776"/>
      <c r="AN230" s="17"/>
      <c r="AO230" s="17"/>
      <c r="AP230" s="17"/>
      <c r="AQ230" s="17"/>
      <c r="AR230" s="17"/>
      <c r="AS230" s="17"/>
      <c r="AT230" s="17"/>
      <c r="AU230" s="732"/>
      <c r="AV230" s="313"/>
      <c r="AW230" s="313"/>
      <c r="AX230" s="313"/>
      <c r="AY230" s="313"/>
      <c r="AZ230" s="313"/>
      <c r="BA230" s="313"/>
      <c r="BB230" s="313"/>
      <c r="BC230" s="313"/>
      <c r="BD230" s="313"/>
      <c r="BE230" s="314"/>
      <c r="BW230" s="314"/>
      <c r="BX230" s="314"/>
      <c r="BY230" s="314"/>
      <c r="BZ230" s="314"/>
      <c r="CA230" s="314"/>
      <c r="CB230" s="314"/>
      <c r="CC230" s="314"/>
      <c r="CD230" s="314"/>
    </row>
    <row r="231" ht="28.5" customHeight="1">
      <c r="A231" s="767"/>
      <c r="B231" s="768"/>
      <c r="C231" s="768"/>
      <c r="D231" s="769"/>
      <c r="E231" s="769"/>
      <c r="F231" s="770"/>
      <c r="G231" s="336"/>
      <c r="H231" s="771"/>
      <c r="I231" s="770"/>
      <c r="J231" s="770"/>
      <c r="K231" s="772"/>
      <c r="L231" s="314"/>
      <c r="M231" s="314"/>
      <c r="N231" s="769"/>
      <c r="O231" s="769"/>
      <c r="P231" s="773"/>
      <c r="Q231" s="774"/>
      <c r="R231" s="774"/>
      <c r="S231" s="775"/>
      <c r="AH231" s="776"/>
      <c r="AI231" s="776"/>
      <c r="AJ231" s="732"/>
      <c r="AK231" s="732"/>
      <c r="AL231" s="776"/>
      <c r="AM231" s="776"/>
      <c r="AN231" s="17"/>
      <c r="AO231" s="17"/>
      <c r="AP231" s="17"/>
      <c r="AQ231" s="17"/>
      <c r="AR231" s="17"/>
      <c r="AS231" s="17"/>
      <c r="AT231" s="17"/>
      <c r="AU231" s="732"/>
      <c r="AV231" s="313"/>
      <c r="AW231" s="313"/>
      <c r="AX231" s="313"/>
      <c r="AY231" s="313"/>
      <c r="AZ231" s="313"/>
      <c r="BA231" s="313"/>
      <c r="BB231" s="313"/>
      <c r="BC231" s="313"/>
      <c r="BD231" s="313"/>
      <c r="BE231" s="314"/>
      <c r="BW231" s="314"/>
      <c r="BX231" s="314"/>
      <c r="BY231" s="314"/>
      <c r="BZ231" s="314"/>
      <c r="CA231" s="314"/>
      <c r="CB231" s="314"/>
      <c r="CC231" s="314"/>
      <c r="CD231" s="314"/>
    </row>
    <row r="232" ht="28.5" customHeight="1">
      <c r="A232" s="767"/>
      <c r="B232" s="768"/>
      <c r="C232" s="768"/>
      <c r="D232" s="769"/>
      <c r="E232" s="769"/>
      <c r="F232" s="770"/>
      <c r="G232" s="336"/>
      <c r="H232" s="771"/>
      <c r="I232" s="770"/>
      <c r="J232" s="770"/>
      <c r="K232" s="772"/>
      <c r="L232" s="314"/>
      <c r="M232" s="314"/>
      <c r="N232" s="769"/>
      <c r="O232" s="769"/>
      <c r="P232" s="773"/>
      <c r="Q232" s="774"/>
      <c r="R232" s="774"/>
      <c r="S232" s="775"/>
      <c r="AH232" s="776"/>
      <c r="AI232" s="776"/>
      <c r="AJ232" s="732"/>
      <c r="AK232" s="732"/>
      <c r="AL232" s="776"/>
      <c r="AM232" s="776"/>
      <c r="AN232" s="17"/>
      <c r="AO232" s="17"/>
      <c r="AP232" s="17"/>
      <c r="AQ232" s="17"/>
      <c r="AR232" s="17"/>
      <c r="AS232" s="17"/>
      <c r="AT232" s="17"/>
      <c r="AU232" s="732"/>
      <c r="AV232" s="313"/>
      <c r="AW232" s="313"/>
      <c r="AX232" s="313"/>
      <c r="AY232" s="313"/>
      <c r="AZ232" s="313"/>
      <c r="BA232" s="313"/>
      <c r="BB232" s="313"/>
      <c r="BC232" s="313"/>
      <c r="BD232" s="313"/>
      <c r="BE232" s="314"/>
      <c r="BW232" s="314"/>
      <c r="BX232" s="314"/>
      <c r="BY232" s="314"/>
      <c r="BZ232" s="314"/>
      <c r="CA232" s="314"/>
      <c r="CB232" s="314"/>
      <c r="CC232" s="314"/>
      <c r="CD232" s="314"/>
    </row>
    <row r="233" ht="28.5" customHeight="1">
      <c r="A233" s="767"/>
      <c r="B233" s="768"/>
      <c r="C233" s="768"/>
      <c r="D233" s="769"/>
      <c r="E233" s="769"/>
      <c r="F233" s="770"/>
      <c r="G233" s="336"/>
      <c r="H233" s="771"/>
      <c r="I233" s="770"/>
      <c r="J233" s="770"/>
      <c r="K233" s="772"/>
      <c r="L233" s="314"/>
      <c r="M233" s="314"/>
      <c r="N233" s="769"/>
      <c r="O233" s="769"/>
      <c r="P233" s="773"/>
      <c r="Q233" s="774"/>
      <c r="R233" s="774"/>
      <c r="S233" s="775"/>
      <c r="AH233" s="776"/>
      <c r="AI233" s="776"/>
      <c r="AJ233" s="732"/>
      <c r="AK233" s="732"/>
      <c r="AL233" s="776"/>
      <c r="AM233" s="776"/>
      <c r="AN233" s="17"/>
      <c r="AO233" s="17"/>
      <c r="AP233" s="17"/>
      <c r="AQ233" s="17"/>
      <c r="AR233" s="17"/>
      <c r="AS233" s="17"/>
      <c r="AT233" s="17"/>
      <c r="AU233" s="732"/>
      <c r="AV233" s="313"/>
      <c r="AW233" s="313"/>
      <c r="AX233" s="313"/>
      <c r="AY233" s="313"/>
      <c r="AZ233" s="313"/>
      <c r="BA233" s="313"/>
      <c r="BB233" s="313"/>
      <c r="BC233" s="313"/>
      <c r="BD233" s="313"/>
      <c r="BE233" s="314"/>
      <c r="BW233" s="314"/>
      <c r="BX233" s="314"/>
      <c r="BY233" s="314"/>
      <c r="BZ233" s="314"/>
      <c r="CA233" s="314"/>
      <c r="CB233" s="314"/>
      <c r="CC233" s="314"/>
      <c r="CD233" s="314"/>
    </row>
    <row r="234" ht="28.5" customHeight="1">
      <c r="A234" s="767"/>
      <c r="B234" s="768"/>
      <c r="C234" s="768"/>
      <c r="D234" s="769"/>
      <c r="E234" s="769"/>
      <c r="F234" s="770"/>
      <c r="G234" s="336"/>
      <c r="H234" s="771"/>
      <c r="I234" s="770"/>
      <c r="J234" s="770"/>
      <c r="K234" s="772"/>
      <c r="L234" s="314"/>
      <c r="M234" s="314"/>
      <c r="N234" s="769"/>
      <c r="O234" s="769"/>
      <c r="P234" s="773"/>
      <c r="Q234" s="774"/>
      <c r="R234" s="774"/>
      <c r="S234" s="775"/>
      <c r="AH234" s="776"/>
      <c r="AI234" s="776"/>
      <c r="AJ234" s="732"/>
      <c r="AK234" s="732"/>
      <c r="AL234" s="776"/>
      <c r="AM234" s="776"/>
      <c r="AN234" s="17"/>
      <c r="AO234" s="17"/>
      <c r="AP234" s="17"/>
      <c r="AQ234" s="17"/>
      <c r="AR234" s="17"/>
      <c r="AS234" s="17"/>
      <c r="AT234" s="17"/>
      <c r="AU234" s="732"/>
      <c r="AV234" s="313"/>
      <c r="AW234" s="313"/>
      <c r="AX234" s="313"/>
      <c r="AY234" s="313"/>
      <c r="AZ234" s="313"/>
      <c r="BA234" s="313"/>
      <c r="BB234" s="313"/>
      <c r="BC234" s="313"/>
      <c r="BD234" s="313"/>
      <c r="BE234" s="314"/>
      <c r="BW234" s="314"/>
      <c r="BX234" s="314"/>
      <c r="BY234" s="314"/>
      <c r="BZ234" s="314"/>
      <c r="CA234" s="314"/>
      <c r="CB234" s="314"/>
      <c r="CC234" s="314"/>
      <c r="CD234" s="314"/>
    </row>
    <row r="235" ht="28.5" customHeight="1">
      <c r="A235" s="767"/>
      <c r="B235" s="768"/>
      <c r="C235" s="768"/>
      <c r="D235" s="769"/>
      <c r="E235" s="769"/>
      <c r="F235" s="770"/>
      <c r="G235" s="336"/>
      <c r="H235" s="771"/>
      <c r="I235" s="770"/>
      <c r="J235" s="770"/>
      <c r="K235" s="772"/>
      <c r="L235" s="314"/>
      <c r="M235" s="314"/>
      <c r="N235" s="769"/>
      <c r="O235" s="769"/>
      <c r="P235" s="773"/>
      <c r="Q235" s="774"/>
      <c r="R235" s="774"/>
      <c r="S235" s="775"/>
      <c r="AH235" s="776"/>
      <c r="AI235" s="776"/>
      <c r="AJ235" s="732"/>
      <c r="AK235" s="732"/>
      <c r="AL235" s="776"/>
      <c r="AM235" s="776"/>
      <c r="AN235" s="17"/>
      <c r="AO235" s="17"/>
      <c r="AP235" s="17"/>
      <c r="AQ235" s="17"/>
      <c r="AR235" s="17"/>
      <c r="AS235" s="17"/>
      <c r="AT235" s="17"/>
      <c r="AU235" s="732"/>
      <c r="AV235" s="313"/>
      <c r="AW235" s="313"/>
      <c r="AX235" s="313"/>
      <c r="AY235" s="313"/>
      <c r="AZ235" s="313"/>
      <c r="BA235" s="313"/>
      <c r="BB235" s="313"/>
      <c r="BC235" s="313"/>
      <c r="BD235" s="313"/>
      <c r="BE235" s="314"/>
      <c r="BW235" s="314"/>
      <c r="BX235" s="314"/>
      <c r="BY235" s="314"/>
      <c r="BZ235" s="314"/>
      <c r="CA235" s="314"/>
      <c r="CB235" s="314"/>
      <c r="CC235" s="314"/>
      <c r="CD235" s="314"/>
    </row>
    <row r="236" ht="28.5" customHeight="1">
      <c r="A236" s="767"/>
      <c r="B236" s="768"/>
      <c r="C236" s="768"/>
      <c r="D236" s="769"/>
      <c r="E236" s="769"/>
      <c r="F236" s="770"/>
      <c r="G236" s="336"/>
      <c r="H236" s="771"/>
      <c r="I236" s="770"/>
      <c r="J236" s="770"/>
      <c r="K236" s="772"/>
      <c r="L236" s="314"/>
      <c r="M236" s="314"/>
      <c r="N236" s="769"/>
      <c r="O236" s="769"/>
      <c r="P236" s="773"/>
      <c r="Q236" s="774"/>
      <c r="R236" s="774"/>
      <c r="S236" s="775"/>
      <c r="AH236" s="776"/>
      <c r="AI236" s="776"/>
      <c r="AJ236" s="732"/>
      <c r="AK236" s="732"/>
      <c r="AL236" s="776"/>
      <c r="AM236" s="776"/>
      <c r="AN236" s="17"/>
      <c r="AO236" s="17"/>
      <c r="AP236" s="17"/>
      <c r="AQ236" s="17"/>
      <c r="AR236" s="17"/>
      <c r="AS236" s="17"/>
      <c r="AT236" s="17"/>
      <c r="AU236" s="732"/>
      <c r="AV236" s="313"/>
      <c r="AW236" s="313"/>
      <c r="AX236" s="313"/>
      <c r="AY236" s="313"/>
      <c r="AZ236" s="313"/>
      <c r="BA236" s="313"/>
      <c r="BB236" s="313"/>
      <c r="BC236" s="313"/>
      <c r="BD236" s="313"/>
      <c r="BE236" s="314"/>
      <c r="BW236" s="314"/>
      <c r="BX236" s="314"/>
      <c r="BY236" s="314"/>
      <c r="BZ236" s="314"/>
      <c r="CA236" s="314"/>
      <c r="CB236" s="314"/>
      <c r="CC236" s="314"/>
      <c r="CD236" s="314"/>
    </row>
    <row r="237" ht="28.5" customHeight="1">
      <c r="A237" s="767"/>
      <c r="B237" s="768"/>
      <c r="C237" s="768"/>
      <c r="D237" s="769"/>
      <c r="E237" s="769"/>
      <c r="F237" s="770"/>
      <c r="G237" s="336"/>
      <c r="H237" s="771"/>
      <c r="I237" s="770"/>
      <c r="J237" s="770"/>
      <c r="K237" s="772"/>
      <c r="L237" s="314"/>
      <c r="M237" s="314"/>
      <c r="N237" s="769"/>
      <c r="O237" s="769"/>
      <c r="P237" s="773"/>
      <c r="Q237" s="774"/>
      <c r="R237" s="774"/>
      <c r="S237" s="775"/>
      <c r="AH237" s="776"/>
      <c r="AI237" s="776"/>
      <c r="AJ237" s="732"/>
      <c r="AK237" s="732"/>
      <c r="AL237" s="776"/>
      <c r="AM237" s="776"/>
      <c r="AN237" s="17"/>
      <c r="AO237" s="17"/>
      <c r="AP237" s="17"/>
      <c r="AQ237" s="17"/>
      <c r="AR237" s="17"/>
      <c r="AS237" s="17"/>
      <c r="AT237" s="17"/>
      <c r="AU237" s="732"/>
      <c r="AV237" s="313"/>
      <c r="AW237" s="313"/>
      <c r="AX237" s="313"/>
      <c r="AY237" s="313"/>
      <c r="AZ237" s="313"/>
      <c r="BA237" s="313"/>
      <c r="BB237" s="313"/>
      <c r="BC237" s="313"/>
      <c r="BD237" s="313"/>
      <c r="BE237" s="314"/>
      <c r="BW237" s="314"/>
      <c r="BX237" s="314"/>
      <c r="BY237" s="314"/>
      <c r="BZ237" s="314"/>
      <c r="CA237" s="314"/>
      <c r="CB237" s="314"/>
      <c r="CC237" s="314"/>
      <c r="CD237" s="314"/>
    </row>
    <row r="238" ht="28.5" customHeight="1">
      <c r="A238" s="767"/>
      <c r="B238" s="768"/>
      <c r="C238" s="768"/>
      <c r="D238" s="769"/>
      <c r="E238" s="769"/>
      <c r="F238" s="770"/>
      <c r="G238" s="336"/>
      <c r="H238" s="771"/>
      <c r="I238" s="770"/>
      <c r="J238" s="770"/>
      <c r="K238" s="772"/>
      <c r="L238" s="314"/>
      <c r="M238" s="314"/>
      <c r="N238" s="769"/>
      <c r="O238" s="769"/>
      <c r="P238" s="773"/>
      <c r="Q238" s="774"/>
      <c r="R238" s="774"/>
      <c r="S238" s="775"/>
      <c r="AH238" s="776"/>
      <c r="AI238" s="776"/>
      <c r="AJ238" s="732"/>
      <c r="AK238" s="732"/>
      <c r="AL238" s="776"/>
      <c r="AM238" s="776"/>
      <c r="AN238" s="17"/>
      <c r="AO238" s="17"/>
      <c r="AP238" s="17"/>
      <c r="AQ238" s="17"/>
      <c r="AR238" s="17"/>
      <c r="AS238" s="17"/>
      <c r="AT238" s="17"/>
      <c r="AU238" s="732"/>
      <c r="AV238" s="313"/>
      <c r="AW238" s="313"/>
      <c r="AX238" s="313"/>
      <c r="AY238" s="313"/>
      <c r="AZ238" s="313"/>
      <c r="BA238" s="313"/>
      <c r="BB238" s="313"/>
      <c r="BC238" s="313"/>
      <c r="BD238" s="313"/>
      <c r="BE238" s="314"/>
      <c r="BW238" s="314"/>
      <c r="BX238" s="314"/>
      <c r="BY238" s="314"/>
      <c r="BZ238" s="314"/>
      <c r="CA238" s="314"/>
      <c r="CB238" s="314"/>
      <c r="CC238" s="314"/>
      <c r="CD238" s="314"/>
    </row>
    <row r="239" ht="28.5" customHeight="1">
      <c r="A239" s="767"/>
      <c r="B239" s="768"/>
      <c r="C239" s="768"/>
      <c r="D239" s="769"/>
      <c r="E239" s="769"/>
      <c r="F239" s="770"/>
      <c r="G239" s="336"/>
      <c r="H239" s="771"/>
      <c r="I239" s="770"/>
      <c r="J239" s="770"/>
      <c r="K239" s="772"/>
      <c r="L239" s="314"/>
      <c r="M239" s="314"/>
      <c r="N239" s="769"/>
      <c r="O239" s="769"/>
      <c r="P239" s="773"/>
      <c r="Q239" s="774"/>
      <c r="R239" s="774"/>
      <c r="S239" s="775"/>
      <c r="AH239" s="776"/>
      <c r="AI239" s="776"/>
      <c r="AJ239" s="732"/>
      <c r="AK239" s="732"/>
      <c r="AL239" s="776"/>
      <c r="AM239" s="776"/>
      <c r="AN239" s="17"/>
      <c r="AO239" s="17"/>
      <c r="AP239" s="17"/>
      <c r="AQ239" s="17"/>
      <c r="AR239" s="17"/>
      <c r="AS239" s="17"/>
      <c r="AT239" s="17"/>
      <c r="AU239" s="732"/>
      <c r="AV239" s="313"/>
      <c r="AW239" s="313"/>
      <c r="AX239" s="313"/>
      <c r="AY239" s="313"/>
      <c r="AZ239" s="313"/>
      <c r="BA239" s="313"/>
      <c r="BB239" s="313"/>
      <c r="BC239" s="313"/>
      <c r="BD239" s="313"/>
      <c r="BE239" s="314"/>
      <c r="BW239" s="314"/>
      <c r="BX239" s="314"/>
      <c r="BY239" s="314"/>
      <c r="BZ239" s="314"/>
      <c r="CA239" s="314"/>
      <c r="CB239" s="314"/>
      <c r="CC239" s="314"/>
      <c r="CD239" s="314"/>
    </row>
    <row r="240" ht="28.5" customHeight="1">
      <c r="A240" s="767"/>
      <c r="B240" s="768"/>
      <c r="C240" s="768"/>
      <c r="D240" s="769"/>
      <c r="E240" s="769"/>
      <c r="F240" s="770"/>
      <c r="G240" s="336"/>
      <c r="H240" s="771"/>
      <c r="I240" s="770"/>
      <c r="J240" s="770"/>
      <c r="K240" s="772"/>
      <c r="L240" s="314"/>
      <c r="M240" s="314"/>
      <c r="N240" s="769"/>
      <c r="O240" s="769"/>
      <c r="P240" s="773"/>
      <c r="Q240" s="774"/>
      <c r="R240" s="774"/>
      <c r="S240" s="775"/>
      <c r="AH240" s="776"/>
      <c r="AI240" s="776"/>
      <c r="AJ240" s="732"/>
      <c r="AK240" s="732"/>
      <c r="AL240" s="776"/>
      <c r="AM240" s="776"/>
      <c r="AN240" s="17"/>
      <c r="AO240" s="17"/>
      <c r="AP240" s="17"/>
      <c r="AQ240" s="17"/>
      <c r="AR240" s="17"/>
      <c r="AS240" s="17"/>
      <c r="AT240" s="17"/>
      <c r="AU240" s="732"/>
      <c r="AV240" s="313"/>
      <c r="AW240" s="313"/>
      <c r="AX240" s="313"/>
      <c r="AY240" s="313"/>
      <c r="AZ240" s="313"/>
      <c r="BA240" s="313"/>
      <c r="BB240" s="313"/>
      <c r="BC240" s="313"/>
      <c r="BD240" s="313"/>
      <c r="BE240" s="314"/>
      <c r="BW240" s="314"/>
      <c r="BX240" s="314"/>
      <c r="BY240" s="314"/>
      <c r="BZ240" s="314"/>
      <c r="CA240" s="314"/>
      <c r="CB240" s="314"/>
      <c r="CC240" s="314"/>
      <c r="CD240" s="314"/>
    </row>
    <row r="241" ht="28.5" customHeight="1">
      <c r="A241" s="767"/>
      <c r="B241" s="768"/>
      <c r="C241" s="768"/>
      <c r="D241" s="769"/>
      <c r="E241" s="769"/>
      <c r="F241" s="770"/>
      <c r="G241" s="336"/>
      <c r="H241" s="771"/>
      <c r="I241" s="770"/>
      <c r="J241" s="770"/>
      <c r="K241" s="772"/>
      <c r="L241" s="314"/>
      <c r="M241" s="314"/>
      <c r="N241" s="769"/>
      <c r="O241" s="769"/>
      <c r="P241" s="773"/>
      <c r="Q241" s="774"/>
      <c r="R241" s="774"/>
      <c r="S241" s="775"/>
      <c r="AH241" s="776"/>
      <c r="AI241" s="776"/>
      <c r="AJ241" s="732"/>
      <c r="AK241" s="732"/>
      <c r="AL241" s="776"/>
      <c r="AM241" s="776"/>
      <c r="AN241" s="17"/>
      <c r="AO241" s="17"/>
      <c r="AP241" s="17"/>
      <c r="AQ241" s="17"/>
      <c r="AR241" s="17"/>
      <c r="AS241" s="17"/>
      <c r="AT241" s="17"/>
      <c r="AU241" s="732"/>
      <c r="AV241" s="313"/>
      <c r="AW241" s="313"/>
      <c r="AX241" s="313"/>
      <c r="AY241" s="313"/>
      <c r="AZ241" s="313"/>
      <c r="BA241" s="313"/>
      <c r="BB241" s="313"/>
      <c r="BC241" s="313"/>
      <c r="BD241" s="313"/>
      <c r="BE241" s="314"/>
      <c r="BW241" s="314"/>
      <c r="BX241" s="314"/>
      <c r="BY241" s="314"/>
      <c r="BZ241" s="314"/>
      <c r="CA241" s="314"/>
      <c r="CB241" s="314"/>
      <c r="CC241" s="314"/>
      <c r="CD241" s="314"/>
    </row>
    <row r="242" ht="28.5" customHeight="1">
      <c r="A242" s="767"/>
      <c r="B242" s="768"/>
      <c r="C242" s="768"/>
      <c r="D242" s="769"/>
      <c r="E242" s="769"/>
      <c r="F242" s="770"/>
      <c r="G242" s="336"/>
      <c r="H242" s="771"/>
      <c r="I242" s="770"/>
      <c r="J242" s="770"/>
      <c r="K242" s="772"/>
      <c r="L242" s="314"/>
      <c r="M242" s="314"/>
      <c r="N242" s="769"/>
      <c r="O242" s="769"/>
      <c r="P242" s="773"/>
      <c r="Q242" s="774"/>
      <c r="R242" s="774"/>
      <c r="S242" s="775"/>
      <c r="AH242" s="776"/>
      <c r="AI242" s="776"/>
      <c r="AJ242" s="732"/>
      <c r="AK242" s="732"/>
      <c r="AL242" s="776"/>
      <c r="AM242" s="776"/>
      <c r="AN242" s="17"/>
      <c r="AO242" s="17"/>
      <c r="AP242" s="17"/>
      <c r="AQ242" s="17"/>
      <c r="AR242" s="17"/>
      <c r="AS242" s="17"/>
      <c r="AT242" s="17"/>
      <c r="AU242" s="732"/>
      <c r="AV242" s="313"/>
      <c r="AW242" s="313"/>
      <c r="AX242" s="313"/>
      <c r="AY242" s="313"/>
      <c r="AZ242" s="313"/>
      <c r="BA242" s="313"/>
      <c r="BB242" s="313"/>
      <c r="BC242" s="313"/>
      <c r="BD242" s="313"/>
      <c r="BE242" s="314"/>
      <c r="BW242" s="314"/>
      <c r="BX242" s="314"/>
      <c r="BY242" s="314"/>
      <c r="BZ242" s="314"/>
      <c r="CA242" s="314"/>
      <c r="CB242" s="314"/>
      <c r="CC242" s="314"/>
      <c r="CD242" s="314"/>
    </row>
    <row r="243" ht="28.5" customHeight="1">
      <c r="A243" s="767"/>
      <c r="B243" s="768"/>
      <c r="C243" s="768"/>
      <c r="D243" s="769"/>
      <c r="E243" s="769"/>
      <c r="F243" s="770"/>
      <c r="G243" s="336"/>
      <c r="H243" s="771"/>
      <c r="I243" s="770"/>
      <c r="J243" s="770"/>
      <c r="K243" s="772"/>
      <c r="L243" s="314"/>
      <c r="M243" s="314"/>
      <c r="N243" s="769"/>
      <c r="O243" s="769"/>
      <c r="P243" s="773"/>
      <c r="Q243" s="774"/>
      <c r="R243" s="774"/>
      <c r="S243" s="775"/>
      <c r="AH243" s="776"/>
      <c r="AI243" s="776"/>
      <c r="AJ243" s="732"/>
      <c r="AK243" s="732"/>
      <c r="AL243" s="776"/>
      <c r="AM243" s="776"/>
      <c r="AN243" s="17"/>
      <c r="AO243" s="17"/>
      <c r="AP243" s="17"/>
      <c r="AQ243" s="17"/>
      <c r="AR243" s="17"/>
      <c r="AS243" s="17"/>
      <c r="AT243" s="17"/>
      <c r="AU243" s="732"/>
      <c r="AV243" s="313"/>
      <c r="AW243" s="313"/>
      <c r="AX243" s="313"/>
      <c r="AY243" s="313"/>
      <c r="AZ243" s="313"/>
      <c r="BA243" s="313"/>
      <c r="BB243" s="313"/>
      <c r="BC243" s="313"/>
      <c r="BD243" s="313"/>
      <c r="BE243" s="314"/>
      <c r="BW243" s="314"/>
      <c r="BX243" s="314"/>
      <c r="BY243" s="314"/>
      <c r="BZ243" s="314"/>
      <c r="CA243" s="314"/>
      <c r="CB243" s="314"/>
      <c r="CC243" s="314"/>
      <c r="CD243" s="314"/>
    </row>
    <row r="244" ht="28.5" customHeight="1">
      <c r="A244" s="767"/>
      <c r="B244" s="768"/>
      <c r="C244" s="768"/>
      <c r="D244" s="769"/>
      <c r="E244" s="769"/>
      <c r="F244" s="770"/>
      <c r="G244" s="336"/>
      <c r="H244" s="771"/>
      <c r="I244" s="770"/>
      <c r="J244" s="770"/>
      <c r="K244" s="772"/>
      <c r="L244" s="314"/>
      <c r="M244" s="314"/>
      <c r="N244" s="769"/>
      <c r="O244" s="769"/>
      <c r="P244" s="773"/>
      <c r="Q244" s="774"/>
      <c r="R244" s="774"/>
      <c r="S244" s="775"/>
      <c r="AH244" s="776"/>
      <c r="AI244" s="776"/>
      <c r="AJ244" s="732"/>
      <c r="AK244" s="732"/>
      <c r="AL244" s="776"/>
      <c r="AM244" s="776"/>
      <c r="AN244" s="17"/>
      <c r="AO244" s="17"/>
      <c r="AP244" s="17"/>
      <c r="AQ244" s="17"/>
      <c r="AR244" s="17"/>
      <c r="AS244" s="17"/>
      <c r="AT244" s="17"/>
      <c r="AU244" s="732"/>
      <c r="AV244" s="313"/>
      <c r="AW244" s="313"/>
      <c r="AX244" s="313"/>
      <c r="AY244" s="313"/>
      <c r="AZ244" s="313"/>
      <c r="BA244" s="313"/>
      <c r="BB244" s="313"/>
      <c r="BC244" s="313"/>
      <c r="BD244" s="313"/>
      <c r="BE244" s="314"/>
      <c r="BW244" s="314"/>
      <c r="BX244" s="314"/>
      <c r="BY244" s="314"/>
      <c r="BZ244" s="314"/>
      <c r="CA244" s="314"/>
      <c r="CB244" s="314"/>
      <c r="CC244" s="314"/>
      <c r="CD244" s="314"/>
    </row>
    <row r="245" ht="28.5" customHeight="1">
      <c r="A245" s="767"/>
      <c r="B245" s="768"/>
      <c r="C245" s="768"/>
      <c r="D245" s="769"/>
      <c r="E245" s="769"/>
      <c r="F245" s="770"/>
      <c r="G245" s="336"/>
      <c r="H245" s="771"/>
      <c r="I245" s="770"/>
      <c r="J245" s="770"/>
      <c r="K245" s="772"/>
      <c r="L245" s="314"/>
      <c r="M245" s="314"/>
      <c r="N245" s="769"/>
      <c r="O245" s="769"/>
      <c r="P245" s="773"/>
      <c r="Q245" s="774"/>
      <c r="R245" s="774"/>
      <c r="S245" s="775"/>
      <c r="AH245" s="776"/>
      <c r="AI245" s="776"/>
      <c r="AJ245" s="732"/>
      <c r="AK245" s="732"/>
      <c r="AL245" s="776"/>
      <c r="AM245" s="776"/>
      <c r="AN245" s="17"/>
      <c r="AO245" s="17"/>
      <c r="AP245" s="17"/>
      <c r="AQ245" s="17"/>
      <c r="AR245" s="17"/>
      <c r="AS245" s="17"/>
      <c r="AT245" s="17"/>
      <c r="AU245" s="732"/>
      <c r="AV245" s="313"/>
      <c r="AW245" s="313"/>
      <c r="AX245" s="313"/>
      <c r="AY245" s="313"/>
      <c r="AZ245" s="313"/>
      <c r="BA245" s="313"/>
      <c r="BB245" s="313"/>
      <c r="BC245" s="313"/>
      <c r="BD245" s="313"/>
      <c r="BE245" s="314"/>
      <c r="BW245" s="314"/>
      <c r="BX245" s="314"/>
      <c r="BY245" s="314"/>
      <c r="BZ245" s="314"/>
      <c r="CA245" s="314"/>
      <c r="CB245" s="314"/>
      <c r="CC245" s="314"/>
      <c r="CD245" s="314"/>
    </row>
    <row r="246" ht="28.5" customHeight="1">
      <c r="A246" s="767"/>
      <c r="B246" s="768"/>
      <c r="C246" s="768"/>
      <c r="D246" s="769"/>
      <c r="E246" s="769"/>
      <c r="F246" s="770"/>
      <c r="G246" s="336"/>
      <c r="H246" s="771"/>
      <c r="I246" s="770"/>
      <c r="J246" s="770"/>
      <c r="K246" s="772"/>
      <c r="L246" s="314"/>
      <c r="M246" s="314"/>
      <c r="N246" s="769"/>
      <c r="O246" s="769"/>
      <c r="P246" s="773"/>
      <c r="Q246" s="774"/>
      <c r="R246" s="774"/>
      <c r="S246" s="775"/>
      <c r="AH246" s="776"/>
      <c r="AI246" s="776"/>
      <c r="AJ246" s="732"/>
      <c r="AK246" s="732"/>
      <c r="AL246" s="776"/>
      <c r="AM246" s="776"/>
      <c r="AN246" s="17"/>
      <c r="AO246" s="17"/>
      <c r="AP246" s="17"/>
      <c r="AQ246" s="17"/>
      <c r="AR246" s="17"/>
      <c r="AS246" s="17"/>
      <c r="AT246" s="17"/>
      <c r="AU246" s="732"/>
      <c r="AV246" s="313"/>
      <c r="AW246" s="313"/>
      <c r="AX246" s="313"/>
      <c r="AY246" s="313"/>
      <c r="AZ246" s="313"/>
      <c r="BA246" s="313"/>
      <c r="BB246" s="313"/>
      <c r="BC246" s="313"/>
      <c r="BD246" s="313"/>
      <c r="BE246" s="314"/>
      <c r="BW246" s="314"/>
      <c r="BX246" s="314"/>
      <c r="BY246" s="314"/>
      <c r="BZ246" s="314"/>
      <c r="CA246" s="314"/>
      <c r="CB246" s="314"/>
      <c r="CC246" s="314"/>
      <c r="CD246" s="314"/>
    </row>
    <row r="247" ht="28.5" customHeight="1">
      <c r="A247" s="767"/>
      <c r="B247" s="768"/>
      <c r="C247" s="768"/>
      <c r="D247" s="769"/>
      <c r="E247" s="769"/>
      <c r="F247" s="770"/>
      <c r="G247" s="336"/>
      <c r="H247" s="771"/>
      <c r="I247" s="770"/>
      <c r="J247" s="770"/>
      <c r="K247" s="772"/>
      <c r="L247" s="314"/>
      <c r="M247" s="314"/>
      <c r="N247" s="769"/>
      <c r="O247" s="769"/>
      <c r="P247" s="773"/>
      <c r="Q247" s="774"/>
      <c r="R247" s="774"/>
      <c r="S247" s="775"/>
      <c r="AH247" s="776"/>
      <c r="AI247" s="776"/>
      <c r="AJ247" s="732"/>
      <c r="AK247" s="732"/>
      <c r="AL247" s="776"/>
      <c r="AM247" s="776"/>
      <c r="AN247" s="17"/>
      <c r="AO247" s="17"/>
      <c r="AP247" s="17"/>
      <c r="AQ247" s="17"/>
      <c r="AR247" s="17"/>
      <c r="AS247" s="17"/>
      <c r="AT247" s="17"/>
      <c r="AU247" s="732"/>
      <c r="AV247" s="313"/>
      <c r="AW247" s="313"/>
      <c r="AX247" s="313"/>
      <c r="AY247" s="313"/>
      <c r="AZ247" s="313"/>
      <c r="BA247" s="313"/>
      <c r="BB247" s="313"/>
      <c r="BC247" s="313"/>
      <c r="BD247" s="313"/>
      <c r="BE247" s="314"/>
      <c r="BW247" s="314"/>
      <c r="BX247" s="314"/>
      <c r="BY247" s="314"/>
      <c r="BZ247" s="314"/>
      <c r="CA247" s="314"/>
      <c r="CB247" s="314"/>
      <c r="CC247" s="314"/>
      <c r="CD247" s="314"/>
    </row>
    <row r="248" ht="28.5" customHeight="1">
      <c r="A248" s="767"/>
      <c r="B248" s="768"/>
      <c r="C248" s="768"/>
      <c r="D248" s="769"/>
      <c r="E248" s="769"/>
      <c r="F248" s="770"/>
      <c r="G248" s="336"/>
      <c r="H248" s="771"/>
      <c r="I248" s="770"/>
      <c r="J248" s="770"/>
      <c r="K248" s="772"/>
      <c r="L248" s="314"/>
      <c r="M248" s="314"/>
      <c r="N248" s="769"/>
      <c r="O248" s="769"/>
      <c r="P248" s="773"/>
      <c r="Q248" s="774"/>
      <c r="R248" s="774"/>
      <c r="S248" s="775"/>
      <c r="AH248" s="776"/>
      <c r="AI248" s="776"/>
      <c r="AJ248" s="732"/>
      <c r="AK248" s="732"/>
      <c r="AL248" s="776"/>
      <c r="AM248" s="776"/>
      <c r="AN248" s="17"/>
      <c r="AO248" s="17"/>
      <c r="AP248" s="17"/>
      <c r="AQ248" s="17"/>
      <c r="AR248" s="17"/>
      <c r="AS248" s="17"/>
      <c r="AT248" s="17"/>
      <c r="AU248" s="732"/>
      <c r="AV248" s="313"/>
      <c r="AW248" s="313"/>
      <c r="AX248" s="313"/>
      <c r="AY248" s="313"/>
      <c r="AZ248" s="313"/>
      <c r="BA248" s="313"/>
      <c r="BB248" s="313"/>
      <c r="BC248" s="313"/>
      <c r="BD248" s="313"/>
      <c r="BE248" s="314"/>
      <c r="BW248" s="314"/>
      <c r="BX248" s="314"/>
      <c r="BY248" s="314"/>
      <c r="BZ248" s="314"/>
      <c r="CA248" s="314"/>
      <c r="CB248" s="314"/>
      <c r="CC248" s="314"/>
      <c r="CD248" s="314"/>
    </row>
    <row r="249" ht="28.5" customHeight="1">
      <c r="A249" s="767"/>
      <c r="B249" s="768"/>
      <c r="C249" s="768"/>
      <c r="D249" s="769"/>
      <c r="E249" s="769"/>
      <c r="F249" s="770"/>
      <c r="G249" s="336"/>
      <c r="H249" s="771"/>
      <c r="I249" s="770"/>
      <c r="J249" s="770"/>
      <c r="K249" s="772"/>
      <c r="L249" s="314"/>
      <c r="M249" s="314"/>
      <c r="N249" s="769"/>
      <c r="O249" s="769"/>
      <c r="P249" s="773"/>
      <c r="Q249" s="774"/>
      <c r="R249" s="774"/>
      <c r="S249" s="775"/>
      <c r="AH249" s="776"/>
      <c r="AI249" s="776"/>
      <c r="AJ249" s="732"/>
      <c r="AK249" s="732"/>
      <c r="AL249" s="776"/>
      <c r="AM249" s="776"/>
      <c r="AN249" s="17"/>
      <c r="AO249" s="17"/>
      <c r="AP249" s="17"/>
      <c r="AQ249" s="17"/>
      <c r="AR249" s="17"/>
      <c r="AS249" s="17"/>
      <c r="AT249" s="17"/>
      <c r="AU249" s="732"/>
      <c r="AV249" s="313"/>
      <c r="AW249" s="313"/>
      <c r="AX249" s="313"/>
      <c r="AY249" s="313"/>
      <c r="AZ249" s="313"/>
      <c r="BA249" s="313"/>
      <c r="BB249" s="313"/>
      <c r="BC249" s="313"/>
      <c r="BD249" s="313"/>
      <c r="BE249" s="314"/>
      <c r="BW249" s="314"/>
      <c r="BX249" s="314"/>
      <c r="BY249" s="314"/>
      <c r="BZ249" s="314"/>
      <c r="CA249" s="314"/>
      <c r="CB249" s="314"/>
      <c r="CC249" s="314"/>
      <c r="CD249" s="314"/>
    </row>
    <row r="250" ht="28.5" customHeight="1">
      <c r="A250" s="767"/>
      <c r="B250" s="768"/>
      <c r="C250" s="768"/>
      <c r="D250" s="769"/>
      <c r="E250" s="769"/>
      <c r="F250" s="769"/>
      <c r="G250" s="336"/>
      <c r="H250" s="771"/>
      <c r="I250" s="769"/>
      <c r="J250" s="769"/>
      <c r="K250" s="314"/>
      <c r="L250" s="314"/>
      <c r="M250" s="314"/>
      <c r="N250" s="769"/>
      <c r="O250" s="769"/>
      <c r="P250" s="773"/>
      <c r="Q250" s="774"/>
      <c r="R250" s="774"/>
      <c r="S250" s="775"/>
      <c r="AH250" s="776"/>
      <c r="AI250" s="776"/>
      <c r="AJ250" s="732"/>
      <c r="AK250" s="732"/>
      <c r="AL250" s="776"/>
      <c r="AM250" s="776"/>
      <c r="AN250" s="17"/>
      <c r="AO250" s="17"/>
      <c r="AP250" s="17"/>
      <c r="AQ250" s="17"/>
      <c r="AR250" s="17"/>
      <c r="AS250" s="17"/>
      <c r="AT250" s="17"/>
      <c r="AU250" s="732"/>
      <c r="AV250" s="313"/>
      <c r="AW250" s="313"/>
      <c r="AX250" s="313"/>
      <c r="AY250" s="313"/>
      <c r="AZ250" s="313"/>
      <c r="BA250" s="313"/>
      <c r="BB250" s="313"/>
      <c r="BC250" s="313"/>
      <c r="BD250" s="313"/>
      <c r="BE250" s="314"/>
      <c r="BW250" s="314"/>
      <c r="BX250" s="314"/>
      <c r="BY250" s="314"/>
      <c r="BZ250" s="314"/>
      <c r="CA250" s="314"/>
      <c r="CB250" s="314"/>
      <c r="CC250" s="314"/>
      <c r="CD250" s="314"/>
    </row>
    <row r="251" ht="28.5" customHeight="1">
      <c r="A251" s="767"/>
      <c r="B251" s="768"/>
      <c r="C251" s="768"/>
      <c r="D251" s="769"/>
      <c r="E251" s="769"/>
      <c r="F251" s="769"/>
      <c r="G251" s="336"/>
      <c r="H251" s="771"/>
      <c r="I251" s="769"/>
      <c r="J251" s="769"/>
      <c r="K251" s="314"/>
      <c r="L251" s="314"/>
      <c r="M251" s="314"/>
      <c r="N251" s="769"/>
      <c r="O251" s="769"/>
      <c r="P251" s="773"/>
      <c r="Q251" s="774"/>
      <c r="R251" s="774"/>
      <c r="S251" s="775"/>
      <c r="AH251" s="776"/>
      <c r="AI251" s="776"/>
      <c r="AJ251" s="732"/>
      <c r="AK251" s="732"/>
      <c r="AL251" s="776"/>
      <c r="AM251" s="776"/>
      <c r="AN251" s="17"/>
      <c r="AO251" s="17"/>
      <c r="AP251" s="17"/>
      <c r="AQ251" s="17"/>
      <c r="AR251" s="17"/>
      <c r="AS251" s="17"/>
      <c r="AT251" s="17"/>
      <c r="AU251" s="732"/>
      <c r="AV251" s="313"/>
      <c r="AW251" s="313"/>
      <c r="AX251" s="313"/>
      <c r="AY251" s="313"/>
      <c r="AZ251" s="313"/>
      <c r="BA251" s="313"/>
      <c r="BB251" s="313"/>
      <c r="BC251" s="313"/>
      <c r="BD251" s="313"/>
      <c r="BE251" s="314"/>
      <c r="BW251" s="314"/>
      <c r="BX251" s="314"/>
      <c r="BY251" s="314"/>
      <c r="BZ251" s="314"/>
      <c r="CA251" s="314"/>
      <c r="CB251" s="314"/>
      <c r="CC251" s="314"/>
      <c r="CD251" s="314"/>
    </row>
    <row r="252" ht="28.5" customHeight="1">
      <c r="A252" s="767"/>
      <c r="B252" s="768"/>
      <c r="C252" s="768"/>
      <c r="D252" s="769"/>
      <c r="E252" s="769"/>
      <c r="F252" s="769"/>
      <c r="G252" s="336"/>
      <c r="H252" s="771"/>
      <c r="I252" s="769"/>
      <c r="J252" s="769"/>
      <c r="K252" s="314"/>
      <c r="L252" s="314"/>
      <c r="M252" s="314"/>
      <c r="N252" s="769"/>
      <c r="O252" s="769"/>
      <c r="P252" s="773"/>
      <c r="Q252" s="774"/>
      <c r="R252" s="774"/>
      <c r="S252" s="775"/>
      <c r="AH252" s="776"/>
      <c r="AI252" s="776"/>
      <c r="AJ252" s="732"/>
      <c r="AK252" s="732"/>
      <c r="AL252" s="776"/>
      <c r="AM252" s="776"/>
      <c r="AN252" s="17"/>
      <c r="AO252" s="17"/>
      <c r="AP252" s="17"/>
      <c r="AQ252" s="17"/>
      <c r="AR252" s="17"/>
      <c r="AS252" s="17"/>
      <c r="AT252" s="17"/>
      <c r="AU252" s="732"/>
      <c r="AV252" s="313"/>
      <c r="AW252" s="313"/>
      <c r="AX252" s="313"/>
      <c r="AY252" s="313"/>
      <c r="AZ252" s="313"/>
      <c r="BA252" s="313"/>
      <c r="BB252" s="313"/>
      <c r="BC252" s="313"/>
      <c r="BD252" s="313"/>
      <c r="BE252" s="314"/>
      <c r="BW252" s="314"/>
      <c r="BX252" s="314"/>
      <c r="BY252" s="314"/>
      <c r="BZ252" s="314"/>
      <c r="CA252" s="314"/>
      <c r="CB252" s="314"/>
      <c r="CC252" s="314"/>
      <c r="CD252" s="314"/>
    </row>
    <row r="253" ht="28.5" customHeight="1">
      <c r="A253" s="767"/>
      <c r="B253" s="768"/>
      <c r="C253" s="768"/>
      <c r="D253" s="769"/>
      <c r="E253" s="769"/>
      <c r="F253" s="769"/>
      <c r="G253" s="336"/>
      <c r="H253" s="771"/>
      <c r="I253" s="769"/>
      <c r="J253" s="769"/>
      <c r="K253" s="314"/>
      <c r="L253" s="314"/>
      <c r="M253" s="314"/>
      <c r="N253" s="769"/>
      <c r="O253" s="769"/>
      <c r="P253" s="773"/>
      <c r="Q253" s="774"/>
      <c r="R253" s="774"/>
      <c r="S253" s="775"/>
      <c r="AH253" s="776"/>
      <c r="AI253" s="776"/>
      <c r="AJ253" s="732"/>
      <c r="AK253" s="732"/>
      <c r="AL253" s="776"/>
      <c r="AM253" s="776"/>
      <c r="AN253" s="17"/>
      <c r="AO253" s="17"/>
      <c r="AP253" s="17"/>
      <c r="AQ253" s="17"/>
      <c r="AR253" s="17"/>
      <c r="AS253" s="17"/>
      <c r="AT253" s="17"/>
      <c r="AU253" s="732"/>
      <c r="AV253" s="313"/>
      <c r="AW253" s="313"/>
      <c r="AX253" s="313"/>
      <c r="AY253" s="313"/>
      <c r="AZ253" s="313"/>
      <c r="BA253" s="313"/>
      <c r="BB253" s="313"/>
      <c r="BC253" s="313"/>
      <c r="BD253" s="313"/>
      <c r="BE253" s="314"/>
      <c r="BW253" s="314"/>
      <c r="BX253" s="314"/>
      <c r="BY253" s="314"/>
      <c r="BZ253" s="314"/>
      <c r="CA253" s="314"/>
      <c r="CB253" s="314"/>
      <c r="CC253" s="314"/>
      <c r="CD253" s="314"/>
    </row>
    <row r="254" ht="28.5" customHeight="1">
      <c r="A254" s="767"/>
      <c r="B254" s="768"/>
      <c r="C254" s="768"/>
      <c r="D254" s="769"/>
      <c r="E254" s="769"/>
      <c r="F254" s="769"/>
      <c r="G254" s="336"/>
      <c r="H254" s="771"/>
      <c r="I254" s="769"/>
      <c r="J254" s="769"/>
      <c r="K254" s="314"/>
      <c r="L254" s="314"/>
      <c r="M254" s="314"/>
      <c r="N254" s="769"/>
      <c r="O254" s="769"/>
      <c r="P254" s="773"/>
      <c r="Q254" s="774"/>
      <c r="R254" s="774"/>
      <c r="S254" s="775"/>
      <c r="AH254" s="776"/>
      <c r="AI254" s="776"/>
      <c r="AJ254" s="732"/>
      <c r="AK254" s="732"/>
      <c r="AL254" s="776"/>
      <c r="AM254" s="776"/>
      <c r="AN254" s="17"/>
      <c r="AO254" s="17"/>
      <c r="AP254" s="17"/>
      <c r="AQ254" s="17"/>
      <c r="AR254" s="17"/>
      <c r="AS254" s="17"/>
      <c r="AT254" s="17"/>
      <c r="AU254" s="732"/>
      <c r="AV254" s="313"/>
      <c r="AW254" s="313"/>
      <c r="AX254" s="313"/>
      <c r="AY254" s="313"/>
      <c r="AZ254" s="313"/>
      <c r="BA254" s="313"/>
      <c r="BB254" s="313"/>
      <c r="BC254" s="313"/>
      <c r="BD254" s="313"/>
      <c r="BE254" s="314"/>
      <c r="BW254" s="314"/>
      <c r="BX254" s="314"/>
      <c r="BY254" s="314"/>
      <c r="BZ254" s="314"/>
      <c r="CA254" s="314"/>
      <c r="CB254" s="314"/>
      <c r="CC254" s="314"/>
      <c r="CD254" s="314"/>
    </row>
    <row r="255" ht="28.5" customHeight="1">
      <c r="A255" s="767"/>
      <c r="B255" s="768"/>
      <c r="C255" s="768"/>
      <c r="D255" s="769"/>
      <c r="E255" s="769"/>
      <c r="F255" s="769"/>
      <c r="G255" s="336"/>
      <c r="H255" s="771"/>
      <c r="I255" s="769"/>
      <c r="J255" s="769"/>
      <c r="K255" s="314"/>
      <c r="L255" s="314"/>
      <c r="M255" s="314"/>
      <c r="N255" s="769"/>
      <c r="O255" s="769"/>
      <c r="P255" s="773"/>
      <c r="Q255" s="774"/>
      <c r="R255" s="774"/>
      <c r="S255" s="775"/>
      <c r="AH255" s="776"/>
      <c r="AI255" s="776"/>
      <c r="AJ255" s="732"/>
      <c r="AK255" s="732"/>
      <c r="AL255" s="776"/>
      <c r="AM255" s="776"/>
      <c r="AN255" s="17"/>
      <c r="AO255" s="17"/>
      <c r="AP255" s="17"/>
      <c r="AQ255" s="17"/>
      <c r="AR255" s="17"/>
      <c r="AS255" s="17"/>
      <c r="AT255" s="17"/>
      <c r="AU255" s="732"/>
      <c r="AV255" s="313"/>
      <c r="AW255" s="313"/>
      <c r="AX255" s="313"/>
      <c r="AY255" s="313"/>
      <c r="AZ255" s="313"/>
      <c r="BA255" s="313"/>
      <c r="BB255" s="313"/>
      <c r="BC255" s="313"/>
      <c r="BD255" s="313"/>
      <c r="BE255" s="314"/>
      <c r="BW255" s="314"/>
      <c r="BX255" s="314"/>
      <c r="BY255" s="314"/>
      <c r="BZ255" s="314"/>
      <c r="CA255" s="314"/>
      <c r="CB255" s="314"/>
      <c r="CC255" s="314"/>
      <c r="CD255" s="314"/>
    </row>
    <row r="256" ht="28.5" customHeight="1">
      <c r="A256" s="767"/>
      <c r="B256" s="768"/>
      <c r="C256" s="768"/>
      <c r="D256" s="769"/>
      <c r="E256" s="769"/>
      <c r="F256" s="769"/>
      <c r="G256" s="336"/>
      <c r="H256" s="771"/>
      <c r="I256" s="769"/>
      <c r="J256" s="769"/>
      <c r="K256" s="314"/>
      <c r="L256" s="314"/>
      <c r="M256" s="314"/>
      <c r="N256" s="769"/>
      <c r="O256" s="769"/>
      <c r="P256" s="773"/>
      <c r="Q256" s="774"/>
      <c r="R256" s="774"/>
      <c r="S256" s="775"/>
      <c r="AH256" s="776"/>
      <c r="AI256" s="776"/>
      <c r="AJ256" s="732"/>
      <c r="AK256" s="732"/>
      <c r="AL256" s="776"/>
      <c r="AM256" s="776"/>
      <c r="AN256" s="17"/>
      <c r="AO256" s="17"/>
      <c r="AP256" s="17"/>
      <c r="AQ256" s="17"/>
      <c r="AR256" s="17"/>
      <c r="AS256" s="17"/>
      <c r="AT256" s="17"/>
      <c r="AU256" s="732"/>
      <c r="AV256" s="313"/>
      <c r="AW256" s="313"/>
      <c r="AX256" s="313"/>
      <c r="AY256" s="313"/>
      <c r="AZ256" s="313"/>
      <c r="BA256" s="313"/>
      <c r="BB256" s="313"/>
      <c r="BC256" s="313"/>
      <c r="BD256" s="313"/>
      <c r="BE256" s="314"/>
      <c r="BW256" s="314"/>
      <c r="BX256" s="314"/>
      <c r="BY256" s="314"/>
      <c r="BZ256" s="314"/>
      <c r="CA256" s="314"/>
      <c r="CB256" s="314"/>
      <c r="CC256" s="314"/>
      <c r="CD256" s="314"/>
    </row>
    <row r="257" ht="28.5" customHeight="1">
      <c r="A257" s="767"/>
      <c r="B257" s="768"/>
      <c r="C257" s="768"/>
      <c r="D257" s="769"/>
      <c r="E257" s="769"/>
      <c r="F257" s="769"/>
      <c r="G257" s="336"/>
      <c r="H257" s="771"/>
      <c r="I257" s="769"/>
      <c r="J257" s="769"/>
      <c r="K257" s="314"/>
      <c r="L257" s="314"/>
      <c r="M257" s="314"/>
      <c r="N257" s="769"/>
      <c r="O257" s="769"/>
      <c r="P257" s="773"/>
      <c r="Q257" s="774"/>
      <c r="R257" s="774"/>
      <c r="S257" s="775"/>
      <c r="AH257" s="776"/>
      <c r="AI257" s="776"/>
      <c r="AJ257" s="732"/>
      <c r="AK257" s="732"/>
      <c r="AL257" s="776"/>
      <c r="AM257" s="776"/>
      <c r="AN257" s="17"/>
      <c r="AO257" s="17"/>
      <c r="AP257" s="17"/>
      <c r="AQ257" s="17"/>
      <c r="AR257" s="17"/>
      <c r="AS257" s="17"/>
      <c r="AT257" s="17"/>
      <c r="AU257" s="732"/>
      <c r="AV257" s="313"/>
      <c r="AW257" s="313"/>
      <c r="AX257" s="313"/>
      <c r="AY257" s="313"/>
      <c r="AZ257" s="313"/>
      <c r="BA257" s="313"/>
      <c r="BB257" s="313"/>
      <c r="BC257" s="313"/>
      <c r="BD257" s="313"/>
      <c r="BE257" s="314"/>
      <c r="BW257" s="314"/>
      <c r="BX257" s="314"/>
      <c r="BY257" s="314"/>
      <c r="BZ257" s="314"/>
      <c r="CA257" s="314"/>
      <c r="CB257" s="314"/>
      <c r="CC257" s="314"/>
      <c r="CD257" s="314"/>
    </row>
    <row r="258" ht="28.5" customHeight="1">
      <c r="A258" s="767"/>
      <c r="B258" s="768"/>
      <c r="C258" s="768"/>
      <c r="D258" s="769"/>
      <c r="E258" s="769"/>
      <c r="F258" s="769"/>
      <c r="G258" s="336"/>
      <c r="H258" s="771"/>
      <c r="I258" s="769"/>
      <c r="J258" s="769"/>
      <c r="K258" s="314"/>
      <c r="L258" s="314"/>
      <c r="M258" s="314"/>
      <c r="N258" s="769"/>
      <c r="O258" s="769"/>
      <c r="P258" s="773"/>
      <c r="Q258" s="774"/>
      <c r="R258" s="774"/>
      <c r="S258" s="775"/>
      <c r="AH258" s="776"/>
      <c r="AI258" s="776"/>
      <c r="AJ258" s="732"/>
      <c r="AK258" s="732"/>
      <c r="AL258" s="776"/>
      <c r="AM258" s="776"/>
      <c r="AN258" s="17"/>
      <c r="AO258" s="17"/>
      <c r="AP258" s="17"/>
      <c r="AQ258" s="17"/>
      <c r="AR258" s="17"/>
      <c r="AS258" s="17"/>
      <c r="AT258" s="17"/>
      <c r="AU258" s="732"/>
      <c r="AV258" s="313"/>
      <c r="AW258" s="313"/>
      <c r="AX258" s="313"/>
      <c r="AY258" s="313"/>
      <c r="AZ258" s="313"/>
      <c r="BA258" s="313"/>
      <c r="BB258" s="313"/>
      <c r="BC258" s="313"/>
      <c r="BD258" s="313"/>
      <c r="BE258" s="314"/>
      <c r="BW258" s="314"/>
      <c r="BX258" s="314"/>
      <c r="BY258" s="314"/>
      <c r="BZ258" s="314"/>
      <c r="CA258" s="314"/>
      <c r="CB258" s="314"/>
      <c r="CC258" s="314"/>
      <c r="CD258" s="314"/>
    </row>
    <row r="259" ht="28.5" customHeight="1">
      <c r="A259" s="767"/>
      <c r="B259" s="768"/>
      <c r="C259" s="768"/>
      <c r="D259" s="769"/>
      <c r="E259" s="769"/>
      <c r="F259" s="769"/>
      <c r="G259" s="336"/>
      <c r="H259" s="771"/>
      <c r="I259" s="769"/>
      <c r="J259" s="769"/>
      <c r="K259" s="314"/>
      <c r="L259" s="314"/>
      <c r="M259" s="314"/>
      <c r="N259" s="769"/>
      <c r="O259" s="769"/>
      <c r="P259" s="773"/>
      <c r="Q259" s="774"/>
      <c r="R259" s="774"/>
      <c r="S259" s="775"/>
      <c r="AH259" s="776"/>
      <c r="AI259" s="776"/>
      <c r="AJ259" s="732"/>
      <c r="AK259" s="732"/>
      <c r="AL259" s="776"/>
      <c r="AM259" s="776"/>
      <c r="AN259" s="17"/>
      <c r="AO259" s="17"/>
      <c r="AP259" s="17"/>
      <c r="AQ259" s="17"/>
      <c r="AR259" s="17"/>
      <c r="AS259" s="17"/>
      <c r="AT259" s="17"/>
      <c r="AU259" s="732"/>
      <c r="AV259" s="313"/>
      <c r="AW259" s="313"/>
      <c r="AX259" s="313"/>
      <c r="AY259" s="313"/>
      <c r="AZ259" s="313"/>
      <c r="BA259" s="313"/>
      <c r="BB259" s="313"/>
      <c r="BC259" s="313"/>
      <c r="BD259" s="313"/>
      <c r="BE259" s="314"/>
      <c r="BW259" s="314"/>
      <c r="BX259" s="314"/>
      <c r="BY259" s="314"/>
      <c r="BZ259" s="314"/>
      <c r="CA259" s="314"/>
      <c r="CB259" s="314"/>
      <c r="CC259" s="314"/>
      <c r="CD259" s="314"/>
    </row>
    <row r="260" ht="28.5" customHeight="1">
      <c r="A260" s="767"/>
      <c r="B260" s="768"/>
      <c r="C260" s="768"/>
      <c r="D260" s="769"/>
      <c r="E260" s="769"/>
      <c r="F260" s="769"/>
      <c r="G260" s="336"/>
      <c r="H260" s="771"/>
      <c r="I260" s="769"/>
      <c r="J260" s="769"/>
      <c r="K260" s="314"/>
      <c r="L260" s="314"/>
      <c r="M260" s="314"/>
      <c r="N260" s="769"/>
      <c r="O260" s="769"/>
      <c r="P260" s="773"/>
      <c r="Q260" s="774"/>
      <c r="R260" s="774"/>
      <c r="S260" s="775"/>
      <c r="AH260" s="776"/>
      <c r="AI260" s="776"/>
      <c r="AJ260" s="732"/>
      <c r="AK260" s="732"/>
      <c r="AL260" s="776"/>
      <c r="AM260" s="776"/>
      <c r="AN260" s="17"/>
      <c r="AO260" s="17"/>
      <c r="AP260" s="17"/>
      <c r="AQ260" s="17"/>
      <c r="AR260" s="17"/>
      <c r="AS260" s="17"/>
      <c r="AT260" s="17"/>
      <c r="AU260" s="732"/>
      <c r="AV260" s="313"/>
      <c r="AW260" s="313"/>
      <c r="AX260" s="313"/>
      <c r="AY260" s="313"/>
      <c r="AZ260" s="313"/>
      <c r="BA260" s="313"/>
      <c r="BB260" s="313"/>
      <c r="BC260" s="313"/>
      <c r="BD260" s="313"/>
      <c r="BE260" s="314"/>
      <c r="BW260" s="314"/>
      <c r="BX260" s="314"/>
      <c r="BY260" s="314"/>
      <c r="BZ260" s="314"/>
      <c r="CA260" s="314"/>
      <c r="CB260" s="314"/>
      <c r="CC260" s="314"/>
      <c r="CD260" s="314"/>
    </row>
    <row r="261" ht="28.5" customHeight="1">
      <c r="A261" s="767"/>
      <c r="B261" s="768"/>
      <c r="C261" s="768"/>
      <c r="D261" s="769"/>
      <c r="E261" s="769"/>
      <c r="F261" s="769"/>
      <c r="G261" s="336"/>
      <c r="H261" s="771"/>
      <c r="I261" s="769"/>
      <c r="J261" s="769"/>
      <c r="K261" s="314"/>
      <c r="L261" s="314"/>
      <c r="M261" s="314"/>
      <c r="N261" s="769"/>
      <c r="O261" s="769"/>
      <c r="P261" s="773"/>
      <c r="Q261" s="774"/>
      <c r="R261" s="774"/>
      <c r="S261" s="775"/>
      <c r="AH261" s="776"/>
      <c r="AI261" s="776"/>
      <c r="AJ261" s="732"/>
      <c r="AK261" s="732"/>
      <c r="AL261" s="776"/>
      <c r="AM261" s="776"/>
      <c r="AN261" s="17"/>
      <c r="AO261" s="17"/>
      <c r="AP261" s="17"/>
      <c r="AQ261" s="17"/>
      <c r="AR261" s="17"/>
      <c r="AS261" s="17"/>
      <c r="AT261" s="17"/>
      <c r="AU261" s="732"/>
      <c r="AV261" s="313"/>
      <c r="AW261" s="313"/>
      <c r="AX261" s="313"/>
      <c r="AY261" s="313"/>
      <c r="AZ261" s="313"/>
      <c r="BA261" s="313"/>
      <c r="BB261" s="313"/>
      <c r="BC261" s="313"/>
      <c r="BD261" s="313"/>
      <c r="BE261" s="314"/>
      <c r="BW261" s="314"/>
      <c r="BX261" s="314"/>
      <c r="BY261" s="314"/>
      <c r="BZ261" s="314"/>
      <c r="CA261" s="314"/>
      <c r="CB261" s="314"/>
      <c r="CC261" s="314"/>
      <c r="CD261" s="314"/>
    </row>
    <row r="262" ht="28.5" customHeight="1">
      <c r="A262" s="767"/>
      <c r="B262" s="768"/>
      <c r="C262" s="768"/>
      <c r="D262" s="769"/>
      <c r="E262" s="769"/>
      <c r="F262" s="769"/>
      <c r="G262" s="336"/>
      <c r="H262" s="771"/>
      <c r="I262" s="769"/>
      <c r="J262" s="769"/>
      <c r="K262" s="314"/>
      <c r="L262" s="314"/>
      <c r="M262" s="314"/>
      <c r="N262" s="769"/>
      <c r="O262" s="769"/>
      <c r="P262" s="773"/>
      <c r="Q262" s="774"/>
      <c r="R262" s="774"/>
      <c r="S262" s="775"/>
      <c r="AH262" s="776"/>
      <c r="AI262" s="776"/>
      <c r="AJ262" s="732"/>
      <c r="AK262" s="732"/>
      <c r="AL262" s="776"/>
      <c r="AM262" s="776"/>
      <c r="AN262" s="17"/>
      <c r="AO262" s="17"/>
      <c r="AP262" s="17"/>
      <c r="AQ262" s="17"/>
      <c r="AR262" s="17"/>
      <c r="AS262" s="17"/>
      <c r="AT262" s="17"/>
      <c r="AU262" s="732"/>
      <c r="AV262" s="313"/>
      <c r="AW262" s="313"/>
      <c r="AX262" s="313"/>
      <c r="AY262" s="313"/>
      <c r="AZ262" s="313"/>
      <c r="BA262" s="313"/>
      <c r="BB262" s="313"/>
      <c r="BC262" s="313"/>
      <c r="BD262" s="313"/>
      <c r="BE262" s="314"/>
      <c r="BW262" s="314"/>
      <c r="BX262" s="314"/>
      <c r="BY262" s="314"/>
      <c r="BZ262" s="314"/>
      <c r="CA262" s="314"/>
      <c r="CB262" s="314"/>
      <c r="CC262" s="314"/>
      <c r="CD262" s="314"/>
    </row>
    <row r="263" ht="28.5" customHeight="1">
      <c r="A263" s="767"/>
      <c r="B263" s="768"/>
      <c r="C263" s="768"/>
      <c r="D263" s="769"/>
      <c r="E263" s="769"/>
      <c r="F263" s="769"/>
      <c r="G263" s="336"/>
      <c r="H263" s="771"/>
      <c r="I263" s="769"/>
      <c r="J263" s="769"/>
      <c r="K263" s="314"/>
      <c r="L263" s="314"/>
      <c r="M263" s="314"/>
      <c r="N263" s="769"/>
      <c r="O263" s="769"/>
      <c r="P263" s="773"/>
      <c r="Q263" s="774"/>
      <c r="R263" s="774"/>
      <c r="S263" s="775"/>
      <c r="AH263" s="776"/>
      <c r="AI263" s="776"/>
      <c r="AJ263" s="732"/>
      <c r="AK263" s="732"/>
      <c r="AL263" s="776"/>
      <c r="AM263" s="776"/>
      <c r="AN263" s="17"/>
      <c r="AO263" s="17"/>
      <c r="AP263" s="17"/>
      <c r="AQ263" s="17"/>
      <c r="AR263" s="17"/>
      <c r="AS263" s="17"/>
      <c r="AT263" s="17"/>
      <c r="AU263" s="732"/>
      <c r="AV263" s="313"/>
      <c r="AW263" s="313"/>
      <c r="AX263" s="313"/>
      <c r="AY263" s="313"/>
      <c r="AZ263" s="313"/>
      <c r="BA263" s="313"/>
      <c r="BB263" s="313"/>
      <c r="BC263" s="313"/>
      <c r="BD263" s="313"/>
      <c r="BE263" s="314"/>
      <c r="BW263" s="314"/>
      <c r="BX263" s="314"/>
      <c r="BY263" s="314"/>
      <c r="BZ263" s="314"/>
      <c r="CA263" s="314"/>
      <c r="CB263" s="314"/>
      <c r="CC263" s="314"/>
      <c r="CD263" s="314"/>
    </row>
    <row r="264" ht="28.5" customHeight="1">
      <c r="A264" s="767"/>
      <c r="B264" s="768"/>
      <c r="C264" s="768"/>
      <c r="D264" s="769"/>
      <c r="E264" s="769"/>
      <c r="F264" s="769"/>
      <c r="G264" s="336"/>
      <c r="H264" s="771"/>
      <c r="I264" s="769"/>
      <c r="J264" s="769"/>
      <c r="K264" s="314"/>
      <c r="L264" s="314"/>
      <c r="M264" s="314"/>
      <c r="N264" s="769"/>
      <c r="O264" s="769"/>
      <c r="P264" s="773"/>
      <c r="Q264" s="774"/>
      <c r="R264" s="774"/>
      <c r="S264" s="775"/>
      <c r="AH264" s="776"/>
      <c r="AI264" s="776"/>
      <c r="AJ264" s="732"/>
      <c r="AK264" s="732"/>
      <c r="AL264" s="776"/>
      <c r="AM264" s="776"/>
      <c r="AN264" s="17"/>
      <c r="AO264" s="17"/>
      <c r="AP264" s="17"/>
      <c r="AQ264" s="17"/>
      <c r="AR264" s="17"/>
      <c r="AS264" s="17"/>
      <c r="AT264" s="17"/>
      <c r="AU264" s="732"/>
      <c r="AV264" s="313"/>
      <c r="AW264" s="313"/>
      <c r="AX264" s="313"/>
      <c r="AY264" s="313"/>
      <c r="AZ264" s="313"/>
      <c r="BA264" s="313"/>
      <c r="BB264" s="313"/>
      <c r="BC264" s="313"/>
      <c r="BD264" s="313"/>
      <c r="BE264" s="314"/>
      <c r="BW264" s="314"/>
      <c r="BX264" s="314"/>
      <c r="BY264" s="314"/>
      <c r="BZ264" s="314"/>
      <c r="CA264" s="314"/>
      <c r="CB264" s="314"/>
      <c r="CC264" s="314"/>
      <c r="CD264" s="314"/>
    </row>
    <row r="265" ht="28.5" customHeight="1">
      <c r="A265" s="767"/>
      <c r="B265" s="768"/>
      <c r="C265" s="768"/>
      <c r="D265" s="769"/>
      <c r="E265" s="769"/>
      <c r="F265" s="769"/>
      <c r="G265" s="336"/>
      <c r="H265" s="771"/>
      <c r="I265" s="769"/>
      <c r="J265" s="769"/>
      <c r="K265" s="314"/>
      <c r="L265" s="314"/>
      <c r="M265" s="314"/>
      <c r="N265" s="769"/>
      <c r="O265" s="769"/>
      <c r="P265" s="773"/>
      <c r="Q265" s="774"/>
      <c r="R265" s="774"/>
      <c r="S265" s="775"/>
      <c r="AH265" s="776"/>
      <c r="AI265" s="776"/>
      <c r="AJ265" s="732"/>
      <c r="AK265" s="732"/>
      <c r="AL265" s="776"/>
      <c r="AM265" s="776"/>
      <c r="AN265" s="17"/>
      <c r="AO265" s="17"/>
      <c r="AP265" s="17"/>
      <c r="AQ265" s="17"/>
      <c r="AR265" s="17"/>
      <c r="AS265" s="17"/>
      <c r="AT265" s="17"/>
      <c r="AU265" s="732"/>
      <c r="AV265" s="313"/>
      <c r="AW265" s="313"/>
      <c r="AX265" s="313"/>
      <c r="AY265" s="313"/>
      <c r="AZ265" s="313"/>
      <c r="BA265" s="313"/>
      <c r="BB265" s="313"/>
      <c r="BC265" s="313"/>
      <c r="BD265" s="313"/>
      <c r="BE265" s="314"/>
      <c r="BW265" s="314"/>
      <c r="BX265" s="314"/>
      <c r="BY265" s="314"/>
      <c r="BZ265" s="314"/>
      <c r="CA265" s="314"/>
      <c r="CB265" s="314"/>
      <c r="CC265" s="314"/>
      <c r="CD265" s="314"/>
    </row>
    <row r="266" ht="28.5" customHeight="1">
      <c r="A266" s="767"/>
      <c r="B266" s="768"/>
      <c r="C266" s="768"/>
      <c r="D266" s="769"/>
      <c r="E266" s="769"/>
      <c r="F266" s="769"/>
      <c r="G266" s="336"/>
      <c r="H266" s="771"/>
      <c r="I266" s="769"/>
      <c r="J266" s="769"/>
      <c r="K266" s="314"/>
      <c r="L266" s="314"/>
      <c r="M266" s="314"/>
      <c r="N266" s="769"/>
      <c r="O266" s="769"/>
      <c r="P266" s="773"/>
      <c r="Q266" s="774"/>
      <c r="R266" s="774"/>
      <c r="S266" s="775"/>
      <c r="AH266" s="776"/>
      <c r="AI266" s="776"/>
      <c r="AJ266" s="732"/>
      <c r="AK266" s="732"/>
      <c r="AL266" s="776"/>
      <c r="AM266" s="776"/>
      <c r="AN266" s="17"/>
      <c r="AO266" s="17"/>
      <c r="AP266" s="17"/>
      <c r="AQ266" s="17"/>
      <c r="AR266" s="17"/>
      <c r="AS266" s="17"/>
      <c r="AT266" s="17"/>
      <c r="AU266" s="732"/>
      <c r="AV266" s="313"/>
      <c r="AW266" s="313"/>
      <c r="AX266" s="313"/>
      <c r="AY266" s="313"/>
      <c r="AZ266" s="313"/>
      <c r="BA266" s="313"/>
      <c r="BB266" s="313"/>
      <c r="BC266" s="313"/>
      <c r="BD266" s="313"/>
      <c r="BE266" s="314"/>
      <c r="BW266" s="314"/>
      <c r="BX266" s="314"/>
      <c r="BY266" s="314"/>
      <c r="BZ266" s="314"/>
      <c r="CA266" s="314"/>
      <c r="CB266" s="314"/>
      <c r="CC266" s="314"/>
      <c r="CD266" s="314"/>
    </row>
    <row r="267" ht="28.5" customHeight="1">
      <c r="A267" s="767"/>
      <c r="B267" s="768"/>
      <c r="C267" s="768"/>
      <c r="D267" s="769"/>
      <c r="E267" s="769"/>
      <c r="F267" s="769"/>
      <c r="G267" s="336"/>
      <c r="H267" s="771"/>
      <c r="I267" s="769"/>
      <c r="J267" s="769"/>
      <c r="K267" s="314"/>
      <c r="L267" s="314"/>
      <c r="M267" s="314"/>
      <c r="N267" s="769"/>
      <c r="O267" s="769"/>
      <c r="P267" s="773"/>
      <c r="Q267" s="774"/>
      <c r="R267" s="774"/>
      <c r="S267" s="775"/>
      <c r="AH267" s="776"/>
      <c r="AI267" s="776"/>
      <c r="AJ267" s="732"/>
      <c r="AK267" s="732"/>
      <c r="AL267" s="776"/>
      <c r="AM267" s="776"/>
      <c r="AN267" s="17"/>
      <c r="AO267" s="17"/>
      <c r="AP267" s="17"/>
      <c r="AQ267" s="17"/>
      <c r="AR267" s="17"/>
      <c r="AS267" s="17"/>
      <c r="AT267" s="17"/>
      <c r="AU267" s="732"/>
      <c r="AV267" s="313"/>
      <c r="AW267" s="313"/>
      <c r="AX267" s="313"/>
      <c r="AY267" s="313"/>
      <c r="AZ267" s="313"/>
      <c r="BA267" s="313"/>
      <c r="BB267" s="313"/>
      <c r="BC267" s="313"/>
      <c r="BD267" s="313"/>
      <c r="BE267" s="314"/>
      <c r="BW267" s="314"/>
      <c r="BX267" s="314"/>
      <c r="BY267" s="314"/>
      <c r="BZ267" s="314"/>
      <c r="CA267" s="314"/>
      <c r="CB267" s="314"/>
      <c r="CC267" s="314"/>
      <c r="CD267" s="314"/>
    </row>
    <row r="268" ht="28.5" customHeight="1">
      <c r="A268" s="767"/>
      <c r="B268" s="768"/>
      <c r="C268" s="768"/>
      <c r="D268" s="769"/>
      <c r="E268" s="769"/>
      <c r="F268" s="769"/>
      <c r="G268" s="336"/>
      <c r="H268" s="771"/>
      <c r="I268" s="769"/>
      <c r="J268" s="769"/>
      <c r="K268" s="314"/>
      <c r="L268" s="314"/>
      <c r="M268" s="314"/>
      <c r="N268" s="769"/>
      <c r="O268" s="769"/>
      <c r="P268" s="773"/>
      <c r="Q268" s="774"/>
      <c r="R268" s="774"/>
      <c r="S268" s="775"/>
      <c r="AH268" s="776"/>
      <c r="AI268" s="776"/>
      <c r="AJ268" s="732"/>
      <c r="AK268" s="732"/>
      <c r="AL268" s="776"/>
      <c r="AM268" s="776"/>
      <c r="AN268" s="17"/>
      <c r="AO268" s="17"/>
      <c r="AP268" s="17"/>
      <c r="AQ268" s="17"/>
      <c r="AR268" s="17"/>
      <c r="AS268" s="17"/>
      <c r="AT268" s="17"/>
      <c r="AU268" s="732"/>
      <c r="AV268" s="313"/>
      <c r="AW268" s="313"/>
      <c r="AX268" s="313"/>
      <c r="AY268" s="313"/>
      <c r="AZ268" s="313"/>
      <c r="BA268" s="313"/>
      <c r="BB268" s="313"/>
      <c r="BC268" s="313"/>
      <c r="BD268" s="313"/>
      <c r="BE268" s="314"/>
      <c r="BW268" s="314"/>
      <c r="BX268" s="314"/>
      <c r="BY268" s="314"/>
      <c r="BZ268" s="314"/>
      <c r="CA268" s="314"/>
      <c r="CB268" s="314"/>
      <c r="CC268" s="314"/>
      <c r="CD268" s="314"/>
    </row>
    <row r="269" ht="28.5" customHeight="1">
      <c r="A269" s="767"/>
      <c r="B269" s="768"/>
      <c r="C269" s="768"/>
      <c r="D269" s="769"/>
      <c r="E269" s="769"/>
      <c r="F269" s="769"/>
      <c r="G269" s="336"/>
      <c r="H269" s="771"/>
      <c r="I269" s="769"/>
      <c r="J269" s="769"/>
      <c r="K269" s="314"/>
      <c r="L269" s="314"/>
      <c r="M269" s="314"/>
      <c r="N269" s="769"/>
      <c r="O269" s="769"/>
      <c r="P269" s="773"/>
      <c r="Q269" s="774"/>
      <c r="R269" s="774"/>
      <c r="S269" s="775"/>
      <c r="AH269" s="776"/>
      <c r="AI269" s="776"/>
      <c r="AJ269" s="732"/>
      <c r="AK269" s="732"/>
      <c r="AL269" s="776"/>
      <c r="AM269" s="776"/>
      <c r="AN269" s="17"/>
      <c r="AO269" s="17"/>
      <c r="AP269" s="17"/>
      <c r="AQ269" s="17"/>
      <c r="AR269" s="17"/>
      <c r="AS269" s="17"/>
      <c r="AT269" s="17"/>
      <c r="AU269" s="732"/>
      <c r="AV269" s="313"/>
      <c r="AW269" s="313"/>
      <c r="AX269" s="313"/>
      <c r="AY269" s="313"/>
      <c r="AZ269" s="313"/>
      <c r="BA269" s="313"/>
      <c r="BB269" s="313"/>
      <c r="BC269" s="313"/>
      <c r="BD269" s="313"/>
      <c r="BE269" s="314"/>
      <c r="BW269" s="314"/>
      <c r="BX269" s="314"/>
      <c r="BY269" s="314"/>
      <c r="BZ269" s="314"/>
      <c r="CA269" s="314"/>
      <c r="CB269" s="314"/>
      <c r="CC269" s="314"/>
      <c r="CD269" s="314"/>
    </row>
    <row r="270" ht="28.5" customHeight="1">
      <c r="A270" s="767"/>
      <c r="B270" s="768"/>
      <c r="C270" s="768"/>
      <c r="D270" s="769"/>
      <c r="E270" s="769"/>
      <c r="F270" s="769"/>
      <c r="G270" s="336"/>
      <c r="H270" s="771"/>
      <c r="I270" s="769"/>
      <c r="J270" s="769"/>
      <c r="K270" s="314"/>
      <c r="L270" s="314"/>
      <c r="M270" s="314"/>
      <c r="N270" s="769"/>
      <c r="O270" s="769"/>
      <c r="P270" s="773"/>
      <c r="Q270" s="774"/>
      <c r="R270" s="774"/>
      <c r="S270" s="775"/>
      <c r="AH270" s="776"/>
      <c r="AI270" s="776"/>
      <c r="AJ270" s="732"/>
      <c r="AK270" s="732"/>
      <c r="AL270" s="776"/>
      <c r="AM270" s="776"/>
      <c r="AN270" s="17"/>
      <c r="AO270" s="17"/>
      <c r="AP270" s="17"/>
      <c r="AQ270" s="17"/>
      <c r="AR270" s="17"/>
      <c r="AS270" s="17"/>
      <c r="AT270" s="17"/>
      <c r="AU270" s="732"/>
      <c r="AV270" s="313"/>
      <c r="AW270" s="313"/>
      <c r="AX270" s="313"/>
      <c r="AY270" s="313"/>
      <c r="AZ270" s="313"/>
      <c r="BA270" s="313"/>
      <c r="BB270" s="313"/>
      <c r="BC270" s="313"/>
      <c r="BD270" s="313"/>
      <c r="BE270" s="314"/>
      <c r="BW270" s="314"/>
      <c r="BX270" s="314"/>
      <c r="BY270" s="314"/>
      <c r="BZ270" s="314"/>
      <c r="CA270" s="314"/>
      <c r="CB270" s="314"/>
      <c r="CC270" s="314"/>
      <c r="CD270" s="314"/>
    </row>
    <row r="271" ht="28.5" customHeight="1">
      <c r="A271" s="767"/>
      <c r="B271" s="768"/>
      <c r="C271" s="768"/>
      <c r="D271" s="769"/>
      <c r="E271" s="769"/>
      <c r="F271" s="769"/>
      <c r="G271" s="336"/>
      <c r="H271" s="771"/>
      <c r="I271" s="769"/>
      <c r="J271" s="769"/>
      <c r="K271" s="314"/>
      <c r="L271" s="314"/>
      <c r="M271" s="314"/>
      <c r="N271" s="769"/>
      <c r="O271" s="769"/>
      <c r="P271" s="773"/>
      <c r="Q271" s="774"/>
      <c r="R271" s="774"/>
      <c r="S271" s="775"/>
      <c r="AH271" s="776"/>
      <c r="AI271" s="776"/>
      <c r="AJ271" s="732"/>
      <c r="AK271" s="732"/>
      <c r="AL271" s="776"/>
      <c r="AM271" s="776"/>
      <c r="AN271" s="17"/>
      <c r="AO271" s="17"/>
      <c r="AP271" s="17"/>
      <c r="AQ271" s="17"/>
      <c r="AR271" s="17"/>
      <c r="AS271" s="17"/>
      <c r="AT271" s="17"/>
      <c r="AU271" s="732"/>
      <c r="AV271" s="313"/>
      <c r="AW271" s="313"/>
      <c r="AX271" s="313"/>
      <c r="AY271" s="313"/>
      <c r="AZ271" s="313"/>
      <c r="BA271" s="313"/>
      <c r="BB271" s="313"/>
      <c r="BC271" s="313"/>
      <c r="BD271" s="313"/>
      <c r="BE271" s="314"/>
      <c r="BW271" s="314"/>
      <c r="BX271" s="314"/>
      <c r="BY271" s="314"/>
      <c r="BZ271" s="314"/>
      <c r="CA271" s="314"/>
      <c r="CB271" s="314"/>
      <c r="CC271" s="314"/>
      <c r="CD271" s="314"/>
    </row>
    <row r="272" ht="28.5" customHeight="1">
      <c r="A272" s="767"/>
      <c r="B272" s="768"/>
      <c r="C272" s="768"/>
      <c r="D272" s="769"/>
      <c r="E272" s="769"/>
      <c r="F272" s="769"/>
      <c r="G272" s="336"/>
      <c r="H272" s="771"/>
      <c r="I272" s="769"/>
      <c r="J272" s="769"/>
      <c r="K272" s="314"/>
      <c r="L272" s="314"/>
      <c r="M272" s="314"/>
      <c r="N272" s="769"/>
      <c r="O272" s="769"/>
      <c r="P272" s="773"/>
      <c r="Q272" s="774"/>
      <c r="R272" s="774"/>
      <c r="S272" s="775"/>
      <c r="AH272" s="776"/>
      <c r="AI272" s="776"/>
      <c r="AJ272" s="732"/>
      <c r="AK272" s="732"/>
      <c r="AL272" s="776"/>
      <c r="AM272" s="776"/>
      <c r="AN272" s="17"/>
      <c r="AO272" s="17"/>
      <c r="AP272" s="17"/>
      <c r="AQ272" s="17"/>
      <c r="AR272" s="17"/>
      <c r="AS272" s="17"/>
      <c r="AT272" s="17"/>
      <c r="AU272" s="732"/>
      <c r="AV272" s="313"/>
      <c r="AW272" s="313"/>
      <c r="AX272" s="313"/>
      <c r="AY272" s="313"/>
      <c r="AZ272" s="313"/>
      <c r="BA272" s="313"/>
      <c r="BB272" s="313"/>
      <c r="BC272" s="313"/>
      <c r="BD272" s="313"/>
      <c r="BE272" s="314"/>
      <c r="BW272" s="314"/>
      <c r="BX272" s="314"/>
      <c r="BY272" s="314"/>
      <c r="BZ272" s="314"/>
      <c r="CA272" s="314"/>
      <c r="CB272" s="314"/>
      <c r="CC272" s="314"/>
      <c r="CD272" s="314"/>
    </row>
    <row r="273" ht="28.5" customHeight="1">
      <c r="A273" s="767"/>
      <c r="B273" s="768"/>
      <c r="C273" s="768"/>
      <c r="D273" s="769"/>
      <c r="E273" s="769"/>
      <c r="F273" s="769"/>
      <c r="G273" s="336"/>
      <c r="H273" s="771"/>
      <c r="I273" s="769"/>
      <c r="J273" s="769"/>
      <c r="K273" s="314"/>
      <c r="L273" s="314"/>
      <c r="M273" s="314"/>
      <c r="N273" s="769"/>
      <c r="O273" s="769"/>
      <c r="P273" s="773"/>
      <c r="Q273" s="774"/>
      <c r="R273" s="774"/>
      <c r="S273" s="775"/>
      <c r="AH273" s="776"/>
      <c r="AI273" s="776"/>
      <c r="AJ273" s="732"/>
      <c r="AK273" s="732"/>
      <c r="AL273" s="776"/>
      <c r="AM273" s="776"/>
      <c r="AN273" s="17"/>
      <c r="AO273" s="17"/>
      <c r="AP273" s="17"/>
      <c r="AQ273" s="17"/>
      <c r="AR273" s="17"/>
      <c r="AS273" s="17"/>
      <c r="AT273" s="17"/>
      <c r="AU273" s="732"/>
      <c r="AV273" s="313"/>
      <c r="AW273" s="313"/>
      <c r="AX273" s="313"/>
      <c r="AY273" s="313"/>
      <c r="AZ273" s="313"/>
      <c r="BA273" s="313"/>
      <c r="BB273" s="313"/>
      <c r="BC273" s="313"/>
      <c r="BD273" s="313"/>
      <c r="BE273" s="314"/>
      <c r="BW273" s="314"/>
      <c r="BX273" s="314"/>
      <c r="BY273" s="314"/>
      <c r="BZ273" s="314"/>
      <c r="CA273" s="314"/>
      <c r="CB273" s="314"/>
      <c r="CC273" s="314"/>
      <c r="CD273" s="314"/>
    </row>
    <row r="274" ht="28.5" customHeight="1">
      <c r="A274" s="767"/>
      <c r="B274" s="768"/>
      <c r="C274" s="768"/>
      <c r="D274" s="769"/>
      <c r="E274" s="769"/>
      <c r="F274" s="769"/>
      <c r="G274" s="336"/>
      <c r="H274" s="771"/>
      <c r="I274" s="769"/>
      <c r="J274" s="769"/>
      <c r="K274" s="314"/>
      <c r="L274" s="314"/>
      <c r="M274" s="314"/>
      <c r="N274" s="769"/>
      <c r="O274" s="769"/>
      <c r="P274" s="773"/>
      <c r="Q274" s="774"/>
      <c r="R274" s="774"/>
      <c r="S274" s="775"/>
      <c r="AH274" s="776"/>
      <c r="AI274" s="776"/>
      <c r="AJ274" s="732"/>
      <c r="AK274" s="732"/>
      <c r="AL274" s="776"/>
      <c r="AM274" s="776"/>
      <c r="AN274" s="17"/>
      <c r="AO274" s="17"/>
      <c r="AP274" s="17"/>
      <c r="AQ274" s="17"/>
      <c r="AR274" s="17"/>
      <c r="AS274" s="17"/>
      <c r="AT274" s="17"/>
      <c r="AU274" s="732"/>
      <c r="AV274" s="313"/>
      <c r="AW274" s="313"/>
      <c r="AX274" s="313"/>
      <c r="AY274" s="313"/>
      <c r="AZ274" s="313"/>
      <c r="BA274" s="313"/>
      <c r="BB274" s="313"/>
      <c r="BC274" s="313"/>
      <c r="BD274" s="313"/>
      <c r="BE274" s="314"/>
      <c r="BW274" s="314"/>
      <c r="BX274" s="314"/>
      <c r="BY274" s="314"/>
      <c r="BZ274" s="314"/>
      <c r="CA274" s="314"/>
      <c r="CB274" s="314"/>
      <c r="CC274" s="314"/>
      <c r="CD274" s="314"/>
    </row>
    <row r="275" ht="28.5" customHeight="1">
      <c r="A275" s="767"/>
      <c r="B275" s="768"/>
      <c r="C275" s="768"/>
      <c r="D275" s="769"/>
      <c r="E275" s="769"/>
      <c r="F275" s="769"/>
      <c r="G275" s="336"/>
      <c r="H275" s="771"/>
      <c r="I275" s="769"/>
      <c r="J275" s="769"/>
      <c r="K275" s="314"/>
      <c r="L275" s="314"/>
      <c r="M275" s="314"/>
      <c r="N275" s="769"/>
      <c r="O275" s="769"/>
      <c r="P275" s="773"/>
      <c r="Q275" s="774"/>
      <c r="R275" s="774"/>
      <c r="S275" s="775"/>
      <c r="AH275" s="776"/>
      <c r="AI275" s="776"/>
      <c r="AJ275" s="732"/>
      <c r="AK275" s="732"/>
      <c r="AL275" s="776"/>
      <c r="AM275" s="776"/>
      <c r="AN275" s="17"/>
      <c r="AO275" s="17"/>
      <c r="AP275" s="17"/>
      <c r="AQ275" s="17"/>
      <c r="AR275" s="17"/>
      <c r="AS275" s="17"/>
      <c r="AT275" s="17"/>
      <c r="AU275" s="732"/>
      <c r="AV275" s="313"/>
      <c r="AW275" s="313"/>
      <c r="AX275" s="313"/>
      <c r="AY275" s="313"/>
      <c r="AZ275" s="313"/>
      <c r="BA275" s="313"/>
      <c r="BB275" s="313"/>
      <c r="BC275" s="313"/>
      <c r="BD275" s="313"/>
      <c r="BE275" s="314"/>
      <c r="BW275" s="314"/>
      <c r="BX275" s="314"/>
      <c r="BY275" s="314"/>
      <c r="BZ275" s="314"/>
      <c r="CA275" s="314"/>
      <c r="CB275" s="314"/>
      <c r="CC275" s="314"/>
      <c r="CD275" s="314"/>
    </row>
    <row r="276" ht="28.5" customHeight="1">
      <c r="A276" s="767"/>
      <c r="B276" s="768"/>
      <c r="C276" s="768"/>
      <c r="D276" s="769"/>
      <c r="E276" s="769"/>
      <c r="F276" s="769"/>
      <c r="G276" s="336"/>
      <c r="H276" s="771"/>
      <c r="I276" s="769"/>
      <c r="J276" s="769"/>
      <c r="K276" s="314"/>
      <c r="L276" s="314"/>
      <c r="M276" s="314"/>
      <c r="N276" s="769"/>
      <c r="O276" s="769"/>
      <c r="P276" s="773"/>
      <c r="Q276" s="774"/>
      <c r="R276" s="774"/>
      <c r="S276" s="775"/>
      <c r="AH276" s="776"/>
      <c r="AI276" s="776"/>
      <c r="AJ276" s="732"/>
      <c r="AK276" s="732"/>
      <c r="AL276" s="776"/>
      <c r="AM276" s="776"/>
      <c r="AN276" s="17"/>
      <c r="AO276" s="17"/>
      <c r="AP276" s="17"/>
      <c r="AQ276" s="17"/>
      <c r="AR276" s="17"/>
      <c r="AS276" s="17"/>
      <c r="AT276" s="17"/>
      <c r="AU276" s="732"/>
      <c r="AV276" s="313"/>
      <c r="AW276" s="313"/>
      <c r="AX276" s="313"/>
      <c r="AY276" s="313"/>
      <c r="AZ276" s="313"/>
      <c r="BA276" s="313"/>
      <c r="BB276" s="313"/>
      <c r="BC276" s="313"/>
      <c r="BD276" s="313"/>
      <c r="BE276" s="314"/>
      <c r="BW276" s="314"/>
      <c r="BX276" s="314"/>
      <c r="BY276" s="314"/>
      <c r="BZ276" s="314"/>
      <c r="CA276" s="314"/>
      <c r="CB276" s="314"/>
      <c r="CC276" s="314"/>
      <c r="CD276" s="314"/>
    </row>
    <row r="277" ht="28.5" customHeight="1">
      <c r="A277" s="767"/>
      <c r="B277" s="768"/>
      <c r="C277" s="768"/>
      <c r="D277" s="769"/>
      <c r="E277" s="769"/>
      <c r="F277" s="769"/>
      <c r="G277" s="336"/>
      <c r="H277" s="771"/>
      <c r="I277" s="769"/>
      <c r="J277" s="769"/>
      <c r="K277" s="314"/>
      <c r="L277" s="314"/>
      <c r="M277" s="314"/>
      <c r="N277" s="769"/>
      <c r="O277" s="769"/>
      <c r="P277" s="773"/>
      <c r="Q277" s="774"/>
      <c r="R277" s="774"/>
      <c r="S277" s="775"/>
      <c r="AH277" s="776"/>
      <c r="AI277" s="776"/>
      <c r="AJ277" s="732"/>
      <c r="AK277" s="732"/>
      <c r="AL277" s="776"/>
      <c r="AM277" s="776"/>
      <c r="AN277" s="17"/>
      <c r="AO277" s="17"/>
      <c r="AP277" s="17"/>
      <c r="AQ277" s="17"/>
      <c r="AR277" s="17"/>
      <c r="AS277" s="17"/>
      <c r="AT277" s="17"/>
      <c r="AU277" s="732"/>
      <c r="AV277" s="313"/>
      <c r="AW277" s="313"/>
      <c r="AX277" s="313"/>
      <c r="AY277" s="313"/>
      <c r="AZ277" s="313"/>
      <c r="BA277" s="313"/>
      <c r="BB277" s="313"/>
      <c r="BC277" s="313"/>
      <c r="BD277" s="313"/>
      <c r="BE277" s="314"/>
      <c r="BW277" s="314"/>
      <c r="BX277" s="314"/>
      <c r="BY277" s="314"/>
      <c r="BZ277" s="314"/>
      <c r="CA277" s="314"/>
      <c r="CB277" s="314"/>
      <c r="CC277" s="314"/>
      <c r="CD277" s="314"/>
    </row>
    <row r="278" ht="28.5" customHeight="1">
      <c r="A278" s="767"/>
      <c r="B278" s="768"/>
      <c r="C278" s="768"/>
      <c r="D278" s="769"/>
      <c r="E278" s="769"/>
      <c r="F278" s="769"/>
      <c r="G278" s="336"/>
      <c r="H278" s="771"/>
      <c r="I278" s="769"/>
      <c r="J278" s="769"/>
      <c r="K278" s="314"/>
      <c r="L278" s="314"/>
      <c r="M278" s="314"/>
      <c r="N278" s="769"/>
      <c r="O278" s="769"/>
      <c r="P278" s="773"/>
      <c r="Q278" s="774"/>
      <c r="R278" s="774"/>
      <c r="S278" s="775"/>
      <c r="AH278" s="776"/>
      <c r="AI278" s="776"/>
      <c r="AJ278" s="732"/>
      <c r="AK278" s="732"/>
      <c r="AL278" s="776"/>
      <c r="AM278" s="776"/>
      <c r="AN278" s="17"/>
      <c r="AO278" s="17"/>
      <c r="AP278" s="17"/>
      <c r="AQ278" s="17"/>
      <c r="AR278" s="17"/>
      <c r="AS278" s="17"/>
      <c r="AT278" s="17"/>
      <c r="AU278" s="732"/>
      <c r="AV278" s="313"/>
      <c r="AW278" s="313"/>
      <c r="AX278" s="313"/>
      <c r="AY278" s="313"/>
      <c r="AZ278" s="313"/>
      <c r="BA278" s="313"/>
      <c r="BB278" s="313"/>
      <c r="BC278" s="313"/>
      <c r="BD278" s="313"/>
      <c r="BE278" s="314"/>
      <c r="BW278" s="314"/>
      <c r="BX278" s="314"/>
      <c r="BY278" s="314"/>
      <c r="BZ278" s="314"/>
      <c r="CA278" s="314"/>
      <c r="CB278" s="314"/>
      <c r="CC278" s="314"/>
      <c r="CD278" s="314"/>
    </row>
    <row r="279" ht="28.5" customHeight="1">
      <c r="A279" s="767"/>
      <c r="B279" s="768"/>
      <c r="C279" s="768"/>
      <c r="D279" s="769"/>
      <c r="E279" s="769"/>
      <c r="F279" s="769"/>
      <c r="G279" s="336"/>
      <c r="H279" s="771"/>
      <c r="I279" s="769"/>
      <c r="J279" s="769"/>
      <c r="K279" s="314"/>
      <c r="L279" s="314"/>
      <c r="M279" s="314"/>
      <c r="N279" s="769"/>
      <c r="O279" s="769"/>
      <c r="P279" s="773"/>
      <c r="Q279" s="774"/>
      <c r="R279" s="774"/>
      <c r="S279" s="775"/>
      <c r="AH279" s="776"/>
      <c r="AI279" s="776"/>
      <c r="AJ279" s="732"/>
      <c r="AK279" s="732"/>
      <c r="AL279" s="776"/>
      <c r="AM279" s="776"/>
      <c r="AN279" s="17"/>
      <c r="AO279" s="17"/>
      <c r="AP279" s="17"/>
      <c r="AQ279" s="17"/>
      <c r="AR279" s="17"/>
      <c r="AS279" s="17"/>
      <c r="AT279" s="17"/>
      <c r="AU279" s="732"/>
      <c r="AV279" s="313"/>
      <c r="AW279" s="313"/>
      <c r="AX279" s="313"/>
      <c r="AY279" s="313"/>
      <c r="AZ279" s="313"/>
      <c r="BA279" s="313"/>
      <c r="BB279" s="313"/>
      <c r="BC279" s="313"/>
      <c r="BD279" s="313"/>
      <c r="BE279" s="314"/>
      <c r="BW279" s="314"/>
      <c r="BX279" s="314"/>
      <c r="BY279" s="314"/>
      <c r="BZ279" s="314"/>
      <c r="CA279" s="314"/>
      <c r="CB279" s="314"/>
      <c r="CC279" s="314"/>
      <c r="CD279" s="314"/>
    </row>
    <row r="280" ht="28.5" customHeight="1">
      <c r="A280" s="767"/>
      <c r="B280" s="768"/>
      <c r="C280" s="768"/>
      <c r="D280" s="769"/>
      <c r="E280" s="769"/>
      <c r="F280" s="769"/>
      <c r="G280" s="336"/>
      <c r="H280" s="771"/>
      <c r="I280" s="769"/>
      <c r="J280" s="769"/>
      <c r="K280" s="314"/>
      <c r="L280" s="314"/>
      <c r="M280" s="314"/>
      <c r="N280" s="769"/>
      <c r="O280" s="769"/>
      <c r="P280" s="773"/>
      <c r="Q280" s="774"/>
      <c r="R280" s="774"/>
      <c r="S280" s="775"/>
      <c r="AH280" s="776"/>
      <c r="AI280" s="776"/>
      <c r="AJ280" s="732"/>
      <c r="AK280" s="732"/>
      <c r="AL280" s="776"/>
      <c r="AM280" s="776"/>
      <c r="AN280" s="17"/>
      <c r="AO280" s="17"/>
      <c r="AP280" s="17"/>
      <c r="AQ280" s="17"/>
      <c r="AR280" s="17"/>
      <c r="AS280" s="17"/>
      <c r="AT280" s="17"/>
      <c r="AU280" s="732"/>
      <c r="AV280" s="313"/>
      <c r="AW280" s="313"/>
      <c r="AX280" s="313"/>
      <c r="AY280" s="313"/>
      <c r="AZ280" s="313"/>
      <c r="BA280" s="313"/>
      <c r="BB280" s="313"/>
      <c r="BC280" s="313"/>
      <c r="BD280" s="313"/>
      <c r="BE280" s="314"/>
      <c r="BW280" s="314"/>
      <c r="BX280" s="314"/>
      <c r="BY280" s="314"/>
      <c r="BZ280" s="314"/>
      <c r="CA280" s="314"/>
      <c r="CB280" s="314"/>
      <c r="CC280" s="314"/>
      <c r="CD280" s="314"/>
    </row>
    <row r="281" ht="28.5" customHeight="1">
      <c r="A281" s="767"/>
      <c r="B281" s="768"/>
      <c r="C281" s="768"/>
      <c r="D281" s="769"/>
      <c r="E281" s="769"/>
      <c r="F281" s="769"/>
      <c r="G281" s="336"/>
      <c r="H281" s="771"/>
      <c r="I281" s="769"/>
      <c r="J281" s="769"/>
      <c r="K281" s="314"/>
      <c r="L281" s="314"/>
      <c r="M281" s="314"/>
      <c r="N281" s="769"/>
      <c r="O281" s="769"/>
      <c r="P281" s="773"/>
      <c r="Q281" s="774"/>
      <c r="R281" s="774"/>
      <c r="S281" s="775"/>
      <c r="AH281" s="776"/>
      <c r="AI281" s="776"/>
      <c r="AJ281" s="732"/>
      <c r="AK281" s="732"/>
      <c r="AL281" s="776"/>
      <c r="AM281" s="776"/>
      <c r="AN281" s="17"/>
      <c r="AO281" s="17"/>
      <c r="AP281" s="17"/>
      <c r="AQ281" s="17"/>
      <c r="AR281" s="17"/>
      <c r="AS281" s="17"/>
      <c r="AT281" s="17"/>
      <c r="AU281" s="732"/>
      <c r="AV281" s="313"/>
      <c r="AW281" s="313"/>
      <c r="AX281" s="313"/>
      <c r="AY281" s="313"/>
      <c r="AZ281" s="313"/>
      <c r="BA281" s="313"/>
      <c r="BB281" s="313"/>
      <c r="BC281" s="313"/>
      <c r="BD281" s="313"/>
      <c r="BE281" s="314"/>
      <c r="BW281" s="314"/>
      <c r="BX281" s="314"/>
      <c r="BY281" s="314"/>
      <c r="BZ281" s="314"/>
      <c r="CA281" s="314"/>
      <c r="CB281" s="314"/>
      <c r="CC281" s="314"/>
      <c r="CD281" s="314"/>
    </row>
    <row r="282" ht="28.5" customHeight="1">
      <c r="A282" s="767"/>
      <c r="B282" s="768"/>
      <c r="C282" s="768"/>
      <c r="D282" s="769"/>
      <c r="E282" s="769"/>
      <c r="F282" s="769"/>
      <c r="G282" s="336"/>
      <c r="H282" s="771"/>
      <c r="I282" s="769"/>
      <c r="J282" s="769"/>
      <c r="K282" s="314"/>
      <c r="L282" s="314"/>
      <c r="M282" s="314"/>
      <c r="N282" s="769"/>
      <c r="O282" s="769"/>
      <c r="P282" s="773"/>
      <c r="Q282" s="774"/>
      <c r="R282" s="774"/>
      <c r="S282" s="775"/>
      <c r="AH282" s="776"/>
      <c r="AI282" s="776"/>
      <c r="AJ282" s="732"/>
      <c r="AK282" s="732"/>
      <c r="AL282" s="776"/>
      <c r="AM282" s="776"/>
      <c r="AN282" s="17"/>
      <c r="AO282" s="17"/>
      <c r="AP282" s="17"/>
      <c r="AQ282" s="17"/>
      <c r="AR282" s="17"/>
      <c r="AS282" s="17"/>
      <c r="AT282" s="17"/>
      <c r="AU282" s="732"/>
      <c r="AV282" s="313"/>
      <c r="AW282" s="313"/>
      <c r="AX282" s="313"/>
      <c r="AY282" s="313"/>
      <c r="AZ282" s="313"/>
      <c r="BA282" s="313"/>
      <c r="BB282" s="313"/>
      <c r="BC282" s="313"/>
      <c r="BD282" s="313"/>
      <c r="BE282" s="314"/>
      <c r="BW282" s="314"/>
      <c r="BX282" s="314"/>
      <c r="BY282" s="314"/>
      <c r="BZ282" s="314"/>
      <c r="CA282" s="314"/>
      <c r="CB282" s="314"/>
      <c r="CC282" s="314"/>
      <c r="CD282" s="314"/>
    </row>
    <row r="283" ht="28.5" customHeight="1">
      <c r="A283" s="767"/>
      <c r="B283" s="768"/>
      <c r="C283" s="768"/>
      <c r="D283" s="769"/>
      <c r="E283" s="769"/>
      <c r="F283" s="769"/>
      <c r="G283" s="336"/>
      <c r="H283" s="771"/>
      <c r="I283" s="769"/>
      <c r="J283" s="769"/>
      <c r="K283" s="314"/>
      <c r="L283" s="314"/>
      <c r="M283" s="314"/>
      <c r="N283" s="769"/>
      <c r="O283" s="769"/>
      <c r="P283" s="773"/>
      <c r="Q283" s="774"/>
      <c r="R283" s="774"/>
      <c r="S283" s="775"/>
      <c r="AH283" s="776"/>
      <c r="AI283" s="776"/>
      <c r="AJ283" s="732"/>
      <c r="AK283" s="732"/>
      <c r="AL283" s="776"/>
      <c r="AM283" s="776"/>
      <c r="AN283" s="17"/>
      <c r="AO283" s="17"/>
      <c r="AP283" s="17"/>
      <c r="AQ283" s="17"/>
      <c r="AR283" s="17"/>
      <c r="AS283" s="17"/>
      <c r="AT283" s="17"/>
      <c r="AU283" s="732"/>
      <c r="AV283" s="313"/>
      <c r="AW283" s="313"/>
      <c r="AX283" s="313"/>
      <c r="AY283" s="313"/>
      <c r="AZ283" s="313"/>
      <c r="BA283" s="313"/>
      <c r="BB283" s="313"/>
      <c r="BC283" s="313"/>
      <c r="BD283" s="313"/>
      <c r="BE283" s="314"/>
      <c r="BW283" s="314"/>
      <c r="BX283" s="314"/>
      <c r="BY283" s="314"/>
      <c r="BZ283" s="314"/>
      <c r="CA283" s="314"/>
      <c r="CB283" s="314"/>
      <c r="CC283" s="314"/>
      <c r="CD283" s="314"/>
    </row>
    <row r="284" ht="28.5" customHeight="1">
      <c r="A284" s="767"/>
      <c r="B284" s="768"/>
      <c r="C284" s="768"/>
      <c r="D284" s="769"/>
      <c r="E284" s="769"/>
      <c r="F284" s="769"/>
      <c r="G284" s="336"/>
      <c r="H284" s="771"/>
      <c r="I284" s="769"/>
      <c r="J284" s="769"/>
      <c r="K284" s="314"/>
      <c r="L284" s="314"/>
      <c r="M284" s="314"/>
      <c r="N284" s="769"/>
      <c r="O284" s="769"/>
      <c r="P284" s="773"/>
      <c r="Q284" s="774"/>
      <c r="R284" s="774"/>
      <c r="S284" s="775"/>
      <c r="AH284" s="776"/>
      <c r="AI284" s="776"/>
      <c r="AJ284" s="732"/>
      <c r="AK284" s="732"/>
      <c r="AL284" s="776"/>
      <c r="AM284" s="776"/>
      <c r="AN284" s="17"/>
      <c r="AO284" s="17"/>
      <c r="AP284" s="17"/>
      <c r="AQ284" s="17"/>
      <c r="AR284" s="17"/>
      <c r="AS284" s="17"/>
      <c r="AT284" s="17"/>
      <c r="AU284" s="732"/>
      <c r="AV284" s="313"/>
      <c r="AW284" s="313"/>
      <c r="AX284" s="313"/>
      <c r="AY284" s="313"/>
      <c r="AZ284" s="313"/>
      <c r="BA284" s="313"/>
      <c r="BB284" s="313"/>
      <c r="BC284" s="313"/>
      <c r="BD284" s="313"/>
      <c r="BE284" s="314"/>
      <c r="BW284" s="314"/>
      <c r="BX284" s="314"/>
      <c r="BY284" s="314"/>
      <c r="BZ284" s="314"/>
      <c r="CA284" s="314"/>
      <c r="CB284" s="314"/>
      <c r="CC284" s="314"/>
      <c r="CD284" s="314"/>
    </row>
    <row r="285" ht="28.5" customHeight="1">
      <c r="A285" s="767"/>
      <c r="B285" s="768"/>
      <c r="C285" s="768"/>
      <c r="D285" s="769"/>
      <c r="E285" s="769"/>
      <c r="F285" s="769"/>
      <c r="G285" s="336"/>
      <c r="H285" s="771"/>
      <c r="I285" s="769"/>
      <c r="J285" s="769"/>
      <c r="K285" s="314"/>
      <c r="L285" s="314"/>
      <c r="M285" s="314"/>
      <c r="N285" s="769"/>
      <c r="O285" s="769"/>
      <c r="P285" s="773"/>
      <c r="Q285" s="774"/>
      <c r="R285" s="774"/>
      <c r="S285" s="775"/>
      <c r="AH285" s="776"/>
      <c r="AI285" s="776"/>
      <c r="AJ285" s="732"/>
      <c r="AK285" s="732"/>
      <c r="AL285" s="776"/>
      <c r="AM285" s="776"/>
      <c r="AN285" s="17"/>
      <c r="AO285" s="17"/>
      <c r="AP285" s="17"/>
      <c r="AQ285" s="17"/>
      <c r="AR285" s="17"/>
      <c r="AS285" s="17"/>
      <c r="AT285" s="17"/>
      <c r="AU285" s="732"/>
      <c r="AV285" s="313"/>
      <c r="AW285" s="313"/>
      <c r="AX285" s="313"/>
      <c r="AY285" s="313"/>
      <c r="AZ285" s="313"/>
      <c r="BA285" s="313"/>
      <c r="BB285" s="313"/>
      <c r="BC285" s="313"/>
      <c r="BD285" s="313"/>
      <c r="BE285" s="314"/>
      <c r="BW285" s="314"/>
      <c r="BX285" s="314"/>
      <c r="BY285" s="314"/>
      <c r="BZ285" s="314"/>
      <c r="CA285" s="314"/>
      <c r="CB285" s="314"/>
      <c r="CC285" s="314"/>
      <c r="CD285" s="314"/>
    </row>
    <row r="286" ht="28.5" customHeight="1">
      <c r="A286" s="767"/>
      <c r="B286" s="768"/>
      <c r="C286" s="768"/>
      <c r="D286" s="769"/>
      <c r="E286" s="769"/>
      <c r="F286" s="769"/>
      <c r="G286" s="336"/>
      <c r="H286" s="771"/>
      <c r="I286" s="769"/>
      <c r="J286" s="769"/>
      <c r="K286" s="314"/>
      <c r="L286" s="314"/>
      <c r="M286" s="314"/>
      <c r="N286" s="769"/>
      <c r="O286" s="769"/>
      <c r="P286" s="773"/>
      <c r="Q286" s="774"/>
      <c r="R286" s="774"/>
      <c r="S286" s="775"/>
      <c r="AH286" s="776"/>
      <c r="AI286" s="776"/>
      <c r="AJ286" s="732"/>
      <c r="AK286" s="732"/>
      <c r="AL286" s="776"/>
      <c r="AM286" s="776"/>
      <c r="AN286" s="17"/>
      <c r="AO286" s="17"/>
      <c r="AP286" s="17"/>
      <c r="AQ286" s="17"/>
      <c r="AR286" s="17"/>
      <c r="AS286" s="17"/>
      <c r="AT286" s="17"/>
      <c r="AU286" s="732"/>
      <c r="AV286" s="313"/>
      <c r="AW286" s="313"/>
      <c r="AX286" s="313"/>
      <c r="AY286" s="313"/>
      <c r="AZ286" s="313"/>
      <c r="BA286" s="313"/>
      <c r="BB286" s="313"/>
      <c r="BC286" s="313"/>
      <c r="BD286" s="313"/>
      <c r="BE286" s="314"/>
      <c r="BW286" s="314"/>
      <c r="BX286" s="314"/>
      <c r="BY286" s="314"/>
      <c r="BZ286" s="314"/>
      <c r="CA286" s="314"/>
      <c r="CB286" s="314"/>
      <c r="CC286" s="314"/>
      <c r="CD286" s="314"/>
    </row>
    <row r="287" ht="28.5" customHeight="1">
      <c r="A287" s="767"/>
      <c r="B287" s="768"/>
      <c r="C287" s="768"/>
      <c r="D287" s="769"/>
      <c r="E287" s="769"/>
      <c r="F287" s="769"/>
      <c r="G287" s="336"/>
      <c r="H287" s="771"/>
      <c r="I287" s="769"/>
      <c r="J287" s="769"/>
      <c r="K287" s="314"/>
      <c r="L287" s="314"/>
      <c r="M287" s="314"/>
      <c r="N287" s="769"/>
      <c r="O287" s="769"/>
      <c r="P287" s="773"/>
      <c r="Q287" s="774"/>
      <c r="R287" s="774"/>
      <c r="S287" s="775"/>
      <c r="AH287" s="776"/>
      <c r="AI287" s="776"/>
      <c r="AJ287" s="732"/>
      <c r="AK287" s="732"/>
      <c r="AL287" s="776"/>
      <c r="AM287" s="776"/>
      <c r="AN287" s="17"/>
      <c r="AO287" s="17"/>
      <c r="AP287" s="17"/>
      <c r="AQ287" s="17"/>
      <c r="AR287" s="17"/>
      <c r="AS287" s="17"/>
      <c r="AT287" s="17"/>
      <c r="AU287" s="732"/>
      <c r="AV287" s="313"/>
      <c r="AW287" s="313"/>
      <c r="AX287" s="313"/>
      <c r="AY287" s="313"/>
      <c r="AZ287" s="313"/>
      <c r="BA287" s="313"/>
      <c r="BB287" s="313"/>
      <c r="BC287" s="313"/>
      <c r="BD287" s="313"/>
      <c r="BE287" s="314"/>
      <c r="BW287" s="314"/>
      <c r="BX287" s="314"/>
      <c r="BY287" s="314"/>
      <c r="BZ287" s="314"/>
      <c r="CA287" s="314"/>
      <c r="CB287" s="314"/>
      <c r="CC287" s="314"/>
      <c r="CD287" s="314"/>
    </row>
    <row r="288" ht="28.5" customHeight="1">
      <c r="A288" s="767"/>
      <c r="B288" s="768"/>
      <c r="C288" s="768"/>
      <c r="D288" s="769"/>
      <c r="E288" s="769"/>
      <c r="F288" s="769"/>
      <c r="G288" s="336"/>
      <c r="H288" s="771"/>
      <c r="I288" s="769"/>
      <c r="J288" s="769"/>
      <c r="K288" s="314"/>
      <c r="L288" s="314"/>
      <c r="M288" s="314"/>
      <c r="N288" s="769"/>
      <c r="O288" s="769"/>
      <c r="P288" s="773"/>
      <c r="Q288" s="774"/>
      <c r="R288" s="774"/>
      <c r="S288" s="775"/>
      <c r="AH288" s="776"/>
      <c r="AI288" s="776"/>
      <c r="AJ288" s="732"/>
      <c r="AK288" s="732"/>
      <c r="AL288" s="776"/>
      <c r="AM288" s="776"/>
      <c r="AN288" s="17"/>
      <c r="AO288" s="17"/>
      <c r="AP288" s="17"/>
      <c r="AQ288" s="17"/>
      <c r="AR288" s="17"/>
      <c r="AS288" s="17"/>
      <c r="AT288" s="17"/>
      <c r="AU288" s="732"/>
      <c r="AV288" s="313"/>
      <c r="AW288" s="313"/>
      <c r="AX288" s="313"/>
      <c r="AY288" s="313"/>
      <c r="AZ288" s="313"/>
      <c r="BA288" s="313"/>
      <c r="BB288" s="313"/>
      <c r="BC288" s="313"/>
      <c r="BD288" s="313"/>
      <c r="BE288" s="314"/>
      <c r="BW288" s="314"/>
      <c r="BX288" s="314"/>
      <c r="BY288" s="314"/>
      <c r="BZ288" s="314"/>
      <c r="CA288" s="314"/>
      <c r="CB288" s="314"/>
      <c r="CC288" s="314"/>
      <c r="CD288" s="314"/>
    </row>
    <row r="289" ht="28.5" customHeight="1">
      <c r="A289" s="767"/>
      <c r="B289" s="768"/>
      <c r="C289" s="768"/>
      <c r="D289" s="769"/>
      <c r="E289" s="769"/>
      <c r="F289" s="769"/>
      <c r="G289" s="336"/>
      <c r="H289" s="771"/>
      <c r="I289" s="769"/>
      <c r="J289" s="769"/>
      <c r="K289" s="314"/>
      <c r="L289" s="314"/>
      <c r="M289" s="314"/>
      <c r="N289" s="769"/>
      <c r="O289" s="769"/>
      <c r="P289" s="773"/>
      <c r="Q289" s="774"/>
      <c r="R289" s="774"/>
      <c r="S289" s="775"/>
      <c r="AH289" s="776"/>
      <c r="AI289" s="776"/>
      <c r="AJ289" s="732"/>
      <c r="AK289" s="732"/>
      <c r="AL289" s="776"/>
      <c r="AM289" s="776"/>
      <c r="AN289" s="17"/>
      <c r="AO289" s="17"/>
      <c r="AP289" s="17"/>
      <c r="AQ289" s="17"/>
      <c r="AR289" s="17"/>
      <c r="AS289" s="17"/>
      <c r="AT289" s="17"/>
      <c r="AU289" s="732"/>
      <c r="AV289" s="313"/>
      <c r="AW289" s="313"/>
      <c r="AX289" s="313"/>
      <c r="AY289" s="313"/>
      <c r="AZ289" s="313"/>
      <c r="BA289" s="313"/>
      <c r="BB289" s="313"/>
      <c r="BC289" s="313"/>
      <c r="BD289" s="313"/>
      <c r="BE289" s="314"/>
      <c r="BW289" s="314"/>
      <c r="BX289" s="314"/>
      <c r="BY289" s="314"/>
      <c r="BZ289" s="314"/>
      <c r="CA289" s="314"/>
      <c r="CB289" s="314"/>
      <c r="CC289" s="314"/>
      <c r="CD289" s="314"/>
    </row>
    <row r="290" ht="28.5" customHeight="1">
      <c r="A290" s="767"/>
      <c r="B290" s="768"/>
      <c r="C290" s="768"/>
      <c r="D290" s="769"/>
      <c r="E290" s="769"/>
      <c r="F290" s="769"/>
      <c r="G290" s="336"/>
      <c r="H290" s="771"/>
      <c r="I290" s="769"/>
      <c r="J290" s="769"/>
      <c r="K290" s="314"/>
      <c r="L290" s="314"/>
      <c r="M290" s="314"/>
      <c r="N290" s="769"/>
      <c r="O290" s="769"/>
      <c r="P290" s="773"/>
      <c r="Q290" s="774"/>
      <c r="R290" s="774"/>
      <c r="S290" s="775"/>
      <c r="AH290" s="776"/>
      <c r="AI290" s="776"/>
      <c r="AJ290" s="732"/>
      <c r="AK290" s="732"/>
      <c r="AL290" s="776"/>
      <c r="AM290" s="776"/>
      <c r="AN290" s="17"/>
      <c r="AO290" s="17"/>
      <c r="AP290" s="17"/>
      <c r="AQ290" s="17"/>
      <c r="AR290" s="17"/>
      <c r="AS290" s="17"/>
      <c r="AT290" s="17"/>
      <c r="AU290" s="732"/>
      <c r="AV290" s="313"/>
      <c r="AW290" s="313"/>
      <c r="AX290" s="313"/>
      <c r="AY290" s="313"/>
      <c r="AZ290" s="313"/>
      <c r="BA290" s="313"/>
      <c r="BB290" s="313"/>
      <c r="BC290" s="313"/>
      <c r="BD290" s="313"/>
      <c r="BE290" s="314"/>
      <c r="BW290" s="314"/>
      <c r="BX290" s="314"/>
      <c r="BY290" s="314"/>
      <c r="BZ290" s="314"/>
      <c r="CA290" s="314"/>
      <c r="CB290" s="314"/>
      <c r="CC290" s="314"/>
      <c r="CD290" s="314"/>
    </row>
    <row r="291" ht="28.5" customHeight="1">
      <c r="A291" s="767"/>
      <c r="B291" s="768"/>
      <c r="C291" s="768"/>
      <c r="D291" s="769"/>
      <c r="E291" s="769"/>
      <c r="F291" s="769"/>
      <c r="G291" s="336"/>
      <c r="H291" s="771"/>
      <c r="I291" s="769"/>
      <c r="J291" s="769"/>
      <c r="K291" s="314"/>
      <c r="L291" s="314"/>
      <c r="M291" s="314"/>
      <c r="N291" s="769"/>
      <c r="O291" s="769"/>
      <c r="P291" s="773"/>
      <c r="Q291" s="774"/>
      <c r="R291" s="774"/>
      <c r="S291" s="775"/>
      <c r="AH291" s="776"/>
      <c r="AI291" s="776"/>
      <c r="AJ291" s="732"/>
      <c r="AK291" s="732"/>
      <c r="AL291" s="776"/>
      <c r="AM291" s="776"/>
      <c r="AN291" s="17"/>
      <c r="AO291" s="17"/>
      <c r="AP291" s="17"/>
      <c r="AQ291" s="17"/>
      <c r="AR291" s="17"/>
      <c r="AS291" s="17"/>
      <c r="AT291" s="17"/>
      <c r="AU291" s="732"/>
      <c r="AV291" s="313"/>
      <c r="AW291" s="313"/>
      <c r="AX291" s="313"/>
      <c r="AY291" s="313"/>
      <c r="AZ291" s="313"/>
      <c r="BA291" s="313"/>
      <c r="BB291" s="313"/>
      <c r="BC291" s="313"/>
      <c r="BD291" s="313"/>
      <c r="BE291" s="314"/>
      <c r="BW291" s="314"/>
      <c r="BX291" s="314"/>
      <c r="BY291" s="314"/>
      <c r="BZ291" s="314"/>
      <c r="CA291" s="314"/>
      <c r="CB291" s="314"/>
      <c r="CC291" s="314"/>
      <c r="CD291" s="314"/>
    </row>
    <row r="292" ht="28.5" customHeight="1">
      <c r="A292" s="767"/>
      <c r="B292" s="768"/>
      <c r="C292" s="768"/>
      <c r="D292" s="769"/>
      <c r="E292" s="769"/>
      <c r="F292" s="769"/>
      <c r="G292" s="336"/>
      <c r="H292" s="771"/>
      <c r="I292" s="769"/>
      <c r="J292" s="769"/>
      <c r="K292" s="314"/>
      <c r="L292" s="314"/>
      <c r="M292" s="314"/>
      <c r="N292" s="769"/>
      <c r="O292" s="769"/>
      <c r="P292" s="773"/>
      <c r="Q292" s="774"/>
      <c r="R292" s="774"/>
      <c r="S292" s="775"/>
      <c r="AH292" s="776"/>
      <c r="AI292" s="776"/>
      <c r="AJ292" s="732"/>
      <c r="AK292" s="732"/>
      <c r="AL292" s="776"/>
      <c r="AM292" s="776"/>
      <c r="AN292" s="17"/>
      <c r="AO292" s="17"/>
      <c r="AP292" s="17"/>
      <c r="AQ292" s="17"/>
      <c r="AR292" s="17"/>
      <c r="AS292" s="17"/>
      <c r="AT292" s="17"/>
      <c r="AU292" s="732"/>
      <c r="AV292" s="313"/>
      <c r="AW292" s="313"/>
      <c r="AX292" s="313"/>
      <c r="AY292" s="313"/>
      <c r="AZ292" s="313"/>
      <c r="BA292" s="313"/>
      <c r="BB292" s="313"/>
      <c r="BC292" s="313"/>
      <c r="BD292" s="313"/>
      <c r="BE292" s="314"/>
      <c r="BW292" s="314"/>
      <c r="BX292" s="314"/>
      <c r="BY292" s="314"/>
      <c r="BZ292" s="314"/>
      <c r="CA292" s="314"/>
      <c r="CB292" s="314"/>
      <c r="CC292" s="314"/>
      <c r="CD292" s="314"/>
    </row>
    <row r="293" ht="28.5" customHeight="1">
      <c r="A293" s="767"/>
      <c r="B293" s="768"/>
      <c r="C293" s="768"/>
      <c r="D293" s="769"/>
      <c r="E293" s="769"/>
      <c r="F293" s="769"/>
      <c r="G293" s="336"/>
      <c r="H293" s="771"/>
      <c r="I293" s="769"/>
      <c r="J293" s="769"/>
      <c r="K293" s="314"/>
      <c r="L293" s="314"/>
      <c r="M293" s="314"/>
      <c r="N293" s="769"/>
      <c r="O293" s="769"/>
      <c r="P293" s="773"/>
      <c r="Q293" s="774"/>
      <c r="R293" s="774"/>
      <c r="S293" s="775"/>
      <c r="AH293" s="776"/>
      <c r="AI293" s="776"/>
      <c r="AJ293" s="732"/>
      <c r="AK293" s="732"/>
      <c r="AL293" s="776"/>
      <c r="AM293" s="776"/>
      <c r="AN293" s="17"/>
      <c r="AO293" s="17"/>
      <c r="AP293" s="17"/>
      <c r="AQ293" s="17"/>
      <c r="AR293" s="17"/>
      <c r="AS293" s="17"/>
      <c r="AT293" s="17"/>
      <c r="AU293" s="732"/>
      <c r="AV293" s="313"/>
      <c r="AW293" s="313"/>
      <c r="AX293" s="313"/>
      <c r="AY293" s="313"/>
      <c r="AZ293" s="313"/>
      <c r="BA293" s="313"/>
      <c r="BB293" s="313"/>
      <c r="BC293" s="313"/>
      <c r="BD293" s="313"/>
      <c r="BE293" s="314"/>
      <c r="BW293" s="314"/>
      <c r="BX293" s="314"/>
      <c r="BY293" s="314"/>
      <c r="BZ293" s="314"/>
      <c r="CA293" s="314"/>
      <c r="CB293" s="314"/>
      <c r="CC293" s="314"/>
      <c r="CD293" s="314"/>
    </row>
    <row r="294" ht="28.5" customHeight="1">
      <c r="A294" s="767"/>
      <c r="B294" s="768"/>
      <c r="C294" s="768"/>
      <c r="D294" s="769"/>
      <c r="E294" s="769"/>
      <c r="F294" s="769"/>
      <c r="G294" s="336"/>
      <c r="H294" s="771"/>
      <c r="I294" s="769"/>
      <c r="J294" s="769"/>
      <c r="K294" s="314"/>
      <c r="L294" s="314"/>
      <c r="M294" s="314"/>
      <c r="N294" s="769"/>
      <c r="O294" s="769"/>
      <c r="P294" s="773"/>
      <c r="Q294" s="774"/>
      <c r="R294" s="774"/>
      <c r="S294" s="775"/>
      <c r="AH294" s="776"/>
      <c r="AI294" s="776"/>
      <c r="AJ294" s="732"/>
      <c r="AK294" s="732"/>
      <c r="AL294" s="776"/>
      <c r="AM294" s="776"/>
      <c r="AN294" s="17"/>
      <c r="AO294" s="17"/>
      <c r="AP294" s="17"/>
      <c r="AQ294" s="17"/>
      <c r="AR294" s="17"/>
      <c r="AS294" s="17"/>
      <c r="AT294" s="17"/>
      <c r="AU294" s="732"/>
      <c r="AV294" s="313"/>
      <c r="AW294" s="313"/>
      <c r="AX294" s="313"/>
      <c r="AY294" s="313"/>
      <c r="AZ294" s="313"/>
      <c r="BA294" s="313"/>
      <c r="BB294" s="313"/>
      <c r="BC294" s="313"/>
      <c r="BD294" s="313"/>
      <c r="BE294" s="314"/>
      <c r="BW294" s="314"/>
      <c r="BX294" s="314"/>
      <c r="BY294" s="314"/>
      <c r="BZ294" s="314"/>
      <c r="CA294" s="314"/>
      <c r="CB294" s="314"/>
      <c r="CC294" s="314"/>
      <c r="CD294" s="314"/>
    </row>
    <row r="295" ht="28.5" customHeight="1">
      <c r="A295" s="767"/>
      <c r="B295" s="768"/>
      <c r="C295" s="768"/>
      <c r="D295" s="769"/>
      <c r="E295" s="769"/>
      <c r="F295" s="769"/>
      <c r="G295" s="336"/>
      <c r="H295" s="771"/>
      <c r="I295" s="769"/>
      <c r="J295" s="769"/>
      <c r="K295" s="314"/>
      <c r="L295" s="314"/>
      <c r="M295" s="314"/>
      <c r="N295" s="769"/>
      <c r="O295" s="769"/>
      <c r="P295" s="773"/>
      <c r="Q295" s="774"/>
      <c r="R295" s="774"/>
      <c r="S295" s="775"/>
      <c r="AH295" s="776"/>
      <c r="AI295" s="776"/>
      <c r="AJ295" s="732"/>
      <c r="AK295" s="732"/>
      <c r="AL295" s="776"/>
      <c r="AM295" s="776"/>
      <c r="AN295" s="17"/>
      <c r="AO295" s="17"/>
      <c r="AP295" s="17"/>
      <c r="AQ295" s="17"/>
      <c r="AR295" s="17"/>
      <c r="AS295" s="17"/>
      <c r="AT295" s="17"/>
      <c r="AU295" s="732"/>
      <c r="AV295" s="313"/>
      <c r="AW295" s="313"/>
      <c r="AX295" s="313"/>
      <c r="AY295" s="313"/>
      <c r="AZ295" s="313"/>
      <c r="BA295" s="313"/>
      <c r="BB295" s="313"/>
      <c r="BC295" s="313"/>
      <c r="BD295" s="313"/>
      <c r="BE295" s="314"/>
      <c r="BW295" s="314"/>
      <c r="BX295" s="314"/>
      <c r="BY295" s="314"/>
      <c r="BZ295" s="314"/>
      <c r="CA295" s="314"/>
      <c r="CB295" s="314"/>
      <c r="CC295" s="314"/>
      <c r="CD295" s="314"/>
    </row>
    <row r="296" ht="28.5" customHeight="1">
      <c r="A296" s="767"/>
      <c r="B296" s="768"/>
      <c r="C296" s="768"/>
      <c r="D296" s="769"/>
      <c r="E296" s="769"/>
      <c r="F296" s="769"/>
      <c r="G296" s="336"/>
      <c r="H296" s="771"/>
      <c r="I296" s="769"/>
      <c r="J296" s="769"/>
      <c r="K296" s="314"/>
      <c r="L296" s="314"/>
      <c r="M296" s="314"/>
      <c r="N296" s="769"/>
      <c r="O296" s="769"/>
      <c r="P296" s="773"/>
      <c r="Q296" s="774"/>
      <c r="R296" s="774"/>
      <c r="S296" s="775"/>
      <c r="AH296" s="776"/>
      <c r="AI296" s="776"/>
      <c r="AJ296" s="732"/>
      <c r="AK296" s="732"/>
      <c r="AL296" s="776"/>
      <c r="AM296" s="776"/>
      <c r="AN296" s="17"/>
      <c r="AO296" s="17"/>
      <c r="AP296" s="17"/>
      <c r="AQ296" s="17"/>
      <c r="AR296" s="17"/>
      <c r="AS296" s="17"/>
      <c r="AT296" s="17"/>
      <c r="AU296" s="732"/>
      <c r="AV296" s="313"/>
      <c r="AW296" s="313"/>
      <c r="AX296" s="313"/>
      <c r="AY296" s="313"/>
      <c r="AZ296" s="313"/>
      <c r="BA296" s="313"/>
      <c r="BB296" s="313"/>
      <c r="BC296" s="313"/>
      <c r="BD296" s="313"/>
      <c r="BE296" s="314"/>
      <c r="BW296" s="314"/>
      <c r="BX296" s="314"/>
      <c r="BY296" s="314"/>
      <c r="BZ296" s="314"/>
      <c r="CA296" s="314"/>
      <c r="CB296" s="314"/>
      <c r="CC296" s="314"/>
      <c r="CD296" s="314"/>
    </row>
    <row r="297" ht="28.5" customHeight="1">
      <c r="A297" s="767"/>
      <c r="B297" s="768"/>
      <c r="C297" s="768"/>
      <c r="D297" s="769"/>
      <c r="E297" s="769"/>
      <c r="F297" s="769"/>
      <c r="G297" s="336"/>
      <c r="H297" s="771"/>
      <c r="I297" s="769"/>
      <c r="J297" s="769"/>
      <c r="K297" s="314"/>
      <c r="L297" s="314"/>
      <c r="M297" s="314"/>
      <c r="N297" s="769"/>
      <c r="O297" s="769"/>
      <c r="P297" s="773"/>
      <c r="Q297" s="774"/>
      <c r="R297" s="774"/>
      <c r="S297" s="775"/>
      <c r="AH297" s="776"/>
      <c r="AI297" s="776"/>
      <c r="AJ297" s="732"/>
      <c r="AK297" s="732"/>
      <c r="AL297" s="776"/>
      <c r="AM297" s="776"/>
      <c r="AN297" s="17"/>
      <c r="AO297" s="17"/>
      <c r="AP297" s="17"/>
      <c r="AQ297" s="17"/>
      <c r="AR297" s="17"/>
      <c r="AS297" s="17"/>
      <c r="AT297" s="17"/>
      <c r="AU297" s="732"/>
      <c r="AV297" s="313"/>
      <c r="AW297" s="313"/>
      <c r="AX297" s="313"/>
      <c r="AY297" s="313"/>
      <c r="AZ297" s="313"/>
      <c r="BA297" s="313"/>
      <c r="BB297" s="313"/>
      <c r="BC297" s="313"/>
      <c r="BD297" s="313"/>
      <c r="BE297" s="314"/>
      <c r="BW297" s="314"/>
      <c r="BX297" s="314"/>
      <c r="BY297" s="314"/>
      <c r="BZ297" s="314"/>
      <c r="CA297" s="314"/>
      <c r="CB297" s="314"/>
      <c r="CC297" s="314"/>
      <c r="CD297" s="314"/>
    </row>
    <row r="298" ht="28.5" customHeight="1">
      <c r="A298" s="767"/>
      <c r="B298" s="768"/>
      <c r="C298" s="768"/>
      <c r="D298" s="769"/>
      <c r="E298" s="769"/>
      <c r="F298" s="769"/>
      <c r="G298" s="336"/>
      <c r="H298" s="771"/>
      <c r="I298" s="769"/>
      <c r="J298" s="769"/>
      <c r="K298" s="314"/>
      <c r="L298" s="314"/>
      <c r="M298" s="314"/>
      <c r="N298" s="769"/>
      <c r="O298" s="769"/>
      <c r="P298" s="773"/>
      <c r="Q298" s="774"/>
      <c r="R298" s="774"/>
      <c r="S298" s="775"/>
      <c r="AH298" s="776"/>
      <c r="AI298" s="776"/>
      <c r="AJ298" s="732"/>
      <c r="AK298" s="732"/>
      <c r="AL298" s="776"/>
      <c r="AM298" s="776"/>
      <c r="AN298" s="17"/>
      <c r="AO298" s="17"/>
      <c r="AP298" s="17"/>
      <c r="AQ298" s="17"/>
      <c r="AR298" s="17"/>
      <c r="AS298" s="17"/>
      <c r="AT298" s="17"/>
      <c r="AU298" s="732"/>
      <c r="AV298" s="313"/>
      <c r="AW298" s="313"/>
      <c r="AX298" s="313"/>
      <c r="AY298" s="313"/>
      <c r="AZ298" s="313"/>
      <c r="BA298" s="313"/>
      <c r="BB298" s="313"/>
      <c r="BC298" s="313"/>
      <c r="BD298" s="313"/>
      <c r="BE298" s="314"/>
      <c r="BW298" s="314"/>
      <c r="BX298" s="314"/>
      <c r="BY298" s="314"/>
      <c r="BZ298" s="314"/>
      <c r="CA298" s="314"/>
      <c r="CB298" s="314"/>
      <c r="CC298" s="314"/>
      <c r="CD298" s="314"/>
    </row>
    <row r="299" ht="28.5" customHeight="1">
      <c r="A299" s="767"/>
      <c r="B299" s="768"/>
      <c r="C299" s="768"/>
      <c r="D299" s="769"/>
      <c r="E299" s="769"/>
      <c r="F299" s="769"/>
      <c r="G299" s="336"/>
      <c r="H299" s="771"/>
      <c r="I299" s="769"/>
      <c r="J299" s="769"/>
      <c r="K299" s="314"/>
      <c r="L299" s="314"/>
      <c r="M299" s="314"/>
      <c r="N299" s="769"/>
      <c r="O299" s="769"/>
      <c r="P299" s="773"/>
      <c r="Q299" s="774"/>
      <c r="R299" s="774"/>
      <c r="S299" s="775"/>
      <c r="AH299" s="776"/>
      <c r="AI299" s="776"/>
      <c r="AJ299" s="732"/>
      <c r="AK299" s="732"/>
      <c r="AL299" s="776"/>
      <c r="AM299" s="776"/>
      <c r="AN299" s="17"/>
      <c r="AO299" s="17"/>
      <c r="AP299" s="17"/>
      <c r="AQ299" s="17"/>
      <c r="AR299" s="17"/>
      <c r="AS299" s="17"/>
      <c r="AT299" s="17"/>
      <c r="AU299" s="732"/>
      <c r="AV299" s="313"/>
      <c r="AW299" s="313"/>
      <c r="AX299" s="313"/>
      <c r="AY299" s="313"/>
      <c r="AZ299" s="313"/>
      <c r="BA299" s="313"/>
      <c r="BB299" s="313"/>
      <c r="BC299" s="313"/>
      <c r="BD299" s="313"/>
      <c r="BE299" s="314"/>
      <c r="BW299" s="314"/>
      <c r="BX299" s="314"/>
      <c r="BY299" s="314"/>
      <c r="BZ299" s="314"/>
      <c r="CA299" s="314"/>
      <c r="CB299" s="314"/>
      <c r="CC299" s="314"/>
      <c r="CD299" s="314"/>
    </row>
    <row r="300" ht="28.5" customHeight="1">
      <c r="A300" s="767"/>
      <c r="B300" s="768"/>
      <c r="C300" s="768"/>
      <c r="D300" s="769"/>
      <c r="E300" s="769"/>
      <c r="F300" s="769"/>
      <c r="G300" s="336"/>
      <c r="H300" s="771"/>
      <c r="I300" s="769"/>
      <c r="J300" s="769"/>
      <c r="K300" s="314"/>
      <c r="L300" s="314"/>
      <c r="M300" s="314"/>
      <c r="N300" s="769"/>
      <c r="O300" s="769"/>
      <c r="P300" s="773"/>
      <c r="Q300" s="774"/>
      <c r="R300" s="774"/>
      <c r="S300" s="775"/>
      <c r="AH300" s="776"/>
      <c r="AI300" s="776"/>
      <c r="AJ300" s="732"/>
      <c r="AK300" s="732"/>
      <c r="AL300" s="776"/>
      <c r="AM300" s="776"/>
      <c r="AN300" s="17"/>
      <c r="AO300" s="17"/>
      <c r="AP300" s="17"/>
      <c r="AQ300" s="17"/>
      <c r="AR300" s="17"/>
      <c r="AS300" s="17"/>
      <c r="AT300" s="17"/>
      <c r="AU300" s="732"/>
      <c r="AV300" s="313"/>
      <c r="AW300" s="313"/>
      <c r="AX300" s="313"/>
      <c r="AY300" s="313"/>
      <c r="AZ300" s="313"/>
      <c r="BA300" s="313"/>
      <c r="BB300" s="313"/>
      <c r="BC300" s="313"/>
      <c r="BD300" s="313"/>
      <c r="BE300" s="314"/>
      <c r="BW300" s="314"/>
      <c r="BX300" s="314"/>
      <c r="BY300" s="314"/>
      <c r="BZ300" s="314"/>
      <c r="CA300" s="314"/>
      <c r="CB300" s="314"/>
      <c r="CC300" s="314"/>
      <c r="CD300" s="314"/>
    </row>
    <row r="301" ht="28.5" customHeight="1">
      <c r="A301" s="767"/>
      <c r="B301" s="768"/>
      <c r="C301" s="768"/>
      <c r="D301" s="769"/>
      <c r="E301" s="769"/>
      <c r="F301" s="769"/>
      <c r="G301" s="336"/>
      <c r="H301" s="771"/>
      <c r="I301" s="769"/>
      <c r="J301" s="769"/>
      <c r="K301" s="314"/>
      <c r="L301" s="314"/>
      <c r="M301" s="314"/>
      <c r="N301" s="769"/>
      <c r="O301" s="769"/>
      <c r="P301" s="773"/>
      <c r="Q301" s="774"/>
      <c r="R301" s="774"/>
      <c r="S301" s="775"/>
      <c r="AH301" s="776"/>
      <c r="AI301" s="776"/>
      <c r="AJ301" s="732"/>
      <c r="AK301" s="732"/>
      <c r="AL301" s="776"/>
      <c r="AM301" s="776"/>
      <c r="AN301" s="17"/>
      <c r="AO301" s="17"/>
      <c r="AP301" s="17"/>
      <c r="AQ301" s="17"/>
      <c r="AR301" s="17"/>
      <c r="AS301" s="17"/>
      <c r="AT301" s="17"/>
      <c r="AU301" s="732"/>
      <c r="AV301" s="313"/>
      <c r="AW301" s="313"/>
      <c r="AX301" s="313"/>
      <c r="AY301" s="313"/>
      <c r="AZ301" s="313"/>
      <c r="BA301" s="313"/>
      <c r="BB301" s="313"/>
      <c r="BC301" s="313"/>
      <c r="BD301" s="313"/>
      <c r="BE301" s="314"/>
      <c r="BW301" s="314"/>
      <c r="BX301" s="314"/>
      <c r="BY301" s="314"/>
      <c r="BZ301" s="314"/>
      <c r="CA301" s="314"/>
      <c r="CB301" s="314"/>
      <c r="CC301" s="314"/>
      <c r="CD301" s="314"/>
    </row>
    <row r="302" ht="28.5" customHeight="1">
      <c r="A302" s="767"/>
      <c r="B302" s="768"/>
      <c r="C302" s="768"/>
      <c r="D302" s="769"/>
      <c r="E302" s="769"/>
      <c r="F302" s="769"/>
      <c r="G302" s="336"/>
      <c r="H302" s="771"/>
      <c r="I302" s="769"/>
      <c r="J302" s="769"/>
      <c r="K302" s="314"/>
      <c r="L302" s="314"/>
      <c r="M302" s="314"/>
      <c r="N302" s="769"/>
      <c r="O302" s="769"/>
      <c r="P302" s="773"/>
      <c r="Q302" s="774"/>
      <c r="R302" s="774"/>
      <c r="S302" s="775"/>
      <c r="AH302" s="776"/>
      <c r="AI302" s="776"/>
      <c r="AJ302" s="732"/>
      <c r="AK302" s="732"/>
      <c r="AL302" s="776"/>
      <c r="AM302" s="776"/>
      <c r="AN302" s="17"/>
      <c r="AO302" s="17"/>
      <c r="AP302" s="17"/>
      <c r="AQ302" s="17"/>
      <c r="AR302" s="17"/>
      <c r="AS302" s="17"/>
      <c r="AT302" s="17"/>
      <c r="AU302" s="732"/>
      <c r="AV302" s="313"/>
      <c r="AW302" s="313"/>
      <c r="AX302" s="313"/>
      <c r="AY302" s="313"/>
      <c r="AZ302" s="313"/>
      <c r="BA302" s="313"/>
      <c r="BB302" s="313"/>
      <c r="BC302" s="313"/>
      <c r="BD302" s="313"/>
      <c r="BE302" s="314"/>
      <c r="BW302" s="314"/>
      <c r="BX302" s="314"/>
      <c r="BY302" s="314"/>
      <c r="BZ302" s="314"/>
      <c r="CA302" s="314"/>
      <c r="CB302" s="314"/>
      <c r="CC302" s="314"/>
      <c r="CD302" s="314"/>
    </row>
    <row r="303" ht="28.5" customHeight="1">
      <c r="A303" s="767"/>
      <c r="B303" s="768"/>
      <c r="C303" s="768"/>
      <c r="D303" s="769"/>
      <c r="E303" s="769"/>
      <c r="F303" s="769"/>
      <c r="G303" s="336"/>
      <c r="H303" s="771"/>
      <c r="I303" s="769"/>
      <c r="J303" s="769"/>
      <c r="K303" s="314"/>
      <c r="L303" s="314"/>
      <c r="M303" s="314"/>
      <c r="N303" s="769"/>
      <c r="O303" s="769"/>
      <c r="P303" s="773"/>
      <c r="Q303" s="774"/>
      <c r="R303" s="774"/>
      <c r="S303" s="775"/>
      <c r="AH303" s="776"/>
      <c r="AI303" s="776"/>
      <c r="AJ303" s="732"/>
      <c r="AK303" s="732"/>
      <c r="AL303" s="776"/>
      <c r="AM303" s="776"/>
      <c r="AN303" s="17"/>
      <c r="AO303" s="17"/>
      <c r="AP303" s="17"/>
      <c r="AQ303" s="17"/>
      <c r="AR303" s="17"/>
      <c r="AS303" s="17"/>
      <c r="AT303" s="17"/>
      <c r="AU303" s="732"/>
      <c r="AV303" s="313"/>
      <c r="AW303" s="313"/>
      <c r="AX303" s="313"/>
      <c r="AY303" s="313"/>
      <c r="AZ303" s="313"/>
      <c r="BA303" s="313"/>
      <c r="BB303" s="313"/>
      <c r="BC303" s="313"/>
      <c r="BD303" s="313"/>
      <c r="BE303" s="314"/>
      <c r="BW303" s="314"/>
      <c r="BX303" s="314"/>
      <c r="BY303" s="314"/>
      <c r="BZ303" s="314"/>
      <c r="CA303" s="314"/>
      <c r="CB303" s="314"/>
      <c r="CC303" s="314"/>
      <c r="CD303" s="314"/>
    </row>
    <row r="304" ht="28.5" customHeight="1">
      <c r="A304" s="767"/>
      <c r="B304" s="768"/>
      <c r="C304" s="768"/>
      <c r="D304" s="769"/>
      <c r="E304" s="769"/>
      <c r="F304" s="769"/>
      <c r="G304" s="336"/>
      <c r="H304" s="771"/>
      <c r="I304" s="769"/>
      <c r="J304" s="769"/>
      <c r="K304" s="314"/>
      <c r="L304" s="314"/>
      <c r="M304" s="314"/>
      <c r="N304" s="769"/>
      <c r="O304" s="769"/>
      <c r="P304" s="773"/>
      <c r="Q304" s="774"/>
      <c r="R304" s="774"/>
      <c r="S304" s="775"/>
      <c r="AH304" s="776"/>
      <c r="AI304" s="776"/>
      <c r="AJ304" s="732"/>
      <c r="AK304" s="732"/>
      <c r="AL304" s="776"/>
      <c r="AM304" s="776"/>
      <c r="AN304" s="17"/>
      <c r="AO304" s="17"/>
      <c r="AP304" s="17"/>
      <c r="AQ304" s="17"/>
      <c r="AR304" s="17"/>
      <c r="AS304" s="17"/>
      <c r="AT304" s="17"/>
      <c r="AU304" s="732"/>
      <c r="AV304" s="313"/>
      <c r="AW304" s="313"/>
      <c r="AX304" s="313"/>
      <c r="AY304" s="313"/>
      <c r="AZ304" s="313"/>
      <c r="BA304" s="313"/>
      <c r="BB304" s="313"/>
      <c r="BC304" s="313"/>
      <c r="BD304" s="313"/>
      <c r="BE304" s="314"/>
      <c r="BW304" s="314"/>
      <c r="BX304" s="314"/>
      <c r="BY304" s="314"/>
      <c r="BZ304" s="314"/>
      <c r="CA304" s="314"/>
      <c r="CB304" s="314"/>
      <c r="CC304" s="314"/>
      <c r="CD304" s="314"/>
    </row>
    <row r="305" ht="28.5" customHeight="1">
      <c r="A305" s="767"/>
      <c r="B305" s="768"/>
      <c r="C305" s="768"/>
      <c r="D305" s="769"/>
      <c r="E305" s="769"/>
      <c r="F305" s="769"/>
      <c r="G305" s="336"/>
      <c r="H305" s="771"/>
      <c r="I305" s="769"/>
      <c r="J305" s="769"/>
      <c r="K305" s="314"/>
      <c r="L305" s="314"/>
      <c r="M305" s="314"/>
      <c r="N305" s="769"/>
      <c r="O305" s="769"/>
      <c r="P305" s="773"/>
      <c r="Q305" s="774"/>
      <c r="R305" s="774"/>
      <c r="S305" s="775"/>
      <c r="AH305" s="776"/>
      <c r="AI305" s="776"/>
      <c r="AJ305" s="732"/>
      <c r="AK305" s="732"/>
      <c r="AL305" s="776"/>
      <c r="AM305" s="776"/>
      <c r="AN305" s="17"/>
      <c r="AO305" s="17"/>
      <c r="AP305" s="17"/>
      <c r="AQ305" s="17"/>
      <c r="AR305" s="17"/>
      <c r="AS305" s="17"/>
      <c r="AT305" s="17"/>
      <c r="AU305" s="732"/>
      <c r="AV305" s="313"/>
      <c r="AW305" s="313"/>
      <c r="AX305" s="313"/>
      <c r="AY305" s="313"/>
      <c r="AZ305" s="313"/>
      <c r="BA305" s="313"/>
      <c r="BB305" s="313"/>
      <c r="BC305" s="313"/>
      <c r="BD305" s="313"/>
      <c r="BE305" s="314"/>
      <c r="BW305" s="314"/>
      <c r="BX305" s="314"/>
      <c r="BY305" s="314"/>
      <c r="BZ305" s="314"/>
      <c r="CA305" s="314"/>
      <c r="CB305" s="314"/>
      <c r="CC305" s="314"/>
      <c r="CD305" s="314"/>
    </row>
    <row r="306" ht="28.5" customHeight="1">
      <c r="A306" s="767"/>
      <c r="B306" s="768"/>
      <c r="C306" s="768"/>
      <c r="D306" s="769"/>
      <c r="E306" s="769"/>
      <c r="F306" s="769"/>
      <c r="G306" s="336"/>
      <c r="H306" s="771"/>
      <c r="I306" s="769"/>
      <c r="J306" s="769"/>
      <c r="K306" s="314"/>
      <c r="L306" s="314"/>
      <c r="M306" s="314"/>
      <c r="N306" s="769"/>
      <c r="O306" s="769"/>
      <c r="P306" s="773"/>
      <c r="Q306" s="774"/>
      <c r="R306" s="774"/>
      <c r="S306" s="775"/>
      <c r="AH306" s="776"/>
      <c r="AI306" s="776"/>
      <c r="AJ306" s="732"/>
      <c r="AK306" s="732"/>
      <c r="AL306" s="776"/>
      <c r="AM306" s="776"/>
      <c r="AN306" s="17"/>
      <c r="AO306" s="17"/>
      <c r="AP306" s="17"/>
      <c r="AQ306" s="17"/>
      <c r="AR306" s="17"/>
      <c r="AS306" s="17"/>
      <c r="AT306" s="17"/>
      <c r="AU306" s="732"/>
      <c r="AV306" s="313"/>
      <c r="AW306" s="313"/>
      <c r="AX306" s="313"/>
      <c r="AY306" s="313"/>
      <c r="AZ306" s="313"/>
      <c r="BA306" s="313"/>
      <c r="BB306" s="313"/>
      <c r="BC306" s="313"/>
      <c r="BD306" s="313"/>
      <c r="BE306" s="314"/>
      <c r="BW306" s="314"/>
      <c r="BX306" s="314"/>
      <c r="BY306" s="314"/>
      <c r="BZ306" s="314"/>
      <c r="CA306" s="314"/>
      <c r="CB306" s="314"/>
      <c r="CC306" s="314"/>
      <c r="CD306" s="314"/>
    </row>
    <row r="307" ht="28.5" customHeight="1">
      <c r="A307" s="767"/>
      <c r="B307" s="768"/>
      <c r="C307" s="768"/>
      <c r="D307" s="769"/>
      <c r="E307" s="769"/>
      <c r="F307" s="769"/>
      <c r="G307" s="336"/>
      <c r="H307" s="771"/>
      <c r="I307" s="769"/>
      <c r="J307" s="769"/>
      <c r="K307" s="314"/>
      <c r="L307" s="314"/>
      <c r="M307" s="314"/>
      <c r="N307" s="769"/>
      <c r="O307" s="769"/>
      <c r="P307" s="773"/>
      <c r="Q307" s="774"/>
      <c r="R307" s="774"/>
      <c r="S307" s="775"/>
      <c r="AH307" s="776"/>
      <c r="AI307" s="776"/>
      <c r="AJ307" s="732"/>
      <c r="AK307" s="732"/>
      <c r="AL307" s="776"/>
      <c r="AM307" s="776"/>
      <c r="AN307" s="17"/>
      <c r="AO307" s="17"/>
      <c r="AP307" s="17"/>
      <c r="AQ307" s="17"/>
      <c r="AR307" s="17"/>
      <c r="AS307" s="17"/>
      <c r="AT307" s="17"/>
      <c r="AU307" s="732"/>
      <c r="AV307" s="313"/>
      <c r="AW307" s="313"/>
      <c r="AX307" s="313"/>
      <c r="AY307" s="313"/>
      <c r="AZ307" s="313"/>
      <c r="BA307" s="313"/>
      <c r="BB307" s="313"/>
      <c r="BC307" s="313"/>
      <c r="BD307" s="313"/>
      <c r="BE307" s="314"/>
      <c r="BW307" s="314"/>
      <c r="BX307" s="314"/>
      <c r="BY307" s="314"/>
      <c r="BZ307" s="314"/>
      <c r="CA307" s="314"/>
      <c r="CB307" s="314"/>
      <c r="CC307" s="314"/>
      <c r="CD307" s="314"/>
    </row>
    <row r="308" ht="28.5" customHeight="1">
      <c r="A308" s="767"/>
      <c r="B308" s="768"/>
      <c r="C308" s="768"/>
      <c r="D308" s="769"/>
      <c r="E308" s="769"/>
      <c r="F308" s="769"/>
      <c r="G308" s="336"/>
      <c r="H308" s="771"/>
      <c r="I308" s="769"/>
      <c r="J308" s="769"/>
      <c r="K308" s="314"/>
      <c r="L308" s="314"/>
      <c r="M308" s="314"/>
      <c r="N308" s="769"/>
      <c r="O308" s="769"/>
      <c r="P308" s="773"/>
      <c r="Q308" s="774"/>
      <c r="R308" s="774"/>
      <c r="S308" s="775"/>
      <c r="AH308" s="776"/>
      <c r="AI308" s="776"/>
      <c r="AJ308" s="732"/>
      <c r="AK308" s="732"/>
      <c r="AL308" s="776"/>
      <c r="AM308" s="776"/>
      <c r="AN308" s="17"/>
      <c r="AO308" s="17"/>
      <c r="AP308" s="17"/>
      <c r="AQ308" s="17"/>
      <c r="AR308" s="17"/>
      <c r="AS308" s="17"/>
      <c r="AT308" s="17"/>
      <c r="AU308" s="732"/>
      <c r="AV308" s="313"/>
      <c r="AW308" s="313"/>
      <c r="AX308" s="313"/>
      <c r="AY308" s="313"/>
      <c r="AZ308" s="313"/>
      <c r="BA308" s="313"/>
      <c r="BB308" s="313"/>
      <c r="BC308" s="313"/>
      <c r="BD308" s="313"/>
      <c r="BE308" s="314"/>
      <c r="BW308" s="314"/>
      <c r="BX308" s="314"/>
      <c r="BY308" s="314"/>
      <c r="BZ308" s="314"/>
      <c r="CA308" s="314"/>
      <c r="CB308" s="314"/>
      <c r="CC308" s="314"/>
      <c r="CD308" s="314"/>
    </row>
    <row r="309" ht="28.5" customHeight="1">
      <c r="A309" s="767"/>
      <c r="B309" s="768"/>
      <c r="C309" s="768"/>
      <c r="D309" s="769"/>
      <c r="E309" s="769"/>
      <c r="F309" s="769"/>
      <c r="G309" s="336"/>
      <c r="H309" s="771"/>
      <c r="I309" s="769"/>
      <c r="J309" s="769"/>
      <c r="K309" s="314"/>
      <c r="L309" s="314"/>
      <c r="M309" s="314"/>
      <c r="N309" s="769"/>
      <c r="O309" s="769"/>
      <c r="P309" s="773"/>
      <c r="Q309" s="774"/>
      <c r="R309" s="774"/>
      <c r="S309" s="775"/>
      <c r="AH309" s="776"/>
      <c r="AI309" s="776"/>
      <c r="AJ309" s="732"/>
      <c r="AK309" s="732"/>
      <c r="AL309" s="776"/>
      <c r="AM309" s="776"/>
      <c r="AN309" s="17"/>
      <c r="AO309" s="17"/>
      <c r="AP309" s="17"/>
      <c r="AQ309" s="17"/>
      <c r="AR309" s="17"/>
      <c r="AS309" s="17"/>
      <c r="AT309" s="17"/>
      <c r="AU309" s="732"/>
      <c r="AV309" s="313"/>
      <c r="AW309" s="313"/>
      <c r="AX309" s="313"/>
      <c r="AY309" s="313"/>
      <c r="AZ309" s="313"/>
      <c r="BA309" s="313"/>
      <c r="BB309" s="313"/>
      <c r="BC309" s="313"/>
      <c r="BD309" s="313"/>
      <c r="BE309" s="314"/>
      <c r="BW309" s="314"/>
      <c r="BX309" s="314"/>
      <c r="BY309" s="314"/>
      <c r="BZ309" s="314"/>
      <c r="CA309" s="314"/>
      <c r="CB309" s="314"/>
      <c r="CC309" s="314"/>
      <c r="CD309" s="314"/>
    </row>
    <row r="310" ht="28.5" customHeight="1">
      <c r="A310" s="767"/>
      <c r="B310" s="768"/>
      <c r="C310" s="768"/>
      <c r="D310" s="769"/>
      <c r="E310" s="769"/>
      <c r="F310" s="769"/>
      <c r="G310" s="336"/>
      <c r="H310" s="771"/>
      <c r="I310" s="769"/>
      <c r="J310" s="769"/>
      <c r="K310" s="314"/>
      <c r="L310" s="314"/>
      <c r="M310" s="314"/>
      <c r="N310" s="769"/>
      <c r="O310" s="769"/>
      <c r="P310" s="773"/>
      <c r="Q310" s="774"/>
      <c r="R310" s="774"/>
      <c r="S310" s="775"/>
      <c r="AH310" s="776"/>
      <c r="AI310" s="776"/>
      <c r="AJ310" s="732"/>
      <c r="AK310" s="732"/>
      <c r="AL310" s="776"/>
      <c r="AM310" s="776"/>
      <c r="AN310" s="17"/>
      <c r="AO310" s="17"/>
      <c r="AP310" s="17"/>
      <c r="AQ310" s="17"/>
      <c r="AR310" s="17"/>
      <c r="AS310" s="17"/>
      <c r="AT310" s="17"/>
      <c r="AU310" s="732"/>
      <c r="AV310" s="313"/>
      <c r="AW310" s="313"/>
      <c r="AX310" s="313"/>
      <c r="AY310" s="313"/>
      <c r="AZ310" s="313"/>
      <c r="BA310" s="313"/>
      <c r="BB310" s="313"/>
      <c r="BC310" s="313"/>
      <c r="BD310" s="313"/>
      <c r="BE310" s="314"/>
      <c r="BW310" s="314"/>
      <c r="BX310" s="314"/>
      <c r="BY310" s="314"/>
      <c r="BZ310" s="314"/>
      <c r="CA310" s="314"/>
      <c r="CB310" s="314"/>
      <c r="CC310" s="314"/>
      <c r="CD310" s="314"/>
    </row>
    <row r="311" ht="28.5" customHeight="1">
      <c r="A311" s="767"/>
      <c r="B311" s="768"/>
      <c r="C311" s="768"/>
      <c r="D311" s="769"/>
      <c r="E311" s="769"/>
      <c r="F311" s="769"/>
      <c r="G311" s="336"/>
      <c r="H311" s="771"/>
      <c r="I311" s="769"/>
      <c r="J311" s="769"/>
      <c r="K311" s="314"/>
      <c r="L311" s="314"/>
      <c r="M311" s="314"/>
      <c r="N311" s="769"/>
      <c r="O311" s="769"/>
      <c r="P311" s="773"/>
      <c r="Q311" s="774"/>
      <c r="R311" s="774"/>
      <c r="S311" s="775"/>
      <c r="AH311" s="776"/>
      <c r="AI311" s="776"/>
      <c r="AJ311" s="732"/>
      <c r="AK311" s="732"/>
      <c r="AL311" s="776"/>
      <c r="AM311" s="776"/>
      <c r="AN311" s="17"/>
      <c r="AO311" s="17"/>
      <c r="AP311" s="17"/>
      <c r="AQ311" s="17"/>
      <c r="AR311" s="17"/>
      <c r="AS311" s="17"/>
      <c r="AT311" s="17"/>
      <c r="AU311" s="732"/>
      <c r="AV311" s="313"/>
      <c r="AW311" s="313"/>
      <c r="AX311" s="313"/>
      <c r="AY311" s="313"/>
      <c r="AZ311" s="313"/>
      <c r="BA311" s="313"/>
      <c r="BB311" s="313"/>
      <c r="BC311" s="313"/>
      <c r="BD311" s="313"/>
      <c r="BE311" s="314"/>
      <c r="BW311" s="314"/>
      <c r="BX311" s="314"/>
      <c r="BY311" s="314"/>
      <c r="BZ311" s="314"/>
      <c r="CA311" s="314"/>
      <c r="CB311" s="314"/>
      <c r="CC311" s="314"/>
      <c r="CD311" s="314"/>
    </row>
    <row r="312" ht="28.5" customHeight="1">
      <c r="A312" s="767"/>
      <c r="B312" s="768"/>
      <c r="C312" s="768"/>
      <c r="D312" s="769"/>
      <c r="E312" s="769"/>
      <c r="F312" s="769"/>
      <c r="G312" s="336"/>
      <c r="H312" s="771"/>
      <c r="I312" s="769"/>
      <c r="J312" s="769"/>
      <c r="K312" s="314"/>
      <c r="L312" s="314"/>
      <c r="M312" s="314"/>
      <c r="N312" s="769"/>
      <c r="O312" s="769"/>
      <c r="P312" s="773"/>
      <c r="Q312" s="774"/>
      <c r="R312" s="774"/>
      <c r="S312" s="775"/>
      <c r="AH312" s="776"/>
      <c r="AI312" s="776"/>
      <c r="AJ312" s="732"/>
      <c r="AK312" s="732"/>
      <c r="AL312" s="776"/>
      <c r="AM312" s="776"/>
      <c r="AN312" s="17"/>
      <c r="AO312" s="17"/>
      <c r="AP312" s="17"/>
      <c r="AQ312" s="17"/>
      <c r="AR312" s="17"/>
      <c r="AS312" s="17"/>
      <c r="AT312" s="17"/>
      <c r="AU312" s="732"/>
      <c r="AV312" s="313"/>
      <c r="AW312" s="313"/>
      <c r="AX312" s="313"/>
      <c r="AY312" s="313"/>
      <c r="AZ312" s="313"/>
      <c r="BA312" s="313"/>
      <c r="BB312" s="313"/>
      <c r="BC312" s="313"/>
      <c r="BD312" s="313"/>
      <c r="BE312" s="314"/>
      <c r="BW312" s="314"/>
      <c r="BX312" s="314"/>
      <c r="BY312" s="314"/>
      <c r="BZ312" s="314"/>
      <c r="CA312" s="314"/>
      <c r="CB312" s="314"/>
      <c r="CC312" s="314"/>
      <c r="CD312" s="314"/>
    </row>
    <row r="313" ht="28.5" customHeight="1">
      <c r="A313" s="767"/>
      <c r="B313" s="768"/>
      <c r="C313" s="768"/>
      <c r="D313" s="769"/>
      <c r="E313" s="769"/>
      <c r="F313" s="769"/>
      <c r="G313" s="336"/>
      <c r="H313" s="771"/>
      <c r="I313" s="769"/>
      <c r="J313" s="769"/>
      <c r="K313" s="314"/>
      <c r="L313" s="314"/>
      <c r="M313" s="314"/>
      <c r="N313" s="769"/>
      <c r="O313" s="769"/>
      <c r="P313" s="773"/>
      <c r="Q313" s="774"/>
      <c r="R313" s="774"/>
      <c r="S313" s="775"/>
      <c r="AH313" s="776"/>
      <c r="AI313" s="776"/>
      <c r="AJ313" s="732"/>
      <c r="AK313" s="732"/>
      <c r="AL313" s="776"/>
      <c r="AM313" s="776"/>
      <c r="AN313" s="17"/>
      <c r="AO313" s="17"/>
      <c r="AP313" s="17"/>
      <c r="AQ313" s="17"/>
      <c r="AR313" s="17"/>
      <c r="AS313" s="17"/>
      <c r="AT313" s="17"/>
      <c r="AU313" s="732"/>
      <c r="AV313" s="313"/>
      <c r="AW313" s="313"/>
      <c r="AX313" s="313"/>
      <c r="AY313" s="313"/>
      <c r="AZ313" s="313"/>
      <c r="BA313" s="313"/>
      <c r="BB313" s="313"/>
      <c r="BC313" s="313"/>
      <c r="BD313" s="313"/>
      <c r="BE313" s="314"/>
      <c r="BW313" s="314"/>
      <c r="BX313" s="314"/>
      <c r="BY313" s="314"/>
      <c r="BZ313" s="314"/>
      <c r="CA313" s="314"/>
      <c r="CB313" s="314"/>
      <c r="CC313" s="314"/>
      <c r="CD313" s="314"/>
    </row>
    <row r="314" ht="28.5" customHeight="1">
      <c r="A314" s="767"/>
      <c r="B314" s="768"/>
      <c r="C314" s="768"/>
      <c r="D314" s="769"/>
      <c r="E314" s="769"/>
      <c r="F314" s="769"/>
      <c r="G314" s="336"/>
      <c r="H314" s="771"/>
      <c r="I314" s="769"/>
      <c r="J314" s="769"/>
      <c r="K314" s="314"/>
      <c r="L314" s="314"/>
      <c r="M314" s="314"/>
      <c r="N314" s="769"/>
      <c r="O314" s="769"/>
      <c r="P314" s="773"/>
      <c r="Q314" s="774"/>
      <c r="R314" s="774"/>
      <c r="S314" s="775"/>
      <c r="AH314" s="776"/>
      <c r="AI314" s="776"/>
      <c r="AJ314" s="732"/>
      <c r="AK314" s="732"/>
      <c r="AL314" s="776"/>
      <c r="AM314" s="776"/>
      <c r="AN314" s="17"/>
      <c r="AO314" s="17"/>
      <c r="AP314" s="17"/>
      <c r="AQ314" s="17"/>
      <c r="AR314" s="17"/>
      <c r="AS314" s="17"/>
      <c r="AT314" s="17"/>
      <c r="AU314" s="732"/>
      <c r="AV314" s="313"/>
      <c r="AW314" s="313"/>
      <c r="AX314" s="313"/>
      <c r="AY314" s="313"/>
      <c r="AZ314" s="313"/>
      <c r="BA314" s="313"/>
      <c r="BB314" s="313"/>
      <c r="BC314" s="313"/>
      <c r="BD314" s="313"/>
      <c r="BE314" s="314"/>
      <c r="BW314" s="314"/>
      <c r="BX314" s="314"/>
      <c r="BY314" s="314"/>
      <c r="BZ314" s="314"/>
      <c r="CA314" s="314"/>
      <c r="CB314" s="314"/>
      <c r="CC314" s="314"/>
      <c r="CD314" s="314"/>
    </row>
    <row r="315" ht="28.5" customHeight="1">
      <c r="A315" s="767"/>
      <c r="B315" s="768"/>
      <c r="C315" s="768"/>
      <c r="D315" s="769"/>
      <c r="E315" s="769"/>
      <c r="F315" s="769"/>
      <c r="G315" s="336"/>
      <c r="H315" s="771"/>
      <c r="I315" s="769"/>
      <c r="J315" s="769"/>
      <c r="K315" s="314"/>
      <c r="L315" s="314"/>
      <c r="M315" s="314"/>
      <c r="N315" s="769"/>
      <c r="O315" s="769"/>
      <c r="P315" s="773"/>
      <c r="Q315" s="774"/>
      <c r="R315" s="774"/>
      <c r="S315" s="775"/>
      <c r="AH315" s="776"/>
      <c r="AI315" s="776"/>
      <c r="AJ315" s="732"/>
      <c r="AK315" s="732"/>
      <c r="AL315" s="776"/>
      <c r="AM315" s="776"/>
      <c r="AN315" s="17"/>
      <c r="AO315" s="17"/>
      <c r="AP315" s="17"/>
      <c r="AQ315" s="17"/>
      <c r="AR315" s="17"/>
      <c r="AS315" s="17"/>
      <c r="AT315" s="17"/>
      <c r="AU315" s="732"/>
      <c r="AV315" s="313"/>
      <c r="AW315" s="313"/>
      <c r="AX315" s="313"/>
      <c r="AY315" s="313"/>
      <c r="AZ315" s="313"/>
      <c r="BA315" s="313"/>
      <c r="BB315" s="313"/>
      <c r="BC315" s="313"/>
      <c r="BD315" s="313"/>
      <c r="BE315" s="314"/>
      <c r="BW315" s="314"/>
      <c r="BX315" s="314"/>
      <c r="BY315" s="314"/>
      <c r="BZ315" s="314"/>
      <c r="CA315" s="314"/>
      <c r="CB315" s="314"/>
      <c r="CC315" s="314"/>
      <c r="CD315" s="314"/>
    </row>
    <row r="316" ht="28.5" customHeight="1">
      <c r="A316" s="767"/>
      <c r="B316" s="768"/>
      <c r="C316" s="768"/>
      <c r="D316" s="769"/>
      <c r="E316" s="769"/>
      <c r="F316" s="769"/>
      <c r="G316" s="336"/>
      <c r="H316" s="771"/>
      <c r="I316" s="769"/>
      <c r="J316" s="769"/>
      <c r="K316" s="314"/>
      <c r="L316" s="314"/>
      <c r="M316" s="314"/>
      <c r="N316" s="769"/>
      <c r="O316" s="769"/>
      <c r="P316" s="773"/>
      <c r="Q316" s="774"/>
      <c r="R316" s="774"/>
      <c r="S316" s="775"/>
      <c r="AH316" s="776"/>
      <c r="AI316" s="776"/>
      <c r="AJ316" s="732"/>
      <c r="AK316" s="732"/>
      <c r="AL316" s="776"/>
      <c r="AM316" s="776"/>
      <c r="AN316" s="17"/>
      <c r="AO316" s="17"/>
      <c r="AP316" s="17"/>
      <c r="AQ316" s="17"/>
      <c r="AR316" s="17"/>
      <c r="AS316" s="17"/>
      <c r="AT316" s="17"/>
      <c r="AU316" s="732"/>
      <c r="AV316" s="313"/>
      <c r="AW316" s="313"/>
      <c r="AX316" s="313"/>
      <c r="AY316" s="313"/>
      <c r="AZ316" s="313"/>
      <c r="BA316" s="313"/>
      <c r="BB316" s="313"/>
      <c r="BC316" s="313"/>
      <c r="BD316" s="313"/>
      <c r="BE316" s="314"/>
      <c r="BW316" s="314"/>
      <c r="BX316" s="314"/>
      <c r="BY316" s="314"/>
      <c r="BZ316" s="314"/>
      <c r="CA316" s="314"/>
      <c r="CB316" s="314"/>
      <c r="CC316" s="314"/>
      <c r="CD316" s="314"/>
    </row>
    <row r="317" ht="28.5" customHeight="1">
      <c r="A317" s="767"/>
      <c r="B317" s="768"/>
      <c r="C317" s="768"/>
      <c r="D317" s="769"/>
      <c r="E317" s="769"/>
      <c r="F317" s="769"/>
      <c r="G317" s="336"/>
      <c r="H317" s="771"/>
      <c r="I317" s="769"/>
      <c r="J317" s="769"/>
      <c r="K317" s="314"/>
      <c r="L317" s="314"/>
      <c r="M317" s="314"/>
      <c r="N317" s="769"/>
      <c r="O317" s="769"/>
      <c r="P317" s="773"/>
      <c r="Q317" s="774"/>
      <c r="R317" s="774"/>
      <c r="S317" s="775"/>
      <c r="AH317" s="776"/>
      <c r="AI317" s="776"/>
      <c r="AJ317" s="732"/>
      <c r="AK317" s="732"/>
      <c r="AL317" s="776"/>
      <c r="AM317" s="776"/>
      <c r="AN317" s="17"/>
      <c r="AO317" s="17"/>
      <c r="AP317" s="17"/>
      <c r="AQ317" s="17"/>
      <c r="AR317" s="17"/>
      <c r="AS317" s="17"/>
      <c r="AT317" s="17"/>
      <c r="AU317" s="732"/>
      <c r="AV317" s="313"/>
      <c r="AW317" s="313"/>
      <c r="AX317" s="313"/>
      <c r="AY317" s="313"/>
      <c r="AZ317" s="313"/>
      <c r="BA317" s="313"/>
      <c r="BB317" s="313"/>
      <c r="BC317" s="313"/>
      <c r="BD317" s="313"/>
      <c r="BE317" s="314"/>
      <c r="BW317" s="314"/>
      <c r="BX317" s="314"/>
      <c r="BY317" s="314"/>
      <c r="BZ317" s="314"/>
      <c r="CA317" s="314"/>
      <c r="CB317" s="314"/>
      <c r="CC317" s="314"/>
      <c r="CD317" s="314"/>
    </row>
    <row r="318" ht="28.5" customHeight="1">
      <c r="A318" s="767"/>
      <c r="B318" s="768"/>
      <c r="C318" s="768"/>
      <c r="D318" s="769"/>
      <c r="E318" s="769"/>
      <c r="F318" s="769"/>
      <c r="G318" s="336"/>
      <c r="H318" s="771"/>
      <c r="I318" s="769"/>
      <c r="J318" s="769"/>
      <c r="K318" s="314"/>
      <c r="L318" s="314"/>
      <c r="M318" s="314"/>
      <c r="N318" s="769"/>
      <c r="O318" s="769"/>
      <c r="P318" s="773"/>
      <c r="Q318" s="774"/>
      <c r="R318" s="774"/>
      <c r="S318" s="775"/>
      <c r="AH318" s="776"/>
      <c r="AI318" s="776"/>
      <c r="AJ318" s="732"/>
      <c r="AK318" s="732"/>
      <c r="AL318" s="776"/>
      <c r="AM318" s="776"/>
      <c r="AN318" s="17"/>
      <c r="AO318" s="17"/>
      <c r="AP318" s="17"/>
      <c r="AQ318" s="17"/>
      <c r="AR318" s="17"/>
      <c r="AS318" s="17"/>
      <c r="AT318" s="17"/>
      <c r="AU318" s="732"/>
      <c r="AV318" s="313"/>
      <c r="AW318" s="313"/>
      <c r="AX318" s="313"/>
      <c r="AY318" s="313"/>
      <c r="AZ318" s="313"/>
      <c r="BA318" s="313"/>
      <c r="BB318" s="313"/>
      <c r="BC318" s="313"/>
      <c r="BD318" s="313"/>
      <c r="BE318" s="314"/>
      <c r="BW318" s="314"/>
      <c r="BX318" s="314"/>
      <c r="BY318" s="314"/>
      <c r="BZ318" s="314"/>
      <c r="CA318" s="314"/>
      <c r="CB318" s="314"/>
      <c r="CC318" s="314"/>
      <c r="CD318" s="314"/>
    </row>
    <row r="319" ht="28.5" customHeight="1">
      <c r="A319" s="767"/>
      <c r="B319" s="768"/>
      <c r="C319" s="768"/>
      <c r="D319" s="769"/>
      <c r="E319" s="769"/>
      <c r="F319" s="769"/>
      <c r="G319" s="336"/>
      <c r="H319" s="771"/>
      <c r="I319" s="769"/>
      <c r="J319" s="769"/>
      <c r="K319" s="314"/>
      <c r="L319" s="314"/>
      <c r="M319" s="314"/>
      <c r="N319" s="769"/>
      <c r="O319" s="769"/>
      <c r="P319" s="773"/>
      <c r="Q319" s="774"/>
      <c r="R319" s="774"/>
      <c r="S319" s="775"/>
      <c r="AH319" s="776"/>
      <c r="AI319" s="776"/>
      <c r="AJ319" s="732"/>
      <c r="AK319" s="732"/>
      <c r="AL319" s="776"/>
      <c r="AM319" s="776"/>
      <c r="AN319" s="17"/>
      <c r="AO319" s="17"/>
      <c r="AP319" s="17"/>
      <c r="AQ319" s="17"/>
      <c r="AR319" s="17"/>
      <c r="AS319" s="17"/>
      <c r="AT319" s="17"/>
      <c r="AU319" s="732"/>
      <c r="AV319" s="313"/>
      <c r="AW319" s="313"/>
      <c r="AX319" s="313"/>
      <c r="AY319" s="313"/>
      <c r="AZ319" s="313"/>
      <c r="BA319" s="313"/>
      <c r="BB319" s="313"/>
      <c r="BC319" s="313"/>
      <c r="BD319" s="313"/>
      <c r="BE319" s="314"/>
      <c r="BW319" s="314"/>
      <c r="BX319" s="314"/>
      <c r="BY319" s="314"/>
      <c r="BZ319" s="314"/>
      <c r="CA319" s="314"/>
      <c r="CB319" s="314"/>
      <c r="CC319" s="314"/>
      <c r="CD319" s="314"/>
    </row>
    <row r="320" ht="28.5" customHeight="1">
      <c r="A320" s="767"/>
      <c r="B320" s="768"/>
      <c r="C320" s="768"/>
      <c r="D320" s="769"/>
      <c r="E320" s="769"/>
      <c r="F320" s="769"/>
      <c r="G320" s="336"/>
      <c r="H320" s="771"/>
      <c r="I320" s="769"/>
      <c r="J320" s="769"/>
      <c r="K320" s="314"/>
      <c r="L320" s="314"/>
      <c r="M320" s="314"/>
      <c r="N320" s="769"/>
      <c r="O320" s="769"/>
      <c r="P320" s="773"/>
      <c r="Q320" s="774"/>
      <c r="R320" s="774"/>
      <c r="S320" s="775"/>
      <c r="AH320" s="776"/>
      <c r="AI320" s="776"/>
      <c r="AJ320" s="732"/>
      <c r="AK320" s="732"/>
      <c r="AL320" s="776"/>
      <c r="AM320" s="776"/>
      <c r="AN320" s="17"/>
      <c r="AO320" s="17"/>
      <c r="AP320" s="17"/>
      <c r="AQ320" s="17"/>
      <c r="AR320" s="17"/>
      <c r="AS320" s="17"/>
      <c r="AT320" s="17"/>
      <c r="AU320" s="732"/>
      <c r="AV320" s="313"/>
      <c r="AW320" s="313"/>
      <c r="AX320" s="313"/>
      <c r="AY320" s="313"/>
      <c r="AZ320" s="313"/>
      <c r="BA320" s="313"/>
      <c r="BB320" s="313"/>
      <c r="BC320" s="313"/>
      <c r="BD320" s="313"/>
      <c r="BE320" s="314"/>
      <c r="BW320" s="314"/>
      <c r="BX320" s="314"/>
      <c r="BY320" s="314"/>
      <c r="BZ320" s="314"/>
      <c r="CA320" s="314"/>
      <c r="CB320" s="314"/>
      <c r="CC320" s="314"/>
      <c r="CD320" s="314"/>
    </row>
    <row r="321" ht="28.5" customHeight="1">
      <c r="A321" s="767"/>
      <c r="B321" s="768"/>
      <c r="C321" s="768"/>
      <c r="D321" s="769"/>
      <c r="E321" s="769"/>
      <c r="F321" s="769"/>
      <c r="G321" s="336"/>
      <c r="H321" s="771"/>
      <c r="I321" s="769"/>
      <c r="J321" s="769"/>
      <c r="K321" s="314"/>
      <c r="L321" s="314"/>
      <c r="M321" s="314"/>
      <c r="N321" s="769"/>
      <c r="O321" s="769"/>
      <c r="P321" s="773"/>
      <c r="Q321" s="774"/>
      <c r="R321" s="774"/>
      <c r="S321" s="775"/>
      <c r="AH321" s="776"/>
      <c r="AI321" s="776"/>
      <c r="AJ321" s="732"/>
      <c r="AK321" s="732"/>
      <c r="AL321" s="776"/>
      <c r="AM321" s="776"/>
      <c r="AN321" s="17"/>
      <c r="AO321" s="17"/>
      <c r="AP321" s="17"/>
      <c r="AQ321" s="17"/>
      <c r="AR321" s="17"/>
      <c r="AS321" s="17"/>
      <c r="AT321" s="17"/>
      <c r="AU321" s="732"/>
      <c r="AV321" s="313"/>
      <c r="AW321" s="313"/>
      <c r="AX321" s="313"/>
      <c r="AY321" s="313"/>
      <c r="AZ321" s="313"/>
      <c r="BA321" s="313"/>
      <c r="BB321" s="313"/>
      <c r="BC321" s="313"/>
      <c r="BD321" s="313"/>
      <c r="BE321" s="314"/>
      <c r="BW321" s="314"/>
      <c r="BX321" s="314"/>
      <c r="BY321" s="314"/>
      <c r="BZ321" s="314"/>
      <c r="CA321" s="314"/>
      <c r="CB321" s="314"/>
      <c r="CC321" s="314"/>
      <c r="CD321" s="314"/>
    </row>
    <row r="322" ht="28.5" customHeight="1">
      <c r="A322" s="767"/>
      <c r="B322" s="768"/>
      <c r="C322" s="768"/>
      <c r="D322" s="769"/>
      <c r="E322" s="769"/>
      <c r="F322" s="769"/>
      <c r="G322" s="336"/>
      <c r="H322" s="771"/>
      <c r="I322" s="769"/>
      <c r="J322" s="769"/>
      <c r="K322" s="314"/>
      <c r="L322" s="314"/>
      <c r="M322" s="314"/>
      <c r="N322" s="769"/>
      <c r="O322" s="769"/>
      <c r="P322" s="773"/>
      <c r="Q322" s="774"/>
      <c r="R322" s="774"/>
      <c r="S322" s="775"/>
      <c r="AH322" s="776"/>
      <c r="AI322" s="776"/>
      <c r="AJ322" s="732"/>
      <c r="AK322" s="732"/>
      <c r="AL322" s="776"/>
      <c r="AM322" s="776"/>
      <c r="AN322" s="17"/>
      <c r="AO322" s="17"/>
      <c r="AP322" s="17"/>
      <c r="AQ322" s="17"/>
      <c r="AR322" s="17"/>
      <c r="AS322" s="17"/>
      <c r="AT322" s="17"/>
      <c r="AU322" s="732"/>
      <c r="AV322" s="313"/>
      <c r="AW322" s="313"/>
      <c r="AX322" s="313"/>
      <c r="AY322" s="313"/>
      <c r="AZ322" s="313"/>
      <c r="BA322" s="313"/>
      <c r="BB322" s="313"/>
      <c r="BC322" s="313"/>
      <c r="BD322" s="313"/>
      <c r="BE322" s="314"/>
      <c r="BW322" s="314"/>
      <c r="BX322" s="314"/>
      <c r="BY322" s="314"/>
      <c r="BZ322" s="314"/>
      <c r="CA322" s="314"/>
      <c r="CB322" s="314"/>
      <c r="CC322" s="314"/>
      <c r="CD322" s="314"/>
    </row>
    <row r="323" ht="28.5" customHeight="1">
      <c r="A323" s="767"/>
      <c r="B323" s="768"/>
      <c r="C323" s="768"/>
      <c r="D323" s="769"/>
      <c r="E323" s="769"/>
      <c r="F323" s="769"/>
      <c r="G323" s="336"/>
      <c r="H323" s="771"/>
      <c r="I323" s="769"/>
      <c r="J323" s="769"/>
      <c r="K323" s="314"/>
      <c r="L323" s="314"/>
      <c r="M323" s="314"/>
      <c r="N323" s="769"/>
      <c r="O323" s="769"/>
      <c r="P323" s="773"/>
      <c r="Q323" s="774"/>
      <c r="R323" s="774"/>
      <c r="S323" s="775"/>
      <c r="AH323" s="776"/>
      <c r="AI323" s="776"/>
      <c r="AJ323" s="732"/>
      <c r="AK323" s="732"/>
      <c r="AL323" s="776"/>
      <c r="AM323" s="776"/>
      <c r="AN323" s="17"/>
      <c r="AO323" s="17"/>
      <c r="AP323" s="17"/>
      <c r="AQ323" s="17"/>
      <c r="AR323" s="17"/>
      <c r="AS323" s="17"/>
      <c r="AT323" s="17"/>
      <c r="AU323" s="732"/>
      <c r="AV323" s="313"/>
      <c r="AW323" s="313"/>
      <c r="AX323" s="313"/>
      <c r="AY323" s="313"/>
      <c r="AZ323" s="313"/>
      <c r="BA323" s="313"/>
      <c r="BB323" s="313"/>
      <c r="BC323" s="313"/>
      <c r="BD323" s="313"/>
      <c r="BE323" s="314"/>
      <c r="BW323" s="314"/>
      <c r="BX323" s="314"/>
      <c r="BY323" s="314"/>
      <c r="BZ323" s="314"/>
      <c r="CA323" s="314"/>
      <c r="CB323" s="314"/>
      <c r="CC323" s="314"/>
      <c r="CD323" s="314"/>
    </row>
    <row r="324" ht="28.5" customHeight="1">
      <c r="A324" s="767"/>
      <c r="B324" s="768"/>
      <c r="C324" s="768"/>
      <c r="D324" s="769"/>
      <c r="E324" s="769"/>
      <c r="F324" s="769"/>
      <c r="G324" s="336"/>
      <c r="H324" s="771"/>
      <c r="I324" s="769"/>
      <c r="J324" s="769"/>
      <c r="K324" s="314"/>
      <c r="L324" s="314"/>
      <c r="M324" s="314"/>
      <c r="N324" s="769"/>
      <c r="O324" s="769"/>
      <c r="P324" s="773"/>
      <c r="Q324" s="774"/>
      <c r="R324" s="774"/>
      <c r="S324" s="775"/>
      <c r="AH324" s="776"/>
      <c r="AI324" s="776"/>
      <c r="AJ324" s="732"/>
      <c r="AK324" s="732"/>
      <c r="AL324" s="776"/>
      <c r="AM324" s="776"/>
      <c r="AN324" s="17"/>
      <c r="AO324" s="17"/>
      <c r="AP324" s="17"/>
      <c r="AQ324" s="17"/>
      <c r="AR324" s="17"/>
      <c r="AS324" s="17"/>
      <c r="AT324" s="17"/>
      <c r="AU324" s="732"/>
      <c r="AV324" s="313"/>
      <c r="AW324" s="313"/>
      <c r="AX324" s="313"/>
      <c r="AY324" s="313"/>
      <c r="AZ324" s="313"/>
      <c r="BA324" s="313"/>
      <c r="BB324" s="313"/>
      <c r="BC324" s="313"/>
      <c r="BD324" s="313"/>
      <c r="BE324" s="314"/>
      <c r="BW324" s="314"/>
      <c r="BX324" s="314"/>
      <c r="BY324" s="314"/>
      <c r="BZ324" s="314"/>
      <c r="CA324" s="314"/>
      <c r="CB324" s="314"/>
      <c r="CC324" s="314"/>
      <c r="CD324" s="314"/>
    </row>
    <row r="325" ht="28.5" customHeight="1">
      <c r="A325" s="767"/>
      <c r="B325" s="768"/>
      <c r="C325" s="768"/>
      <c r="D325" s="769"/>
      <c r="E325" s="769"/>
      <c r="F325" s="769"/>
      <c r="G325" s="336"/>
      <c r="H325" s="771"/>
      <c r="I325" s="769"/>
      <c r="J325" s="769"/>
      <c r="K325" s="314"/>
      <c r="L325" s="314"/>
      <c r="M325" s="314"/>
      <c r="N325" s="769"/>
      <c r="O325" s="769"/>
      <c r="P325" s="773"/>
      <c r="Q325" s="774"/>
      <c r="R325" s="774"/>
      <c r="S325" s="775"/>
      <c r="AH325" s="776"/>
      <c r="AI325" s="776"/>
      <c r="AJ325" s="732"/>
      <c r="AK325" s="732"/>
      <c r="AL325" s="776"/>
      <c r="AM325" s="776"/>
      <c r="AN325" s="17"/>
      <c r="AO325" s="17"/>
      <c r="AP325" s="17"/>
      <c r="AQ325" s="17"/>
      <c r="AR325" s="17"/>
      <c r="AS325" s="17"/>
      <c r="AT325" s="17"/>
      <c r="AU325" s="732"/>
      <c r="AV325" s="313"/>
      <c r="AW325" s="313"/>
      <c r="AX325" s="313"/>
      <c r="AY325" s="313"/>
      <c r="AZ325" s="313"/>
      <c r="BA325" s="313"/>
      <c r="BB325" s="313"/>
      <c r="BC325" s="313"/>
      <c r="BD325" s="313"/>
      <c r="BE325" s="314"/>
      <c r="BW325" s="314"/>
      <c r="BX325" s="314"/>
      <c r="BY325" s="314"/>
      <c r="BZ325" s="314"/>
      <c r="CA325" s="314"/>
      <c r="CB325" s="314"/>
      <c r="CC325" s="314"/>
      <c r="CD325" s="314"/>
    </row>
    <row r="326" ht="28.5" customHeight="1">
      <c r="A326" s="767"/>
      <c r="B326" s="768"/>
      <c r="C326" s="768"/>
      <c r="D326" s="769"/>
      <c r="E326" s="769"/>
      <c r="F326" s="769"/>
      <c r="G326" s="336"/>
      <c r="H326" s="771"/>
      <c r="I326" s="769"/>
      <c r="J326" s="769"/>
      <c r="K326" s="314"/>
      <c r="L326" s="314"/>
      <c r="M326" s="314"/>
      <c r="N326" s="769"/>
      <c r="O326" s="769"/>
      <c r="P326" s="773"/>
      <c r="Q326" s="774"/>
      <c r="R326" s="774"/>
      <c r="S326" s="775"/>
      <c r="AH326" s="776"/>
      <c r="AI326" s="776"/>
      <c r="AJ326" s="732"/>
      <c r="AK326" s="732"/>
      <c r="AL326" s="776"/>
      <c r="AM326" s="776"/>
      <c r="AN326" s="17"/>
      <c r="AO326" s="17"/>
      <c r="AP326" s="17"/>
      <c r="AQ326" s="17"/>
      <c r="AR326" s="17"/>
      <c r="AS326" s="17"/>
      <c r="AT326" s="17"/>
      <c r="AU326" s="732"/>
      <c r="AV326" s="313"/>
      <c r="AW326" s="313"/>
      <c r="AX326" s="313"/>
      <c r="AY326" s="313"/>
      <c r="AZ326" s="313"/>
      <c r="BA326" s="313"/>
      <c r="BB326" s="313"/>
      <c r="BC326" s="313"/>
      <c r="BD326" s="313"/>
      <c r="BE326" s="314"/>
      <c r="BW326" s="314"/>
      <c r="BX326" s="314"/>
      <c r="BY326" s="314"/>
      <c r="BZ326" s="314"/>
      <c r="CA326" s="314"/>
      <c r="CB326" s="314"/>
      <c r="CC326" s="314"/>
      <c r="CD326" s="314"/>
    </row>
    <row r="327" ht="28.5" customHeight="1">
      <c r="A327" s="767"/>
      <c r="B327" s="768"/>
      <c r="C327" s="768"/>
      <c r="D327" s="769"/>
      <c r="E327" s="769"/>
      <c r="F327" s="769"/>
      <c r="G327" s="336"/>
      <c r="H327" s="771"/>
      <c r="I327" s="769"/>
      <c r="J327" s="769"/>
      <c r="K327" s="314"/>
      <c r="L327" s="314"/>
      <c r="M327" s="314"/>
      <c r="N327" s="769"/>
      <c r="O327" s="769"/>
      <c r="P327" s="773"/>
      <c r="Q327" s="774"/>
      <c r="R327" s="774"/>
      <c r="S327" s="775"/>
      <c r="AH327" s="776"/>
      <c r="AI327" s="776"/>
      <c r="AJ327" s="732"/>
      <c r="AK327" s="732"/>
      <c r="AL327" s="776"/>
      <c r="AM327" s="776"/>
      <c r="AN327" s="17"/>
      <c r="AO327" s="17"/>
      <c r="AP327" s="17"/>
      <c r="AQ327" s="17"/>
      <c r="AR327" s="17"/>
      <c r="AS327" s="17"/>
      <c r="AT327" s="17"/>
      <c r="AU327" s="732"/>
      <c r="AV327" s="313"/>
      <c r="AW327" s="313"/>
      <c r="AX327" s="313"/>
      <c r="AY327" s="313"/>
      <c r="AZ327" s="313"/>
      <c r="BA327" s="313"/>
      <c r="BB327" s="313"/>
      <c r="BC327" s="313"/>
      <c r="BD327" s="313"/>
      <c r="BE327" s="314"/>
      <c r="BW327" s="314"/>
      <c r="BX327" s="314"/>
      <c r="BY327" s="314"/>
      <c r="BZ327" s="314"/>
      <c r="CA327" s="314"/>
      <c r="CB327" s="314"/>
      <c r="CC327" s="314"/>
      <c r="CD327" s="314"/>
    </row>
    <row r="328" ht="28.5" customHeight="1">
      <c r="A328" s="767"/>
      <c r="B328" s="768"/>
      <c r="C328" s="768"/>
      <c r="D328" s="769"/>
      <c r="E328" s="769"/>
      <c r="F328" s="769"/>
      <c r="G328" s="336"/>
      <c r="H328" s="771"/>
      <c r="I328" s="769"/>
      <c r="J328" s="769"/>
      <c r="K328" s="314"/>
      <c r="L328" s="314"/>
      <c r="M328" s="314"/>
      <c r="N328" s="769"/>
      <c r="O328" s="769"/>
      <c r="P328" s="773"/>
      <c r="Q328" s="774"/>
      <c r="R328" s="774"/>
      <c r="S328" s="775"/>
      <c r="AH328" s="776"/>
      <c r="AI328" s="776"/>
      <c r="AJ328" s="732"/>
      <c r="AK328" s="732"/>
      <c r="AL328" s="776"/>
      <c r="AM328" s="776"/>
      <c r="AN328" s="17"/>
      <c r="AO328" s="17"/>
      <c r="AP328" s="17"/>
      <c r="AQ328" s="17"/>
      <c r="AR328" s="17"/>
      <c r="AS328" s="17"/>
      <c r="AT328" s="17"/>
      <c r="AU328" s="732"/>
      <c r="AV328" s="313"/>
      <c r="AW328" s="313"/>
      <c r="AX328" s="313"/>
      <c r="AY328" s="313"/>
      <c r="AZ328" s="313"/>
      <c r="BA328" s="313"/>
      <c r="BB328" s="313"/>
      <c r="BC328" s="313"/>
      <c r="BD328" s="313"/>
      <c r="BE328" s="314"/>
      <c r="BW328" s="314"/>
      <c r="BX328" s="314"/>
      <c r="BY328" s="314"/>
      <c r="BZ328" s="314"/>
      <c r="CA328" s="314"/>
      <c r="CB328" s="314"/>
      <c r="CC328" s="314"/>
      <c r="CD328" s="314"/>
    </row>
    <row r="329" ht="28.5" customHeight="1">
      <c r="A329" s="767"/>
      <c r="B329" s="768"/>
      <c r="C329" s="768"/>
      <c r="D329" s="769"/>
      <c r="E329" s="769"/>
      <c r="F329" s="769"/>
      <c r="G329" s="336"/>
      <c r="H329" s="771"/>
      <c r="I329" s="769"/>
      <c r="J329" s="769"/>
      <c r="K329" s="314"/>
      <c r="L329" s="314"/>
      <c r="M329" s="314"/>
      <c r="N329" s="769"/>
      <c r="O329" s="769"/>
      <c r="P329" s="773"/>
      <c r="Q329" s="774"/>
      <c r="R329" s="774"/>
      <c r="S329" s="775"/>
      <c r="AH329" s="776"/>
      <c r="AI329" s="776"/>
      <c r="AJ329" s="732"/>
      <c r="AK329" s="732"/>
      <c r="AL329" s="776"/>
      <c r="AM329" s="776"/>
      <c r="AN329" s="17"/>
      <c r="AO329" s="17"/>
      <c r="AP329" s="17"/>
      <c r="AQ329" s="17"/>
      <c r="AR329" s="17"/>
      <c r="AS329" s="17"/>
      <c r="AT329" s="17"/>
      <c r="AU329" s="732"/>
      <c r="AV329" s="313"/>
      <c r="AW329" s="313"/>
      <c r="AX329" s="313"/>
      <c r="AY329" s="313"/>
      <c r="AZ329" s="313"/>
      <c r="BA329" s="313"/>
      <c r="BB329" s="313"/>
      <c r="BC329" s="313"/>
      <c r="BD329" s="313"/>
      <c r="BE329" s="314"/>
      <c r="BW329" s="314"/>
      <c r="BX329" s="314"/>
      <c r="BY329" s="314"/>
      <c r="BZ329" s="314"/>
      <c r="CA329" s="314"/>
      <c r="CB329" s="314"/>
      <c r="CC329" s="314"/>
      <c r="CD329" s="314"/>
    </row>
    <row r="330" ht="28.5" customHeight="1">
      <c r="A330" s="767"/>
      <c r="B330" s="768"/>
      <c r="C330" s="768"/>
      <c r="D330" s="769"/>
      <c r="E330" s="769"/>
      <c r="F330" s="769"/>
      <c r="G330" s="336"/>
      <c r="H330" s="771"/>
      <c r="I330" s="769"/>
      <c r="J330" s="769"/>
      <c r="K330" s="314"/>
      <c r="L330" s="314"/>
      <c r="M330" s="314"/>
      <c r="N330" s="769"/>
      <c r="O330" s="769"/>
      <c r="P330" s="773"/>
      <c r="Q330" s="774"/>
      <c r="R330" s="774"/>
      <c r="S330" s="775"/>
      <c r="AH330" s="776"/>
      <c r="AI330" s="776"/>
      <c r="AJ330" s="732"/>
      <c r="AK330" s="732"/>
      <c r="AL330" s="776"/>
      <c r="AM330" s="776"/>
      <c r="AN330" s="17"/>
      <c r="AO330" s="17"/>
      <c r="AP330" s="17"/>
      <c r="AQ330" s="17"/>
      <c r="AR330" s="17"/>
      <c r="AS330" s="17"/>
      <c r="AT330" s="17"/>
      <c r="AU330" s="732"/>
      <c r="AV330" s="313"/>
      <c r="AW330" s="313"/>
      <c r="AX330" s="313"/>
      <c r="AY330" s="313"/>
      <c r="AZ330" s="313"/>
      <c r="BA330" s="313"/>
      <c r="BB330" s="313"/>
      <c r="BC330" s="313"/>
      <c r="BD330" s="313"/>
      <c r="BE330" s="314"/>
      <c r="BW330" s="314"/>
      <c r="BX330" s="314"/>
      <c r="BY330" s="314"/>
      <c r="BZ330" s="314"/>
      <c r="CA330" s="314"/>
      <c r="CB330" s="314"/>
      <c r="CC330" s="314"/>
      <c r="CD330" s="314"/>
    </row>
    <row r="331" ht="28.5" customHeight="1">
      <c r="A331" s="767"/>
      <c r="B331" s="768"/>
      <c r="C331" s="768"/>
      <c r="D331" s="769"/>
      <c r="E331" s="769"/>
      <c r="F331" s="769"/>
      <c r="G331" s="336"/>
      <c r="H331" s="771"/>
      <c r="I331" s="769"/>
      <c r="J331" s="769"/>
      <c r="K331" s="314"/>
      <c r="L331" s="314"/>
      <c r="M331" s="314"/>
      <c r="N331" s="769"/>
      <c r="O331" s="769"/>
      <c r="P331" s="773"/>
      <c r="Q331" s="774"/>
      <c r="R331" s="774"/>
      <c r="S331" s="775"/>
      <c r="AH331" s="776"/>
      <c r="AI331" s="776"/>
      <c r="AJ331" s="732"/>
      <c r="AK331" s="732"/>
      <c r="AL331" s="776"/>
      <c r="AM331" s="776"/>
      <c r="AN331" s="17"/>
      <c r="AO331" s="17"/>
      <c r="AP331" s="17"/>
      <c r="AQ331" s="17"/>
      <c r="AR331" s="17"/>
      <c r="AS331" s="17"/>
      <c r="AT331" s="17"/>
      <c r="AU331" s="732"/>
      <c r="AV331" s="313"/>
      <c r="AW331" s="313"/>
      <c r="AX331" s="313"/>
      <c r="AY331" s="313"/>
      <c r="AZ331" s="313"/>
      <c r="BA331" s="313"/>
      <c r="BB331" s="313"/>
      <c r="BC331" s="313"/>
      <c r="BD331" s="313"/>
      <c r="BE331" s="314"/>
      <c r="BW331" s="314"/>
      <c r="BX331" s="314"/>
      <c r="BY331" s="314"/>
      <c r="BZ331" s="314"/>
      <c r="CA331" s="314"/>
      <c r="CB331" s="314"/>
      <c r="CC331" s="314"/>
      <c r="CD331" s="314"/>
    </row>
    <row r="332" ht="28.5" customHeight="1">
      <c r="A332" s="767"/>
      <c r="B332" s="768"/>
      <c r="C332" s="768"/>
      <c r="D332" s="769"/>
      <c r="E332" s="769"/>
      <c r="F332" s="769"/>
      <c r="G332" s="336"/>
      <c r="H332" s="771"/>
      <c r="I332" s="769"/>
      <c r="J332" s="769"/>
      <c r="K332" s="314"/>
      <c r="L332" s="314"/>
      <c r="M332" s="314"/>
      <c r="N332" s="769"/>
      <c r="O332" s="769"/>
      <c r="P332" s="773"/>
      <c r="Q332" s="774"/>
      <c r="R332" s="774"/>
      <c r="S332" s="775"/>
      <c r="AH332" s="776"/>
      <c r="AI332" s="776"/>
      <c r="AJ332" s="732"/>
      <c r="AK332" s="732"/>
      <c r="AL332" s="776"/>
      <c r="AM332" s="776"/>
      <c r="AN332" s="17"/>
      <c r="AO332" s="17"/>
      <c r="AP332" s="17"/>
      <c r="AQ332" s="17"/>
      <c r="AR332" s="17"/>
      <c r="AS332" s="17"/>
      <c r="AT332" s="17"/>
      <c r="AU332" s="732"/>
      <c r="AV332" s="313"/>
      <c r="AW332" s="313"/>
      <c r="AX332" s="313"/>
      <c r="AY332" s="313"/>
      <c r="AZ332" s="313"/>
      <c r="BA332" s="313"/>
      <c r="BB332" s="313"/>
      <c r="BC332" s="313"/>
      <c r="BD332" s="313"/>
      <c r="BE332" s="314"/>
      <c r="BW332" s="314"/>
      <c r="BX332" s="314"/>
      <c r="BY332" s="314"/>
      <c r="BZ332" s="314"/>
      <c r="CA332" s="314"/>
      <c r="CB332" s="314"/>
      <c r="CC332" s="314"/>
      <c r="CD332" s="314"/>
    </row>
    <row r="333" ht="28.5" customHeight="1">
      <c r="A333" s="767"/>
      <c r="B333" s="768"/>
      <c r="C333" s="768"/>
      <c r="D333" s="769"/>
      <c r="E333" s="769"/>
      <c r="F333" s="769"/>
      <c r="G333" s="336"/>
      <c r="H333" s="771"/>
      <c r="I333" s="769"/>
      <c r="J333" s="769"/>
      <c r="K333" s="314"/>
      <c r="L333" s="314"/>
      <c r="M333" s="314"/>
      <c r="N333" s="769"/>
      <c r="O333" s="769"/>
      <c r="P333" s="773"/>
      <c r="Q333" s="774"/>
      <c r="R333" s="774"/>
      <c r="S333" s="775"/>
      <c r="AH333" s="776"/>
      <c r="AI333" s="776"/>
      <c r="AJ333" s="732"/>
      <c r="AK333" s="732"/>
      <c r="AL333" s="776"/>
      <c r="AM333" s="776"/>
      <c r="AN333" s="17"/>
      <c r="AO333" s="17"/>
      <c r="AP333" s="17"/>
      <c r="AQ333" s="17"/>
      <c r="AR333" s="17"/>
      <c r="AS333" s="17"/>
      <c r="AT333" s="17"/>
      <c r="AU333" s="732"/>
      <c r="AV333" s="313"/>
      <c r="AW333" s="313"/>
      <c r="AX333" s="313"/>
      <c r="AY333" s="313"/>
      <c r="AZ333" s="313"/>
      <c r="BA333" s="313"/>
      <c r="BB333" s="313"/>
      <c r="BC333" s="313"/>
      <c r="BD333" s="313"/>
      <c r="BE333" s="314"/>
      <c r="BW333" s="314"/>
      <c r="BX333" s="314"/>
      <c r="BY333" s="314"/>
      <c r="BZ333" s="314"/>
      <c r="CA333" s="314"/>
      <c r="CB333" s="314"/>
      <c r="CC333" s="314"/>
      <c r="CD333" s="314"/>
    </row>
    <row r="334" ht="28.5" customHeight="1">
      <c r="A334" s="767"/>
      <c r="B334" s="768"/>
      <c r="C334" s="768"/>
      <c r="D334" s="769"/>
      <c r="E334" s="769"/>
      <c r="F334" s="769"/>
      <c r="G334" s="336"/>
      <c r="H334" s="771"/>
      <c r="I334" s="769"/>
      <c r="J334" s="769"/>
      <c r="K334" s="314"/>
      <c r="L334" s="314"/>
      <c r="M334" s="314"/>
      <c r="N334" s="769"/>
      <c r="O334" s="769"/>
      <c r="P334" s="773"/>
      <c r="Q334" s="774"/>
      <c r="R334" s="774"/>
      <c r="S334" s="775"/>
      <c r="AH334" s="776"/>
      <c r="AI334" s="776"/>
      <c r="AJ334" s="732"/>
      <c r="AK334" s="732"/>
      <c r="AL334" s="776"/>
      <c r="AM334" s="776"/>
      <c r="AN334" s="17"/>
      <c r="AO334" s="17"/>
      <c r="AP334" s="17"/>
      <c r="AQ334" s="17"/>
      <c r="AR334" s="17"/>
      <c r="AS334" s="17"/>
      <c r="AT334" s="17"/>
      <c r="AU334" s="732"/>
      <c r="AV334" s="313"/>
      <c r="AW334" s="313"/>
      <c r="AX334" s="313"/>
      <c r="AY334" s="313"/>
      <c r="AZ334" s="313"/>
      <c r="BA334" s="313"/>
      <c r="BB334" s="313"/>
      <c r="BC334" s="313"/>
      <c r="BD334" s="313"/>
      <c r="BE334" s="314"/>
      <c r="BW334" s="314"/>
      <c r="BX334" s="314"/>
      <c r="BY334" s="314"/>
      <c r="BZ334" s="314"/>
      <c r="CA334" s="314"/>
      <c r="CB334" s="314"/>
      <c r="CC334" s="314"/>
      <c r="CD334" s="314"/>
    </row>
    <row r="335" ht="28.5" customHeight="1">
      <c r="A335" s="767"/>
      <c r="B335" s="768"/>
      <c r="C335" s="768"/>
      <c r="D335" s="769"/>
      <c r="E335" s="769"/>
      <c r="F335" s="769"/>
      <c r="G335" s="336"/>
      <c r="H335" s="771"/>
      <c r="I335" s="769"/>
      <c r="J335" s="769"/>
      <c r="K335" s="314"/>
      <c r="L335" s="314"/>
      <c r="M335" s="314"/>
      <c r="N335" s="769"/>
      <c r="O335" s="769"/>
      <c r="P335" s="773"/>
      <c r="Q335" s="774"/>
      <c r="R335" s="774"/>
      <c r="S335" s="775"/>
      <c r="AH335" s="776"/>
      <c r="AI335" s="776"/>
      <c r="AJ335" s="732"/>
      <c r="AK335" s="732"/>
      <c r="AL335" s="776"/>
      <c r="AM335" s="776"/>
      <c r="AN335" s="17"/>
      <c r="AO335" s="17"/>
      <c r="AP335" s="17"/>
      <c r="AQ335" s="17"/>
      <c r="AR335" s="17"/>
      <c r="AS335" s="17"/>
      <c r="AT335" s="17"/>
      <c r="AU335" s="732"/>
      <c r="AV335" s="313"/>
      <c r="AW335" s="313"/>
      <c r="AX335" s="313"/>
      <c r="AY335" s="313"/>
      <c r="AZ335" s="313"/>
      <c r="BA335" s="313"/>
      <c r="BB335" s="313"/>
      <c r="BC335" s="313"/>
      <c r="BD335" s="313"/>
      <c r="BE335" s="314"/>
      <c r="BW335" s="314"/>
      <c r="BX335" s="314"/>
      <c r="BY335" s="314"/>
      <c r="BZ335" s="314"/>
      <c r="CA335" s="314"/>
      <c r="CB335" s="314"/>
      <c r="CC335" s="314"/>
      <c r="CD335" s="314"/>
    </row>
    <row r="336" ht="28.5" customHeight="1">
      <c r="A336" s="767"/>
      <c r="B336" s="768"/>
      <c r="C336" s="768"/>
      <c r="D336" s="769"/>
      <c r="E336" s="769"/>
      <c r="F336" s="769"/>
      <c r="G336" s="336"/>
      <c r="H336" s="771"/>
      <c r="I336" s="769"/>
      <c r="J336" s="769"/>
      <c r="K336" s="314"/>
      <c r="L336" s="314"/>
      <c r="M336" s="314"/>
      <c r="N336" s="769"/>
      <c r="O336" s="769"/>
      <c r="P336" s="773"/>
      <c r="Q336" s="774"/>
      <c r="R336" s="774"/>
      <c r="S336" s="775"/>
      <c r="AH336" s="776"/>
      <c r="AI336" s="776"/>
      <c r="AJ336" s="732"/>
      <c r="AK336" s="732"/>
      <c r="AL336" s="776"/>
      <c r="AM336" s="776"/>
      <c r="AN336" s="17"/>
      <c r="AO336" s="17"/>
      <c r="AP336" s="17"/>
      <c r="AQ336" s="17"/>
      <c r="AR336" s="17"/>
      <c r="AS336" s="17"/>
      <c r="AT336" s="17"/>
      <c r="AU336" s="732"/>
      <c r="AV336" s="313"/>
      <c r="AW336" s="313"/>
      <c r="AX336" s="313"/>
      <c r="AY336" s="313"/>
      <c r="AZ336" s="313"/>
      <c r="BA336" s="313"/>
      <c r="BB336" s="313"/>
      <c r="BC336" s="313"/>
      <c r="BD336" s="313"/>
      <c r="BE336" s="314"/>
      <c r="BW336" s="314"/>
      <c r="BX336" s="314"/>
      <c r="BY336" s="314"/>
      <c r="BZ336" s="314"/>
      <c r="CA336" s="314"/>
      <c r="CB336" s="314"/>
      <c r="CC336" s="314"/>
      <c r="CD336" s="314"/>
    </row>
    <row r="337" ht="28.5" customHeight="1">
      <c r="A337" s="767"/>
      <c r="B337" s="768"/>
      <c r="C337" s="768"/>
      <c r="D337" s="769"/>
      <c r="E337" s="769"/>
      <c r="F337" s="769"/>
      <c r="G337" s="336"/>
      <c r="H337" s="771"/>
      <c r="I337" s="769"/>
      <c r="J337" s="769"/>
      <c r="K337" s="314"/>
      <c r="L337" s="314"/>
      <c r="M337" s="314"/>
      <c r="N337" s="769"/>
      <c r="O337" s="769"/>
      <c r="P337" s="773"/>
      <c r="Q337" s="774"/>
      <c r="R337" s="774"/>
      <c r="S337" s="775"/>
      <c r="AH337" s="776"/>
      <c r="AI337" s="776"/>
      <c r="AJ337" s="732"/>
      <c r="AK337" s="732"/>
      <c r="AL337" s="776"/>
      <c r="AM337" s="776"/>
      <c r="AN337" s="17"/>
      <c r="AO337" s="17"/>
      <c r="AP337" s="17"/>
      <c r="AQ337" s="17"/>
      <c r="AR337" s="17"/>
      <c r="AS337" s="17"/>
      <c r="AT337" s="17"/>
      <c r="AU337" s="732"/>
      <c r="AV337" s="313"/>
      <c r="AW337" s="313"/>
      <c r="AX337" s="313"/>
      <c r="AY337" s="313"/>
      <c r="AZ337" s="313"/>
      <c r="BA337" s="313"/>
      <c r="BB337" s="313"/>
      <c r="BC337" s="313"/>
      <c r="BD337" s="313"/>
      <c r="BE337" s="314"/>
      <c r="BW337" s="314"/>
      <c r="BX337" s="314"/>
      <c r="BY337" s="314"/>
      <c r="BZ337" s="314"/>
      <c r="CA337" s="314"/>
      <c r="CB337" s="314"/>
      <c r="CC337" s="314"/>
      <c r="CD337" s="314"/>
    </row>
    <row r="338" ht="28.5" customHeight="1">
      <c r="A338" s="767"/>
      <c r="B338" s="768"/>
      <c r="C338" s="768"/>
      <c r="D338" s="769"/>
      <c r="E338" s="769"/>
      <c r="F338" s="769"/>
      <c r="G338" s="336"/>
      <c r="H338" s="771"/>
      <c r="I338" s="769"/>
      <c r="J338" s="769"/>
      <c r="K338" s="314"/>
      <c r="L338" s="314"/>
      <c r="M338" s="314"/>
      <c r="N338" s="769"/>
      <c r="O338" s="769"/>
      <c r="P338" s="773"/>
      <c r="Q338" s="774"/>
      <c r="R338" s="774"/>
      <c r="S338" s="775"/>
      <c r="AH338" s="776"/>
      <c r="AI338" s="776"/>
      <c r="AJ338" s="732"/>
      <c r="AK338" s="732"/>
      <c r="AL338" s="776"/>
      <c r="AM338" s="776"/>
      <c r="AN338" s="17"/>
      <c r="AO338" s="17"/>
      <c r="AP338" s="17"/>
      <c r="AQ338" s="17"/>
      <c r="AR338" s="17"/>
      <c r="AS338" s="17"/>
      <c r="AT338" s="17"/>
      <c r="AU338" s="732"/>
      <c r="AV338" s="313"/>
      <c r="AW338" s="313"/>
      <c r="AX338" s="313"/>
      <c r="AY338" s="313"/>
      <c r="AZ338" s="313"/>
      <c r="BA338" s="313"/>
      <c r="BB338" s="313"/>
      <c r="BC338" s="313"/>
      <c r="BD338" s="313"/>
      <c r="BE338" s="314"/>
      <c r="BW338" s="314"/>
      <c r="BX338" s="314"/>
      <c r="BY338" s="314"/>
      <c r="BZ338" s="314"/>
      <c r="CA338" s="314"/>
      <c r="CB338" s="314"/>
      <c r="CC338" s="314"/>
      <c r="CD338" s="314"/>
    </row>
    <row r="339" ht="28.5" customHeight="1">
      <c r="A339" s="767"/>
      <c r="B339" s="768"/>
      <c r="C339" s="768"/>
      <c r="D339" s="769"/>
      <c r="E339" s="769"/>
      <c r="F339" s="769"/>
      <c r="G339" s="336"/>
      <c r="H339" s="771"/>
      <c r="I339" s="769"/>
      <c r="J339" s="769"/>
      <c r="K339" s="314"/>
      <c r="L339" s="314"/>
      <c r="M339" s="314"/>
      <c r="N339" s="769"/>
      <c r="O339" s="769"/>
      <c r="P339" s="773"/>
      <c r="Q339" s="774"/>
      <c r="R339" s="774"/>
      <c r="S339" s="775"/>
      <c r="AH339" s="776"/>
      <c r="AI339" s="776"/>
      <c r="AJ339" s="732"/>
      <c r="AK339" s="732"/>
      <c r="AL339" s="776"/>
      <c r="AM339" s="776"/>
      <c r="AN339" s="17"/>
      <c r="AO339" s="17"/>
      <c r="AP339" s="17"/>
      <c r="AQ339" s="17"/>
      <c r="AR339" s="17"/>
      <c r="AS339" s="17"/>
      <c r="AT339" s="17"/>
      <c r="AU339" s="732"/>
      <c r="AV339" s="313"/>
      <c r="AW339" s="313"/>
      <c r="AX339" s="313"/>
      <c r="AY339" s="313"/>
      <c r="AZ339" s="313"/>
      <c r="BA339" s="313"/>
      <c r="BB339" s="313"/>
      <c r="BC339" s="313"/>
      <c r="BD339" s="313"/>
      <c r="BE339" s="314"/>
      <c r="BW339" s="314"/>
      <c r="BX339" s="314"/>
      <c r="BY339" s="314"/>
      <c r="BZ339" s="314"/>
      <c r="CA339" s="314"/>
      <c r="CB339" s="314"/>
      <c r="CC339" s="314"/>
      <c r="CD339" s="314"/>
    </row>
    <row r="340" ht="28.5" customHeight="1">
      <c r="A340" s="767"/>
      <c r="B340" s="768"/>
      <c r="C340" s="768"/>
      <c r="D340" s="769"/>
      <c r="E340" s="769"/>
      <c r="F340" s="769"/>
      <c r="G340" s="336"/>
      <c r="H340" s="771"/>
      <c r="I340" s="769"/>
      <c r="J340" s="769"/>
      <c r="K340" s="314"/>
      <c r="L340" s="314"/>
      <c r="M340" s="314"/>
      <c r="N340" s="769"/>
      <c r="O340" s="769"/>
      <c r="P340" s="773"/>
      <c r="Q340" s="774"/>
      <c r="R340" s="774"/>
      <c r="S340" s="775"/>
      <c r="AH340" s="776"/>
      <c r="AI340" s="776"/>
      <c r="AJ340" s="732"/>
      <c r="AK340" s="732"/>
      <c r="AL340" s="776"/>
      <c r="AM340" s="776"/>
      <c r="AN340" s="17"/>
      <c r="AO340" s="17"/>
      <c r="AP340" s="17"/>
      <c r="AQ340" s="17"/>
      <c r="AR340" s="17"/>
      <c r="AS340" s="17"/>
      <c r="AT340" s="17"/>
      <c r="AU340" s="732"/>
      <c r="AV340" s="313"/>
      <c r="AW340" s="313"/>
      <c r="AX340" s="313"/>
      <c r="AY340" s="313"/>
      <c r="AZ340" s="313"/>
      <c r="BA340" s="313"/>
      <c r="BB340" s="313"/>
      <c r="BC340" s="313"/>
      <c r="BD340" s="313"/>
      <c r="BE340" s="314"/>
      <c r="BW340" s="314"/>
      <c r="BX340" s="314"/>
      <c r="BY340" s="314"/>
      <c r="BZ340" s="314"/>
      <c r="CA340" s="314"/>
      <c r="CB340" s="314"/>
      <c r="CC340" s="314"/>
      <c r="CD340" s="314"/>
    </row>
    <row r="341" ht="28.5" customHeight="1">
      <c r="A341" s="767"/>
      <c r="B341" s="768"/>
      <c r="C341" s="768"/>
      <c r="D341" s="769"/>
      <c r="E341" s="769"/>
      <c r="F341" s="769"/>
      <c r="G341" s="336"/>
      <c r="H341" s="771"/>
      <c r="I341" s="769"/>
      <c r="J341" s="769"/>
      <c r="K341" s="314"/>
      <c r="L341" s="314"/>
      <c r="M341" s="314"/>
      <c r="N341" s="769"/>
      <c r="O341" s="769"/>
      <c r="P341" s="773"/>
      <c r="Q341" s="774"/>
      <c r="R341" s="774"/>
      <c r="S341" s="775"/>
      <c r="AH341" s="776"/>
      <c r="AI341" s="776"/>
      <c r="AJ341" s="732"/>
      <c r="AK341" s="732"/>
      <c r="AL341" s="776"/>
      <c r="AM341" s="776"/>
      <c r="AN341" s="17"/>
      <c r="AO341" s="17"/>
      <c r="AP341" s="17"/>
      <c r="AQ341" s="17"/>
      <c r="AR341" s="17"/>
      <c r="AS341" s="17"/>
      <c r="AT341" s="17"/>
      <c r="AU341" s="732"/>
      <c r="AV341" s="313"/>
      <c r="AW341" s="313"/>
      <c r="AX341" s="313"/>
      <c r="AY341" s="313"/>
      <c r="AZ341" s="313"/>
      <c r="BA341" s="313"/>
      <c r="BB341" s="313"/>
      <c r="BC341" s="313"/>
      <c r="BD341" s="313"/>
      <c r="BE341" s="314"/>
      <c r="BW341" s="314"/>
      <c r="BX341" s="314"/>
      <c r="BY341" s="314"/>
      <c r="BZ341" s="314"/>
      <c r="CA341" s="314"/>
      <c r="CB341" s="314"/>
      <c r="CC341" s="314"/>
      <c r="CD341" s="314"/>
    </row>
    <row r="342" ht="28.5" customHeight="1">
      <c r="A342" s="767"/>
      <c r="B342" s="768"/>
      <c r="C342" s="768"/>
      <c r="D342" s="769"/>
      <c r="E342" s="769"/>
      <c r="F342" s="769"/>
      <c r="G342" s="336"/>
      <c r="H342" s="771"/>
      <c r="I342" s="769"/>
      <c r="J342" s="769"/>
      <c r="K342" s="314"/>
      <c r="L342" s="314"/>
      <c r="M342" s="314"/>
      <c r="N342" s="769"/>
      <c r="O342" s="769"/>
      <c r="P342" s="773"/>
      <c r="Q342" s="774"/>
      <c r="R342" s="774"/>
      <c r="S342" s="775"/>
      <c r="AH342" s="776"/>
      <c r="AI342" s="776"/>
      <c r="AJ342" s="732"/>
      <c r="AK342" s="732"/>
      <c r="AL342" s="776"/>
      <c r="AM342" s="776"/>
      <c r="AN342" s="17"/>
      <c r="AO342" s="17"/>
      <c r="AP342" s="17"/>
      <c r="AQ342" s="17"/>
      <c r="AR342" s="17"/>
      <c r="AS342" s="17"/>
      <c r="AT342" s="17"/>
      <c r="AU342" s="732"/>
      <c r="AV342" s="313"/>
      <c r="AW342" s="313"/>
      <c r="AX342" s="313"/>
      <c r="AY342" s="313"/>
      <c r="AZ342" s="313"/>
      <c r="BA342" s="313"/>
      <c r="BB342" s="313"/>
      <c r="BC342" s="313"/>
      <c r="BD342" s="313"/>
      <c r="BE342" s="314"/>
      <c r="BW342" s="314"/>
      <c r="BX342" s="314"/>
      <c r="BY342" s="314"/>
      <c r="BZ342" s="314"/>
      <c r="CA342" s="314"/>
      <c r="CB342" s="314"/>
      <c r="CC342" s="314"/>
      <c r="CD342" s="314"/>
    </row>
    <row r="343" ht="28.5" customHeight="1">
      <c r="A343" s="767"/>
      <c r="B343" s="768"/>
      <c r="C343" s="768"/>
      <c r="D343" s="769"/>
      <c r="E343" s="769"/>
      <c r="F343" s="769"/>
      <c r="G343" s="336"/>
      <c r="H343" s="771"/>
      <c r="I343" s="769"/>
      <c r="J343" s="769"/>
      <c r="K343" s="314"/>
      <c r="L343" s="314"/>
      <c r="M343" s="314"/>
      <c r="N343" s="769"/>
      <c r="O343" s="769"/>
      <c r="P343" s="773"/>
      <c r="Q343" s="774"/>
      <c r="R343" s="774"/>
      <c r="S343" s="775"/>
      <c r="AH343" s="776"/>
      <c r="AI343" s="776"/>
      <c r="AJ343" s="732"/>
      <c r="AK343" s="732"/>
      <c r="AL343" s="776"/>
      <c r="AM343" s="776"/>
      <c r="AN343" s="17"/>
      <c r="AO343" s="17"/>
      <c r="AP343" s="17"/>
      <c r="AQ343" s="17"/>
      <c r="AR343" s="17"/>
      <c r="AS343" s="17"/>
      <c r="AT343" s="17"/>
      <c r="AU343" s="732"/>
      <c r="AV343" s="313"/>
      <c r="AW343" s="313"/>
      <c r="AX343" s="313"/>
      <c r="AY343" s="313"/>
      <c r="AZ343" s="313"/>
      <c r="BA343" s="313"/>
      <c r="BB343" s="313"/>
      <c r="BC343" s="313"/>
      <c r="BD343" s="313"/>
      <c r="BE343" s="314"/>
      <c r="BW343" s="314"/>
      <c r="BX343" s="314"/>
      <c r="BY343" s="314"/>
      <c r="BZ343" s="314"/>
      <c r="CA343" s="314"/>
      <c r="CB343" s="314"/>
      <c r="CC343" s="314"/>
      <c r="CD343" s="314"/>
    </row>
    <row r="344" ht="28.5" customHeight="1">
      <c r="A344" s="767"/>
      <c r="B344" s="768"/>
      <c r="C344" s="768"/>
      <c r="D344" s="769"/>
      <c r="E344" s="769"/>
      <c r="F344" s="769"/>
      <c r="G344" s="336"/>
      <c r="H344" s="771"/>
      <c r="I344" s="769"/>
      <c r="J344" s="769"/>
      <c r="K344" s="314"/>
      <c r="L344" s="314"/>
      <c r="M344" s="314"/>
      <c r="N344" s="769"/>
      <c r="O344" s="769"/>
      <c r="P344" s="773"/>
      <c r="Q344" s="774"/>
      <c r="R344" s="774"/>
      <c r="S344" s="775"/>
      <c r="AH344" s="776"/>
      <c r="AI344" s="776"/>
      <c r="AJ344" s="732"/>
      <c r="AK344" s="732"/>
      <c r="AL344" s="776"/>
      <c r="AM344" s="776"/>
      <c r="AN344" s="17"/>
      <c r="AO344" s="17"/>
      <c r="AP344" s="17"/>
      <c r="AQ344" s="17"/>
      <c r="AR344" s="17"/>
      <c r="AS344" s="17"/>
      <c r="AT344" s="17"/>
      <c r="AU344" s="732"/>
      <c r="AV344" s="313"/>
      <c r="AW344" s="313"/>
      <c r="AX344" s="313"/>
      <c r="AY344" s="313"/>
      <c r="AZ344" s="313"/>
      <c r="BA344" s="313"/>
      <c r="BB344" s="313"/>
      <c r="BC344" s="313"/>
      <c r="BD344" s="313"/>
      <c r="BE344" s="314"/>
      <c r="BW344" s="314"/>
      <c r="BX344" s="314"/>
      <c r="BY344" s="314"/>
      <c r="BZ344" s="314"/>
      <c r="CA344" s="314"/>
      <c r="CB344" s="314"/>
      <c r="CC344" s="314"/>
      <c r="CD344" s="314"/>
    </row>
    <row r="345" ht="28.5" customHeight="1">
      <c r="A345" s="767"/>
      <c r="B345" s="768"/>
      <c r="C345" s="768"/>
      <c r="D345" s="769"/>
      <c r="E345" s="769"/>
      <c r="F345" s="769"/>
      <c r="G345" s="336"/>
      <c r="H345" s="771"/>
      <c r="I345" s="769"/>
      <c r="J345" s="769"/>
      <c r="K345" s="314"/>
      <c r="L345" s="314"/>
      <c r="M345" s="314"/>
      <c r="N345" s="769"/>
      <c r="O345" s="769"/>
      <c r="P345" s="773"/>
      <c r="Q345" s="774"/>
      <c r="R345" s="774"/>
      <c r="S345" s="775"/>
      <c r="AH345" s="776"/>
      <c r="AI345" s="776"/>
      <c r="AJ345" s="732"/>
      <c r="AK345" s="732"/>
      <c r="AL345" s="776"/>
      <c r="AM345" s="776"/>
      <c r="AN345" s="17"/>
      <c r="AO345" s="17"/>
      <c r="AP345" s="17"/>
      <c r="AQ345" s="17"/>
      <c r="AR345" s="17"/>
      <c r="AS345" s="17"/>
      <c r="AT345" s="17"/>
      <c r="AU345" s="732"/>
      <c r="AV345" s="313"/>
      <c r="AW345" s="313"/>
      <c r="AX345" s="313"/>
      <c r="AY345" s="313"/>
      <c r="AZ345" s="313"/>
      <c r="BA345" s="313"/>
      <c r="BB345" s="313"/>
      <c r="BC345" s="313"/>
      <c r="BD345" s="313"/>
      <c r="BE345" s="314"/>
      <c r="BW345" s="314"/>
      <c r="BX345" s="314"/>
      <c r="BY345" s="314"/>
      <c r="BZ345" s="314"/>
      <c r="CA345" s="314"/>
      <c r="CB345" s="314"/>
      <c r="CC345" s="314"/>
      <c r="CD345" s="314"/>
    </row>
    <row r="346" ht="28.5" customHeight="1">
      <c r="A346" s="767"/>
      <c r="B346" s="768"/>
      <c r="C346" s="768"/>
      <c r="D346" s="769"/>
      <c r="E346" s="769"/>
      <c r="F346" s="769"/>
      <c r="G346" s="336"/>
      <c r="H346" s="771"/>
      <c r="I346" s="769"/>
      <c r="J346" s="769"/>
      <c r="K346" s="314"/>
      <c r="L346" s="314"/>
      <c r="M346" s="314"/>
      <c r="N346" s="769"/>
      <c r="O346" s="769"/>
      <c r="P346" s="773"/>
      <c r="Q346" s="774"/>
      <c r="R346" s="774"/>
      <c r="S346" s="775"/>
      <c r="AH346" s="776"/>
      <c r="AI346" s="776"/>
      <c r="AJ346" s="732"/>
      <c r="AK346" s="732"/>
      <c r="AL346" s="776"/>
      <c r="AM346" s="776"/>
      <c r="AN346" s="17"/>
      <c r="AO346" s="17"/>
      <c r="AP346" s="17"/>
      <c r="AQ346" s="17"/>
      <c r="AR346" s="17"/>
      <c r="AS346" s="17"/>
      <c r="AT346" s="17"/>
      <c r="AU346" s="732"/>
      <c r="AV346" s="313"/>
      <c r="AW346" s="313"/>
      <c r="AX346" s="313"/>
      <c r="AY346" s="313"/>
      <c r="AZ346" s="313"/>
      <c r="BA346" s="313"/>
      <c r="BB346" s="313"/>
      <c r="BC346" s="313"/>
      <c r="BD346" s="313"/>
      <c r="BE346" s="314"/>
      <c r="BW346" s="314"/>
      <c r="BX346" s="314"/>
      <c r="BY346" s="314"/>
      <c r="BZ346" s="314"/>
      <c r="CA346" s="314"/>
      <c r="CB346" s="314"/>
      <c r="CC346" s="314"/>
      <c r="CD346" s="314"/>
    </row>
    <row r="347" ht="28.5" customHeight="1">
      <c r="A347" s="767"/>
      <c r="B347" s="768"/>
      <c r="C347" s="768"/>
      <c r="D347" s="769"/>
      <c r="E347" s="769"/>
      <c r="F347" s="769"/>
      <c r="G347" s="336"/>
      <c r="H347" s="771"/>
      <c r="I347" s="769"/>
      <c r="J347" s="769"/>
      <c r="K347" s="314"/>
      <c r="L347" s="314"/>
      <c r="M347" s="314"/>
      <c r="N347" s="769"/>
      <c r="O347" s="769"/>
      <c r="P347" s="773"/>
      <c r="Q347" s="774"/>
      <c r="R347" s="774"/>
      <c r="S347" s="775"/>
      <c r="AH347" s="776"/>
      <c r="AI347" s="776"/>
      <c r="AJ347" s="732"/>
      <c r="AK347" s="732"/>
      <c r="AL347" s="776"/>
      <c r="AM347" s="776"/>
      <c r="AN347" s="17"/>
      <c r="AO347" s="17"/>
      <c r="AP347" s="17"/>
      <c r="AQ347" s="17"/>
      <c r="AR347" s="17"/>
      <c r="AS347" s="17"/>
      <c r="AT347" s="17"/>
      <c r="AU347" s="732"/>
      <c r="AV347" s="313"/>
      <c r="AW347" s="313"/>
      <c r="AX347" s="313"/>
      <c r="AY347" s="313"/>
      <c r="AZ347" s="313"/>
      <c r="BA347" s="313"/>
      <c r="BB347" s="313"/>
      <c r="BC347" s="313"/>
      <c r="BD347" s="313"/>
      <c r="BE347" s="314"/>
      <c r="BW347" s="314"/>
      <c r="BX347" s="314"/>
      <c r="BY347" s="314"/>
      <c r="BZ347" s="314"/>
      <c r="CA347" s="314"/>
      <c r="CB347" s="314"/>
      <c r="CC347" s="314"/>
      <c r="CD347" s="314"/>
    </row>
    <row r="348" ht="28.5" customHeight="1">
      <c r="A348" s="767"/>
      <c r="B348" s="768"/>
      <c r="C348" s="768"/>
      <c r="D348" s="769"/>
      <c r="E348" s="769"/>
      <c r="F348" s="769"/>
      <c r="G348" s="336"/>
      <c r="H348" s="771"/>
      <c r="I348" s="769"/>
      <c r="J348" s="769"/>
      <c r="K348" s="314"/>
      <c r="L348" s="314"/>
      <c r="M348" s="314"/>
      <c r="N348" s="769"/>
      <c r="O348" s="769"/>
      <c r="P348" s="773"/>
      <c r="Q348" s="774"/>
      <c r="R348" s="774"/>
      <c r="S348" s="775"/>
      <c r="AH348" s="776"/>
      <c r="AI348" s="776"/>
      <c r="AJ348" s="732"/>
      <c r="AK348" s="732"/>
      <c r="AL348" s="776"/>
      <c r="AM348" s="776"/>
      <c r="AN348" s="17"/>
      <c r="AO348" s="17"/>
      <c r="AP348" s="17"/>
      <c r="AQ348" s="17"/>
      <c r="AR348" s="17"/>
      <c r="AS348" s="17"/>
      <c r="AT348" s="17"/>
      <c r="AU348" s="732"/>
      <c r="AV348" s="313"/>
      <c r="AW348" s="313"/>
      <c r="AX348" s="313"/>
      <c r="AY348" s="313"/>
      <c r="AZ348" s="313"/>
      <c r="BA348" s="313"/>
      <c r="BB348" s="313"/>
      <c r="BC348" s="313"/>
      <c r="BD348" s="313"/>
      <c r="BE348" s="314"/>
      <c r="BW348" s="314"/>
      <c r="BX348" s="314"/>
      <c r="BY348" s="314"/>
      <c r="BZ348" s="314"/>
      <c r="CA348" s="314"/>
      <c r="CB348" s="314"/>
      <c r="CC348" s="314"/>
      <c r="CD348" s="314"/>
    </row>
    <row r="349" ht="28.5" customHeight="1">
      <c r="A349" s="767"/>
      <c r="B349" s="768"/>
      <c r="C349" s="768"/>
      <c r="D349" s="769"/>
      <c r="E349" s="769"/>
      <c r="F349" s="769"/>
      <c r="G349" s="336"/>
      <c r="H349" s="771"/>
      <c r="I349" s="769"/>
      <c r="J349" s="769"/>
      <c r="K349" s="314"/>
      <c r="L349" s="314"/>
      <c r="M349" s="314"/>
      <c r="N349" s="769"/>
      <c r="O349" s="769"/>
      <c r="P349" s="773"/>
      <c r="Q349" s="774"/>
      <c r="R349" s="774"/>
      <c r="S349" s="775"/>
      <c r="AH349" s="776"/>
      <c r="AI349" s="776"/>
      <c r="AJ349" s="732"/>
      <c r="AK349" s="732"/>
      <c r="AL349" s="776"/>
      <c r="AM349" s="776"/>
      <c r="AN349" s="17"/>
      <c r="AO349" s="17"/>
      <c r="AP349" s="17"/>
      <c r="AQ349" s="17"/>
      <c r="AR349" s="17"/>
      <c r="AS349" s="17"/>
      <c r="AT349" s="17"/>
      <c r="AU349" s="732"/>
      <c r="AV349" s="313"/>
      <c r="AW349" s="313"/>
      <c r="AX349" s="313"/>
      <c r="AY349" s="313"/>
      <c r="AZ349" s="313"/>
      <c r="BA349" s="313"/>
      <c r="BB349" s="313"/>
      <c r="BC349" s="313"/>
      <c r="BD349" s="313"/>
      <c r="BE349" s="314"/>
      <c r="BW349" s="314"/>
      <c r="BX349" s="314"/>
      <c r="BY349" s="314"/>
      <c r="BZ349" s="314"/>
      <c r="CA349" s="314"/>
      <c r="CB349" s="314"/>
      <c r="CC349" s="314"/>
      <c r="CD349" s="314"/>
    </row>
    <row r="350" ht="28.5" customHeight="1">
      <c r="A350" s="767"/>
      <c r="B350" s="768"/>
      <c r="C350" s="768"/>
      <c r="D350" s="769"/>
      <c r="E350" s="769"/>
      <c r="F350" s="769"/>
      <c r="G350" s="336"/>
      <c r="H350" s="771"/>
      <c r="I350" s="769"/>
      <c r="J350" s="769"/>
      <c r="K350" s="314"/>
      <c r="L350" s="314"/>
      <c r="M350" s="314"/>
      <c r="N350" s="769"/>
      <c r="O350" s="769"/>
      <c r="P350" s="773"/>
      <c r="Q350" s="774"/>
      <c r="R350" s="774"/>
      <c r="S350" s="775"/>
      <c r="AH350" s="776"/>
      <c r="AI350" s="776"/>
      <c r="AJ350" s="732"/>
      <c r="AK350" s="732"/>
      <c r="AL350" s="776"/>
      <c r="AM350" s="776"/>
      <c r="AN350" s="17"/>
      <c r="AO350" s="17"/>
      <c r="AP350" s="17"/>
      <c r="AQ350" s="17"/>
      <c r="AR350" s="17"/>
      <c r="AS350" s="17"/>
      <c r="AT350" s="17"/>
      <c r="AU350" s="732"/>
      <c r="AV350" s="313"/>
      <c r="AW350" s="313"/>
      <c r="AX350" s="313"/>
      <c r="AY350" s="313"/>
      <c r="AZ350" s="313"/>
      <c r="BA350" s="313"/>
      <c r="BB350" s="313"/>
      <c r="BC350" s="313"/>
      <c r="BD350" s="313"/>
      <c r="BE350" s="314"/>
      <c r="BW350" s="314"/>
      <c r="BX350" s="314"/>
      <c r="BY350" s="314"/>
      <c r="BZ350" s="314"/>
      <c r="CA350" s="314"/>
      <c r="CB350" s="314"/>
      <c r="CC350" s="314"/>
      <c r="CD350" s="314"/>
    </row>
    <row r="351" ht="28.5" customHeight="1">
      <c r="A351" s="767"/>
      <c r="B351" s="768"/>
      <c r="C351" s="768"/>
      <c r="D351" s="769"/>
      <c r="E351" s="769"/>
      <c r="F351" s="769"/>
      <c r="G351" s="336"/>
      <c r="H351" s="771"/>
      <c r="I351" s="769"/>
      <c r="J351" s="769"/>
      <c r="K351" s="314"/>
      <c r="L351" s="314"/>
      <c r="M351" s="314"/>
      <c r="N351" s="769"/>
      <c r="O351" s="769"/>
      <c r="P351" s="773"/>
      <c r="Q351" s="774"/>
      <c r="R351" s="774"/>
      <c r="S351" s="775"/>
      <c r="AH351" s="776"/>
      <c r="AI351" s="776"/>
      <c r="AJ351" s="732"/>
      <c r="AK351" s="732"/>
      <c r="AL351" s="776"/>
      <c r="AM351" s="776"/>
      <c r="AN351" s="17"/>
      <c r="AO351" s="17"/>
      <c r="AP351" s="17"/>
      <c r="AQ351" s="17"/>
      <c r="AR351" s="17"/>
      <c r="AS351" s="17"/>
      <c r="AT351" s="17"/>
      <c r="AU351" s="732"/>
      <c r="AV351" s="313"/>
      <c r="AW351" s="313"/>
      <c r="AX351" s="313"/>
      <c r="AY351" s="313"/>
      <c r="AZ351" s="313"/>
      <c r="BA351" s="313"/>
      <c r="BB351" s="313"/>
      <c r="BC351" s="313"/>
      <c r="BD351" s="313"/>
      <c r="BE351" s="314"/>
      <c r="BW351" s="314"/>
      <c r="BX351" s="314"/>
      <c r="BY351" s="314"/>
      <c r="BZ351" s="314"/>
      <c r="CA351" s="314"/>
      <c r="CB351" s="314"/>
      <c r="CC351" s="314"/>
      <c r="CD351" s="314"/>
    </row>
    <row r="352" ht="28.5" customHeight="1">
      <c r="A352" s="767"/>
      <c r="B352" s="768"/>
      <c r="C352" s="768"/>
      <c r="D352" s="769"/>
      <c r="E352" s="769"/>
      <c r="F352" s="769"/>
      <c r="G352" s="336"/>
      <c r="H352" s="771"/>
      <c r="I352" s="769"/>
      <c r="J352" s="769"/>
      <c r="K352" s="314"/>
      <c r="L352" s="314"/>
      <c r="M352" s="314"/>
      <c r="N352" s="769"/>
      <c r="O352" s="769"/>
      <c r="P352" s="773"/>
      <c r="Q352" s="774"/>
      <c r="R352" s="774"/>
      <c r="S352" s="775"/>
      <c r="AH352" s="776"/>
      <c r="AI352" s="776"/>
      <c r="AJ352" s="732"/>
      <c r="AK352" s="732"/>
      <c r="AL352" s="776"/>
      <c r="AM352" s="776"/>
      <c r="AN352" s="17"/>
      <c r="AO352" s="17"/>
      <c r="AP352" s="17"/>
      <c r="AQ352" s="17"/>
      <c r="AR352" s="17"/>
      <c r="AS352" s="17"/>
      <c r="AT352" s="17"/>
      <c r="AU352" s="732"/>
      <c r="AV352" s="313"/>
      <c r="AW352" s="313"/>
      <c r="AX352" s="313"/>
      <c r="AY352" s="313"/>
      <c r="AZ352" s="313"/>
      <c r="BA352" s="313"/>
      <c r="BB352" s="313"/>
      <c r="BC352" s="313"/>
      <c r="BD352" s="313"/>
      <c r="BE352" s="314"/>
      <c r="BW352" s="314"/>
      <c r="BX352" s="314"/>
      <c r="BY352" s="314"/>
      <c r="BZ352" s="314"/>
      <c r="CA352" s="314"/>
      <c r="CB352" s="314"/>
      <c r="CC352" s="314"/>
      <c r="CD352" s="314"/>
    </row>
    <row r="353" ht="28.5" customHeight="1">
      <c r="A353" s="767"/>
      <c r="B353" s="768"/>
      <c r="C353" s="768"/>
      <c r="D353" s="769"/>
      <c r="E353" s="769"/>
      <c r="F353" s="769"/>
      <c r="G353" s="336"/>
      <c r="H353" s="771"/>
      <c r="I353" s="769"/>
      <c r="J353" s="769"/>
      <c r="K353" s="314"/>
      <c r="L353" s="314"/>
      <c r="M353" s="314"/>
      <c r="N353" s="769"/>
      <c r="O353" s="769"/>
      <c r="P353" s="773"/>
      <c r="Q353" s="774"/>
      <c r="R353" s="774"/>
      <c r="S353" s="775"/>
      <c r="AH353" s="776"/>
      <c r="AI353" s="776"/>
      <c r="AJ353" s="732"/>
      <c r="AK353" s="732"/>
      <c r="AL353" s="776"/>
      <c r="AM353" s="776"/>
      <c r="AN353" s="17"/>
      <c r="AO353" s="17"/>
      <c r="AP353" s="17"/>
      <c r="AQ353" s="17"/>
      <c r="AR353" s="17"/>
      <c r="AS353" s="17"/>
      <c r="AT353" s="17"/>
      <c r="AU353" s="732"/>
      <c r="AV353" s="313"/>
      <c r="AW353" s="313"/>
      <c r="AX353" s="313"/>
      <c r="AY353" s="313"/>
      <c r="AZ353" s="313"/>
      <c r="BA353" s="313"/>
      <c r="BB353" s="313"/>
      <c r="BC353" s="313"/>
      <c r="BD353" s="313"/>
      <c r="BE353" s="314"/>
      <c r="BW353" s="314"/>
      <c r="BX353" s="314"/>
      <c r="BY353" s="314"/>
      <c r="BZ353" s="314"/>
      <c r="CA353" s="314"/>
      <c r="CB353" s="314"/>
      <c r="CC353" s="314"/>
      <c r="CD353" s="314"/>
    </row>
    <row r="354" ht="28.5" customHeight="1">
      <c r="A354" s="767"/>
      <c r="B354" s="768"/>
      <c r="C354" s="768"/>
      <c r="D354" s="769"/>
      <c r="E354" s="769"/>
      <c r="F354" s="769"/>
      <c r="G354" s="336"/>
      <c r="H354" s="771"/>
      <c r="I354" s="769"/>
      <c r="J354" s="769"/>
      <c r="K354" s="314"/>
      <c r="L354" s="314"/>
      <c r="M354" s="314"/>
      <c r="N354" s="769"/>
      <c r="O354" s="769"/>
      <c r="P354" s="773"/>
      <c r="Q354" s="774"/>
      <c r="R354" s="774"/>
      <c r="S354" s="775"/>
      <c r="AH354" s="776"/>
      <c r="AI354" s="776"/>
      <c r="AJ354" s="732"/>
      <c r="AK354" s="732"/>
      <c r="AL354" s="776"/>
      <c r="AM354" s="776"/>
      <c r="AN354" s="17"/>
      <c r="AO354" s="17"/>
      <c r="AP354" s="17"/>
      <c r="AQ354" s="17"/>
      <c r="AR354" s="17"/>
      <c r="AS354" s="17"/>
      <c r="AT354" s="17"/>
      <c r="AU354" s="732"/>
      <c r="AV354" s="313"/>
      <c r="AW354" s="313"/>
      <c r="AX354" s="313"/>
      <c r="AY354" s="313"/>
      <c r="AZ354" s="313"/>
      <c r="BA354" s="313"/>
      <c r="BB354" s="313"/>
      <c r="BC354" s="313"/>
      <c r="BD354" s="313"/>
      <c r="BE354" s="314"/>
      <c r="BW354" s="314"/>
      <c r="BX354" s="314"/>
      <c r="BY354" s="314"/>
      <c r="BZ354" s="314"/>
      <c r="CA354" s="314"/>
      <c r="CB354" s="314"/>
      <c r="CC354" s="314"/>
      <c r="CD354" s="314"/>
    </row>
    <row r="355" ht="28.5" customHeight="1">
      <c r="A355" s="767"/>
      <c r="B355" s="768"/>
      <c r="C355" s="768"/>
      <c r="D355" s="769"/>
      <c r="E355" s="769"/>
      <c r="F355" s="769"/>
      <c r="G355" s="336"/>
      <c r="H355" s="771"/>
      <c r="I355" s="769"/>
      <c r="J355" s="769"/>
      <c r="K355" s="314"/>
      <c r="L355" s="314"/>
      <c r="M355" s="314"/>
      <c r="N355" s="769"/>
      <c r="O355" s="769"/>
      <c r="P355" s="773"/>
      <c r="Q355" s="774"/>
      <c r="R355" s="774"/>
      <c r="S355" s="775"/>
      <c r="AH355" s="776"/>
      <c r="AI355" s="776"/>
      <c r="AJ355" s="732"/>
      <c r="AK355" s="732"/>
      <c r="AL355" s="776"/>
      <c r="AM355" s="776"/>
      <c r="AN355" s="17"/>
      <c r="AO355" s="17"/>
      <c r="AP355" s="17"/>
      <c r="AQ355" s="17"/>
      <c r="AR355" s="17"/>
      <c r="AS355" s="17"/>
      <c r="AT355" s="17"/>
      <c r="AU355" s="732"/>
      <c r="AV355" s="313"/>
      <c r="AW355" s="313"/>
      <c r="AX355" s="313"/>
      <c r="AY355" s="313"/>
      <c r="AZ355" s="313"/>
      <c r="BA355" s="313"/>
      <c r="BB355" s="313"/>
      <c r="BC355" s="313"/>
      <c r="BD355" s="313"/>
      <c r="BE355" s="314"/>
      <c r="BW355" s="314"/>
      <c r="BX355" s="314"/>
      <c r="BY355" s="314"/>
      <c r="BZ355" s="314"/>
      <c r="CA355" s="314"/>
      <c r="CB355" s="314"/>
      <c r="CC355" s="314"/>
      <c r="CD355" s="314"/>
    </row>
    <row r="356" ht="28.5" customHeight="1">
      <c r="A356" s="767"/>
      <c r="B356" s="768"/>
      <c r="C356" s="768"/>
      <c r="D356" s="769"/>
      <c r="E356" s="769"/>
      <c r="F356" s="769"/>
      <c r="G356" s="336"/>
      <c r="H356" s="771"/>
      <c r="I356" s="769"/>
      <c r="J356" s="769"/>
      <c r="K356" s="314"/>
      <c r="L356" s="314"/>
      <c r="M356" s="314"/>
      <c r="N356" s="769"/>
      <c r="O356" s="769"/>
      <c r="P356" s="773"/>
      <c r="Q356" s="774"/>
      <c r="R356" s="774"/>
      <c r="S356" s="775"/>
      <c r="AH356" s="776"/>
      <c r="AI356" s="776"/>
      <c r="AJ356" s="732"/>
      <c r="AK356" s="732"/>
      <c r="AL356" s="776"/>
      <c r="AM356" s="776"/>
      <c r="AN356" s="17"/>
      <c r="AO356" s="17"/>
      <c r="AP356" s="17"/>
      <c r="AQ356" s="17"/>
      <c r="AR356" s="17"/>
      <c r="AS356" s="17"/>
      <c r="AT356" s="17"/>
      <c r="AU356" s="732"/>
      <c r="AV356" s="313"/>
      <c r="AW356" s="313"/>
      <c r="AX356" s="313"/>
      <c r="AY356" s="313"/>
      <c r="AZ356" s="313"/>
      <c r="BA356" s="313"/>
      <c r="BB356" s="313"/>
      <c r="BC356" s="313"/>
      <c r="BD356" s="313"/>
      <c r="BE356" s="314"/>
      <c r="BW356" s="314"/>
      <c r="BX356" s="314"/>
      <c r="BY356" s="314"/>
      <c r="BZ356" s="314"/>
      <c r="CA356" s="314"/>
      <c r="CB356" s="314"/>
      <c r="CC356" s="314"/>
      <c r="CD356" s="314"/>
    </row>
    <row r="357" ht="28.5" customHeight="1">
      <c r="A357" s="767"/>
      <c r="B357" s="768"/>
      <c r="C357" s="768"/>
      <c r="D357" s="769"/>
      <c r="E357" s="769"/>
      <c r="F357" s="769"/>
      <c r="G357" s="336"/>
      <c r="H357" s="771"/>
      <c r="I357" s="769"/>
      <c r="J357" s="769"/>
      <c r="K357" s="314"/>
      <c r="L357" s="314"/>
      <c r="M357" s="314"/>
      <c r="N357" s="769"/>
      <c r="O357" s="769"/>
      <c r="P357" s="773"/>
      <c r="Q357" s="774"/>
      <c r="R357" s="774"/>
      <c r="S357" s="775"/>
      <c r="AH357" s="776"/>
      <c r="AI357" s="776"/>
      <c r="AJ357" s="732"/>
      <c r="AK357" s="732"/>
      <c r="AL357" s="776"/>
      <c r="AM357" s="776"/>
      <c r="AN357" s="17"/>
      <c r="AO357" s="17"/>
      <c r="AP357" s="17"/>
      <c r="AQ357" s="17"/>
      <c r="AR357" s="17"/>
      <c r="AS357" s="17"/>
      <c r="AT357" s="17"/>
      <c r="AU357" s="732"/>
      <c r="AV357" s="313"/>
      <c r="AW357" s="313"/>
      <c r="AX357" s="313"/>
      <c r="AY357" s="313"/>
      <c r="AZ357" s="313"/>
      <c r="BA357" s="313"/>
      <c r="BB357" s="313"/>
      <c r="BC357" s="313"/>
      <c r="BD357" s="313"/>
      <c r="BE357" s="314"/>
      <c r="BW357" s="314"/>
      <c r="BX357" s="314"/>
      <c r="BY357" s="314"/>
      <c r="BZ357" s="314"/>
      <c r="CA357" s="314"/>
      <c r="CB357" s="314"/>
      <c r="CC357" s="314"/>
      <c r="CD357" s="314"/>
    </row>
    <row r="358" ht="28.5" customHeight="1">
      <c r="A358" s="767"/>
      <c r="B358" s="768"/>
      <c r="C358" s="768"/>
      <c r="D358" s="769"/>
      <c r="E358" s="769"/>
      <c r="F358" s="769"/>
      <c r="G358" s="336"/>
      <c r="H358" s="771"/>
      <c r="I358" s="769"/>
      <c r="J358" s="769"/>
      <c r="K358" s="314"/>
      <c r="L358" s="314"/>
      <c r="M358" s="314"/>
      <c r="N358" s="769"/>
      <c r="O358" s="769"/>
      <c r="P358" s="773"/>
      <c r="Q358" s="774"/>
      <c r="R358" s="774"/>
      <c r="S358" s="775"/>
      <c r="AH358" s="776"/>
      <c r="AI358" s="776"/>
      <c r="AJ358" s="732"/>
      <c r="AK358" s="732"/>
      <c r="AL358" s="776"/>
      <c r="AM358" s="776"/>
      <c r="AN358" s="17"/>
      <c r="AO358" s="17"/>
      <c r="AP358" s="17"/>
      <c r="AQ358" s="17"/>
      <c r="AR358" s="17"/>
      <c r="AS358" s="17"/>
      <c r="AT358" s="17"/>
      <c r="AU358" s="732"/>
      <c r="AV358" s="313"/>
      <c r="AW358" s="313"/>
      <c r="AX358" s="313"/>
      <c r="AY358" s="313"/>
      <c r="AZ358" s="313"/>
      <c r="BA358" s="313"/>
      <c r="BB358" s="313"/>
      <c r="BC358" s="313"/>
      <c r="BD358" s="313"/>
      <c r="BE358" s="314"/>
      <c r="BW358" s="314"/>
      <c r="BX358" s="314"/>
      <c r="BY358" s="314"/>
      <c r="BZ358" s="314"/>
      <c r="CA358" s="314"/>
      <c r="CB358" s="314"/>
      <c r="CC358" s="314"/>
      <c r="CD358" s="314"/>
    </row>
    <row r="359" ht="28.5" customHeight="1">
      <c r="A359" s="767"/>
      <c r="B359" s="768"/>
      <c r="C359" s="768"/>
      <c r="D359" s="769"/>
      <c r="E359" s="769"/>
      <c r="F359" s="769"/>
      <c r="G359" s="336"/>
      <c r="H359" s="771"/>
      <c r="I359" s="769"/>
      <c r="J359" s="769"/>
      <c r="K359" s="314"/>
      <c r="L359" s="314"/>
      <c r="M359" s="314"/>
      <c r="N359" s="769"/>
      <c r="O359" s="769"/>
      <c r="P359" s="773"/>
      <c r="Q359" s="774"/>
      <c r="R359" s="774"/>
      <c r="S359" s="775"/>
      <c r="AH359" s="776"/>
      <c r="AI359" s="776"/>
      <c r="AJ359" s="732"/>
      <c r="AK359" s="732"/>
      <c r="AL359" s="776"/>
      <c r="AM359" s="776"/>
      <c r="AN359" s="17"/>
      <c r="AO359" s="17"/>
      <c r="AP359" s="17"/>
      <c r="AQ359" s="17"/>
      <c r="AR359" s="17"/>
      <c r="AS359" s="17"/>
      <c r="AT359" s="17"/>
      <c r="AU359" s="732"/>
      <c r="AV359" s="313"/>
      <c r="AW359" s="313"/>
      <c r="AX359" s="313"/>
      <c r="AY359" s="313"/>
      <c r="AZ359" s="313"/>
      <c r="BA359" s="313"/>
      <c r="BB359" s="313"/>
      <c r="BC359" s="313"/>
      <c r="BD359" s="313"/>
      <c r="BE359" s="314"/>
      <c r="BW359" s="314"/>
      <c r="BX359" s="314"/>
      <c r="BY359" s="314"/>
      <c r="BZ359" s="314"/>
      <c r="CA359" s="314"/>
      <c r="CB359" s="314"/>
      <c r="CC359" s="314"/>
      <c r="CD359" s="314"/>
    </row>
    <row r="360" ht="28.5" customHeight="1">
      <c r="A360" s="767"/>
      <c r="B360" s="768"/>
      <c r="C360" s="768"/>
      <c r="D360" s="769"/>
      <c r="E360" s="769"/>
      <c r="F360" s="769"/>
      <c r="G360" s="336"/>
      <c r="H360" s="771"/>
      <c r="I360" s="769"/>
      <c r="J360" s="769"/>
      <c r="K360" s="314"/>
      <c r="L360" s="314"/>
      <c r="M360" s="314"/>
      <c r="N360" s="769"/>
      <c r="O360" s="769"/>
      <c r="P360" s="773"/>
      <c r="Q360" s="774"/>
      <c r="R360" s="774"/>
      <c r="S360" s="775"/>
      <c r="AH360" s="776"/>
      <c r="AI360" s="776"/>
      <c r="AJ360" s="732"/>
      <c r="AK360" s="732"/>
      <c r="AL360" s="776"/>
      <c r="AM360" s="776"/>
      <c r="AN360" s="17"/>
      <c r="AO360" s="17"/>
      <c r="AP360" s="17"/>
      <c r="AQ360" s="17"/>
      <c r="AR360" s="17"/>
      <c r="AS360" s="17"/>
      <c r="AT360" s="17"/>
      <c r="AU360" s="732"/>
      <c r="AV360" s="313"/>
      <c r="AW360" s="313"/>
      <c r="AX360" s="313"/>
      <c r="AY360" s="313"/>
      <c r="AZ360" s="313"/>
      <c r="BA360" s="313"/>
      <c r="BB360" s="313"/>
      <c r="BC360" s="313"/>
      <c r="BD360" s="313"/>
      <c r="BE360" s="314"/>
      <c r="BW360" s="314"/>
      <c r="BX360" s="314"/>
      <c r="BY360" s="314"/>
      <c r="BZ360" s="314"/>
      <c r="CA360" s="314"/>
      <c r="CB360" s="314"/>
      <c r="CC360" s="314"/>
      <c r="CD360" s="314"/>
    </row>
    <row r="361" ht="28.5" customHeight="1">
      <c r="A361" s="767"/>
      <c r="B361" s="768"/>
      <c r="C361" s="768"/>
      <c r="D361" s="769"/>
      <c r="E361" s="769"/>
      <c r="F361" s="769"/>
      <c r="G361" s="336"/>
      <c r="H361" s="771"/>
      <c r="I361" s="769"/>
      <c r="J361" s="769"/>
      <c r="K361" s="314"/>
      <c r="L361" s="314"/>
      <c r="M361" s="314"/>
      <c r="N361" s="769"/>
      <c r="O361" s="769"/>
      <c r="P361" s="773"/>
      <c r="Q361" s="774"/>
      <c r="R361" s="774"/>
      <c r="S361" s="775"/>
      <c r="AH361" s="776"/>
      <c r="AI361" s="776"/>
      <c r="AJ361" s="732"/>
      <c r="AK361" s="732"/>
      <c r="AL361" s="776"/>
      <c r="AM361" s="776"/>
      <c r="AN361" s="17"/>
      <c r="AO361" s="17"/>
      <c r="AP361" s="17"/>
      <c r="AQ361" s="17"/>
      <c r="AR361" s="17"/>
      <c r="AS361" s="17"/>
      <c r="AT361" s="17"/>
      <c r="AU361" s="732"/>
      <c r="AV361" s="313"/>
      <c r="AW361" s="313"/>
      <c r="AX361" s="313"/>
      <c r="AY361" s="313"/>
      <c r="AZ361" s="313"/>
      <c r="BA361" s="313"/>
      <c r="BB361" s="313"/>
      <c r="BC361" s="313"/>
      <c r="BD361" s="313"/>
      <c r="BE361" s="314"/>
      <c r="BW361" s="314"/>
      <c r="BX361" s="314"/>
      <c r="BY361" s="314"/>
      <c r="BZ361" s="314"/>
      <c r="CA361" s="314"/>
      <c r="CB361" s="314"/>
      <c r="CC361" s="314"/>
      <c r="CD361" s="314"/>
    </row>
    <row r="362" ht="28.5" customHeight="1">
      <c r="A362" s="767"/>
      <c r="B362" s="768"/>
      <c r="C362" s="768"/>
      <c r="D362" s="769"/>
      <c r="E362" s="769"/>
      <c r="F362" s="769"/>
      <c r="G362" s="336"/>
      <c r="H362" s="771"/>
      <c r="I362" s="769"/>
      <c r="J362" s="769"/>
      <c r="K362" s="314"/>
      <c r="L362" s="314"/>
      <c r="M362" s="314"/>
      <c r="N362" s="769"/>
      <c r="O362" s="769"/>
      <c r="P362" s="773"/>
      <c r="Q362" s="774"/>
      <c r="R362" s="774"/>
      <c r="S362" s="775"/>
      <c r="AH362" s="776"/>
      <c r="AI362" s="776"/>
      <c r="AJ362" s="732"/>
      <c r="AK362" s="732"/>
      <c r="AL362" s="776"/>
      <c r="AM362" s="776"/>
      <c r="AN362" s="17"/>
      <c r="AO362" s="17"/>
      <c r="AP362" s="17"/>
      <c r="AQ362" s="17"/>
      <c r="AR362" s="17"/>
      <c r="AS362" s="17"/>
      <c r="AT362" s="17"/>
      <c r="AU362" s="732"/>
      <c r="AV362" s="313"/>
      <c r="AW362" s="313"/>
      <c r="AX362" s="313"/>
      <c r="AY362" s="313"/>
      <c r="AZ362" s="313"/>
      <c r="BA362" s="313"/>
      <c r="BB362" s="313"/>
      <c r="BC362" s="313"/>
      <c r="BD362" s="313"/>
      <c r="BE362" s="314"/>
      <c r="BW362" s="314"/>
      <c r="BX362" s="314"/>
      <c r="BY362" s="314"/>
      <c r="BZ362" s="314"/>
      <c r="CA362" s="314"/>
      <c r="CB362" s="314"/>
      <c r="CC362" s="314"/>
      <c r="CD362" s="314"/>
    </row>
    <row r="363" ht="28.5" customHeight="1">
      <c r="A363" s="767"/>
      <c r="B363" s="768"/>
      <c r="C363" s="768"/>
      <c r="D363" s="769"/>
      <c r="E363" s="769"/>
      <c r="F363" s="769"/>
      <c r="G363" s="336"/>
      <c r="H363" s="771"/>
      <c r="I363" s="769"/>
      <c r="J363" s="769"/>
      <c r="K363" s="314"/>
      <c r="L363" s="314"/>
      <c r="M363" s="314"/>
      <c r="N363" s="769"/>
      <c r="O363" s="769"/>
      <c r="P363" s="773"/>
      <c r="Q363" s="774"/>
      <c r="R363" s="774"/>
      <c r="S363" s="775"/>
      <c r="AH363" s="776"/>
      <c r="AI363" s="776"/>
      <c r="AJ363" s="732"/>
      <c r="AK363" s="732"/>
      <c r="AL363" s="776"/>
      <c r="AM363" s="776"/>
      <c r="AN363" s="17"/>
      <c r="AO363" s="17"/>
      <c r="AP363" s="17"/>
      <c r="AQ363" s="17"/>
      <c r="AR363" s="17"/>
      <c r="AS363" s="17"/>
      <c r="AT363" s="17"/>
      <c r="AU363" s="732"/>
      <c r="AV363" s="313"/>
      <c r="AW363" s="313"/>
      <c r="AX363" s="313"/>
      <c r="AY363" s="313"/>
      <c r="AZ363" s="313"/>
      <c r="BA363" s="313"/>
      <c r="BB363" s="313"/>
      <c r="BC363" s="313"/>
      <c r="BD363" s="313"/>
      <c r="BE363" s="314"/>
      <c r="BW363" s="314"/>
      <c r="BX363" s="314"/>
      <c r="BY363" s="314"/>
      <c r="BZ363" s="314"/>
      <c r="CA363" s="314"/>
      <c r="CB363" s="314"/>
      <c r="CC363" s="314"/>
      <c r="CD363" s="314"/>
    </row>
    <row r="364" ht="28.5" customHeight="1">
      <c r="A364" s="767"/>
      <c r="B364" s="768"/>
      <c r="C364" s="768"/>
      <c r="D364" s="769"/>
      <c r="E364" s="769"/>
      <c r="F364" s="769"/>
      <c r="G364" s="336"/>
      <c r="H364" s="771"/>
      <c r="I364" s="769"/>
      <c r="J364" s="769"/>
      <c r="K364" s="314"/>
      <c r="L364" s="314"/>
      <c r="M364" s="314"/>
      <c r="N364" s="769"/>
      <c r="O364" s="769"/>
      <c r="P364" s="773"/>
      <c r="Q364" s="774"/>
      <c r="R364" s="774"/>
      <c r="S364" s="775"/>
      <c r="AH364" s="776"/>
      <c r="AI364" s="776"/>
      <c r="AJ364" s="732"/>
      <c r="AK364" s="732"/>
      <c r="AL364" s="776"/>
      <c r="AM364" s="776"/>
      <c r="AN364" s="17"/>
      <c r="AO364" s="17"/>
      <c r="AP364" s="17"/>
      <c r="AQ364" s="17"/>
      <c r="AR364" s="17"/>
      <c r="AS364" s="17"/>
      <c r="AT364" s="17"/>
      <c r="AU364" s="732"/>
      <c r="AV364" s="313"/>
      <c r="AW364" s="313"/>
      <c r="AX364" s="313"/>
      <c r="AY364" s="313"/>
      <c r="AZ364" s="313"/>
      <c r="BA364" s="313"/>
      <c r="BB364" s="313"/>
      <c r="BC364" s="313"/>
      <c r="BD364" s="313"/>
      <c r="BE364" s="314"/>
      <c r="BW364" s="314"/>
      <c r="BX364" s="314"/>
      <c r="BY364" s="314"/>
      <c r="BZ364" s="314"/>
      <c r="CA364" s="314"/>
      <c r="CB364" s="314"/>
      <c r="CC364" s="314"/>
      <c r="CD364" s="314"/>
    </row>
    <row r="365" ht="28.5" customHeight="1">
      <c r="A365" s="767"/>
      <c r="B365" s="768"/>
      <c r="C365" s="768"/>
      <c r="D365" s="769"/>
      <c r="E365" s="769"/>
      <c r="F365" s="769"/>
      <c r="G365" s="336"/>
      <c r="H365" s="771"/>
      <c r="I365" s="769"/>
      <c r="J365" s="769"/>
      <c r="K365" s="314"/>
      <c r="L365" s="314"/>
      <c r="M365" s="314"/>
      <c r="N365" s="769"/>
      <c r="O365" s="769"/>
      <c r="P365" s="773"/>
      <c r="Q365" s="774"/>
      <c r="R365" s="774"/>
      <c r="S365" s="775"/>
      <c r="AH365" s="776"/>
      <c r="AI365" s="776"/>
      <c r="AJ365" s="732"/>
      <c r="AK365" s="732"/>
      <c r="AL365" s="776"/>
      <c r="AM365" s="776"/>
      <c r="AN365" s="17"/>
      <c r="AO365" s="17"/>
      <c r="AP365" s="17"/>
      <c r="AQ365" s="17"/>
      <c r="AR365" s="17"/>
      <c r="AS365" s="17"/>
      <c r="AT365" s="17"/>
      <c r="AU365" s="732"/>
      <c r="AV365" s="313"/>
      <c r="AW365" s="313"/>
      <c r="AX365" s="313"/>
      <c r="AY365" s="313"/>
      <c r="AZ365" s="313"/>
      <c r="BA365" s="313"/>
      <c r="BB365" s="313"/>
      <c r="BC365" s="313"/>
      <c r="BD365" s="313"/>
      <c r="BE365" s="314"/>
      <c r="BW365" s="314"/>
      <c r="BX365" s="314"/>
      <c r="BY365" s="314"/>
      <c r="BZ365" s="314"/>
      <c r="CA365" s="314"/>
      <c r="CB365" s="314"/>
      <c r="CC365" s="314"/>
      <c r="CD365" s="314"/>
    </row>
    <row r="366" ht="28.5" customHeight="1">
      <c r="A366" s="767"/>
      <c r="B366" s="768"/>
      <c r="C366" s="768"/>
      <c r="D366" s="769"/>
      <c r="E366" s="769"/>
      <c r="F366" s="769"/>
      <c r="G366" s="336"/>
      <c r="H366" s="771"/>
      <c r="I366" s="769"/>
      <c r="J366" s="769"/>
      <c r="K366" s="314"/>
      <c r="L366" s="314"/>
      <c r="M366" s="314"/>
      <c r="N366" s="769"/>
      <c r="O366" s="769"/>
      <c r="P366" s="773"/>
      <c r="Q366" s="774"/>
      <c r="R366" s="774"/>
      <c r="S366" s="775"/>
      <c r="AH366" s="776"/>
      <c r="AI366" s="776"/>
      <c r="AJ366" s="732"/>
      <c r="AK366" s="732"/>
      <c r="AL366" s="776"/>
      <c r="AM366" s="776"/>
      <c r="AN366" s="17"/>
      <c r="AO366" s="17"/>
      <c r="AP366" s="17"/>
      <c r="AQ366" s="17"/>
      <c r="AR366" s="17"/>
      <c r="AS366" s="17"/>
      <c r="AT366" s="17"/>
      <c r="AU366" s="732"/>
      <c r="AV366" s="313"/>
      <c r="AW366" s="313"/>
      <c r="AX366" s="313"/>
      <c r="AY366" s="313"/>
      <c r="AZ366" s="313"/>
      <c r="BA366" s="313"/>
      <c r="BB366" s="313"/>
      <c r="BC366" s="313"/>
      <c r="BD366" s="313"/>
      <c r="BE366" s="314"/>
      <c r="BW366" s="314"/>
      <c r="BX366" s="314"/>
      <c r="BY366" s="314"/>
      <c r="BZ366" s="314"/>
      <c r="CA366" s="314"/>
      <c r="CB366" s="314"/>
      <c r="CC366" s="314"/>
      <c r="CD366" s="314"/>
    </row>
    <row r="367" ht="28.5" customHeight="1">
      <c r="A367" s="767"/>
      <c r="B367" s="768"/>
      <c r="C367" s="768"/>
      <c r="D367" s="769"/>
      <c r="E367" s="769"/>
      <c r="F367" s="769"/>
      <c r="G367" s="336"/>
      <c r="H367" s="771"/>
      <c r="I367" s="769"/>
      <c r="J367" s="769"/>
      <c r="K367" s="314"/>
      <c r="L367" s="314"/>
      <c r="M367" s="314"/>
      <c r="N367" s="769"/>
      <c r="O367" s="769"/>
      <c r="P367" s="773"/>
      <c r="Q367" s="774"/>
      <c r="R367" s="774"/>
      <c r="S367" s="775"/>
      <c r="AH367" s="776"/>
      <c r="AI367" s="776"/>
      <c r="AJ367" s="732"/>
      <c r="AK367" s="732"/>
      <c r="AL367" s="776"/>
      <c r="AM367" s="776"/>
      <c r="AN367" s="17"/>
      <c r="AO367" s="17"/>
      <c r="AP367" s="17"/>
      <c r="AQ367" s="17"/>
      <c r="AR367" s="17"/>
      <c r="AS367" s="17"/>
      <c r="AT367" s="17"/>
      <c r="AU367" s="732"/>
      <c r="AV367" s="313"/>
      <c r="AW367" s="313"/>
      <c r="AX367" s="313"/>
      <c r="AY367" s="313"/>
      <c r="AZ367" s="313"/>
      <c r="BA367" s="313"/>
      <c r="BB367" s="313"/>
      <c r="BC367" s="313"/>
      <c r="BD367" s="313"/>
      <c r="BE367" s="314"/>
      <c r="BW367" s="314"/>
      <c r="BX367" s="314"/>
      <c r="BY367" s="314"/>
      <c r="BZ367" s="314"/>
      <c r="CA367" s="314"/>
      <c r="CB367" s="314"/>
      <c r="CC367" s="314"/>
      <c r="CD367" s="314"/>
    </row>
    <row r="368" ht="28.5" customHeight="1">
      <c r="A368" s="767"/>
      <c r="B368" s="768"/>
      <c r="C368" s="768"/>
      <c r="D368" s="769"/>
      <c r="E368" s="769"/>
      <c r="F368" s="769"/>
      <c r="G368" s="336"/>
      <c r="H368" s="771"/>
      <c r="I368" s="769"/>
      <c r="J368" s="769"/>
      <c r="K368" s="314"/>
      <c r="L368" s="314"/>
      <c r="M368" s="314"/>
      <c r="N368" s="769"/>
      <c r="O368" s="769"/>
      <c r="P368" s="773"/>
      <c r="Q368" s="774"/>
      <c r="R368" s="774"/>
      <c r="S368" s="775"/>
      <c r="AH368" s="776"/>
      <c r="AI368" s="776"/>
      <c r="AJ368" s="732"/>
      <c r="AK368" s="732"/>
      <c r="AL368" s="776"/>
      <c r="AM368" s="776"/>
      <c r="AN368" s="17"/>
      <c r="AO368" s="17"/>
      <c r="AP368" s="17"/>
      <c r="AQ368" s="17"/>
      <c r="AR368" s="17"/>
      <c r="AS368" s="17"/>
      <c r="AT368" s="17"/>
      <c r="AU368" s="732"/>
      <c r="AV368" s="313"/>
      <c r="AW368" s="313"/>
      <c r="AX368" s="313"/>
      <c r="AY368" s="313"/>
      <c r="AZ368" s="313"/>
      <c r="BA368" s="313"/>
      <c r="BB368" s="313"/>
      <c r="BC368" s="313"/>
      <c r="BD368" s="313"/>
      <c r="BE368" s="314"/>
      <c r="BW368" s="314"/>
      <c r="BX368" s="314"/>
      <c r="BY368" s="314"/>
      <c r="BZ368" s="314"/>
      <c r="CA368" s="314"/>
      <c r="CB368" s="314"/>
      <c r="CC368" s="314"/>
      <c r="CD368" s="314"/>
    </row>
    <row r="369" ht="28.5" customHeight="1">
      <c r="A369" s="767"/>
      <c r="B369" s="768"/>
      <c r="C369" s="768"/>
      <c r="D369" s="769"/>
      <c r="E369" s="769"/>
      <c r="F369" s="769"/>
      <c r="G369" s="336"/>
      <c r="H369" s="771"/>
      <c r="I369" s="769"/>
      <c r="J369" s="769"/>
      <c r="K369" s="314"/>
      <c r="L369" s="314"/>
      <c r="M369" s="314"/>
      <c r="N369" s="769"/>
      <c r="O369" s="769"/>
      <c r="P369" s="773"/>
      <c r="Q369" s="774"/>
      <c r="R369" s="774"/>
      <c r="S369" s="775"/>
      <c r="AH369" s="776"/>
      <c r="AI369" s="776"/>
      <c r="AJ369" s="732"/>
      <c r="AK369" s="732"/>
      <c r="AL369" s="776"/>
      <c r="AM369" s="776"/>
      <c r="AN369" s="17"/>
      <c r="AO369" s="17"/>
      <c r="AP369" s="17"/>
      <c r="AQ369" s="17"/>
      <c r="AR369" s="17"/>
      <c r="AS369" s="17"/>
      <c r="AT369" s="17"/>
      <c r="AU369" s="732"/>
      <c r="AV369" s="313"/>
      <c r="AW369" s="313"/>
      <c r="AX369" s="313"/>
      <c r="AY369" s="313"/>
      <c r="AZ369" s="313"/>
      <c r="BA369" s="313"/>
      <c r="BB369" s="313"/>
      <c r="BC369" s="313"/>
      <c r="BD369" s="313"/>
      <c r="BE369" s="314"/>
      <c r="BW369" s="314"/>
      <c r="BX369" s="314"/>
      <c r="BY369" s="314"/>
      <c r="BZ369" s="314"/>
      <c r="CA369" s="314"/>
      <c r="CB369" s="314"/>
      <c r="CC369" s="314"/>
      <c r="CD369" s="314"/>
    </row>
    <row r="370" ht="28.5" customHeight="1">
      <c r="A370" s="767"/>
      <c r="B370" s="768"/>
      <c r="C370" s="768"/>
      <c r="D370" s="769"/>
      <c r="E370" s="769"/>
      <c r="F370" s="769"/>
      <c r="G370" s="336"/>
      <c r="H370" s="771"/>
      <c r="I370" s="769"/>
      <c r="J370" s="769"/>
      <c r="K370" s="314"/>
      <c r="L370" s="314"/>
      <c r="M370" s="314"/>
      <c r="N370" s="769"/>
      <c r="O370" s="769"/>
      <c r="P370" s="773"/>
      <c r="Q370" s="774"/>
      <c r="R370" s="774"/>
      <c r="S370" s="775"/>
      <c r="AH370" s="776"/>
      <c r="AI370" s="776"/>
      <c r="AJ370" s="732"/>
      <c r="AK370" s="732"/>
      <c r="AL370" s="776"/>
      <c r="AM370" s="776"/>
      <c r="AN370" s="17"/>
      <c r="AO370" s="17"/>
      <c r="AP370" s="17"/>
      <c r="AQ370" s="17"/>
      <c r="AR370" s="17"/>
      <c r="AS370" s="17"/>
      <c r="AT370" s="17"/>
      <c r="AU370" s="732"/>
      <c r="AV370" s="313"/>
      <c r="AW370" s="313"/>
      <c r="AX370" s="313"/>
      <c r="AY370" s="313"/>
      <c r="AZ370" s="313"/>
      <c r="BA370" s="313"/>
      <c r="BB370" s="313"/>
      <c r="BC370" s="313"/>
      <c r="BD370" s="313"/>
      <c r="BE370" s="314"/>
      <c r="BW370" s="314"/>
      <c r="BX370" s="314"/>
      <c r="BY370" s="314"/>
      <c r="BZ370" s="314"/>
      <c r="CA370" s="314"/>
      <c r="CB370" s="314"/>
      <c r="CC370" s="314"/>
      <c r="CD370" s="314"/>
    </row>
    <row r="371" ht="28.5" customHeight="1">
      <c r="A371" s="767"/>
      <c r="B371" s="768"/>
      <c r="C371" s="768"/>
      <c r="D371" s="769"/>
      <c r="E371" s="769"/>
      <c r="F371" s="769"/>
      <c r="G371" s="336"/>
      <c r="H371" s="771"/>
      <c r="I371" s="769"/>
      <c r="J371" s="769"/>
      <c r="K371" s="314"/>
      <c r="L371" s="314"/>
      <c r="M371" s="314"/>
      <c r="N371" s="769"/>
      <c r="O371" s="769"/>
      <c r="P371" s="773"/>
      <c r="Q371" s="774"/>
      <c r="R371" s="774"/>
      <c r="S371" s="775"/>
      <c r="AH371" s="776"/>
      <c r="AI371" s="776"/>
      <c r="AJ371" s="732"/>
      <c r="AK371" s="732"/>
      <c r="AL371" s="776"/>
      <c r="AM371" s="776"/>
      <c r="AN371" s="17"/>
      <c r="AO371" s="17"/>
      <c r="AP371" s="17"/>
      <c r="AQ371" s="17"/>
      <c r="AR371" s="17"/>
      <c r="AS371" s="17"/>
      <c r="AT371" s="17"/>
      <c r="AU371" s="732"/>
      <c r="AV371" s="313"/>
      <c r="AW371" s="313"/>
      <c r="AX371" s="313"/>
      <c r="AY371" s="313"/>
      <c r="AZ371" s="313"/>
      <c r="BA371" s="313"/>
      <c r="BB371" s="313"/>
      <c r="BC371" s="313"/>
      <c r="BD371" s="313"/>
      <c r="BE371" s="314"/>
      <c r="BW371" s="314"/>
      <c r="BX371" s="314"/>
      <c r="BY371" s="314"/>
      <c r="BZ371" s="314"/>
      <c r="CA371" s="314"/>
      <c r="CB371" s="314"/>
      <c r="CC371" s="314"/>
      <c r="CD371" s="314"/>
    </row>
    <row r="372" ht="28.5" customHeight="1">
      <c r="A372" s="767"/>
      <c r="B372" s="768"/>
      <c r="C372" s="768"/>
      <c r="D372" s="769"/>
      <c r="E372" s="769"/>
      <c r="F372" s="769"/>
      <c r="G372" s="336"/>
      <c r="H372" s="771"/>
      <c r="I372" s="769"/>
      <c r="J372" s="769"/>
      <c r="K372" s="314"/>
      <c r="L372" s="314"/>
      <c r="M372" s="314"/>
      <c r="N372" s="769"/>
      <c r="O372" s="769"/>
      <c r="P372" s="773"/>
      <c r="Q372" s="774"/>
      <c r="R372" s="774"/>
      <c r="S372" s="775"/>
      <c r="AH372" s="776"/>
      <c r="AI372" s="776"/>
      <c r="AJ372" s="732"/>
      <c r="AK372" s="732"/>
      <c r="AL372" s="776"/>
      <c r="AM372" s="776"/>
      <c r="AN372" s="17"/>
      <c r="AO372" s="17"/>
      <c r="AP372" s="17"/>
      <c r="AQ372" s="17"/>
      <c r="AR372" s="17"/>
      <c r="AS372" s="17"/>
      <c r="AT372" s="17"/>
      <c r="AU372" s="732"/>
      <c r="AV372" s="313"/>
      <c r="AW372" s="313"/>
      <c r="AX372" s="313"/>
      <c r="AY372" s="313"/>
      <c r="AZ372" s="313"/>
      <c r="BA372" s="313"/>
      <c r="BB372" s="313"/>
      <c r="BC372" s="313"/>
      <c r="BD372" s="313"/>
      <c r="BE372" s="314"/>
      <c r="BW372" s="314"/>
      <c r="BX372" s="314"/>
      <c r="BY372" s="314"/>
      <c r="BZ372" s="314"/>
      <c r="CA372" s="314"/>
      <c r="CB372" s="314"/>
      <c r="CC372" s="314"/>
      <c r="CD372" s="314"/>
    </row>
    <row r="373" ht="28.5" customHeight="1">
      <c r="A373" s="767"/>
      <c r="B373" s="768"/>
      <c r="C373" s="768"/>
      <c r="D373" s="769"/>
      <c r="E373" s="769"/>
      <c r="F373" s="769"/>
      <c r="G373" s="336"/>
      <c r="H373" s="771"/>
      <c r="I373" s="769"/>
      <c r="J373" s="769"/>
      <c r="K373" s="314"/>
      <c r="L373" s="314"/>
      <c r="M373" s="314"/>
      <c r="N373" s="769"/>
      <c r="O373" s="769"/>
      <c r="P373" s="773"/>
      <c r="Q373" s="774"/>
      <c r="R373" s="774"/>
      <c r="S373" s="775"/>
      <c r="AH373" s="776"/>
      <c r="AI373" s="776"/>
      <c r="AJ373" s="732"/>
      <c r="AK373" s="732"/>
      <c r="AL373" s="776"/>
      <c r="AM373" s="776"/>
      <c r="AN373" s="17"/>
      <c r="AO373" s="17"/>
      <c r="AP373" s="17"/>
      <c r="AQ373" s="17"/>
      <c r="AR373" s="17"/>
      <c r="AS373" s="17"/>
      <c r="AT373" s="17"/>
      <c r="AU373" s="732"/>
      <c r="AV373" s="313"/>
      <c r="AW373" s="313"/>
      <c r="AX373" s="313"/>
      <c r="AY373" s="313"/>
      <c r="AZ373" s="313"/>
      <c r="BA373" s="313"/>
      <c r="BB373" s="313"/>
      <c r="BC373" s="313"/>
      <c r="BD373" s="313"/>
      <c r="BE373" s="314"/>
      <c r="BW373" s="314"/>
      <c r="BX373" s="314"/>
      <c r="BY373" s="314"/>
      <c r="BZ373" s="314"/>
      <c r="CA373" s="314"/>
      <c r="CB373" s="314"/>
      <c r="CC373" s="314"/>
      <c r="CD373" s="314"/>
    </row>
    <row r="374" ht="28.5" customHeight="1">
      <c r="A374" s="767"/>
      <c r="B374" s="768"/>
      <c r="C374" s="768"/>
      <c r="D374" s="769"/>
      <c r="E374" s="769"/>
      <c r="F374" s="769"/>
      <c r="G374" s="336"/>
      <c r="H374" s="771"/>
      <c r="I374" s="769"/>
      <c r="J374" s="769"/>
      <c r="K374" s="314"/>
      <c r="L374" s="314"/>
      <c r="M374" s="314"/>
      <c r="N374" s="769"/>
      <c r="O374" s="769"/>
      <c r="P374" s="773"/>
      <c r="Q374" s="774"/>
      <c r="R374" s="774"/>
      <c r="S374" s="775"/>
      <c r="AH374" s="776"/>
      <c r="AI374" s="776"/>
      <c r="AJ374" s="732"/>
      <c r="AK374" s="732"/>
      <c r="AL374" s="776"/>
      <c r="AM374" s="776"/>
      <c r="AN374" s="17"/>
      <c r="AO374" s="17"/>
      <c r="AP374" s="17"/>
      <c r="AQ374" s="17"/>
      <c r="AR374" s="17"/>
      <c r="AS374" s="17"/>
      <c r="AT374" s="17"/>
      <c r="AU374" s="732"/>
      <c r="AV374" s="313"/>
      <c r="AW374" s="313"/>
      <c r="AX374" s="313"/>
      <c r="AY374" s="313"/>
      <c r="AZ374" s="313"/>
      <c r="BA374" s="313"/>
      <c r="BB374" s="313"/>
      <c r="BC374" s="313"/>
      <c r="BD374" s="313"/>
      <c r="BE374" s="314"/>
      <c r="BW374" s="314"/>
      <c r="BX374" s="314"/>
      <c r="BY374" s="314"/>
      <c r="BZ374" s="314"/>
      <c r="CA374" s="314"/>
      <c r="CB374" s="314"/>
      <c r="CC374" s="314"/>
      <c r="CD374" s="314"/>
    </row>
    <row r="375" ht="28.5" customHeight="1">
      <c r="A375" s="767"/>
      <c r="B375" s="768"/>
      <c r="C375" s="768"/>
      <c r="D375" s="769"/>
      <c r="E375" s="769"/>
      <c r="F375" s="769"/>
      <c r="G375" s="336"/>
      <c r="H375" s="771"/>
      <c r="I375" s="769"/>
      <c r="J375" s="769"/>
      <c r="K375" s="314"/>
      <c r="L375" s="314"/>
      <c r="M375" s="314"/>
      <c r="N375" s="769"/>
      <c r="O375" s="769"/>
      <c r="P375" s="773"/>
      <c r="Q375" s="774"/>
      <c r="R375" s="774"/>
      <c r="S375" s="775"/>
      <c r="AH375" s="776"/>
      <c r="AI375" s="776"/>
      <c r="AJ375" s="732"/>
      <c r="AK375" s="732"/>
      <c r="AL375" s="776"/>
      <c r="AM375" s="776"/>
      <c r="AN375" s="17"/>
      <c r="AO375" s="17"/>
      <c r="AP375" s="17"/>
      <c r="AQ375" s="17"/>
      <c r="AR375" s="17"/>
      <c r="AS375" s="17"/>
      <c r="AT375" s="17"/>
      <c r="AU375" s="732"/>
      <c r="AV375" s="313"/>
      <c r="AW375" s="313"/>
      <c r="AX375" s="313"/>
      <c r="AY375" s="313"/>
      <c r="AZ375" s="313"/>
      <c r="BA375" s="313"/>
      <c r="BB375" s="313"/>
      <c r="BC375" s="313"/>
      <c r="BD375" s="313"/>
      <c r="BE375" s="314"/>
      <c r="BW375" s="314"/>
      <c r="BX375" s="314"/>
      <c r="BY375" s="314"/>
      <c r="BZ375" s="314"/>
      <c r="CA375" s="314"/>
      <c r="CB375" s="314"/>
      <c r="CC375" s="314"/>
      <c r="CD375" s="314"/>
    </row>
    <row r="376" ht="28.5" customHeight="1">
      <c r="A376" s="767"/>
      <c r="B376" s="768"/>
      <c r="C376" s="768"/>
      <c r="D376" s="769"/>
      <c r="E376" s="769"/>
      <c r="F376" s="769"/>
      <c r="G376" s="336"/>
      <c r="H376" s="771"/>
      <c r="I376" s="769"/>
      <c r="J376" s="769"/>
      <c r="K376" s="314"/>
      <c r="L376" s="314"/>
      <c r="M376" s="314"/>
      <c r="N376" s="769"/>
      <c r="O376" s="769"/>
      <c r="P376" s="773"/>
      <c r="Q376" s="774"/>
      <c r="R376" s="774"/>
      <c r="S376" s="775"/>
      <c r="AH376" s="776"/>
      <c r="AI376" s="776"/>
      <c r="AJ376" s="732"/>
      <c r="AK376" s="732"/>
      <c r="AL376" s="776"/>
      <c r="AM376" s="776"/>
      <c r="AN376" s="17"/>
      <c r="AO376" s="17"/>
      <c r="AP376" s="17"/>
      <c r="AQ376" s="17"/>
      <c r="AR376" s="17"/>
      <c r="AS376" s="17"/>
      <c r="AT376" s="17"/>
      <c r="AU376" s="732"/>
      <c r="AV376" s="313"/>
      <c r="AW376" s="313"/>
      <c r="AX376" s="313"/>
      <c r="AY376" s="313"/>
      <c r="AZ376" s="313"/>
      <c r="BA376" s="313"/>
      <c r="BB376" s="313"/>
      <c r="BC376" s="313"/>
      <c r="BD376" s="313"/>
      <c r="BE376" s="314"/>
      <c r="BW376" s="314"/>
      <c r="BX376" s="314"/>
      <c r="BY376" s="314"/>
      <c r="BZ376" s="314"/>
      <c r="CA376" s="314"/>
      <c r="CB376" s="314"/>
      <c r="CC376" s="314"/>
      <c r="CD376" s="314"/>
    </row>
    <row r="377" ht="28.5" customHeight="1">
      <c r="A377" s="767"/>
      <c r="B377" s="768"/>
      <c r="C377" s="768"/>
      <c r="D377" s="769"/>
      <c r="E377" s="769"/>
      <c r="F377" s="769"/>
      <c r="G377" s="336"/>
      <c r="H377" s="771"/>
      <c r="I377" s="769"/>
      <c r="J377" s="769"/>
      <c r="K377" s="314"/>
      <c r="L377" s="314"/>
      <c r="M377" s="314"/>
      <c r="N377" s="769"/>
      <c r="O377" s="769"/>
      <c r="P377" s="773"/>
      <c r="Q377" s="774"/>
      <c r="R377" s="774"/>
      <c r="S377" s="775"/>
      <c r="AH377" s="776"/>
      <c r="AI377" s="776"/>
      <c r="AJ377" s="732"/>
      <c r="AK377" s="732"/>
      <c r="AL377" s="776"/>
      <c r="AM377" s="776"/>
      <c r="AN377" s="17"/>
      <c r="AO377" s="17"/>
      <c r="AP377" s="17"/>
      <c r="AQ377" s="17"/>
      <c r="AR377" s="17"/>
      <c r="AS377" s="17"/>
      <c r="AT377" s="17"/>
      <c r="AU377" s="732"/>
      <c r="AV377" s="313"/>
      <c r="AW377" s="313"/>
      <c r="AX377" s="313"/>
      <c r="AY377" s="313"/>
      <c r="AZ377" s="313"/>
      <c r="BA377" s="313"/>
      <c r="BB377" s="313"/>
      <c r="BC377" s="313"/>
      <c r="BD377" s="313"/>
      <c r="BE377" s="314"/>
      <c r="BW377" s="314"/>
      <c r="BX377" s="314"/>
      <c r="BY377" s="314"/>
      <c r="BZ377" s="314"/>
      <c r="CA377" s="314"/>
      <c r="CB377" s="314"/>
      <c r="CC377" s="314"/>
      <c r="CD377" s="314"/>
    </row>
    <row r="378" ht="28.5" customHeight="1">
      <c r="A378" s="767"/>
      <c r="B378" s="768"/>
      <c r="C378" s="768"/>
      <c r="D378" s="769"/>
      <c r="E378" s="769"/>
      <c r="F378" s="769"/>
      <c r="G378" s="336"/>
      <c r="H378" s="771"/>
      <c r="I378" s="769"/>
      <c r="J378" s="769"/>
      <c r="K378" s="314"/>
      <c r="L378" s="314"/>
      <c r="M378" s="314"/>
      <c r="N378" s="769"/>
      <c r="O378" s="769"/>
      <c r="P378" s="773"/>
      <c r="Q378" s="774"/>
      <c r="R378" s="774"/>
      <c r="S378" s="775"/>
      <c r="AH378" s="776"/>
      <c r="AI378" s="776"/>
      <c r="AJ378" s="732"/>
      <c r="AK378" s="732"/>
      <c r="AL378" s="776"/>
      <c r="AM378" s="776"/>
      <c r="AN378" s="17"/>
      <c r="AO378" s="17"/>
      <c r="AP378" s="17"/>
      <c r="AQ378" s="17"/>
      <c r="AR378" s="17"/>
      <c r="AS378" s="17"/>
      <c r="AT378" s="17"/>
      <c r="AU378" s="732"/>
      <c r="AV378" s="313"/>
      <c r="AW378" s="313"/>
      <c r="AX378" s="313"/>
      <c r="AY378" s="313"/>
      <c r="AZ378" s="313"/>
      <c r="BA378" s="313"/>
      <c r="BB378" s="313"/>
      <c r="BC378" s="313"/>
      <c r="BD378" s="313"/>
      <c r="BE378" s="314"/>
      <c r="BW378" s="314"/>
      <c r="BX378" s="314"/>
      <c r="BY378" s="314"/>
      <c r="BZ378" s="314"/>
      <c r="CA378" s="314"/>
      <c r="CB378" s="314"/>
      <c r="CC378" s="314"/>
      <c r="CD378" s="314"/>
    </row>
    <row r="379" ht="28.5" customHeight="1">
      <c r="A379" s="767"/>
      <c r="B379" s="768"/>
      <c r="C379" s="768"/>
      <c r="D379" s="769"/>
      <c r="E379" s="769"/>
      <c r="F379" s="769"/>
      <c r="G379" s="336"/>
      <c r="H379" s="771"/>
      <c r="I379" s="769"/>
      <c r="J379" s="769"/>
      <c r="K379" s="314"/>
      <c r="L379" s="314"/>
      <c r="M379" s="314"/>
      <c r="N379" s="769"/>
      <c r="O379" s="769"/>
      <c r="P379" s="773"/>
      <c r="Q379" s="774"/>
      <c r="R379" s="774"/>
      <c r="S379" s="775"/>
      <c r="AH379" s="776"/>
      <c r="AI379" s="776"/>
      <c r="AJ379" s="732"/>
      <c r="AK379" s="732"/>
      <c r="AL379" s="776"/>
      <c r="AM379" s="776"/>
      <c r="AN379" s="17"/>
      <c r="AO379" s="17"/>
      <c r="AP379" s="17"/>
      <c r="AQ379" s="17"/>
      <c r="AR379" s="17"/>
      <c r="AS379" s="17"/>
      <c r="AT379" s="17"/>
      <c r="AU379" s="732"/>
      <c r="AV379" s="313"/>
      <c r="AW379" s="313"/>
      <c r="AX379" s="313"/>
      <c r="AY379" s="313"/>
      <c r="AZ379" s="313"/>
      <c r="BA379" s="313"/>
      <c r="BB379" s="313"/>
      <c r="BC379" s="313"/>
      <c r="BD379" s="313"/>
      <c r="BE379" s="314"/>
      <c r="BW379" s="314"/>
      <c r="BX379" s="314"/>
      <c r="BY379" s="314"/>
      <c r="BZ379" s="314"/>
      <c r="CA379" s="314"/>
      <c r="CB379" s="314"/>
      <c r="CC379" s="314"/>
      <c r="CD379" s="314"/>
    </row>
    <row r="380" ht="28.5" customHeight="1">
      <c r="A380" s="767"/>
      <c r="B380" s="768"/>
      <c r="C380" s="768"/>
      <c r="D380" s="769"/>
      <c r="E380" s="769"/>
      <c r="F380" s="769"/>
      <c r="G380" s="336"/>
      <c r="H380" s="771"/>
      <c r="I380" s="769"/>
      <c r="J380" s="769"/>
      <c r="K380" s="314"/>
      <c r="L380" s="314"/>
      <c r="M380" s="314"/>
      <c r="N380" s="769"/>
      <c r="O380" s="769"/>
      <c r="P380" s="773"/>
      <c r="Q380" s="774"/>
      <c r="R380" s="774"/>
      <c r="S380" s="775"/>
      <c r="AH380" s="776"/>
      <c r="AI380" s="776"/>
      <c r="AJ380" s="732"/>
      <c r="AK380" s="732"/>
      <c r="AL380" s="776"/>
      <c r="AM380" s="776"/>
      <c r="AN380" s="17"/>
      <c r="AO380" s="17"/>
      <c r="AP380" s="17"/>
      <c r="AQ380" s="17"/>
      <c r="AR380" s="17"/>
      <c r="AS380" s="17"/>
      <c r="AT380" s="17"/>
      <c r="AU380" s="732"/>
      <c r="AV380" s="313"/>
      <c r="AW380" s="313"/>
      <c r="AX380" s="313"/>
      <c r="AY380" s="313"/>
      <c r="AZ380" s="313"/>
      <c r="BA380" s="313"/>
      <c r="BB380" s="313"/>
      <c r="BC380" s="313"/>
      <c r="BD380" s="313"/>
      <c r="BE380" s="314"/>
      <c r="BW380" s="314"/>
      <c r="BX380" s="314"/>
      <c r="BY380" s="314"/>
      <c r="BZ380" s="314"/>
      <c r="CA380" s="314"/>
      <c r="CB380" s="314"/>
      <c r="CC380" s="314"/>
      <c r="CD380" s="314"/>
    </row>
    <row r="381" ht="28.5" customHeight="1">
      <c r="A381" s="767"/>
      <c r="B381" s="768"/>
      <c r="C381" s="768"/>
      <c r="D381" s="769"/>
      <c r="E381" s="769"/>
      <c r="F381" s="769"/>
      <c r="G381" s="336"/>
      <c r="H381" s="771"/>
      <c r="I381" s="769"/>
      <c r="J381" s="769"/>
      <c r="K381" s="314"/>
      <c r="L381" s="314"/>
      <c r="M381" s="314"/>
      <c r="N381" s="769"/>
      <c r="O381" s="769"/>
      <c r="P381" s="773"/>
      <c r="Q381" s="774"/>
      <c r="R381" s="774"/>
      <c r="S381" s="775"/>
      <c r="AH381" s="776"/>
      <c r="AI381" s="776"/>
      <c r="AJ381" s="732"/>
      <c r="AK381" s="732"/>
      <c r="AL381" s="776"/>
      <c r="AM381" s="776"/>
      <c r="AN381" s="17"/>
      <c r="AO381" s="17"/>
      <c r="AP381" s="17"/>
      <c r="AQ381" s="17"/>
      <c r="AR381" s="17"/>
      <c r="AS381" s="17"/>
      <c r="AT381" s="17"/>
      <c r="AU381" s="732"/>
      <c r="AV381" s="313"/>
      <c r="AW381" s="313"/>
      <c r="AX381" s="313"/>
      <c r="AY381" s="313"/>
      <c r="AZ381" s="313"/>
      <c r="BA381" s="313"/>
      <c r="BB381" s="313"/>
      <c r="BC381" s="313"/>
      <c r="BD381" s="313"/>
      <c r="BE381" s="314"/>
      <c r="BW381" s="314"/>
      <c r="BX381" s="314"/>
      <c r="BY381" s="314"/>
      <c r="BZ381" s="314"/>
      <c r="CA381" s="314"/>
      <c r="CB381" s="314"/>
      <c r="CC381" s="314"/>
      <c r="CD381" s="314"/>
    </row>
    <row r="382" ht="28.5" customHeight="1">
      <c r="A382" s="767"/>
      <c r="B382" s="768"/>
      <c r="C382" s="768"/>
      <c r="D382" s="769"/>
      <c r="E382" s="769"/>
      <c r="F382" s="769"/>
      <c r="G382" s="336"/>
      <c r="H382" s="771"/>
      <c r="I382" s="769"/>
      <c r="J382" s="769"/>
      <c r="K382" s="314"/>
      <c r="L382" s="314"/>
      <c r="M382" s="314"/>
      <c r="N382" s="769"/>
      <c r="O382" s="769"/>
      <c r="P382" s="773"/>
      <c r="Q382" s="774"/>
      <c r="R382" s="774"/>
      <c r="S382" s="775"/>
      <c r="AH382" s="776"/>
      <c r="AI382" s="776"/>
      <c r="AJ382" s="732"/>
      <c r="AK382" s="732"/>
      <c r="AL382" s="776"/>
      <c r="AM382" s="776"/>
      <c r="AN382" s="17"/>
      <c r="AO382" s="17"/>
      <c r="AP382" s="17"/>
      <c r="AQ382" s="17"/>
      <c r="AR382" s="17"/>
      <c r="AS382" s="17"/>
      <c r="AT382" s="17"/>
      <c r="AU382" s="732"/>
      <c r="AV382" s="313"/>
      <c r="AW382" s="313"/>
      <c r="AX382" s="313"/>
      <c r="AY382" s="313"/>
      <c r="AZ382" s="313"/>
      <c r="BA382" s="313"/>
      <c r="BB382" s="313"/>
      <c r="BC382" s="313"/>
      <c r="BD382" s="313"/>
      <c r="BE382" s="314"/>
      <c r="BW382" s="314"/>
      <c r="BX382" s="314"/>
      <c r="BY382" s="314"/>
      <c r="BZ382" s="314"/>
      <c r="CA382" s="314"/>
      <c r="CB382" s="314"/>
      <c r="CC382" s="314"/>
      <c r="CD382" s="314"/>
    </row>
    <row r="383" ht="28.5" customHeight="1">
      <c r="A383" s="767"/>
      <c r="B383" s="768"/>
      <c r="C383" s="768"/>
      <c r="D383" s="769"/>
      <c r="E383" s="769"/>
      <c r="F383" s="769"/>
      <c r="G383" s="336"/>
      <c r="H383" s="771"/>
      <c r="I383" s="769"/>
      <c r="J383" s="769"/>
      <c r="K383" s="314"/>
      <c r="L383" s="314"/>
      <c r="M383" s="314"/>
      <c r="N383" s="769"/>
      <c r="O383" s="769"/>
      <c r="P383" s="773"/>
      <c r="Q383" s="774"/>
      <c r="R383" s="774"/>
      <c r="S383" s="775"/>
      <c r="AH383" s="776"/>
      <c r="AI383" s="776"/>
      <c r="AJ383" s="732"/>
      <c r="AK383" s="732"/>
      <c r="AL383" s="776"/>
      <c r="AM383" s="776"/>
      <c r="AN383" s="17"/>
      <c r="AO383" s="17"/>
      <c r="AP383" s="17"/>
      <c r="AQ383" s="17"/>
      <c r="AR383" s="17"/>
      <c r="AS383" s="17"/>
      <c r="AT383" s="17"/>
      <c r="AU383" s="732"/>
      <c r="AV383" s="313"/>
      <c r="AW383" s="313"/>
      <c r="AX383" s="313"/>
      <c r="AY383" s="313"/>
      <c r="AZ383" s="313"/>
      <c r="BA383" s="313"/>
      <c r="BB383" s="313"/>
      <c r="BC383" s="313"/>
      <c r="BD383" s="313"/>
      <c r="BE383" s="314"/>
      <c r="BW383" s="314"/>
      <c r="BX383" s="314"/>
      <c r="BY383" s="314"/>
      <c r="BZ383" s="314"/>
      <c r="CA383" s="314"/>
      <c r="CB383" s="314"/>
      <c r="CC383" s="314"/>
      <c r="CD383" s="314"/>
    </row>
    <row r="384" ht="28.5" customHeight="1">
      <c r="A384" s="767"/>
      <c r="B384" s="768"/>
      <c r="C384" s="768"/>
      <c r="D384" s="769"/>
      <c r="E384" s="769"/>
      <c r="F384" s="769"/>
      <c r="G384" s="336"/>
      <c r="H384" s="771"/>
      <c r="I384" s="769"/>
      <c r="J384" s="769"/>
      <c r="K384" s="314"/>
      <c r="L384" s="314"/>
      <c r="M384" s="314"/>
      <c r="N384" s="769"/>
      <c r="O384" s="769"/>
      <c r="P384" s="773"/>
      <c r="Q384" s="774"/>
      <c r="R384" s="774"/>
      <c r="S384" s="775"/>
      <c r="AH384" s="776"/>
      <c r="AI384" s="776"/>
      <c r="AJ384" s="732"/>
      <c r="AK384" s="732"/>
      <c r="AL384" s="776"/>
      <c r="AM384" s="776"/>
      <c r="AN384" s="17"/>
      <c r="AO384" s="17"/>
      <c r="AP384" s="17"/>
      <c r="AQ384" s="17"/>
      <c r="AR384" s="17"/>
      <c r="AS384" s="17"/>
      <c r="AT384" s="17"/>
      <c r="AU384" s="732"/>
      <c r="AV384" s="313"/>
      <c r="AW384" s="313"/>
      <c r="AX384" s="313"/>
      <c r="AY384" s="313"/>
      <c r="AZ384" s="313"/>
      <c r="BA384" s="313"/>
      <c r="BB384" s="313"/>
      <c r="BC384" s="313"/>
      <c r="BD384" s="313"/>
      <c r="BE384" s="314"/>
      <c r="BW384" s="314"/>
      <c r="BX384" s="314"/>
      <c r="BY384" s="314"/>
      <c r="BZ384" s="314"/>
      <c r="CA384" s="314"/>
      <c r="CB384" s="314"/>
      <c r="CC384" s="314"/>
      <c r="CD384" s="314"/>
    </row>
    <row r="385" ht="28.5" customHeight="1">
      <c r="A385" s="767"/>
      <c r="B385" s="768"/>
      <c r="C385" s="768"/>
      <c r="D385" s="769"/>
      <c r="E385" s="769"/>
      <c r="F385" s="769"/>
      <c r="G385" s="336"/>
      <c r="H385" s="771"/>
      <c r="I385" s="769"/>
      <c r="J385" s="769"/>
      <c r="K385" s="314"/>
      <c r="L385" s="314"/>
      <c r="M385" s="314"/>
      <c r="N385" s="769"/>
      <c r="O385" s="769"/>
      <c r="P385" s="773"/>
      <c r="Q385" s="774"/>
      <c r="R385" s="774"/>
      <c r="S385" s="775"/>
      <c r="AH385" s="776"/>
      <c r="AI385" s="776"/>
      <c r="AJ385" s="732"/>
      <c r="AK385" s="732"/>
      <c r="AL385" s="776"/>
      <c r="AM385" s="776"/>
      <c r="AN385" s="17"/>
      <c r="AO385" s="17"/>
      <c r="AP385" s="17"/>
      <c r="AQ385" s="17"/>
      <c r="AR385" s="17"/>
      <c r="AS385" s="17"/>
      <c r="AT385" s="17"/>
      <c r="AU385" s="732"/>
      <c r="AV385" s="313"/>
      <c r="AW385" s="313"/>
      <c r="AX385" s="313"/>
      <c r="AY385" s="313"/>
      <c r="AZ385" s="313"/>
      <c r="BA385" s="313"/>
      <c r="BB385" s="313"/>
      <c r="BC385" s="313"/>
      <c r="BD385" s="313"/>
      <c r="BE385" s="314"/>
      <c r="BW385" s="314"/>
      <c r="BX385" s="314"/>
      <c r="BY385" s="314"/>
      <c r="BZ385" s="314"/>
      <c r="CA385" s="314"/>
      <c r="CB385" s="314"/>
      <c r="CC385" s="314"/>
      <c r="CD385" s="314"/>
    </row>
    <row r="386" ht="28.5" customHeight="1">
      <c r="A386" s="767"/>
      <c r="B386" s="768"/>
      <c r="C386" s="768"/>
      <c r="D386" s="769"/>
      <c r="E386" s="769"/>
      <c r="F386" s="769"/>
      <c r="G386" s="336"/>
      <c r="H386" s="771"/>
      <c r="I386" s="769"/>
      <c r="J386" s="769"/>
      <c r="K386" s="314"/>
      <c r="L386" s="314"/>
      <c r="M386" s="314"/>
      <c r="N386" s="769"/>
      <c r="O386" s="769"/>
      <c r="P386" s="773"/>
      <c r="Q386" s="774"/>
      <c r="R386" s="774"/>
      <c r="S386" s="775"/>
      <c r="AH386" s="776"/>
      <c r="AI386" s="776"/>
      <c r="AJ386" s="732"/>
      <c r="AK386" s="732"/>
      <c r="AL386" s="776"/>
      <c r="AM386" s="776"/>
      <c r="AN386" s="17"/>
      <c r="AO386" s="17"/>
      <c r="AP386" s="17"/>
      <c r="AQ386" s="17"/>
      <c r="AR386" s="17"/>
      <c r="AS386" s="17"/>
      <c r="AT386" s="17"/>
      <c r="AU386" s="732"/>
      <c r="AV386" s="313"/>
      <c r="AW386" s="313"/>
      <c r="AX386" s="313"/>
      <c r="AY386" s="313"/>
      <c r="AZ386" s="313"/>
      <c r="BA386" s="313"/>
      <c r="BB386" s="313"/>
      <c r="BC386" s="313"/>
      <c r="BD386" s="313"/>
      <c r="BE386" s="314"/>
      <c r="BW386" s="314"/>
      <c r="BX386" s="314"/>
      <c r="BY386" s="314"/>
      <c r="BZ386" s="314"/>
      <c r="CA386" s="314"/>
      <c r="CB386" s="314"/>
      <c r="CC386" s="314"/>
      <c r="CD386" s="314"/>
    </row>
    <row r="387" ht="28.5" customHeight="1">
      <c r="A387" s="767"/>
      <c r="B387" s="768"/>
      <c r="C387" s="768"/>
      <c r="D387" s="769"/>
      <c r="E387" s="769"/>
      <c r="F387" s="769"/>
      <c r="G387" s="336"/>
      <c r="H387" s="771"/>
      <c r="I387" s="769"/>
      <c r="J387" s="769"/>
      <c r="K387" s="314"/>
      <c r="L387" s="314"/>
      <c r="M387" s="314"/>
      <c r="N387" s="769"/>
      <c r="O387" s="769"/>
      <c r="P387" s="773"/>
      <c r="Q387" s="774"/>
      <c r="R387" s="774"/>
      <c r="S387" s="775"/>
      <c r="AH387" s="776"/>
      <c r="AI387" s="776"/>
      <c r="AJ387" s="732"/>
      <c r="AK387" s="732"/>
      <c r="AL387" s="776"/>
      <c r="AM387" s="776"/>
      <c r="AN387" s="17"/>
      <c r="AO387" s="17"/>
      <c r="AP387" s="17"/>
      <c r="AQ387" s="17"/>
      <c r="AR387" s="17"/>
      <c r="AS387" s="17"/>
      <c r="AT387" s="17"/>
      <c r="AU387" s="732"/>
      <c r="AV387" s="313"/>
      <c r="AW387" s="313"/>
      <c r="AX387" s="313"/>
      <c r="AY387" s="313"/>
      <c r="AZ387" s="313"/>
      <c r="BA387" s="313"/>
      <c r="BB387" s="313"/>
      <c r="BC387" s="313"/>
      <c r="BD387" s="313"/>
      <c r="BE387" s="314"/>
      <c r="BW387" s="314"/>
      <c r="BX387" s="314"/>
      <c r="BY387" s="314"/>
      <c r="BZ387" s="314"/>
      <c r="CA387" s="314"/>
      <c r="CB387" s="314"/>
      <c r="CC387" s="314"/>
      <c r="CD387" s="314"/>
    </row>
    <row r="388" ht="28.5" customHeight="1">
      <c r="A388" s="767"/>
      <c r="B388" s="768"/>
      <c r="C388" s="768"/>
      <c r="D388" s="769"/>
      <c r="E388" s="769"/>
      <c r="F388" s="769"/>
      <c r="G388" s="336"/>
      <c r="H388" s="771"/>
      <c r="I388" s="769"/>
      <c r="J388" s="769"/>
      <c r="K388" s="314"/>
      <c r="L388" s="314"/>
      <c r="M388" s="314"/>
      <c r="N388" s="769"/>
      <c r="O388" s="769"/>
      <c r="P388" s="773"/>
      <c r="Q388" s="774"/>
      <c r="R388" s="774"/>
      <c r="S388" s="775"/>
      <c r="AH388" s="776"/>
      <c r="AI388" s="776"/>
      <c r="AJ388" s="732"/>
      <c r="AK388" s="732"/>
      <c r="AL388" s="776"/>
      <c r="AM388" s="776"/>
      <c r="AN388" s="17"/>
      <c r="AO388" s="17"/>
      <c r="AP388" s="17"/>
      <c r="AQ388" s="17"/>
      <c r="AR388" s="17"/>
      <c r="AS388" s="17"/>
      <c r="AT388" s="17"/>
      <c r="AU388" s="732"/>
      <c r="AV388" s="313"/>
      <c r="AW388" s="313"/>
      <c r="AX388" s="313"/>
      <c r="AY388" s="313"/>
      <c r="AZ388" s="313"/>
      <c r="BA388" s="313"/>
      <c r="BB388" s="313"/>
      <c r="BC388" s="313"/>
      <c r="BD388" s="313"/>
      <c r="BE388" s="314"/>
      <c r="BW388" s="314"/>
      <c r="BX388" s="314"/>
      <c r="BY388" s="314"/>
      <c r="BZ388" s="314"/>
      <c r="CA388" s="314"/>
      <c r="CB388" s="314"/>
      <c r="CC388" s="314"/>
      <c r="CD388" s="314"/>
    </row>
    <row r="389" ht="28.5" customHeight="1">
      <c r="A389" s="767"/>
      <c r="B389" s="768"/>
      <c r="C389" s="768"/>
      <c r="D389" s="769"/>
      <c r="E389" s="769"/>
      <c r="F389" s="769"/>
      <c r="G389" s="336"/>
      <c r="H389" s="771"/>
      <c r="I389" s="769"/>
      <c r="J389" s="769"/>
      <c r="K389" s="314"/>
      <c r="L389" s="314"/>
      <c r="M389" s="314"/>
      <c r="N389" s="769"/>
      <c r="O389" s="769"/>
      <c r="P389" s="773"/>
      <c r="Q389" s="774"/>
      <c r="R389" s="774"/>
      <c r="S389" s="775"/>
      <c r="AH389" s="776"/>
      <c r="AI389" s="776"/>
      <c r="AJ389" s="732"/>
      <c r="AK389" s="732"/>
      <c r="AL389" s="776"/>
      <c r="AM389" s="776"/>
      <c r="AN389" s="17"/>
      <c r="AO389" s="17"/>
      <c r="AP389" s="17"/>
      <c r="AQ389" s="17"/>
      <c r="AR389" s="17"/>
      <c r="AS389" s="17"/>
      <c r="AT389" s="17"/>
      <c r="AU389" s="732"/>
      <c r="AV389" s="313"/>
      <c r="AW389" s="313"/>
      <c r="AX389" s="313"/>
      <c r="AY389" s="313"/>
      <c r="AZ389" s="313"/>
      <c r="BA389" s="313"/>
      <c r="BB389" s="313"/>
      <c r="BC389" s="313"/>
      <c r="BD389" s="313"/>
      <c r="BE389" s="314"/>
      <c r="BW389" s="314"/>
      <c r="BX389" s="314"/>
      <c r="BY389" s="314"/>
      <c r="BZ389" s="314"/>
      <c r="CA389" s="314"/>
      <c r="CB389" s="314"/>
      <c r="CC389" s="314"/>
      <c r="CD389" s="314"/>
    </row>
    <row r="390" ht="28.5" customHeight="1">
      <c r="A390" s="767"/>
      <c r="B390" s="768"/>
      <c r="C390" s="768"/>
      <c r="D390" s="769"/>
      <c r="E390" s="769"/>
      <c r="F390" s="769"/>
      <c r="G390" s="336"/>
      <c r="H390" s="771"/>
      <c r="I390" s="769"/>
      <c r="J390" s="769"/>
      <c r="K390" s="314"/>
      <c r="L390" s="314"/>
      <c r="M390" s="314"/>
      <c r="N390" s="769"/>
      <c r="O390" s="769"/>
      <c r="P390" s="773"/>
      <c r="Q390" s="774"/>
      <c r="R390" s="774"/>
      <c r="S390" s="775"/>
      <c r="AH390" s="776"/>
      <c r="AI390" s="776"/>
      <c r="AJ390" s="732"/>
      <c r="AK390" s="732"/>
      <c r="AL390" s="776"/>
      <c r="AM390" s="776"/>
      <c r="AN390" s="17"/>
      <c r="AO390" s="17"/>
      <c r="AP390" s="17"/>
      <c r="AQ390" s="17"/>
      <c r="AR390" s="17"/>
      <c r="AS390" s="17"/>
      <c r="AT390" s="17"/>
      <c r="AU390" s="732"/>
      <c r="AV390" s="313"/>
      <c r="AW390" s="313"/>
      <c r="AX390" s="313"/>
      <c r="AY390" s="313"/>
      <c r="AZ390" s="313"/>
      <c r="BA390" s="313"/>
      <c r="BB390" s="313"/>
      <c r="BC390" s="313"/>
      <c r="BD390" s="313"/>
      <c r="BE390" s="314"/>
      <c r="BW390" s="314"/>
      <c r="BX390" s="314"/>
      <c r="BY390" s="314"/>
      <c r="BZ390" s="314"/>
      <c r="CA390" s="314"/>
      <c r="CB390" s="314"/>
      <c r="CC390" s="314"/>
      <c r="CD390" s="314"/>
    </row>
    <row r="391" ht="28.5" customHeight="1">
      <c r="A391" s="767"/>
      <c r="B391" s="768"/>
      <c r="C391" s="768"/>
      <c r="D391" s="769"/>
      <c r="E391" s="769"/>
      <c r="F391" s="769"/>
      <c r="G391" s="336"/>
      <c r="H391" s="771"/>
      <c r="I391" s="769"/>
      <c r="J391" s="769"/>
      <c r="K391" s="314"/>
      <c r="L391" s="314"/>
      <c r="M391" s="314"/>
      <c r="N391" s="769"/>
      <c r="O391" s="769"/>
      <c r="P391" s="773"/>
      <c r="Q391" s="774"/>
      <c r="R391" s="774"/>
      <c r="S391" s="775"/>
      <c r="AH391" s="776"/>
      <c r="AI391" s="776"/>
      <c r="AJ391" s="732"/>
      <c r="AK391" s="732"/>
      <c r="AL391" s="776"/>
      <c r="AM391" s="776"/>
      <c r="AN391" s="17"/>
      <c r="AO391" s="17"/>
      <c r="AP391" s="17"/>
      <c r="AQ391" s="17"/>
      <c r="AR391" s="17"/>
      <c r="AS391" s="17"/>
      <c r="AT391" s="17"/>
      <c r="AU391" s="732"/>
      <c r="AV391" s="313"/>
      <c r="AW391" s="313"/>
      <c r="AX391" s="313"/>
      <c r="AY391" s="313"/>
      <c r="AZ391" s="313"/>
      <c r="BA391" s="313"/>
      <c r="BB391" s="313"/>
      <c r="BC391" s="313"/>
      <c r="BD391" s="313"/>
      <c r="BE391" s="314"/>
      <c r="BW391" s="314"/>
      <c r="BX391" s="314"/>
      <c r="BY391" s="314"/>
      <c r="BZ391" s="314"/>
      <c r="CA391" s="314"/>
      <c r="CB391" s="314"/>
      <c r="CC391" s="314"/>
      <c r="CD391" s="314"/>
    </row>
    <row r="392" ht="28.5" customHeight="1">
      <c r="A392" s="767"/>
      <c r="B392" s="768"/>
      <c r="C392" s="768"/>
      <c r="D392" s="769"/>
      <c r="E392" s="769"/>
      <c r="F392" s="769"/>
      <c r="G392" s="336"/>
      <c r="H392" s="771"/>
      <c r="I392" s="769"/>
      <c r="J392" s="769"/>
      <c r="K392" s="314"/>
      <c r="L392" s="314"/>
      <c r="M392" s="314"/>
      <c r="N392" s="769"/>
      <c r="O392" s="769"/>
      <c r="P392" s="773"/>
      <c r="Q392" s="774"/>
      <c r="R392" s="774"/>
      <c r="S392" s="775"/>
      <c r="AH392" s="776"/>
      <c r="AI392" s="776"/>
      <c r="AJ392" s="732"/>
      <c r="AK392" s="732"/>
      <c r="AL392" s="776"/>
      <c r="AM392" s="776"/>
      <c r="AN392" s="17"/>
      <c r="AO392" s="17"/>
      <c r="AP392" s="17"/>
      <c r="AQ392" s="17"/>
      <c r="AR392" s="17"/>
      <c r="AS392" s="17"/>
      <c r="AT392" s="17"/>
      <c r="AU392" s="732"/>
      <c r="AV392" s="313"/>
      <c r="AW392" s="313"/>
      <c r="AX392" s="313"/>
      <c r="AY392" s="313"/>
      <c r="AZ392" s="313"/>
      <c r="BA392" s="313"/>
      <c r="BB392" s="313"/>
      <c r="BC392" s="313"/>
      <c r="BD392" s="313"/>
      <c r="BE392" s="314"/>
      <c r="BW392" s="314"/>
      <c r="BX392" s="314"/>
      <c r="BY392" s="314"/>
      <c r="BZ392" s="314"/>
      <c r="CA392" s="314"/>
      <c r="CB392" s="314"/>
      <c r="CC392" s="314"/>
      <c r="CD392" s="314"/>
    </row>
    <row r="393" ht="28.5" customHeight="1">
      <c r="A393" s="767"/>
      <c r="B393" s="768"/>
      <c r="C393" s="768"/>
      <c r="D393" s="769"/>
      <c r="E393" s="769"/>
      <c r="F393" s="769"/>
      <c r="G393" s="336"/>
      <c r="H393" s="771"/>
      <c r="I393" s="769"/>
      <c r="J393" s="769"/>
      <c r="K393" s="314"/>
      <c r="L393" s="314"/>
      <c r="M393" s="314"/>
      <c r="N393" s="769"/>
      <c r="O393" s="769"/>
      <c r="P393" s="773"/>
      <c r="Q393" s="774"/>
      <c r="R393" s="774"/>
      <c r="S393" s="775"/>
      <c r="AH393" s="776"/>
      <c r="AI393" s="776"/>
      <c r="AJ393" s="732"/>
      <c r="AK393" s="732"/>
      <c r="AL393" s="776"/>
      <c r="AM393" s="776"/>
      <c r="AN393" s="17"/>
      <c r="AO393" s="17"/>
      <c r="AP393" s="17"/>
      <c r="AQ393" s="17"/>
      <c r="AR393" s="17"/>
      <c r="AS393" s="17"/>
      <c r="AT393" s="17"/>
      <c r="AU393" s="732"/>
      <c r="AV393" s="313"/>
      <c r="AW393" s="313"/>
      <c r="AX393" s="313"/>
      <c r="AY393" s="313"/>
      <c r="AZ393" s="313"/>
      <c r="BA393" s="313"/>
      <c r="BB393" s="313"/>
      <c r="BC393" s="313"/>
      <c r="BD393" s="313"/>
      <c r="BE393" s="314"/>
      <c r="BW393" s="314"/>
      <c r="BX393" s="314"/>
      <c r="BY393" s="314"/>
      <c r="BZ393" s="314"/>
      <c r="CA393" s="314"/>
      <c r="CB393" s="314"/>
      <c r="CC393" s="314"/>
      <c r="CD393" s="314"/>
    </row>
    <row r="394" ht="28.5" customHeight="1">
      <c r="A394" s="767"/>
      <c r="B394" s="768"/>
      <c r="C394" s="768"/>
      <c r="D394" s="769"/>
      <c r="E394" s="769"/>
      <c r="F394" s="769"/>
      <c r="G394" s="336"/>
      <c r="H394" s="771"/>
      <c r="I394" s="769"/>
      <c r="J394" s="769"/>
      <c r="K394" s="314"/>
      <c r="L394" s="314"/>
      <c r="M394" s="314"/>
      <c r="N394" s="769"/>
      <c r="O394" s="769"/>
      <c r="P394" s="773"/>
      <c r="Q394" s="774"/>
      <c r="R394" s="774"/>
      <c r="S394" s="775"/>
      <c r="AH394" s="776"/>
      <c r="AI394" s="776"/>
      <c r="AJ394" s="732"/>
      <c r="AK394" s="732"/>
      <c r="AL394" s="776"/>
      <c r="AM394" s="776"/>
      <c r="AN394" s="17"/>
      <c r="AO394" s="17"/>
      <c r="AP394" s="17"/>
      <c r="AQ394" s="17"/>
      <c r="AR394" s="17"/>
      <c r="AS394" s="17"/>
      <c r="AT394" s="17"/>
      <c r="AU394" s="732"/>
      <c r="AV394" s="313"/>
      <c r="AW394" s="313"/>
      <c r="AX394" s="313"/>
      <c r="AY394" s="313"/>
      <c r="AZ394" s="313"/>
      <c r="BA394" s="313"/>
      <c r="BB394" s="313"/>
      <c r="BC394" s="313"/>
      <c r="BD394" s="313"/>
      <c r="BE394" s="314"/>
      <c r="BW394" s="314"/>
      <c r="BX394" s="314"/>
      <c r="BY394" s="314"/>
      <c r="BZ394" s="314"/>
      <c r="CA394" s="314"/>
      <c r="CB394" s="314"/>
      <c r="CC394" s="314"/>
      <c r="CD394" s="314"/>
    </row>
    <row r="395" ht="28.5" customHeight="1">
      <c r="A395" s="767"/>
      <c r="B395" s="768"/>
      <c r="C395" s="768"/>
      <c r="D395" s="769"/>
      <c r="E395" s="769"/>
      <c r="F395" s="769"/>
      <c r="G395" s="336"/>
      <c r="H395" s="771"/>
      <c r="I395" s="769"/>
      <c r="J395" s="769"/>
      <c r="K395" s="314"/>
      <c r="L395" s="314"/>
      <c r="M395" s="314"/>
      <c r="N395" s="769"/>
      <c r="O395" s="769"/>
      <c r="P395" s="773"/>
      <c r="Q395" s="774"/>
      <c r="R395" s="774"/>
      <c r="S395" s="775"/>
      <c r="AH395" s="776"/>
      <c r="AI395" s="776"/>
      <c r="AJ395" s="732"/>
      <c r="AK395" s="732"/>
      <c r="AL395" s="776"/>
      <c r="AM395" s="776"/>
      <c r="AN395" s="17"/>
      <c r="AO395" s="17"/>
      <c r="AP395" s="17"/>
      <c r="AQ395" s="17"/>
      <c r="AR395" s="17"/>
      <c r="AS395" s="17"/>
      <c r="AT395" s="17"/>
      <c r="AU395" s="732"/>
      <c r="AV395" s="313"/>
      <c r="AW395" s="313"/>
      <c r="AX395" s="313"/>
      <c r="AY395" s="313"/>
      <c r="AZ395" s="313"/>
      <c r="BA395" s="313"/>
      <c r="BB395" s="313"/>
      <c r="BC395" s="313"/>
      <c r="BD395" s="313"/>
      <c r="BE395" s="314"/>
      <c r="BW395" s="314"/>
      <c r="BX395" s="314"/>
      <c r="BY395" s="314"/>
      <c r="BZ395" s="314"/>
      <c r="CA395" s="314"/>
      <c r="CB395" s="314"/>
      <c r="CC395" s="314"/>
      <c r="CD395" s="314"/>
    </row>
    <row r="396" ht="28.5" customHeight="1">
      <c r="A396" s="767"/>
      <c r="B396" s="768"/>
      <c r="C396" s="768"/>
      <c r="D396" s="769"/>
      <c r="E396" s="769"/>
      <c r="F396" s="769"/>
      <c r="G396" s="336"/>
      <c r="H396" s="771"/>
      <c r="I396" s="769"/>
      <c r="J396" s="769"/>
      <c r="K396" s="314"/>
      <c r="L396" s="314"/>
      <c r="M396" s="314"/>
      <c r="N396" s="769"/>
      <c r="O396" s="769"/>
      <c r="P396" s="773"/>
      <c r="Q396" s="774"/>
      <c r="R396" s="774"/>
      <c r="S396" s="775"/>
      <c r="AH396" s="776"/>
      <c r="AI396" s="776"/>
      <c r="AJ396" s="732"/>
      <c r="AK396" s="732"/>
      <c r="AL396" s="776"/>
      <c r="AM396" s="776"/>
      <c r="AN396" s="17"/>
      <c r="AO396" s="17"/>
      <c r="AP396" s="17"/>
      <c r="AQ396" s="17"/>
      <c r="AR396" s="17"/>
      <c r="AS396" s="17"/>
      <c r="AT396" s="17"/>
      <c r="AU396" s="732"/>
      <c r="AV396" s="313"/>
      <c r="AW396" s="313"/>
      <c r="AX396" s="313"/>
      <c r="AY396" s="313"/>
      <c r="AZ396" s="313"/>
      <c r="BA396" s="313"/>
      <c r="BB396" s="313"/>
      <c r="BC396" s="313"/>
      <c r="BD396" s="313"/>
      <c r="BE396" s="314"/>
      <c r="BW396" s="314"/>
      <c r="BX396" s="314"/>
      <c r="BY396" s="314"/>
      <c r="BZ396" s="314"/>
      <c r="CA396" s="314"/>
      <c r="CB396" s="314"/>
      <c r="CC396" s="314"/>
      <c r="CD396" s="314"/>
    </row>
    <row r="397" ht="28.5" customHeight="1">
      <c r="A397" s="767"/>
      <c r="B397" s="768"/>
      <c r="C397" s="768"/>
      <c r="D397" s="769"/>
      <c r="E397" s="769"/>
      <c r="F397" s="769"/>
      <c r="G397" s="336"/>
      <c r="H397" s="771"/>
      <c r="I397" s="769"/>
      <c r="J397" s="769"/>
      <c r="K397" s="314"/>
      <c r="L397" s="314"/>
      <c r="M397" s="314"/>
      <c r="N397" s="769"/>
      <c r="O397" s="769"/>
      <c r="P397" s="773"/>
      <c r="Q397" s="774"/>
      <c r="R397" s="774"/>
      <c r="S397" s="775"/>
      <c r="AH397" s="776"/>
      <c r="AI397" s="776"/>
      <c r="AJ397" s="732"/>
      <c r="AK397" s="732"/>
      <c r="AL397" s="776"/>
      <c r="AM397" s="776"/>
      <c r="AN397" s="17"/>
      <c r="AO397" s="17"/>
      <c r="AP397" s="17"/>
      <c r="AQ397" s="17"/>
      <c r="AR397" s="17"/>
      <c r="AS397" s="17"/>
      <c r="AT397" s="17"/>
      <c r="AU397" s="732"/>
      <c r="AV397" s="313"/>
      <c r="AW397" s="313"/>
      <c r="AX397" s="313"/>
      <c r="AY397" s="313"/>
      <c r="AZ397" s="313"/>
      <c r="BA397" s="313"/>
      <c r="BB397" s="313"/>
      <c r="BC397" s="313"/>
      <c r="BD397" s="313"/>
      <c r="BE397" s="314"/>
      <c r="BW397" s="314"/>
      <c r="BX397" s="314"/>
      <c r="BY397" s="314"/>
      <c r="BZ397" s="314"/>
      <c r="CA397" s="314"/>
      <c r="CB397" s="314"/>
      <c r="CC397" s="314"/>
      <c r="CD397" s="314"/>
    </row>
    <row r="398" ht="28.5" customHeight="1">
      <c r="A398" s="767"/>
      <c r="B398" s="768"/>
      <c r="C398" s="768"/>
      <c r="D398" s="769"/>
      <c r="E398" s="769"/>
      <c r="F398" s="769"/>
      <c r="G398" s="336"/>
      <c r="H398" s="771"/>
      <c r="I398" s="769"/>
      <c r="J398" s="769"/>
      <c r="K398" s="314"/>
      <c r="L398" s="314"/>
      <c r="M398" s="314"/>
      <c r="N398" s="769"/>
      <c r="O398" s="769"/>
      <c r="P398" s="773"/>
      <c r="Q398" s="774"/>
      <c r="R398" s="774"/>
      <c r="S398" s="775"/>
      <c r="AH398" s="776"/>
      <c r="AI398" s="776"/>
      <c r="AJ398" s="732"/>
      <c r="AK398" s="732"/>
      <c r="AL398" s="776"/>
      <c r="AM398" s="776"/>
      <c r="AN398" s="17"/>
      <c r="AO398" s="17"/>
      <c r="AP398" s="17"/>
      <c r="AQ398" s="17"/>
      <c r="AR398" s="17"/>
      <c r="AS398" s="17"/>
      <c r="AT398" s="17"/>
      <c r="AU398" s="732"/>
      <c r="AV398" s="313"/>
      <c r="AW398" s="313"/>
      <c r="AX398" s="313"/>
      <c r="AY398" s="313"/>
      <c r="AZ398" s="313"/>
      <c r="BA398" s="313"/>
      <c r="BB398" s="313"/>
      <c r="BC398" s="313"/>
      <c r="BD398" s="313"/>
      <c r="BE398" s="314"/>
      <c r="BW398" s="314"/>
      <c r="BX398" s="314"/>
      <c r="BY398" s="314"/>
      <c r="BZ398" s="314"/>
      <c r="CA398" s="314"/>
      <c r="CB398" s="314"/>
      <c r="CC398" s="314"/>
      <c r="CD398" s="314"/>
    </row>
    <row r="399" ht="28.5" customHeight="1">
      <c r="A399" s="767"/>
      <c r="B399" s="768"/>
      <c r="C399" s="768"/>
      <c r="D399" s="769"/>
      <c r="E399" s="769"/>
      <c r="F399" s="769"/>
      <c r="G399" s="336"/>
      <c r="H399" s="771"/>
      <c r="I399" s="769"/>
      <c r="J399" s="769"/>
      <c r="K399" s="314"/>
      <c r="L399" s="314"/>
      <c r="M399" s="314"/>
      <c r="N399" s="769"/>
      <c r="O399" s="769"/>
      <c r="P399" s="773"/>
      <c r="Q399" s="774"/>
      <c r="R399" s="774"/>
      <c r="S399" s="775"/>
      <c r="AH399" s="776"/>
      <c r="AI399" s="776"/>
      <c r="AJ399" s="732"/>
      <c r="AK399" s="732"/>
      <c r="AL399" s="776"/>
      <c r="AM399" s="776"/>
      <c r="AN399" s="17"/>
      <c r="AO399" s="17"/>
      <c r="AP399" s="17"/>
      <c r="AQ399" s="17"/>
      <c r="AR399" s="17"/>
      <c r="AS399" s="17"/>
      <c r="AT399" s="17"/>
      <c r="AU399" s="732"/>
      <c r="AV399" s="313"/>
      <c r="AW399" s="313"/>
      <c r="AX399" s="313"/>
      <c r="AY399" s="313"/>
      <c r="AZ399" s="313"/>
      <c r="BA399" s="313"/>
      <c r="BB399" s="313"/>
      <c r="BC399" s="313"/>
      <c r="BD399" s="313"/>
      <c r="BE399" s="314"/>
      <c r="BW399" s="314"/>
      <c r="BX399" s="314"/>
      <c r="BY399" s="314"/>
      <c r="BZ399" s="314"/>
      <c r="CA399" s="314"/>
      <c r="CB399" s="314"/>
      <c r="CC399" s="314"/>
      <c r="CD399" s="314"/>
    </row>
    <row r="400" ht="28.5" customHeight="1">
      <c r="A400" s="767"/>
      <c r="B400" s="768"/>
      <c r="C400" s="768"/>
      <c r="D400" s="769"/>
      <c r="E400" s="769"/>
      <c r="F400" s="769"/>
      <c r="G400" s="336"/>
      <c r="H400" s="771"/>
      <c r="I400" s="769"/>
      <c r="J400" s="769"/>
      <c r="K400" s="314"/>
      <c r="L400" s="314"/>
      <c r="M400" s="314"/>
      <c r="N400" s="769"/>
      <c r="O400" s="769"/>
      <c r="P400" s="773"/>
      <c r="Q400" s="774"/>
      <c r="R400" s="774"/>
      <c r="S400" s="775"/>
      <c r="AH400" s="776"/>
      <c r="AI400" s="776"/>
      <c r="AJ400" s="732"/>
      <c r="AK400" s="732"/>
      <c r="AL400" s="776"/>
      <c r="AM400" s="776"/>
      <c r="AN400" s="17"/>
      <c r="AO400" s="17"/>
      <c r="AP400" s="17"/>
      <c r="AQ400" s="17"/>
      <c r="AR400" s="17"/>
      <c r="AS400" s="17"/>
      <c r="AT400" s="17"/>
      <c r="AU400" s="732"/>
      <c r="AV400" s="313"/>
      <c r="AW400" s="313"/>
      <c r="AX400" s="313"/>
      <c r="AY400" s="313"/>
      <c r="AZ400" s="313"/>
      <c r="BA400" s="313"/>
      <c r="BB400" s="313"/>
      <c r="BC400" s="313"/>
      <c r="BD400" s="313"/>
      <c r="BE400" s="314"/>
      <c r="BW400" s="314"/>
      <c r="BX400" s="314"/>
      <c r="BY400" s="314"/>
      <c r="BZ400" s="314"/>
      <c r="CA400" s="314"/>
      <c r="CB400" s="314"/>
      <c r="CC400" s="314"/>
      <c r="CD400" s="314"/>
    </row>
    <row r="401" ht="28.5" customHeight="1">
      <c r="A401" s="767"/>
      <c r="B401" s="768"/>
      <c r="C401" s="768"/>
      <c r="D401" s="769"/>
      <c r="E401" s="769"/>
      <c r="F401" s="769"/>
      <c r="G401" s="336"/>
      <c r="H401" s="771"/>
      <c r="I401" s="769"/>
      <c r="J401" s="769"/>
      <c r="K401" s="314"/>
      <c r="L401" s="314"/>
      <c r="M401" s="314"/>
      <c r="N401" s="769"/>
      <c r="O401" s="769"/>
      <c r="P401" s="773"/>
      <c r="Q401" s="774"/>
      <c r="R401" s="774"/>
      <c r="S401" s="775"/>
      <c r="AH401" s="776"/>
      <c r="AI401" s="776"/>
      <c r="AJ401" s="732"/>
      <c r="AK401" s="732"/>
      <c r="AL401" s="776"/>
      <c r="AM401" s="776"/>
      <c r="AN401" s="17"/>
      <c r="AO401" s="17"/>
      <c r="AP401" s="17"/>
      <c r="AQ401" s="17"/>
      <c r="AR401" s="17"/>
      <c r="AS401" s="17"/>
      <c r="AT401" s="17"/>
      <c r="AU401" s="732"/>
      <c r="AV401" s="313"/>
      <c r="AW401" s="313"/>
      <c r="AX401" s="313"/>
      <c r="AY401" s="313"/>
      <c r="AZ401" s="313"/>
      <c r="BA401" s="313"/>
      <c r="BB401" s="313"/>
      <c r="BC401" s="313"/>
      <c r="BD401" s="313"/>
      <c r="BE401" s="314"/>
      <c r="BW401" s="314"/>
      <c r="BX401" s="314"/>
      <c r="BY401" s="314"/>
      <c r="BZ401" s="314"/>
      <c r="CA401" s="314"/>
      <c r="CB401" s="314"/>
      <c r="CC401" s="314"/>
      <c r="CD401" s="314"/>
    </row>
    <row r="402" ht="28.5" customHeight="1">
      <c r="A402" s="767"/>
      <c r="B402" s="768"/>
      <c r="C402" s="768"/>
      <c r="D402" s="769"/>
      <c r="E402" s="769"/>
      <c r="F402" s="769"/>
      <c r="G402" s="336"/>
      <c r="H402" s="771"/>
      <c r="I402" s="769"/>
      <c r="J402" s="769"/>
      <c r="K402" s="314"/>
      <c r="L402" s="314"/>
      <c r="M402" s="314"/>
      <c r="N402" s="769"/>
      <c r="O402" s="769"/>
      <c r="P402" s="773"/>
      <c r="Q402" s="774"/>
      <c r="R402" s="774"/>
      <c r="S402" s="775"/>
      <c r="AH402" s="776"/>
      <c r="AI402" s="776"/>
      <c r="AJ402" s="732"/>
      <c r="AK402" s="732"/>
      <c r="AL402" s="776"/>
      <c r="AM402" s="776"/>
      <c r="AN402" s="17"/>
      <c r="AO402" s="17"/>
      <c r="AP402" s="17"/>
      <c r="AQ402" s="17"/>
      <c r="AR402" s="17"/>
      <c r="AS402" s="17"/>
      <c r="AT402" s="17"/>
      <c r="AU402" s="732"/>
      <c r="AV402" s="313"/>
      <c r="AW402" s="313"/>
      <c r="AX402" s="313"/>
      <c r="AY402" s="313"/>
      <c r="AZ402" s="313"/>
      <c r="BA402" s="313"/>
      <c r="BB402" s="313"/>
      <c r="BC402" s="313"/>
      <c r="BD402" s="313"/>
      <c r="BE402" s="314"/>
      <c r="BW402" s="314"/>
      <c r="BX402" s="314"/>
      <c r="BY402" s="314"/>
      <c r="BZ402" s="314"/>
      <c r="CA402" s="314"/>
      <c r="CB402" s="314"/>
      <c r="CC402" s="314"/>
      <c r="CD402" s="314"/>
    </row>
    <row r="403" ht="28.5" customHeight="1">
      <c r="A403" s="767"/>
      <c r="B403" s="768"/>
      <c r="C403" s="768"/>
      <c r="D403" s="769"/>
      <c r="E403" s="769"/>
      <c r="F403" s="769"/>
      <c r="G403" s="336"/>
      <c r="H403" s="771"/>
      <c r="I403" s="769"/>
      <c r="J403" s="769"/>
      <c r="K403" s="314"/>
      <c r="L403" s="314"/>
      <c r="M403" s="314"/>
      <c r="N403" s="769"/>
      <c r="O403" s="769"/>
      <c r="P403" s="773"/>
      <c r="Q403" s="774"/>
      <c r="R403" s="774"/>
      <c r="S403" s="775"/>
      <c r="AH403" s="776"/>
      <c r="AI403" s="776"/>
      <c r="AJ403" s="732"/>
      <c r="AK403" s="732"/>
      <c r="AL403" s="776"/>
      <c r="AM403" s="776"/>
      <c r="AN403" s="17"/>
      <c r="AO403" s="17"/>
      <c r="AP403" s="17"/>
      <c r="AQ403" s="17"/>
      <c r="AR403" s="17"/>
      <c r="AS403" s="17"/>
      <c r="AT403" s="17"/>
      <c r="AU403" s="732"/>
      <c r="AV403" s="313"/>
      <c r="AW403" s="313"/>
      <c r="AX403" s="313"/>
      <c r="AY403" s="313"/>
      <c r="AZ403" s="313"/>
      <c r="BA403" s="313"/>
      <c r="BB403" s="313"/>
      <c r="BC403" s="313"/>
      <c r="BD403" s="313"/>
      <c r="BE403" s="314"/>
      <c r="BW403" s="314"/>
      <c r="BX403" s="314"/>
      <c r="BY403" s="314"/>
      <c r="BZ403" s="314"/>
      <c r="CA403" s="314"/>
      <c r="CB403" s="314"/>
      <c r="CC403" s="314"/>
      <c r="CD403" s="314"/>
    </row>
    <row r="404" ht="28.5" customHeight="1">
      <c r="A404" s="767"/>
      <c r="B404" s="768"/>
      <c r="C404" s="768"/>
      <c r="D404" s="769"/>
      <c r="E404" s="769"/>
      <c r="F404" s="769"/>
      <c r="G404" s="336"/>
      <c r="H404" s="771"/>
      <c r="I404" s="769"/>
      <c r="J404" s="769"/>
      <c r="K404" s="314"/>
      <c r="L404" s="314"/>
      <c r="M404" s="314"/>
      <c r="N404" s="769"/>
      <c r="O404" s="769"/>
      <c r="P404" s="773"/>
      <c r="Q404" s="774"/>
      <c r="R404" s="774"/>
      <c r="S404" s="775"/>
      <c r="AH404" s="776"/>
      <c r="AI404" s="776"/>
      <c r="AJ404" s="732"/>
      <c r="AK404" s="732"/>
      <c r="AL404" s="776"/>
      <c r="AM404" s="776"/>
      <c r="AN404" s="17"/>
      <c r="AO404" s="17"/>
      <c r="AP404" s="17"/>
      <c r="AQ404" s="17"/>
      <c r="AR404" s="17"/>
      <c r="AS404" s="17"/>
      <c r="AT404" s="17"/>
      <c r="AU404" s="732"/>
      <c r="AV404" s="313"/>
      <c r="AW404" s="313"/>
      <c r="AX404" s="313"/>
      <c r="AY404" s="313"/>
      <c r="AZ404" s="313"/>
      <c r="BA404" s="313"/>
      <c r="BB404" s="313"/>
      <c r="BC404" s="313"/>
      <c r="BD404" s="313"/>
      <c r="BE404" s="314"/>
      <c r="BW404" s="314"/>
      <c r="BX404" s="314"/>
      <c r="BY404" s="314"/>
      <c r="BZ404" s="314"/>
      <c r="CA404" s="314"/>
      <c r="CB404" s="314"/>
      <c r="CC404" s="314"/>
      <c r="CD404" s="314"/>
    </row>
    <row r="405" ht="28.5" customHeight="1">
      <c r="A405" s="767"/>
      <c r="B405" s="768"/>
      <c r="C405" s="768"/>
      <c r="D405" s="769"/>
      <c r="E405" s="769"/>
      <c r="F405" s="769"/>
      <c r="G405" s="336"/>
      <c r="H405" s="771"/>
      <c r="I405" s="769"/>
      <c r="J405" s="769"/>
      <c r="K405" s="314"/>
      <c r="L405" s="314"/>
      <c r="M405" s="314"/>
      <c r="N405" s="769"/>
      <c r="O405" s="769"/>
      <c r="P405" s="773"/>
      <c r="Q405" s="774"/>
      <c r="R405" s="774"/>
      <c r="S405" s="775"/>
      <c r="AH405" s="776"/>
      <c r="AI405" s="776"/>
      <c r="AJ405" s="732"/>
      <c r="AK405" s="732"/>
      <c r="AL405" s="776"/>
      <c r="AM405" s="776"/>
      <c r="AN405" s="17"/>
      <c r="AO405" s="17"/>
      <c r="AP405" s="17"/>
      <c r="AQ405" s="17"/>
      <c r="AR405" s="17"/>
      <c r="AS405" s="17"/>
      <c r="AT405" s="17"/>
      <c r="AU405" s="732"/>
      <c r="AV405" s="313"/>
      <c r="AW405" s="313"/>
      <c r="AX405" s="313"/>
      <c r="AY405" s="313"/>
      <c r="AZ405" s="313"/>
      <c r="BA405" s="313"/>
      <c r="BB405" s="313"/>
      <c r="BC405" s="313"/>
      <c r="BD405" s="313"/>
      <c r="BE405" s="314"/>
      <c r="BW405" s="314"/>
      <c r="BX405" s="314"/>
      <c r="BY405" s="314"/>
      <c r="BZ405" s="314"/>
      <c r="CA405" s="314"/>
      <c r="CB405" s="314"/>
      <c r="CC405" s="314"/>
      <c r="CD405" s="314"/>
    </row>
    <row r="406" ht="28.5" customHeight="1">
      <c r="A406" s="767"/>
      <c r="B406" s="768"/>
      <c r="C406" s="768"/>
      <c r="D406" s="769"/>
      <c r="E406" s="769"/>
      <c r="F406" s="769"/>
      <c r="G406" s="336"/>
      <c r="H406" s="771"/>
      <c r="I406" s="769"/>
      <c r="J406" s="769"/>
      <c r="K406" s="314"/>
      <c r="L406" s="314"/>
      <c r="M406" s="314"/>
      <c r="N406" s="769"/>
      <c r="O406" s="769"/>
      <c r="P406" s="773"/>
      <c r="Q406" s="774"/>
      <c r="R406" s="774"/>
      <c r="S406" s="775"/>
      <c r="AH406" s="776"/>
      <c r="AI406" s="776"/>
      <c r="AJ406" s="732"/>
      <c r="AK406" s="732"/>
      <c r="AL406" s="776"/>
      <c r="AM406" s="776"/>
      <c r="AN406" s="17"/>
      <c r="AO406" s="17"/>
      <c r="AP406" s="17"/>
      <c r="AQ406" s="17"/>
      <c r="AR406" s="17"/>
      <c r="AS406" s="17"/>
      <c r="AT406" s="17"/>
      <c r="AU406" s="732"/>
      <c r="AV406" s="313"/>
      <c r="AW406" s="313"/>
      <c r="AX406" s="313"/>
      <c r="AY406" s="313"/>
      <c r="AZ406" s="313"/>
      <c r="BA406" s="313"/>
      <c r="BB406" s="313"/>
      <c r="BC406" s="313"/>
      <c r="BD406" s="313"/>
      <c r="BE406" s="314"/>
      <c r="BW406" s="314"/>
      <c r="BX406" s="314"/>
      <c r="BY406" s="314"/>
      <c r="BZ406" s="314"/>
      <c r="CA406" s="314"/>
      <c r="CB406" s="314"/>
      <c r="CC406" s="314"/>
      <c r="CD406" s="314"/>
    </row>
    <row r="407" ht="28.5" customHeight="1">
      <c r="A407" s="767"/>
      <c r="B407" s="768"/>
      <c r="C407" s="768"/>
      <c r="D407" s="769"/>
      <c r="E407" s="769"/>
      <c r="F407" s="769"/>
      <c r="G407" s="336"/>
      <c r="H407" s="771"/>
      <c r="I407" s="769"/>
      <c r="J407" s="769"/>
      <c r="K407" s="314"/>
      <c r="L407" s="314"/>
      <c r="M407" s="314"/>
      <c r="N407" s="769"/>
      <c r="O407" s="769"/>
      <c r="P407" s="773"/>
      <c r="Q407" s="774"/>
      <c r="R407" s="774"/>
      <c r="S407" s="775"/>
      <c r="AH407" s="776"/>
      <c r="AI407" s="776"/>
      <c r="AJ407" s="732"/>
      <c r="AK407" s="732"/>
      <c r="AL407" s="776"/>
      <c r="AM407" s="776"/>
      <c r="AN407" s="17"/>
      <c r="AO407" s="17"/>
      <c r="AP407" s="17"/>
      <c r="AQ407" s="17"/>
      <c r="AR407" s="17"/>
      <c r="AS407" s="17"/>
      <c r="AT407" s="17"/>
      <c r="AU407" s="732"/>
      <c r="AV407" s="313"/>
      <c r="AW407" s="313"/>
      <c r="AX407" s="313"/>
      <c r="AY407" s="313"/>
      <c r="AZ407" s="313"/>
      <c r="BA407" s="313"/>
      <c r="BB407" s="313"/>
      <c r="BC407" s="313"/>
      <c r="BD407" s="313"/>
      <c r="BE407" s="314"/>
      <c r="BW407" s="314"/>
      <c r="BX407" s="314"/>
      <c r="BY407" s="314"/>
      <c r="BZ407" s="314"/>
      <c r="CA407" s="314"/>
      <c r="CB407" s="314"/>
      <c r="CC407" s="314"/>
      <c r="CD407" s="314"/>
    </row>
    <row r="408" ht="28.5" customHeight="1">
      <c r="A408" s="767"/>
      <c r="B408" s="768"/>
      <c r="C408" s="768"/>
      <c r="D408" s="769"/>
      <c r="E408" s="769"/>
      <c r="F408" s="769"/>
      <c r="G408" s="336"/>
      <c r="H408" s="771"/>
      <c r="I408" s="769"/>
      <c r="J408" s="769"/>
      <c r="K408" s="314"/>
      <c r="L408" s="314"/>
      <c r="M408" s="314"/>
      <c r="N408" s="769"/>
      <c r="O408" s="769"/>
      <c r="P408" s="773"/>
      <c r="Q408" s="774"/>
      <c r="R408" s="774"/>
      <c r="S408" s="775"/>
      <c r="AH408" s="776"/>
      <c r="AI408" s="776"/>
      <c r="AJ408" s="732"/>
      <c r="AK408" s="732"/>
      <c r="AL408" s="776"/>
      <c r="AM408" s="776"/>
      <c r="AN408" s="17"/>
      <c r="AO408" s="17"/>
      <c r="AP408" s="17"/>
      <c r="AQ408" s="17"/>
      <c r="AR408" s="17"/>
      <c r="AS408" s="17"/>
      <c r="AT408" s="17"/>
      <c r="AU408" s="732"/>
      <c r="AV408" s="313"/>
      <c r="AW408" s="313"/>
      <c r="AX408" s="313"/>
      <c r="AY408" s="313"/>
      <c r="AZ408" s="313"/>
      <c r="BA408" s="313"/>
      <c r="BB408" s="313"/>
      <c r="BC408" s="313"/>
      <c r="BD408" s="313"/>
      <c r="BE408" s="314"/>
      <c r="BW408" s="314"/>
      <c r="BX408" s="314"/>
      <c r="BY408" s="314"/>
      <c r="BZ408" s="314"/>
      <c r="CA408" s="314"/>
      <c r="CB408" s="314"/>
      <c r="CC408" s="314"/>
      <c r="CD408" s="314"/>
    </row>
    <row r="409" ht="28.5" customHeight="1">
      <c r="A409" s="767"/>
      <c r="B409" s="768"/>
      <c r="C409" s="768"/>
      <c r="D409" s="769"/>
      <c r="E409" s="769"/>
      <c r="F409" s="769"/>
      <c r="G409" s="336"/>
      <c r="H409" s="771"/>
      <c r="I409" s="769"/>
      <c r="J409" s="769"/>
      <c r="K409" s="314"/>
      <c r="L409" s="314"/>
      <c r="M409" s="314"/>
      <c r="N409" s="769"/>
      <c r="O409" s="769"/>
      <c r="P409" s="773"/>
      <c r="Q409" s="774"/>
      <c r="R409" s="774"/>
      <c r="S409" s="775"/>
      <c r="AH409" s="776"/>
      <c r="AI409" s="776"/>
      <c r="AJ409" s="732"/>
      <c r="AK409" s="732"/>
      <c r="AL409" s="776"/>
      <c r="AM409" s="776"/>
      <c r="AN409" s="17"/>
      <c r="AO409" s="17"/>
      <c r="AP409" s="17"/>
      <c r="AQ409" s="17"/>
      <c r="AR409" s="17"/>
      <c r="AS409" s="17"/>
      <c r="AT409" s="17"/>
      <c r="AU409" s="732"/>
      <c r="AV409" s="313"/>
      <c r="AW409" s="313"/>
      <c r="AX409" s="313"/>
      <c r="AY409" s="313"/>
      <c r="AZ409" s="313"/>
      <c r="BA409" s="313"/>
      <c r="BB409" s="313"/>
      <c r="BC409" s="313"/>
      <c r="BD409" s="313"/>
      <c r="BE409" s="314"/>
      <c r="BW409" s="314"/>
      <c r="BX409" s="314"/>
      <c r="BY409" s="314"/>
      <c r="BZ409" s="314"/>
      <c r="CA409" s="314"/>
      <c r="CB409" s="314"/>
      <c r="CC409" s="314"/>
      <c r="CD409" s="314"/>
    </row>
    <row r="410" ht="28.5" customHeight="1">
      <c r="A410" s="767"/>
      <c r="B410" s="768"/>
      <c r="C410" s="768"/>
      <c r="D410" s="769"/>
      <c r="E410" s="769"/>
      <c r="F410" s="769"/>
      <c r="G410" s="336"/>
      <c r="H410" s="771"/>
      <c r="I410" s="769"/>
      <c r="J410" s="769"/>
      <c r="K410" s="314"/>
      <c r="L410" s="314"/>
      <c r="M410" s="314"/>
      <c r="N410" s="769"/>
      <c r="O410" s="769"/>
      <c r="P410" s="773"/>
      <c r="Q410" s="774"/>
      <c r="R410" s="774"/>
      <c r="S410" s="775"/>
      <c r="AH410" s="776"/>
      <c r="AI410" s="776"/>
      <c r="AJ410" s="732"/>
      <c r="AK410" s="732"/>
      <c r="AL410" s="776"/>
      <c r="AM410" s="776"/>
      <c r="AN410" s="17"/>
      <c r="AO410" s="17"/>
      <c r="AP410" s="17"/>
      <c r="AQ410" s="17"/>
      <c r="AR410" s="17"/>
      <c r="AS410" s="17"/>
      <c r="AT410" s="17"/>
      <c r="AU410" s="732"/>
      <c r="AV410" s="313"/>
      <c r="AW410" s="313"/>
      <c r="AX410" s="313"/>
      <c r="AY410" s="313"/>
      <c r="AZ410" s="313"/>
      <c r="BA410" s="313"/>
      <c r="BB410" s="313"/>
      <c r="BC410" s="313"/>
      <c r="BD410" s="313"/>
      <c r="BE410" s="314"/>
      <c r="BW410" s="314"/>
      <c r="BX410" s="314"/>
      <c r="BY410" s="314"/>
      <c r="BZ410" s="314"/>
      <c r="CA410" s="314"/>
      <c r="CB410" s="314"/>
      <c r="CC410" s="314"/>
      <c r="CD410" s="314"/>
    </row>
    <row r="411" ht="28.5" customHeight="1">
      <c r="A411" s="767"/>
      <c r="B411" s="768"/>
      <c r="C411" s="768"/>
      <c r="D411" s="769"/>
      <c r="E411" s="769"/>
      <c r="F411" s="769"/>
      <c r="G411" s="336"/>
      <c r="H411" s="771"/>
      <c r="I411" s="769"/>
      <c r="J411" s="769"/>
      <c r="K411" s="314"/>
      <c r="L411" s="314"/>
      <c r="M411" s="314"/>
      <c r="N411" s="769"/>
      <c r="O411" s="769"/>
      <c r="P411" s="773"/>
      <c r="Q411" s="774"/>
      <c r="R411" s="774"/>
      <c r="S411" s="775"/>
      <c r="AH411" s="776"/>
      <c r="AI411" s="776"/>
      <c r="AJ411" s="732"/>
      <c r="AK411" s="732"/>
      <c r="AL411" s="776"/>
      <c r="AM411" s="776"/>
      <c r="AN411" s="17"/>
      <c r="AO411" s="17"/>
      <c r="AP411" s="17"/>
      <c r="AQ411" s="17"/>
      <c r="AR411" s="17"/>
      <c r="AS411" s="17"/>
      <c r="AT411" s="17"/>
      <c r="AU411" s="732"/>
      <c r="AV411" s="313"/>
      <c r="AW411" s="313"/>
      <c r="AX411" s="313"/>
      <c r="AY411" s="313"/>
      <c r="AZ411" s="313"/>
      <c r="BA411" s="313"/>
      <c r="BB411" s="313"/>
      <c r="BC411" s="313"/>
      <c r="BD411" s="313"/>
      <c r="BE411" s="314"/>
      <c r="BW411" s="314"/>
      <c r="BX411" s="314"/>
      <c r="BY411" s="314"/>
      <c r="BZ411" s="314"/>
      <c r="CA411" s="314"/>
      <c r="CB411" s="314"/>
      <c r="CC411" s="314"/>
      <c r="CD411" s="314"/>
    </row>
    <row r="412" ht="28.5" customHeight="1">
      <c r="A412" s="767"/>
      <c r="B412" s="768"/>
      <c r="C412" s="768"/>
      <c r="D412" s="769"/>
      <c r="E412" s="769"/>
      <c r="F412" s="769"/>
      <c r="G412" s="336"/>
      <c r="H412" s="771"/>
      <c r="I412" s="769"/>
      <c r="J412" s="769"/>
      <c r="K412" s="314"/>
      <c r="L412" s="314"/>
      <c r="M412" s="314"/>
      <c r="N412" s="769"/>
      <c r="O412" s="769"/>
      <c r="P412" s="773"/>
      <c r="Q412" s="774"/>
      <c r="R412" s="774"/>
      <c r="S412" s="775"/>
      <c r="AH412" s="776"/>
      <c r="AI412" s="776"/>
      <c r="AJ412" s="732"/>
      <c r="AK412" s="732"/>
      <c r="AL412" s="776"/>
      <c r="AM412" s="776"/>
      <c r="AN412" s="17"/>
      <c r="AO412" s="17"/>
      <c r="AP412" s="17"/>
      <c r="AQ412" s="17"/>
      <c r="AR412" s="17"/>
      <c r="AS412" s="17"/>
      <c r="AT412" s="17"/>
      <c r="AU412" s="732"/>
      <c r="AV412" s="313"/>
      <c r="AW412" s="313"/>
      <c r="AX412" s="313"/>
      <c r="AY412" s="313"/>
      <c r="AZ412" s="313"/>
      <c r="BA412" s="313"/>
      <c r="BB412" s="313"/>
      <c r="BC412" s="313"/>
      <c r="BD412" s="313"/>
      <c r="BE412" s="314"/>
      <c r="BW412" s="314"/>
      <c r="BX412" s="314"/>
      <c r="BY412" s="314"/>
      <c r="BZ412" s="314"/>
      <c r="CA412" s="314"/>
      <c r="CB412" s="314"/>
      <c r="CC412" s="314"/>
      <c r="CD412" s="314"/>
    </row>
    <row r="413" ht="28.5" customHeight="1">
      <c r="A413" s="767"/>
      <c r="B413" s="768"/>
      <c r="C413" s="768"/>
      <c r="D413" s="769"/>
      <c r="E413" s="769"/>
      <c r="F413" s="769"/>
      <c r="G413" s="336"/>
      <c r="H413" s="771"/>
      <c r="I413" s="769"/>
      <c r="J413" s="769"/>
      <c r="K413" s="314"/>
      <c r="L413" s="314"/>
      <c r="M413" s="314"/>
      <c r="N413" s="769"/>
      <c r="O413" s="769"/>
      <c r="P413" s="773"/>
      <c r="Q413" s="774"/>
      <c r="R413" s="774"/>
      <c r="S413" s="775"/>
      <c r="AH413" s="776"/>
      <c r="AI413" s="776"/>
      <c r="AJ413" s="732"/>
      <c r="AK413" s="732"/>
      <c r="AL413" s="776"/>
      <c r="AM413" s="776"/>
      <c r="AN413" s="17"/>
      <c r="AO413" s="17"/>
      <c r="AP413" s="17"/>
      <c r="AQ413" s="17"/>
      <c r="AR413" s="17"/>
      <c r="AS413" s="17"/>
      <c r="AT413" s="17"/>
      <c r="AU413" s="732"/>
      <c r="AV413" s="313"/>
      <c r="AW413" s="313"/>
      <c r="AX413" s="313"/>
      <c r="AY413" s="313"/>
      <c r="AZ413" s="313"/>
      <c r="BA413" s="313"/>
      <c r="BB413" s="313"/>
      <c r="BC413" s="313"/>
      <c r="BD413" s="313"/>
      <c r="BE413" s="314"/>
      <c r="BW413" s="314"/>
      <c r="BX413" s="314"/>
      <c r="BY413" s="314"/>
      <c r="BZ413" s="314"/>
      <c r="CA413" s="314"/>
      <c r="CB413" s="314"/>
      <c r="CC413" s="314"/>
      <c r="CD413" s="314"/>
    </row>
    <row r="414" ht="28.5" customHeight="1">
      <c r="A414" s="767"/>
      <c r="B414" s="768"/>
      <c r="C414" s="768"/>
      <c r="D414" s="769"/>
      <c r="E414" s="769"/>
      <c r="F414" s="769"/>
      <c r="G414" s="336"/>
      <c r="H414" s="771"/>
      <c r="I414" s="769"/>
      <c r="J414" s="769"/>
      <c r="K414" s="314"/>
      <c r="L414" s="314"/>
      <c r="M414" s="314"/>
      <c r="N414" s="769"/>
      <c r="O414" s="769"/>
      <c r="P414" s="773"/>
      <c r="Q414" s="774"/>
      <c r="R414" s="774"/>
      <c r="S414" s="775"/>
      <c r="AH414" s="776"/>
      <c r="AI414" s="776"/>
      <c r="AJ414" s="732"/>
      <c r="AK414" s="732"/>
      <c r="AL414" s="776"/>
      <c r="AM414" s="776"/>
      <c r="AN414" s="17"/>
      <c r="AO414" s="17"/>
      <c r="AP414" s="17"/>
      <c r="AQ414" s="17"/>
      <c r="AR414" s="17"/>
      <c r="AS414" s="17"/>
      <c r="AT414" s="17"/>
      <c r="AU414" s="732"/>
      <c r="AV414" s="313"/>
      <c r="AW414" s="313"/>
      <c r="AX414" s="313"/>
      <c r="AY414" s="313"/>
      <c r="AZ414" s="313"/>
      <c r="BA414" s="313"/>
      <c r="BB414" s="313"/>
      <c r="BC414" s="313"/>
      <c r="BD414" s="313"/>
      <c r="BE414" s="314"/>
      <c r="BW414" s="314"/>
      <c r="BX414" s="314"/>
      <c r="BY414" s="314"/>
      <c r="BZ414" s="314"/>
      <c r="CA414" s="314"/>
      <c r="CB414" s="314"/>
      <c r="CC414" s="314"/>
      <c r="CD414" s="314"/>
    </row>
    <row r="415" ht="28.5" customHeight="1">
      <c r="A415" s="767"/>
      <c r="B415" s="768"/>
      <c r="C415" s="768"/>
      <c r="D415" s="769"/>
      <c r="E415" s="769"/>
      <c r="F415" s="769"/>
      <c r="G415" s="336"/>
      <c r="H415" s="771"/>
      <c r="I415" s="769"/>
      <c r="J415" s="769"/>
      <c r="K415" s="314"/>
      <c r="L415" s="314"/>
      <c r="M415" s="314"/>
      <c r="N415" s="769"/>
      <c r="O415" s="769"/>
      <c r="P415" s="773"/>
      <c r="Q415" s="774"/>
      <c r="R415" s="774"/>
      <c r="S415" s="775"/>
      <c r="AH415" s="776"/>
      <c r="AI415" s="776"/>
      <c r="AJ415" s="732"/>
      <c r="AK415" s="732"/>
      <c r="AL415" s="776"/>
      <c r="AM415" s="776"/>
      <c r="AN415" s="17"/>
      <c r="AO415" s="17"/>
      <c r="AP415" s="17"/>
      <c r="AQ415" s="17"/>
      <c r="AR415" s="17"/>
      <c r="AS415" s="17"/>
      <c r="AT415" s="17"/>
      <c r="AU415" s="732"/>
      <c r="AV415" s="313"/>
      <c r="AW415" s="313"/>
      <c r="AX415" s="313"/>
      <c r="AY415" s="313"/>
      <c r="AZ415" s="313"/>
      <c r="BA415" s="313"/>
      <c r="BB415" s="313"/>
      <c r="BC415" s="313"/>
      <c r="BD415" s="313"/>
      <c r="BE415" s="314"/>
      <c r="BW415" s="314"/>
      <c r="BX415" s="314"/>
      <c r="BY415" s="314"/>
      <c r="BZ415" s="314"/>
      <c r="CA415" s="314"/>
      <c r="CB415" s="314"/>
      <c r="CC415" s="314"/>
      <c r="CD415" s="314"/>
    </row>
    <row r="416" ht="28.5" customHeight="1">
      <c r="A416" s="767"/>
      <c r="B416" s="768"/>
      <c r="C416" s="768"/>
      <c r="D416" s="769"/>
      <c r="E416" s="769"/>
      <c r="F416" s="769"/>
      <c r="G416" s="336"/>
      <c r="H416" s="771"/>
      <c r="I416" s="769"/>
      <c r="J416" s="769"/>
      <c r="K416" s="314"/>
      <c r="L416" s="314"/>
      <c r="M416" s="314"/>
      <c r="N416" s="769"/>
      <c r="O416" s="769"/>
      <c r="P416" s="773"/>
      <c r="Q416" s="774"/>
      <c r="R416" s="774"/>
      <c r="S416" s="775"/>
      <c r="AH416" s="776"/>
      <c r="AI416" s="776"/>
      <c r="AJ416" s="732"/>
      <c r="AK416" s="732"/>
      <c r="AL416" s="776"/>
      <c r="AM416" s="776"/>
      <c r="AN416" s="17"/>
      <c r="AO416" s="17"/>
      <c r="AP416" s="17"/>
      <c r="AQ416" s="17"/>
      <c r="AR416" s="17"/>
      <c r="AS416" s="17"/>
      <c r="AT416" s="17"/>
      <c r="AU416" s="732"/>
      <c r="AV416" s="313"/>
      <c r="AW416" s="313"/>
      <c r="AX416" s="313"/>
      <c r="AY416" s="313"/>
      <c r="AZ416" s="313"/>
      <c r="BA416" s="313"/>
      <c r="BB416" s="313"/>
      <c r="BC416" s="313"/>
      <c r="BD416" s="313"/>
      <c r="BE416" s="314"/>
      <c r="BW416" s="314"/>
      <c r="BX416" s="314"/>
      <c r="BY416" s="314"/>
      <c r="BZ416" s="314"/>
      <c r="CA416" s="314"/>
      <c r="CB416" s="314"/>
      <c r="CC416" s="314"/>
      <c r="CD416" s="314"/>
    </row>
    <row r="417" ht="28.5" customHeight="1">
      <c r="A417" s="767"/>
      <c r="B417" s="768"/>
      <c r="C417" s="768"/>
      <c r="D417" s="769"/>
      <c r="E417" s="769"/>
      <c r="F417" s="769"/>
      <c r="G417" s="336"/>
      <c r="H417" s="771"/>
      <c r="I417" s="769"/>
      <c r="J417" s="769"/>
      <c r="K417" s="314"/>
      <c r="L417" s="314"/>
      <c r="M417" s="314"/>
      <c r="N417" s="769"/>
      <c r="O417" s="769"/>
      <c r="P417" s="773"/>
      <c r="Q417" s="774"/>
      <c r="R417" s="774"/>
      <c r="S417" s="775"/>
      <c r="AH417" s="776"/>
      <c r="AI417" s="776"/>
      <c r="AJ417" s="732"/>
      <c r="AK417" s="732"/>
      <c r="AL417" s="776"/>
      <c r="AM417" s="776"/>
      <c r="AN417" s="17"/>
      <c r="AO417" s="17"/>
      <c r="AP417" s="17"/>
      <c r="AQ417" s="17"/>
      <c r="AR417" s="17"/>
      <c r="AS417" s="17"/>
      <c r="AT417" s="17"/>
      <c r="AU417" s="732"/>
      <c r="AV417" s="313"/>
      <c r="AW417" s="313"/>
      <c r="AX417" s="313"/>
      <c r="AY417" s="313"/>
      <c r="AZ417" s="313"/>
      <c r="BA417" s="313"/>
      <c r="BB417" s="313"/>
      <c r="BC417" s="313"/>
      <c r="BD417" s="313"/>
      <c r="BE417" s="314"/>
      <c r="BW417" s="314"/>
      <c r="BX417" s="314"/>
      <c r="BY417" s="314"/>
      <c r="BZ417" s="314"/>
      <c r="CA417" s="314"/>
      <c r="CB417" s="314"/>
      <c r="CC417" s="314"/>
      <c r="CD417" s="314"/>
    </row>
    <row r="418" ht="28.5" customHeight="1">
      <c r="A418" s="767"/>
      <c r="B418" s="768"/>
      <c r="C418" s="768"/>
      <c r="D418" s="769"/>
      <c r="E418" s="769"/>
      <c r="F418" s="769"/>
      <c r="G418" s="336"/>
      <c r="H418" s="771"/>
      <c r="I418" s="769"/>
      <c r="J418" s="769"/>
      <c r="K418" s="314"/>
      <c r="L418" s="314"/>
      <c r="M418" s="314"/>
      <c r="N418" s="769"/>
      <c r="O418" s="769"/>
      <c r="P418" s="773"/>
      <c r="Q418" s="774"/>
      <c r="R418" s="774"/>
      <c r="S418" s="775"/>
      <c r="AH418" s="776"/>
      <c r="AI418" s="776"/>
      <c r="AJ418" s="732"/>
      <c r="AK418" s="732"/>
      <c r="AL418" s="776"/>
      <c r="AM418" s="776"/>
      <c r="AN418" s="17"/>
      <c r="AO418" s="17"/>
      <c r="AP418" s="17"/>
      <c r="AQ418" s="17"/>
      <c r="AR418" s="17"/>
      <c r="AS418" s="17"/>
      <c r="AT418" s="17"/>
      <c r="AU418" s="732"/>
      <c r="AV418" s="313"/>
      <c r="AW418" s="313"/>
      <c r="AX418" s="313"/>
      <c r="AY418" s="313"/>
      <c r="AZ418" s="313"/>
      <c r="BA418" s="313"/>
      <c r="BB418" s="313"/>
      <c r="BC418" s="313"/>
      <c r="BD418" s="313"/>
      <c r="BE418" s="314"/>
      <c r="BW418" s="314"/>
      <c r="BX418" s="314"/>
      <c r="BY418" s="314"/>
      <c r="BZ418" s="314"/>
      <c r="CA418" s="314"/>
      <c r="CB418" s="314"/>
      <c r="CC418" s="314"/>
      <c r="CD418" s="314"/>
    </row>
    <row r="419" ht="28.5" customHeight="1">
      <c r="A419" s="767"/>
      <c r="B419" s="768"/>
      <c r="C419" s="768"/>
      <c r="D419" s="769"/>
      <c r="E419" s="769"/>
      <c r="F419" s="769"/>
      <c r="G419" s="336"/>
      <c r="H419" s="771"/>
      <c r="I419" s="769"/>
      <c r="J419" s="769"/>
      <c r="K419" s="314"/>
      <c r="L419" s="314"/>
      <c r="M419" s="314"/>
      <c r="N419" s="769"/>
      <c r="O419" s="769"/>
      <c r="P419" s="773"/>
      <c r="Q419" s="774"/>
      <c r="R419" s="774"/>
      <c r="S419" s="775"/>
      <c r="AH419" s="776"/>
      <c r="AI419" s="776"/>
      <c r="AJ419" s="732"/>
      <c r="AK419" s="732"/>
      <c r="AL419" s="776"/>
      <c r="AM419" s="776"/>
      <c r="AN419" s="17"/>
      <c r="AO419" s="17"/>
      <c r="AP419" s="17"/>
      <c r="AQ419" s="17"/>
      <c r="AR419" s="17"/>
      <c r="AS419" s="17"/>
      <c r="AT419" s="17"/>
      <c r="AU419" s="732"/>
      <c r="AV419" s="313"/>
      <c r="AW419" s="313"/>
      <c r="AX419" s="313"/>
      <c r="AY419" s="313"/>
      <c r="AZ419" s="313"/>
      <c r="BA419" s="313"/>
      <c r="BB419" s="313"/>
      <c r="BC419" s="313"/>
      <c r="BD419" s="313"/>
      <c r="BE419" s="314"/>
      <c r="BW419" s="314"/>
      <c r="BX419" s="314"/>
      <c r="BY419" s="314"/>
      <c r="BZ419" s="314"/>
      <c r="CA419" s="314"/>
      <c r="CB419" s="314"/>
      <c r="CC419" s="314"/>
      <c r="CD419" s="314"/>
    </row>
    <row r="420" ht="28.5" customHeight="1">
      <c r="A420" s="767"/>
      <c r="B420" s="768"/>
      <c r="C420" s="768"/>
      <c r="D420" s="769"/>
      <c r="E420" s="769"/>
      <c r="F420" s="769"/>
      <c r="G420" s="336"/>
      <c r="H420" s="771"/>
      <c r="I420" s="769"/>
      <c r="J420" s="769"/>
      <c r="K420" s="314"/>
      <c r="L420" s="314"/>
      <c r="M420" s="314"/>
      <c r="N420" s="769"/>
      <c r="O420" s="769"/>
      <c r="P420" s="773"/>
      <c r="Q420" s="774"/>
      <c r="R420" s="774"/>
      <c r="S420" s="775"/>
      <c r="AH420" s="776"/>
      <c r="AI420" s="776"/>
      <c r="AJ420" s="732"/>
      <c r="AK420" s="732"/>
      <c r="AL420" s="776"/>
      <c r="AM420" s="776"/>
      <c r="AN420" s="17"/>
      <c r="AO420" s="17"/>
      <c r="AP420" s="17"/>
      <c r="AQ420" s="17"/>
      <c r="AR420" s="17"/>
      <c r="AS420" s="17"/>
      <c r="AT420" s="17"/>
      <c r="AU420" s="732"/>
      <c r="AV420" s="313"/>
      <c r="AW420" s="313"/>
      <c r="AX420" s="313"/>
      <c r="AY420" s="313"/>
      <c r="AZ420" s="313"/>
      <c r="BA420" s="313"/>
      <c r="BB420" s="313"/>
      <c r="BC420" s="313"/>
      <c r="BD420" s="313"/>
      <c r="BE420" s="314"/>
      <c r="BW420" s="314"/>
      <c r="BX420" s="314"/>
      <c r="BY420" s="314"/>
      <c r="BZ420" s="314"/>
      <c r="CA420" s="314"/>
      <c r="CB420" s="314"/>
      <c r="CC420" s="314"/>
      <c r="CD420" s="314"/>
    </row>
    <row r="421" ht="28.5" customHeight="1">
      <c r="A421" s="767"/>
      <c r="B421" s="768"/>
      <c r="C421" s="768"/>
      <c r="D421" s="769"/>
      <c r="E421" s="769"/>
      <c r="F421" s="769"/>
      <c r="G421" s="336"/>
      <c r="H421" s="771"/>
      <c r="I421" s="769"/>
      <c r="J421" s="769"/>
      <c r="K421" s="314"/>
      <c r="L421" s="314"/>
      <c r="M421" s="314"/>
      <c r="N421" s="769"/>
      <c r="O421" s="769"/>
      <c r="P421" s="773"/>
      <c r="Q421" s="774"/>
      <c r="R421" s="774"/>
      <c r="S421" s="775"/>
      <c r="AH421" s="776"/>
      <c r="AI421" s="776"/>
      <c r="AJ421" s="732"/>
      <c r="AK421" s="732"/>
      <c r="AL421" s="776"/>
      <c r="AM421" s="776"/>
      <c r="AN421" s="17"/>
      <c r="AO421" s="17"/>
      <c r="AP421" s="17"/>
      <c r="AQ421" s="17"/>
      <c r="AR421" s="17"/>
      <c r="AS421" s="17"/>
      <c r="AT421" s="17"/>
      <c r="AU421" s="732"/>
      <c r="AV421" s="313"/>
      <c r="AW421" s="313"/>
      <c r="AX421" s="313"/>
      <c r="AY421" s="313"/>
      <c r="AZ421" s="313"/>
      <c r="BA421" s="313"/>
      <c r="BB421" s="313"/>
      <c r="BC421" s="313"/>
      <c r="BD421" s="313"/>
      <c r="BE421" s="314"/>
      <c r="BW421" s="314"/>
      <c r="BX421" s="314"/>
      <c r="BY421" s="314"/>
      <c r="BZ421" s="314"/>
      <c r="CA421" s="314"/>
      <c r="CB421" s="314"/>
      <c r="CC421" s="314"/>
      <c r="CD421" s="314"/>
    </row>
    <row r="422" ht="28.5" customHeight="1">
      <c r="A422" s="767"/>
      <c r="B422" s="768"/>
      <c r="C422" s="768"/>
      <c r="D422" s="769"/>
      <c r="E422" s="769"/>
      <c r="F422" s="769"/>
      <c r="G422" s="336"/>
      <c r="H422" s="771"/>
      <c r="I422" s="769"/>
      <c r="J422" s="769"/>
      <c r="K422" s="314"/>
      <c r="L422" s="314"/>
      <c r="M422" s="314"/>
      <c r="N422" s="769"/>
      <c r="O422" s="769"/>
      <c r="P422" s="773"/>
      <c r="Q422" s="774"/>
      <c r="R422" s="774"/>
      <c r="S422" s="775"/>
      <c r="AH422" s="776"/>
      <c r="AI422" s="776"/>
      <c r="AJ422" s="732"/>
      <c r="AK422" s="732"/>
      <c r="AL422" s="776"/>
      <c r="AM422" s="776"/>
      <c r="AN422" s="17"/>
      <c r="AO422" s="17"/>
      <c r="AP422" s="17"/>
      <c r="AQ422" s="17"/>
      <c r="AR422" s="17"/>
      <c r="AS422" s="17"/>
      <c r="AT422" s="17"/>
      <c r="AU422" s="732"/>
      <c r="AV422" s="313"/>
      <c r="AW422" s="313"/>
      <c r="AX422" s="313"/>
      <c r="AY422" s="313"/>
      <c r="AZ422" s="313"/>
      <c r="BA422" s="313"/>
      <c r="BB422" s="313"/>
      <c r="BC422" s="313"/>
      <c r="BD422" s="313"/>
      <c r="BE422" s="314"/>
      <c r="BW422" s="314"/>
      <c r="BX422" s="314"/>
      <c r="BY422" s="314"/>
      <c r="BZ422" s="314"/>
      <c r="CA422" s="314"/>
      <c r="CB422" s="314"/>
      <c r="CC422" s="314"/>
      <c r="CD422" s="314"/>
    </row>
    <row r="423" ht="28.5" customHeight="1">
      <c r="A423" s="767"/>
      <c r="B423" s="768"/>
      <c r="C423" s="768"/>
      <c r="D423" s="769"/>
      <c r="E423" s="769"/>
      <c r="F423" s="769"/>
      <c r="G423" s="336"/>
      <c r="H423" s="771"/>
      <c r="I423" s="769"/>
      <c r="J423" s="769"/>
      <c r="K423" s="314"/>
      <c r="L423" s="314"/>
      <c r="M423" s="314"/>
      <c r="N423" s="769"/>
      <c r="O423" s="769"/>
      <c r="P423" s="773"/>
      <c r="Q423" s="774"/>
      <c r="R423" s="774"/>
      <c r="S423" s="775"/>
      <c r="AH423" s="776"/>
      <c r="AI423" s="776"/>
      <c r="AJ423" s="732"/>
      <c r="AK423" s="732"/>
      <c r="AL423" s="776"/>
      <c r="AM423" s="776"/>
      <c r="AN423" s="17"/>
      <c r="AO423" s="17"/>
      <c r="AP423" s="17"/>
      <c r="AQ423" s="17"/>
      <c r="AR423" s="17"/>
      <c r="AS423" s="17"/>
      <c r="AT423" s="17"/>
      <c r="AU423" s="732"/>
      <c r="AV423" s="313"/>
      <c r="AW423" s="313"/>
      <c r="AX423" s="313"/>
      <c r="AY423" s="313"/>
      <c r="AZ423" s="313"/>
      <c r="BA423" s="313"/>
      <c r="BB423" s="313"/>
      <c r="BC423" s="313"/>
      <c r="BD423" s="313"/>
      <c r="BE423" s="314"/>
      <c r="BW423" s="314"/>
      <c r="BX423" s="314"/>
      <c r="BY423" s="314"/>
      <c r="BZ423" s="314"/>
      <c r="CA423" s="314"/>
      <c r="CB423" s="314"/>
      <c r="CC423" s="314"/>
      <c r="CD423" s="314"/>
    </row>
    <row r="424" ht="28.5" customHeight="1">
      <c r="A424" s="767"/>
      <c r="B424" s="768"/>
      <c r="C424" s="768"/>
      <c r="D424" s="769"/>
      <c r="E424" s="769"/>
      <c r="F424" s="769"/>
      <c r="G424" s="336"/>
      <c r="H424" s="771"/>
      <c r="I424" s="769"/>
      <c r="J424" s="769"/>
      <c r="K424" s="314"/>
      <c r="L424" s="314"/>
      <c r="M424" s="314"/>
      <c r="N424" s="769"/>
      <c r="O424" s="769"/>
      <c r="P424" s="773"/>
      <c r="Q424" s="774"/>
      <c r="R424" s="774"/>
      <c r="S424" s="775"/>
      <c r="AH424" s="776"/>
      <c r="AI424" s="776"/>
      <c r="AJ424" s="732"/>
      <c r="AK424" s="732"/>
      <c r="AL424" s="776"/>
      <c r="AM424" s="776"/>
      <c r="AN424" s="17"/>
      <c r="AO424" s="17"/>
      <c r="AP424" s="17"/>
      <c r="AQ424" s="17"/>
      <c r="AR424" s="17"/>
      <c r="AS424" s="17"/>
      <c r="AT424" s="17"/>
      <c r="AU424" s="732"/>
      <c r="AV424" s="313"/>
      <c r="AW424" s="313"/>
      <c r="AX424" s="313"/>
      <c r="AY424" s="313"/>
      <c r="AZ424" s="313"/>
      <c r="BA424" s="313"/>
      <c r="BB424" s="313"/>
      <c r="BC424" s="313"/>
      <c r="BD424" s="313"/>
      <c r="BE424" s="314"/>
      <c r="BW424" s="314"/>
      <c r="BX424" s="314"/>
      <c r="BY424" s="314"/>
      <c r="BZ424" s="314"/>
      <c r="CA424" s="314"/>
      <c r="CB424" s="314"/>
      <c r="CC424" s="314"/>
      <c r="CD424" s="314"/>
    </row>
    <row r="425" ht="28.5" customHeight="1">
      <c r="A425" s="767"/>
      <c r="B425" s="768"/>
      <c r="C425" s="768"/>
      <c r="D425" s="769"/>
      <c r="E425" s="769"/>
      <c r="F425" s="769"/>
      <c r="G425" s="336"/>
      <c r="H425" s="771"/>
      <c r="I425" s="769"/>
      <c r="J425" s="769"/>
      <c r="K425" s="314"/>
      <c r="L425" s="314"/>
      <c r="M425" s="314"/>
      <c r="N425" s="769"/>
      <c r="O425" s="769"/>
      <c r="P425" s="773"/>
      <c r="Q425" s="774"/>
      <c r="R425" s="774"/>
      <c r="S425" s="775"/>
      <c r="AH425" s="776"/>
      <c r="AI425" s="776"/>
      <c r="AJ425" s="732"/>
      <c r="AK425" s="732"/>
      <c r="AL425" s="776"/>
      <c r="AM425" s="776"/>
      <c r="AN425" s="17"/>
      <c r="AO425" s="17"/>
      <c r="AP425" s="17"/>
      <c r="AQ425" s="17"/>
      <c r="AR425" s="17"/>
      <c r="AS425" s="17"/>
      <c r="AT425" s="17"/>
      <c r="AU425" s="732"/>
      <c r="AV425" s="313"/>
      <c r="AW425" s="313"/>
      <c r="AX425" s="313"/>
      <c r="AY425" s="313"/>
      <c r="AZ425" s="313"/>
      <c r="BA425" s="313"/>
      <c r="BB425" s="313"/>
      <c r="BC425" s="313"/>
      <c r="BD425" s="313"/>
      <c r="BE425" s="314"/>
      <c r="BW425" s="314"/>
      <c r="BX425" s="314"/>
      <c r="BY425" s="314"/>
      <c r="BZ425" s="314"/>
      <c r="CA425" s="314"/>
      <c r="CB425" s="314"/>
      <c r="CC425" s="314"/>
      <c r="CD425" s="314"/>
    </row>
    <row r="426" ht="28.5" customHeight="1">
      <c r="A426" s="767"/>
      <c r="B426" s="768"/>
      <c r="C426" s="768"/>
      <c r="D426" s="769"/>
      <c r="E426" s="769"/>
      <c r="F426" s="769"/>
      <c r="G426" s="336"/>
      <c r="H426" s="771"/>
      <c r="I426" s="769"/>
      <c r="J426" s="769"/>
      <c r="K426" s="314"/>
      <c r="L426" s="314"/>
      <c r="M426" s="314"/>
      <c r="N426" s="769"/>
      <c r="O426" s="769"/>
      <c r="P426" s="773"/>
      <c r="Q426" s="774"/>
      <c r="R426" s="774"/>
      <c r="S426" s="775"/>
      <c r="AH426" s="776"/>
      <c r="AI426" s="776"/>
      <c r="AJ426" s="732"/>
      <c r="AK426" s="732"/>
      <c r="AL426" s="776"/>
      <c r="AM426" s="776"/>
      <c r="AN426" s="17"/>
      <c r="AO426" s="17"/>
      <c r="AP426" s="17"/>
      <c r="AQ426" s="17"/>
      <c r="AR426" s="17"/>
      <c r="AS426" s="17"/>
      <c r="AT426" s="17"/>
      <c r="AU426" s="732"/>
      <c r="AV426" s="313"/>
      <c r="AW426" s="313"/>
      <c r="AX426" s="313"/>
      <c r="AY426" s="313"/>
      <c r="AZ426" s="313"/>
      <c r="BA426" s="313"/>
      <c r="BB426" s="313"/>
      <c r="BC426" s="313"/>
      <c r="BD426" s="313"/>
      <c r="BE426" s="314"/>
      <c r="BW426" s="314"/>
      <c r="BX426" s="314"/>
      <c r="BY426" s="314"/>
      <c r="BZ426" s="314"/>
      <c r="CA426" s="314"/>
      <c r="CB426" s="314"/>
      <c r="CC426" s="314"/>
      <c r="CD426" s="314"/>
    </row>
    <row r="427" ht="28.5" customHeight="1">
      <c r="A427" s="767"/>
      <c r="B427" s="768"/>
      <c r="C427" s="768"/>
      <c r="D427" s="769"/>
      <c r="E427" s="769"/>
      <c r="F427" s="769"/>
      <c r="G427" s="336"/>
      <c r="H427" s="771"/>
      <c r="I427" s="769"/>
      <c r="J427" s="769"/>
      <c r="K427" s="314"/>
      <c r="L427" s="314"/>
      <c r="M427" s="314"/>
      <c r="N427" s="769"/>
      <c r="O427" s="769"/>
      <c r="P427" s="773"/>
      <c r="Q427" s="774"/>
      <c r="R427" s="774"/>
      <c r="S427" s="775"/>
      <c r="AH427" s="776"/>
      <c r="AI427" s="776"/>
      <c r="AJ427" s="732"/>
      <c r="AK427" s="732"/>
      <c r="AL427" s="776"/>
      <c r="AM427" s="776"/>
      <c r="AN427" s="17"/>
      <c r="AO427" s="17"/>
      <c r="AP427" s="17"/>
      <c r="AQ427" s="17"/>
      <c r="AR427" s="17"/>
      <c r="AS427" s="17"/>
      <c r="AT427" s="17"/>
      <c r="AU427" s="732"/>
      <c r="AV427" s="313"/>
      <c r="AW427" s="313"/>
      <c r="AX427" s="313"/>
      <c r="AY427" s="313"/>
      <c r="AZ427" s="313"/>
      <c r="BA427" s="313"/>
      <c r="BB427" s="313"/>
      <c r="BC427" s="313"/>
      <c r="BD427" s="313"/>
      <c r="BE427" s="314"/>
      <c r="BW427" s="314"/>
      <c r="BX427" s="314"/>
      <c r="BY427" s="314"/>
      <c r="BZ427" s="314"/>
      <c r="CA427" s="314"/>
      <c r="CB427" s="314"/>
      <c r="CC427" s="314"/>
      <c r="CD427" s="314"/>
    </row>
    <row r="428" ht="28.5" customHeight="1">
      <c r="A428" s="767"/>
      <c r="B428" s="768"/>
      <c r="C428" s="768"/>
      <c r="D428" s="769"/>
      <c r="E428" s="769"/>
      <c r="F428" s="769"/>
      <c r="G428" s="336"/>
      <c r="H428" s="771"/>
      <c r="I428" s="769"/>
      <c r="J428" s="769"/>
      <c r="K428" s="314"/>
      <c r="L428" s="314"/>
      <c r="M428" s="314"/>
      <c r="N428" s="769"/>
      <c r="O428" s="769"/>
      <c r="P428" s="773"/>
      <c r="Q428" s="774"/>
      <c r="R428" s="774"/>
      <c r="S428" s="775"/>
      <c r="AH428" s="776"/>
      <c r="AI428" s="776"/>
      <c r="AJ428" s="732"/>
      <c r="AK428" s="732"/>
      <c r="AL428" s="776"/>
      <c r="AM428" s="776"/>
      <c r="AN428" s="17"/>
      <c r="AO428" s="17"/>
      <c r="AP428" s="17"/>
      <c r="AQ428" s="17"/>
      <c r="AR428" s="17"/>
      <c r="AS428" s="17"/>
      <c r="AT428" s="17"/>
      <c r="AU428" s="732"/>
      <c r="AV428" s="313"/>
      <c r="AW428" s="313"/>
      <c r="AX428" s="313"/>
      <c r="AY428" s="313"/>
      <c r="AZ428" s="313"/>
      <c r="BA428" s="313"/>
      <c r="BB428" s="313"/>
      <c r="BC428" s="313"/>
      <c r="BD428" s="313"/>
      <c r="BE428" s="314"/>
      <c r="BW428" s="314"/>
      <c r="BX428" s="314"/>
      <c r="BY428" s="314"/>
      <c r="BZ428" s="314"/>
      <c r="CA428" s="314"/>
      <c r="CB428" s="314"/>
      <c r="CC428" s="314"/>
      <c r="CD428" s="314"/>
    </row>
    <row r="429" ht="28.5" customHeight="1">
      <c r="A429" s="767"/>
      <c r="B429" s="768"/>
      <c r="C429" s="768"/>
      <c r="D429" s="769"/>
      <c r="E429" s="769"/>
      <c r="F429" s="769"/>
      <c r="G429" s="336"/>
      <c r="H429" s="771"/>
      <c r="I429" s="769"/>
      <c r="J429" s="769"/>
      <c r="K429" s="314"/>
      <c r="L429" s="314"/>
      <c r="M429" s="314"/>
      <c r="N429" s="769"/>
      <c r="O429" s="769"/>
      <c r="P429" s="773"/>
      <c r="Q429" s="774"/>
      <c r="R429" s="774"/>
      <c r="S429" s="775"/>
      <c r="AH429" s="776"/>
      <c r="AI429" s="776"/>
      <c r="AJ429" s="732"/>
      <c r="AK429" s="732"/>
      <c r="AL429" s="776"/>
      <c r="AM429" s="776"/>
      <c r="AN429" s="17"/>
      <c r="AO429" s="17"/>
      <c r="AP429" s="17"/>
      <c r="AQ429" s="17"/>
      <c r="AR429" s="17"/>
      <c r="AS429" s="17"/>
      <c r="AT429" s="17"/>
      <c r="AU429" s="732"/>
      <c r="AV429" s="313"/>
      <c r="AW429" s="313"/>
      <c r="AX429" s="313"/>
      <c r="AY429" s="313"/>
      <c r="AZ429" s="313"/>
      <c r="BA429" s="313"/>
      <c r="BB429" s="313"/>
      <c r="BC429" s="313"/>
      <c r="BD429" s="313"/>
      <c r="BE429" s="314"/>
      <c r="BW429" s="314"/>
      <c r="BX429" s="314"/>
      <c r="BY429" s="314"/>
      <c r="BZ429" s="314"/>
      <c r="CA429" s="314"/>
      <c r="CB429" s="314"/>
      <c r="CC429" s="314"/>
      <c r="CD429" s="314"/>
    </row>
    <row r="430" ht="28.5" customHeight="1">
      <c r="A430" s="767"/>
      <c r="B430" s="768"/>
      <c r="C430" s="768"/>
      <c r="D430" s="769"/>
      <c r="E430" s="769"/>
      <c r="F430" s="769"/>
      <c r="G430" s="336"/>
      <c r="H430" s="771"/>
      <c r="I430" s="769"/>
      <c r="J430" s="769"/>
      <c r="K430" s="314"/>
      <c r="L430" s="314"/>
      <c r="M430" s="314"/>
      <c r="N430" s="769"/>
      <c r="O430" s="769"/>
      <c r="P430" s="773"/>
      <c r="Q430" s="774"/>
      <c r="R430" s="774"/>
      <c r="S430" s="775"/>
      <c r="AH430" s="776"/>
      <c r="AI430" s="776"/>
      <c r="AJ430" s="732"/>
      <c r="AK430" s="732"/>
      <c r="AL430" s="776"/>
      <c r="AM430" s="776"/>
      <c r="AN430" s="17"/>
      <c r="AO430" s="17"/>
      <c r="AP430" s="17"/>
      <c r="AQ430" s="17"/>
      <c r="AR430" s="17"/>
      <c r="AS430" s="17"/>
      <c r="AT430" s="17"/>
      <c r="AU430" s="732"/>
      <c r="AV430" s="313"/>
      <c r="AW430" s="313"/>
      <c r="AX430" s="313"/>
      <c r="AY430" s="313"/>
      <c r="AZ430" s="313"/>
      <c r="BA430" s="313"/>
      <c r="BB430" s="313"/>
      <c r="BC430" s="313"/>
      <c r="BD430" s="313"/>
      <c r="BE430" s="314"/>
      <c r="BW430" s="314"/>
      <c r="BX430" s="314"/>
      <c r="BY430" s="314"/>
      <c r="BZ430" s="314"/>
      <c r="CA430" s="314"/>
      <c r="CB430" s="314"/>
      <c r="CC430" s="314"/>
      <c r="CD430" s="314"/>
    </row>
    <row r="431" ht="28.5" customHeight="1">
      <c r="A431" s="767"/>
      <c r="B431" s="768"/>
      <c r="C431" s="768"/>
      <c r="D431" s="769"/>
      <c r="E431" s="769"/>
      <c r="F431" s="769"/>
      <c r="G431" s="336"/>
      <c r="H431" s="771"/>
      <c r="I431" s="769"/>
      <c r="J431" s="769"/>
      <c r="K431" s="314"/>
      <c r="L431" s="314"/>
      <c r="M431" s="314"/>
      <c r="N431" s="769"/>
      <c r="O431" s="769"/>
      <c r="P431" s="773"/>
      <c r="Q431" s="774"/>
      <c r="R431" s="774"/>
      <c r="S431" s="775"/>
      <c r="AH431" s="776"/>
      <c r="AI431" s="776"/>
      <c r="AJ431" s="732"/>
      <c r="AK431" s="732"/>
      <c r="AL431" s="776"/>
      <c r="AM431" s="776"/>
      <c r="AN431" s="17"/>
      <c r="AO431" s="17"/>
      <c r="AP431" s="17"/>
      <c r="AQ431" s="17"/>
      <c r="AR431" s="17"/>
      <c r="AS431" s="17"/>
      <c r="AT431" s="17"/>
      <c r="AU431" s="732"/>
      <c r="AV431" s="313"/>
      <c r="AW431" s="313"/>
      <c r="AX431" s="313"/>
      <c r="AY431" s="313"/>
      <c r="AZ431" s="313"/>
      <c r="BA431" s="313"/>
      <c r="BB431" s="313"/>
      <c r="BC431" s="313"/>
      <c r="BD431" s="313"/>
      <c r="BE431" s="314"/>
      <c r="BW431" s="314"/>
      <c r="BX431" s="314"/>
      <c r="BY431" s="314"/>
      <c r="BZ431" s="314"/>
      <c r="CA431" s="314"/>
      <c r="CB431" s="314"/>
      <c r="CC431" s="314"/>
      <c r="CD431" s="314"/>
    </row>
    <row r="432" ht="28.5" customHeight="1">
      <c r="A432" s="767"/>
      <c r="B432" s="768"/>
      <c r="C432" s="768"/>
      <c r="D432" s="769"/>
      <c r="E432" s="769"/>
      <c r="F432" s="769"/>
      <c r="G432" s="336"/>
      <c r="H432" s="771"/>
      <c r="I432" s="769"/>
      <c r="J432" s="769"/>
      <c r="K432" s="314"/>
      <c r="L432" s="314"/>
      <c r="M432" s="314"/>
      <c r="N432" s="769"/>
      <c r="O432" s="769"/>
      <c r="P432" s="773"/>
      <c r="Q432" s="774"/>
      <c r="R432" s="774"/>
      <c r="S432" s="775"/>
      <c r="AH432" s="776"/>
      <c r="AI432" s="776"/>
      <c r="AJ432" s="732"/>
      <c r="AK432" s="732"/>
      <c r="AL432" s="776"/>
      <c r="AM432" s="776"/>
      <c r="AN432" s="17"/>
      <c r="AO432" s="17"/>
      <c r="AP432" s="17"/>
      <c r="AQ432" s="17"/>
      <c r="AR432" s="17"/>
      <c r="AS432" s="17"/>
      <c r="AT432" s="17"/>
      <c r="AU432" s="732"/>
      <c r="AV432" s="313"/>
      <c r="AW432" s="313"/>
      <c r="AX432" s="313"/>
      <c r="AY432" s="313"/>
      <c r="AZ432" s="313"/>
      <c r="BA432" s="313"/>
      <c r="BB432" s="313"/>
      <c r="BC432" s="313"/>
      <c r="BD432" s="313"/>
      <c r="BE432" s="314"/>
      <c r="BW432" s="314"/>
      <c r="BX432" s="314"/>
      <c r="BY432" s="314"/>
      <c r="BZ432" s="314"/>
      <c r="CA432" s="314"/>
      <c r="CB432" s="314"/>
      <c r="CC432" s="314"/>
      <c r="CD432" s="314"/>
    </row>
    <row r="433" ht="28.5" customHeight="1">
      <c r="A433" s="767"/>
      <c r="B433" s="768"/>
      <c r="C433" s="768"/>
      <c r="D433" s="769"/>
      <c r="E433" s="769"/>
      <c r="F433" s="769"/>
      <c r="G433" s="336"/>
      <c r="H433" s="771"/>
      <c r="I433" s="769"/>
      <c r="J433" s="769"/>
      <c r="K433" s="314"/>
      <c r="L433" s="314"/>
      <c r="M433" s="314"/>
      <c r="N433" s="769"/>
      <c r="O433" s="769"/>
      <c r="P433" s="773"/>
      <c r="Q433" s="774"/>
      <c r="R433" s="774"/>
      <c r="S433" s="775"/>
      <c r="AH433" s="776"/>
      <c r="AI433" s="776"/>
      <c r="AJ433" s="732"/>
      <c r="AK433" s="732"/>
      <c r="AL433" s="776"/>
      <c r="AM433" s="776"/>
      <c r="AN433" s="17"/>
      <c r="AO433" s="17"/>
      <c r="AP433" s="17"/>
      <c r="AQ433" s="17"/>
      <c r="AR433" s="17"/>
      <c r="AS433" s="17"/>
      <c r="AT433" s="17"/>
      <c r="AU433" s="732"/>
      <c r="AV433" s="313"/>
      <c r="AW433" s="313"/>
      <c r="AX433" s="313"/>
      <c r="AY433" s="313"/>
      <c r="AZ433" s="313"/>
      <c r="BA433" s="313"/>
      <c r="BB433" s="313"/>
      <c r="BC433" s="313"/>
      <c r="BD433" s="313"/>
      <c r="BE433" s="314"/>
      <c r="BW433" s="314"/>
      <c r="BX433" s="314"/>
      <c r="BY433" s="314"/>
      <c r="BZ433" s="314"/>
      <c r="CA433" s="314"/>
      <c r="CB433" s="314"/>
      <c r="CC433" s="314"/>
      <c r="CD433" s="314"/>
    </row>
    <row r="434" ht="28.5" customHeight="1">
      <c r="A434" s="767"/>
      <c r="B434" s="768"/>
      <c r="C434" s="768"/>
      <c r="D434" s="769"/>
      <c r="E434" s="769"/>
      <c r="F434" s="769"/>
      <c r="G434" s="336"/>
      <c r="H434" s="771"/>
      <c r="I434" s="769"/>
      <c r="J434" s="769"/>
      <c r="K434" s="314"/>
      <c r="L434" s="314"/>
      <c r="M434" s="314"/>
      <c r="N434" s="769"/>
      <c r="O434" s="769"/>
      <c r="P434" s="773"/>
      <c r="Q434" s="774"/>
      <c r="R434" s="774"/>
      <c r="S434" s="775"/>
      <c r="AH434" s="776"/>
      <c r="AI434" s="776"/>
      <c r="AJ434" s="732"/>
      <c r="AK434" s="732"/>
      <c r="AL434" s="776"/>
      <c r="AM434" s="776"/>
      <c r="AN434" s="17"/>
      <c r="AO434" s="17"/>
      <c r="AP434" s="17"/>
      <c r="AQ434" s="17"/>
      <c r="AR434" s="17"/>
      <c r="AS434" s="17"/>
      <c r="AT434" s="17"/>
      <c r="AU434" s="732"/>
      <c r="AV434" s="313"/>
      <c r="AW434" s="313"/>
      <c r="AX434" s="313"/>
      <c r="AY434" s="313"/>
      <c r="AZ434" s="313"/>
      <c r="BA434" s="313"/>
      <c r="BB434" s="313"/>
      <c r="BC434" s="313"/>
      <c r="BD434" s="313"/>
      <c r="BE434" s="314"/>
      <c r="BW434" s="314"/>
      <c r="BX434" s="314"/>
      <c r="BY434" s="314"/>
      <c r="BZ434" s="314"/>
      <c r="CA434" s="314"/>
      <c r="CB434" s="314"/>
      <c r="CC434" s="314"/>
      <c r="CD434" s="314"/>
    </row>
    <row r="435" ht="28.5" customHeight="1">
      <c r="A435" s="767"/>
      <c r="B435" s="768"/>
      <c r="C435" s="768"/>
      <c r="D435" s="769"/>
      <c r="E435" s="769"/>
      <c r="F435" s="769"/>
      <c r="G435" s="336"/>
      <c r="H435" s="771"/>
      <c r="I435" s="769"/>
      <c r="J435" s="769"/>
      <c r="K435" s="314"/>
      <c r="L435" s="314"/>
      <c r="M435" s="314"/>
      <c r="N435" s="769"/>
      <c r="O435" s="769"/>
      <c r="P435" s="773"/>
      <c r="Q435" s="774"/>
      <c r="R435" s="774"/>
      <c r="S435" s="775"/>
      <c r="AH435" s="776"/>
      <c r="AI435" s="776"/>
      <c r="AJ435" s="732"/>
      <c r="AK435" s="732"/>
      <c r="AL435" s="776"/>
      <c r="AM435" s="776"/>
      <c r="AN435" s="17"/>
      <c r="AO435" s="17"/>
      <c r="AP435" s="17"/>
      <c r="AQ435" s="17"/>
      <c r="AR435" s="17"/>
      <c r="AS435" s="17"/>
      <c r="AT435" s="17"/>
      <c r="AU435" s="732"/>
      <c r="AV435" s="313"/>
      <c r="AW435" s="313"/>
      <c r="AX435" s="313"/>
      <c r="AY435" s="313"/>
      <c r="AZ435" s="313"/>
      <c r="BA435" s="313"/>
      <c r="BB435" s="313"/>
      <c r="BC435" s="313"/>
      <c r="BD435" s="313"/>
      <c r="BE435" s="314"/>
      <c r="BW435" s="314"/>
      <c r="BX435" s="314"/>
      <c r="BY435" s="314"/>
      <c r="BZ435" s="314"/>
      <c r="CA435" s="314"/>
      <c r="CB435" s="314"/>
      <c r="CC435" s="314"/>
      <c r="CD435" s="314"/>
    </row>
    <row r="436" ht="28.5" customHeight="1">
      <c r="A436" s="767"/>
      <c r="B436" s="768"/>
      <c r="C436" s="768"/>
      <c r="D436" s="769"/>
      <c r="E436" s="769"/>
      <c r="F436" s="769"/>
      <c r="G436" s="336"/>
      <c r="H436" s="771"/>
      <c r="I436" s="769"/>
      <c r="J436" s="769"/>
      <c r="K436" s="314"/>
      <c r="L436" s="314"/>
      <c r="M436" s="314"/>
      <c r="N436" s="769"/>
      <c r="O436" s="769"/>
      <c r="P436" s="773"/>
      <c r="Q436" s="774"/>
      <c r="R436" s="774"/>
      <c r="S436" s="775"/>
      <c r="AH436" s="776"/>
      <c r="AI436" s="776"/>
      <c r="AJ436" s="732"/>
      <c r="AK436" s="732"/>
      <c r="AL436" s="776"/>
      <c r="AM436" s="776"/>
      <c r="AN436" s="17"/>
      <c r="AO436" s="17"/>
      <c r="AP436" s="17"/>
      <c r="AQ436" s="17"/>
      <c r="AR436" s="17"/>
      <c r="AS436" s="17"/>
      <c r="AT436" s="17"/>
      <c r="AU436" s="732"/>
      <c r="AV436" s="313"/>
      <c r="AW436" s="313"/>
      <c r="AX436" s="313"/>
      <c r="AY436" s="313"/>
      <c r="AZ436" s="313"/>
      <c r="BA436" s="313"/>
      <c r="BB436" s="313"/>
      <c r="BC436" s="313"/>
      <c r="BD436" s="313"/>
      <c r="BE436" s="314"/>
      <c r="BW436" s="314"/>
      <c r="BX436" s="314"/>
      <c r="BY436" s="314"/>
      <c r="BZ436" s="314"/>
      <c r="CA436" s="314"/>
      <c r="CB436" s="314"/>
      <c r="CC436" s="314"/>
      <c r="CD436" s="314"/>
    </row>
    <row r="437" ht="28.5" customHeight="1">
      <c r="A437" s="767"/>
      <c r="B437" s="768"/>
      <c r="C437" s="768"/>
      <c r="D437" s="769"/>
      <c r="E437" s="769"/>
      <c r="F437" s="769"/>
      <c r="G437" s="336"/>
      <c r="H437" s="771"/>
      <c r="I437" s="769"/>
      <c r="J437" s="769"/>
      <c r="K437" s="314"/>
      <c r="L437" s="314"/>
      <c r="M437" s="314"/>
      <c r="N437" s="769"/>
      <c r="O437" s="769"/>
      <c r="P437" s="773"/>
      <c r="Q437" s="774"/>
      <c r="R437" s="774"/>
      <c r="S437" s="775"/>
      <c r="AH437" s="776"/>
      <c r="AI437" s="776"/>
      <c r="AJ437" s="732"/>
      <c r="AK437" s="732"/>
      <c r="AL437" s="776"/>
      <c r="AM437" s="776"/>
      <c r="AN437" s="17"/>
      <c r="AO437" s="17"/>
      <c r="AP437" s="17"/>
      <c r="AQ437" s="17"/>
      <c r="AR437" s="17"/>
      <c r="AS437" s="17"/>
      <c r="AT437" s="17"/>
      <c r="AU437" s="732"/>
      <c r="AV437" s="313"/>
      <c r="AW437" s="313"/>
      <c r="AX437" s="313"/>
      <c r="AY437" s="313"/>
      <c r="AZ437" s="313"/>
      <c r="BA437" s="313"/>
      <c r="BB437" s="313"/>
      <c r="BC437" s="313"/>
      <c r="BD437" s="313"/>
      <c r="BE437" s="314"/>
      <c r="BW437" s="314"/>
      <c r="BX437" s="314"/>
      <c r="BY437" s="314"/>
      <c r="BZ437" s="314"/>
      <c r="CA437" s="314"/>
      <c r="CB437" s="314"/>
      <c r="CC437" s="314"/>
      <c r="CD437" s="314"/>
    </row>
    <row r="438" ht="28.5" customHeight="1">
      <c r="A438" s="767"/>
      <c r="B438" s="768"/>
      <c r="C438" s="768"/>
      <c r="D438" s="769"/>
      <c r="E438" s="769"/>
      <c r="F438" s="769"/>
      <c r="G438" s="336"/>
      <c r="H438" s="771"/>
      <c r="I438" s="769"/>
      <c r="J438" s="769"/>
      <c r="K438" s="314"/>
      <c r="L438" s="314"/>
      <c r="M438" s="314"/>
      <c r="N438" s="769"/>
      <c r="O438" s="769"/>
      <c r="P438" s="773"/>
      <c r="Q438" s="774"/>
      <c r="R438" s="774"/>
      <c r="S438" s="775"/>
      <c r="AH438" s="776"/>
      <c r="AI438" s="776"/>
      <c r="AJ438" s="732"/>
      <c r="AK438" s="732"/>
      <c r="AL438" s="776"/>
      <c r="AM438" s="776"/>
      <c r="AN438" s="17"/>
      <c r="AO438" s="17"/>
      <c r="AP438" s="17"/>
      <c r="AQ438" s="17"/>
      <c r="AR438" s="17"/>
      <c r="AS438" s="17"/>
      <c r="AT438" s="17"/>
      <c r="AU438" s="732"/>
      <c r="AV438" s="313"/>
      <c r="AW438" s="313"/>
      <c r="AX438" s="313"/>
      <c r="AY438" s="313"/>
      <c r="AZ438" s="313"/>
      <c r="BA438" s="313"/>
      <c r="BB438" s="313"/>
      <c r="BC438" s="313"/>
      <c r="BD438" s="313"/>
      <c r="BE438" s="314"/>
      <c r="BW438" s="314"/>
      <c r="BX438" s="314"/>
      <c r="BY438" s="314"/>
      <c r="BZ438" s="314"/>
      <c r="CA438" s="314"/>
      <c r="CB438" s="314"/>
      <c r="CC438" s="314"/>
      <c r="CD438" s="314"/>
    </row>
    <row r="439" ht="28.5" customHeight="1">
      <c r="A439" s="767"/>
      <c r="B439" s="768"/>
      <c r="C439" s="768"/>
      <c r="D439" s="769"/>
      <c r="E439" s="769"/>
      <c r="F439" s="769"/>
      <c r="G439" s="336"/>
      <c r="H439" s="771"/>
      <c r="I439" s="769"/>
      <c r="J439" s="769"/>
      <c r="K439" s="314"/>
      <c r="L439" s="314"/>
      <c r="M439" s="314"/>
      <c r="N439" s="769"/>
      <c r="O439" s="769"/>
      <c r="P439" s="773"/>
      <c r="Q439" s="774"/>
      <c r="R439" s="774"/>
      <c r="S439" s="775"/>
      <c r="AH439" s="776"/>
      <c r="AI439" s="776"/>
      <c r="AJ439" s="732"/>
      <c r="AK439" s="732"/>
      <c r="AL439" s="776"/>
      <c r="AM439" s="776"/>
      <c r="AN439" s="17"/>
      <c r="AO439" s="17"/>
      <c r="AP439" s="17"/>
      <c r="AQ439" s="17"/>
      <c r="AR439" s="17"/>
      <c r="AS439" s="17"/>
      <c r="AT439" s="17"/>
      <c r="AU439" s="732"/>
      <c r="AV439" s="313"/>
      <c r="AW439" s="313"/>
      <c r="AX439" s="313"/>
      <c r="AY439" s="313"/>
      <c r="AZ439" s="313"/>
      <c r="BA439" s="313"/>
      <c r="BB439" s="313"/>
      <c r="BC439" s="313"/>
      <c r="BD439" s="313"/>
      <c r="BE439" s="314"/>
      <c r="BW439" s="314"/>
      <c r="BX439" s="314"/>
      <c r="BY439" s="314"/>
      <c r="BZ439" s="314"/>
      <c r="CA439" s="314"/>
      <c r="CB439" s="314"/>
      <c r="CC439" s="314"/>
      <c r="CD439" s="314"/>
    </row>
    <row r="440" ht="28.5" customHeight="1">
      <c r="A440" s="767"/>
      <c r="B440" s="768"/>
      <c r="C440" s="768"/>
      <c r="D440" s="769"/>
      <c r="E440" s="769"/>
      <c r="F440" s="769"/>
      <c r="G440" s="336"/>
      <c r="H440" s="771"/>
      <c r="I440" s="769"/>
      <c r="J440" s="769"/>
      <c r="K440" s="314"/>
      <c r="L440" s="314"/>
      <c r="M440" s="314"/>
      <c r="N440" s="769"/>
      <c r="O440" s="769"/>
      <c r="P440" s="773"/>
      <c r="Q440" s="774"/>
      <c r="R440" s="774"/>
      <c r="S440" s="775"/>
      <c r="AH440" s="776"/>
      <c r="AI440" s="776"/>
      <c r="AJ440" s="732"/>
      <c r="AK440" s="732"/>
      <c r="AL440" s="776"/>
      <c r="AM440" s="776"/>
      <c r="AN440" s="17"/>
      <c r="AO440" s="17"/>
      <c r="AP440" s="17"/>
      <c r="AQ440" s="17"/>
      <c r="AR440" s="17"/>
      <c r="AS440" s="17"/>
      <c r="AT440" s="17"/>
      <c r="AU440" s="732"/>
      <c r="AV440" s="313"/>
      <c r="AW440" s="313"/>
      <c r="AX440" s="313"/>
      <c r="AY440" s="313"/>
      <c r="AZ440" s="313"/>
      <c r="BA440" s="313"/>
      <c r="BB440" s="313"/>
      <c r="BC440" s="313"/>
      <c r="BD440" s="313"/>
      <c r="BE440" s="314"/>
      <c r="BW440" s="314"/>
      <c r="BX440" s="314"/>
      <c r="BY440" s="314"/>
      <c r="BZ440" s="314"/>
      <c r="CA440" s="314"/>
      <c r="CB440" s="314"/>
      <c r="CC440" s="314"/>
      <c r="CD440" s="314"/>
    </row>
    <row r="441" ht="28.5" customHeight="1">
      <c r="A441" s="767"/>
      <c r="B441" s="768"/>
      <c r="C441" s="768"/>
      <c r="D441" s="769"/>
      <c r="E441" s="769"/>
      <c r="F441" s="769"/>
      <c r="G441" s="336"/>
      <c r="H441" s="771"/>
      <c r="I441" s="769"/>
      <c r="J441" s="769"/>
      <c r="K441" s="314"/>
      <c r="L441" s="314"/>
      <c r="M441" s="314"/>
      <c r="N441" s="769"/>
      <c r="O441" s="769"/>
      <c r="P441" s="773"/>
      <c r="Q441" s="774"/>
      <c r="R441" s="774"/>
      <c r="S441" s="775"/>
      <c r="AH441" s="776"/>
      <c r="AI441" s="776"/>
      <c r="AJ441" s="732"/>
      <c r="AK441" s="732"/>
      <c r="AL441" s="776"/>
      <c r="AM441" s="776"/>
      <c r="AN441" s="17"/>
      <c r="AO441" s="17"/>
      <c r="AP441" s="17"/>
      <c r="AQ441" s="17"/>
      <c r="AR441" s="17"/>
      <c r="AS441" s="17"/>
      <c r="AT441" s="17"/>
      <c r="AU441" s="732"/>
      <c r="AV441" s="313"/>
      <c r="AW441" s="313"/>
      <c r="AX441" s="313"/>
      <c r="AY441" s="313"/>
      <c r="AZ441" s="313"/>
      <c r="BA441" s="313"/>
      <c r="BB441" s="313"/>
      <c r="BC441" s="313"/>
      <c r="BD441" s="313"/>
      <c r="BE441" s="314"/>
      <c r="BW441" s="314"/>
      <c r="BX441" s="314"/>
      <c r="BY441" s="314"/>
      <c r="BZ441" s="314"/>
      <c r="CA441" s="314"/>
      <c r="CB441" s="314"/>
      <c r="CC441" s="314"/>
      <c r="CD441" s="314"/>
    </row>
    <row r="442" ht="28.5" customHeight="1">
      <c r="A442" s="767"/>
      <c r="B442" s="768"/>
      <c r="C442" s="768"/>
      <c r="D442" s="769"/>
      <c r="E442" s="769"/>
      <c r="F442" s="769"/>
      <c r="G442" s="336"/>
      <c r="H442" s="771"/>
      <c r="I442" s="769"/>
      <c r="J442" s="769"/>
      <c r="K442" s="314"/>
      <c r="L442" s="314"/>
      <c r="M442" s="314"/>
      <c r="N442" s="769"/>
      <c r="O442" s="769"/>
      <c r="P442" s="773"/>
      <c r="Q442" s="774"/>
      <c r="R442" s="774"/>
      <c r="S442" s="775"/>
      <c r="AH442" s="776"/>
      <c r="AI442" s="776"/>
      <c r="AJ442" s="732"/>
      <c r="AK442" s="732"/>
      <c r="AL442" s="776"/>
      <c r="AM442" s="776"/>
      <c r="AN442" s="17"/>
      <c r="AO442" s="17"/>
      <c r="AP442" s="17"/>
      <c r="AQ442" s="17"/>
      <c r="AR442" s="17"/>
      <c r="AS442" s="17"/>
      <c r="AT442" s="17"/>
      <c r="AU442" s="732"/>
      <c r="AV442" s="313"/>
      <c r="AW442" s="313"/>
      <c r="AX442" s="313"/>
      <c r="AY442" s="313"/>
      <c r="AZ442" s="313"/>
      <c r="BA442" s="313"/>
      <c r="BB442" s="313"/>
      <c r="BC442" s="313"/>
      <c r="BD442" s="313"/>
      <c r="BE442" s="314"/>
      <c r="BW442" s="314"/>
      <c r="BX442" s="314"/>
      <c r="BY442" s="314"/>
      <c r="BZ442" s="314"/>
      <c r="CA442" s="314"/>
      <c r="CB442" s="314"/>
      <c r="CC442" s="314"/>
      <c r="CD442" s="314"/>
    </row>
    <row r="443" ht="28.5" customHeight="1">
      <c r="A443" s="767"/>
      <c r="B443" s="768"/>
      <c r="C443" s="768"/>
      <c r="D443" s="769"/>
      <c r="E443" s="769"/>
      <c r="F443" s="769"/>
      <c r="G443" s="336"/>
      <c r="H443" s="771"/>
      <c r="I443" s="769"/>
      <c r="J443" s="769"/>
      <c r="K443" s="314"/>
      <c r="L443" s="314"/>
      <c r="M443" s="314"/>
      <c r="N443" s="769"/>
      <c r="O443" s="769"/>
      <c r="P443" s="773"/>
      <c r="Q443" s="774"/>
      <c r="R443" s="774"/>
      <c r="S443" s="775"/>
      <c r="AH443" s="776"/>
      <c r="AI443" s="776"/>
      <c r="AJ443" s="732"/>
      <c r="AK443" s="732"/>
      <c r="AL443" s="776"/>
      <c r="AM443" s="776"/>
      <c r="AN443" s="17"/>
      <c r="AO443" s="17"/>
      <c r="AP443" s="17"/>
      <c r="AQ443" s="17"/>
      <c r="AR443" s="17"/>
      <c r="AS443" s="17"/>
      <c r="AT443" s="17"/>
      <c r="AU443" s="732"/>
      <c r="AV443" s="313"/>
      <c r="AW443" s="313"/>
      <c r="AX443" s="313"/>
      <c r="AY443" s="313"/>
      <c r="AZ443" s="313"/>
      <c r="BA443" s="313"/>
      <c r="BB443" s="313"/>
      <c r="BC443" s="313"/>
      <c r="BD443" s="313"/>
      <c r="BE443" s="314"/>
      <c r="BW443" s="314"/>
      <c r="BX443" s="314"/>
      <c r="BY443" s="314"/>
      <c r="BZ443" s="314"/>
      <c r="CA443" s="314"/>
      <c r="CB443" s="314"/>
      <c r="CC443" s="314"/>
      <c r="CD443" s="314"/>
    </row>
    <row r="444" ht="28.5" customHeight="1">
      <c r="A444" s="767"/>
      <c r="B444" s="768"/>
      <c r="C444" s="768"/>
      <c r="D444" s="769"/>
      <c r="E444" s="769"/>
      <c r="F444" s="769"/>
      <c r="G444" s="336"/>
      <c r="H444" s="771"/>
      <c r="I444" s="769"/>
      <c r="J444" s="769"/>
      <c r="K444" s="314"/>
      <c r="L444" s="314"/>
      <c r="M444" s="314"/>
      <c r="N444" s="769"/>
      <c r="O444" s="769"/>
      <c r="P444" s="773"/>
      <c r="Q444" s="774"/>
      <c r="R444" s="774"/>
      <c r="S444" s="775"/>
      <c r="AH444" s="776"/>
      <c r="AI444" s="776"/>
      <c r="AJ444" s="732"/>
      <c r="AK444" s="732"/>
      <c r="AL444" s="776"/>
      <c r="AM444" s="776"/>
      <c r="AN444" s="17"/>
      <c r="AO444" s="17"/>
      <c r="AP444" s="17"/>
      <c r="AQ444" s="17"/>
      <c r="AR444" s="17"/>
      <c r="AS444" s="17"/>
      <c r="AT444" s="17"/>
      <c r="AU444" s="732"/>
      <c r="AV444" s="313"/>
      <c r="AW444" s="313"/>
      <c r="AX444" s="313"/>
      <c r="AY444" s="313"/>
      <c r="AZ444" s="313"/>
      <c r="BA444" s="313"/>
      <c r="BB444" s="313"/>
      <c r="BC444" s="313"/>
      <c r="BD444" s="313"/>
      <c r="BE444" s="314"/>
      <c r="BW444" s="314"/>
      <c r="BX444" s="314"/>
      <c r="BY444" s="314"/>
      <c r="BZ444" s="314"/>
      <c r="CA444" s="314"/>
      <c r="CB444" s="314"/>
      <c r="CC444" s="314"/>
      <c r="CD444" s="314"/>
    </row>
    <row r="445" ht="28.5" customHeight="1">
      <c r="A445" s="767"/>
      <c r="B445" s="768"/>
      <c r="C445" s="768"/>
      <c r="D445" s="769"/>
      <c r="E445" s="769"/>
      <c r="F445" s="769"/>
      <c r="G445" s="336"/>
      <c r="H445" s="771"/>
      <c r="I445" s="769"/>
      <c r="J445" s="769"/>
      <c r="K445" s="314"/>
      <c r="L445" s="314"/>
      <c r="M445" s="314"/>
      <c r="N445" s="769"/>
      <c r="O445" s="769"/>
      <c r="P445" s="773"/>
      <c r="Q445" s="774"/>
      <c r="R445" s="774"/>
      <c r="S445" s="775"/>
      <c r="AH445" s="776"/>
      <c r="AI445" s="776"/>
      <c r="AJ445" s="732"/>
      <c r="AK445" s="732"/>
      <c r="AL445" s="776"/>
      <c r="AM445" s="776"/>
      <c r="AN445" s="17"/>
      <c r="AO445" s="17"/>
      <c r="AP445" s="17"/>
      <c r="AQ445" s="17"/>
      <c r="AR445" s="17"/>
      <c r="AS445" s="17"/>
      <c r="AT445" s="17"/>
      <c r="AU445" s="732"/>
      <c r="AV445" s="313"/>
      <c r="AW445" s="313"/>
      <c r="AX445" s="313"/>
      <c r="AY445" s="313"/>
      <c r="AZ445" s="313"/>
      <c r="BA445" s="313"/>
      <c r="BB445" s="313"/>
      <c r="BC445" s="313"/>
      <c r="BD445" s="313"/>
      <c r="BE445" s="314"/>
      <c r="BW445" s="314"/>
      <c r="BX445" s="314"/>
      <c r="BY445" s="314"/>
      <c r="BZ445" s="314"/>
      <c r="CA445" s="314"/>
      <c r="CB445" s="314"/>
      <c r="CC445" s="314"/>
      <c r="CD445" s="314"/>
    </row>
    <row r="446" ht="28.5" customHeight="1">
      <c r="A446" s="767"/>
      <c r="B446" s="768"/>
      <c r="C446" s="768"/>
      <c r="D446" s="769"/>
      <c r="E446" s="769"/>
      <c r="F446" s="769"/>
      <c r="G446" s="336"/>
      <c r="H446" s="771"/>
      <c r="I446" s="769"/>
      <c r="J446" s="769"/>
      <c r="K446" s="314"/>
      <c r="L446" s="314"/>
      <c r="M446" s="314"/>
      <c r="N446" s="769"/>
      <c r="O446" s="769"/>
      <c r="P446" s="773"/>
      <c r="Q446" s="774"/>
      <c r="R446" s="774"/>
      <c r="S446" s="775"/>
      <c r="AH446" s="776"/>
      <c r="AI446" s="776"/>
      <c r="AJ446" s="732"/>
      <c r="AK446" s="732"/>
      <c r="AL446" s="776"/>
      <c r="AM446" s="776"/>
      <c r="AN446" s="17"/>
      <c r="AO446" s="17"/>
      <c r="AP446" s="17"/>
      <c r="AQ446" s="17"/>
      <c r="AR446" s="17"/>
      <c r="AS446" s="17"/>
      <c r="AT446" s="17"/>
      <c r="AU446" s="732"/>
      <c r="AV446" s="313"/>
      <c r="AW446" s="313"/>
      <c r="AX446" s="313"/>
      <c r="AY446" s="313"/>
      <c r="AZ446" s="313"/>
      <c r="BA446" s="313"/>
      <c r="BB446" s="313"/>
      <c r="BC446" s="313"/>
      <c r="BD446" s="313"/>
      <c r="BE446" s="314"/>
      <c r="BW446" s="314"/>
      <c r="BX446" s="314"/>
      <c r="BY446" s="314"/>
      <c r="BZ446" s="314"/>
      <c r="CA446" s="314"/>
      <c r="CB446" s="314"/>
      <c r="CC446" s="314"/>
      <c r="CD446" s="314"/>
    </row>
    <row r="447" ht="28.5" customHeight="1">
      <c r="A447" s="767"/>
      <c r="B447" s="768"/>
      <c r="C447" s="768"/>
      <c r="D447" s="769"/>
      <c r="E447" s="769"/>
      <c r="F447" s="769"/>
      <c r="G447" s="336"/>
      <c r="H447" s="771"/>
      <c r="I447" s="769"/>
      <c r="J447" s="769"/>
      <c r="K447" s="314"/>
      <c r="L447" s="314"/>
      <c r="M447" s="314"/>
      <c r="N447" s="769"/>
      <c r="O447" s="769"/>
      <c r="P447" s="773"/>
      <c r="Q447" s="774"/>
      <c r="R447" s="774"/>
      <c r="S447" s="775"/>
      <c r="AH447" s="776"/>
      <c r="AI447" s="776"/>
      <c r="AJ447" s="732"/>
      <c r="AK447" s="732"/>
      <c r="AL447" s="776"/>
      <c r="AM447" s="776"/>
      <c r="AN447" s="17"/>
      <c r="AO447" s="17"/>
      <c r="AP447" s="17"/>
      <c r="AQ447" s="17"/>
      <c r="AR447" s="17"/>
      <c r="AS447" s="17"/>
      <c r="AT447" s="17"/>
      <c r="AU447" s="732"/>
      <c r="AV447" s="313"/>
      <c r="AW447" s="313"/>
      <c r="AX447" s="313"/>
      <c r="AY447" s="313"/>
      <c r="AZ447" s="313"/>
      <c r="BA447" s="313"/>
      <c r="BB447" s="313"/>
      <c r="BC447" s="313"/>
      <c r="BD447" s="313"/>
      <c r="BE447" s="314"/>
      <c r="BW447" s="314"/>
      <c r="BX447" s="314"/>
      <c r="BY447" s="314"/>
      <c r="BZ447" s="314"/>
      <c r="CA447" s="314"/>
      <c r="CB447" s="314"/>
      <c r="CC447" s="314"/>
      <c r="CD447" s="314"/>
    </row>
    <row r="448" ht="28.5" customHeight="1">
      <c r="A448" s="767"/>
      <c r="B448" s="768"/>
      <c r="C448" s="768"/>
      <c r="D448" s="769"/>
      <c r="E448" s="769"/>
      <c r="F448" s="769"/>
      <c r="G448" s="336"/>
      <c r="H448" s="771"/>
      <c r="I448" s="769"/>
      <c r="J448" s="769"/>
      <c r="K448" s="314"/>
      <c r="L448" s="314"/>
      <c r="M448" s="314"/>
      <c r="N448" s="769"/>
      <c r="O448" s="769"/>
      <c r="P448" s="773"/>
      <c r="Q448" s="774"/>
      <c r="R448" s="774"/>
      <c r="S448" s="775"/>
      <c r="AH448" s="776"/>
      <c r="AI448" s="776"/>
      <c r="AJ448" s="732"/>
      <c r="AK448" s="732"/>
      <c r="AL448" s="776"/>
      <c r="AM448" s="776"/>
      <c r="AN448" s="17"/>
      <c r="AO448" s="17"/>
      <c r="AP448" s="17"/>
      <c r="AQ448" s="17"/>
      <c r="AR448" s="17"/>
      <c r="AS448" s="17"/>
      <c r="AT448" s="17"/>
      <c r="AU448" s="732"/>
      <c r="AV448" s="313"/>
      <c r="AW448" s="313"/>
      <c r="AX448" s="313"/>
      <c r="AY448" s="313"/>
      <c r="AZ448" s="313"/>
      <c r="BA448" s="313"/>
      <c r="BB448" s="313"/>
      <c r="BC448" s="313"/>
      <c r="BD448" s="313"/>
      <c r="BE448" s="314"/>
      <c r="BW448" s="314"/>
      <c r="BX448" s="314"/>
      <c r="BY448" s="314"/>
      <c r="BZ448" s="314"/>
      <c r="CA448" s="314"/>
      <c r="CB448" s="314"/>
      <c r="CC448" s="314"/>
      <c r="CD448" s="314"/>
    </row>
    <row r="449" ht="28.5" customHeight="1">
      <c r="A449" s="767"/>
      <c r="B449" s="768"/>
      <c r="C449" s="768"/>
      <c r="D449" s="769"/>
      <c r="E449" s="769"/>
      <c r="F449" s="769"/>
      <c r="G449" s="336"/>
      <c r="H449" s="771"/>
      <c r="I449" s="769"/>
      <c r="J449" s="769"/>
      <c r="K449" s="314"/>
      <c r="L449" s="314"/>
      <c r="M449" s="314"/>
      <c r="N449" s="769"/>
      <c r="O449" s="769"/>
      <c r="P449" s="773"/>
      <c r="Q449" s="774"/>
      <c r="R449" s="774"/>
      <c r="S449" s="775"/>
      <c r="AH449" s="776"/>
      <c r="AI449" s="776"/>
      <c r="AJ449" s="732"/>
      <c r="AK449" s="732"/>
      <c r="AL449" s="776"/>
      <c r="AM449" s="776"/>
      <c r="AN449" s="17"/>
      <c r="AO449" s="17"/>
      <c r="AP449" s="17"/>
      <c r="AQ449" s="17"/>
      <c r="AR449" s="17"/>
      <c r="AS449" s="17"/>
      <c r="AT449" s="17"/>
      <c r="AU449" s="732"/>
      <c r="AV449" s="313"/>
      <c r="AW449" s="313"/>
      <c r="AX449" s="313"/>
      <c r="AY449" s="313"/>
      <c r="AZ449" s="313"/>
      <c r="BA449" s="313"/>
      <c r="BB449" s="313"/>
      <c r="BC449" s="313"/>
      <c r="BD449" s="313"/>
      <c r="BE449" s="314"/>
      <c r="BW449" s="314"/>
      <c r="BX449" s="314"/>
      <c r="BY449" s="314"/>
      <c r="BZ449" s="314"/>
      <c r="CA449" s="314"/>
      <c r="CB449" s="314"/>
      <c r="CC449" s="314"/>
      <c r="CD449" s="314"/>
    </row>
    <row r="450" ht="28.5" customHeight="1">
      <c r="A450" s="767"/>
      <c r="B450" s="768"/>
      <c r="C450" s="768"/>
      <c r="D450" s="769"/>
      <c r="E450" s="769"/>
      <c r="F450" s="769"/>
      <c r="G450" s="336"/>
      <c r="H450" s="771"/>
      <c r="I450" s="769"/>
      <c r="J450" s="769"/>
      <c r="K450" s="314"/>
      <c r="L450" s="314"/>
      <c r="M450" s="314"/>
      <c r="N450" s="769"/>
      <c r="O450" s="769"/>
      <c r="P450" s="773"/>
      <c r="Q450" s="774"/>
      <c r="R450" s="774"/>
      <c r="S450" s="775"/>
      <c r="AH450" s="776"/>
      <c r="AI450" s="776"/>
      <c r="AJ450" s="732"/>
      <c r="AK450" s="732"/>
      <c r="AL450" s="776"/>
      <c r="AM450" s="776"/>
      <c r="AN450" s="17"/>
      <c r="AO450" s="17"/>
      <c r="AP450" s="17"/>
      <c r="AQ450" s="17"/>
      <c r="AR450" s="17"/>
      <c r="AS450" s="17"/>
      <c r="AT450" s="17"/>
      <c r="AU450" s="732"/>
      <c r="AV450" s="313"/>
      <c r="AW450" s="313"/>
      <c r="AX450" s="313"/>
      <c r="AY450" s="313"/>
      <c r="AZ450" s="313"/>
      <c r="BA450" s="313"/>
      <c r="BB450" s="313"/>
      <c r="BC450" s="313"/>
      <c r="BD450" s="313"/>
      <c r="BE450" s="314"/>
      <c r="BW450" s="314"/>
      <c r="BX450" s="314"/>
      <c r="BY450" s="314"/>
      <c r="BZ450" s="314"/>
      <c r="CA450" s="314"/>
      <c r="CB450" s="314"/>
      <c r="CC450" s="314"/>
      <c r="CD450" s="314"/>
    </row>
    <row r="451" ht="28.5" customHeight="1">
      <c r="A451" s="767"/>
      <c r="B451" s="768"/>
      <c r="C451" s="768"/>
      <c r="D451" s="769"/>
      <c r="E451" s="769"/>
      <c r="F451" s="769"/>
      <c r="G451" s="336"/>
      <c r="H451" s="771"/>
      <c r="I451" s="769"/>
      <c r="J451" s="769"/>
      <c r="K451" s="314"/>
      <c r="L451" s="314"/>
      <c r="M451" s="314"/>
      <c r="N451" s="769"/>
      <c r="O451" s="769"/>
      <c r="P451" s="773"/>
      <c r="Q451" s="774"/>
      <c r="R451" s="774"/>
      <c r="S451" s="775"/>
      <c r="AH451" s="776"/>
      <c r="AI451" s="776"/>
      <c r="AJ451" s="732"/>
      <c r="AK451" s="732"/>
      <c r="AL451" s="776"/>
      <c r="AM451" s="776"/>
      <c r="AN451" s="17"/>
      <c r="AO451" s="17"/>
      <c r="AP451" s="17"/>
      <c r="AQ451" s="17"/>
      <c r="AR451" s="17"/>
      <c r="AS451" s="17"/>
      <c r="AT451" s="17"/>
      <c r="AU451" s="732"/>
      <c r="AV451" s="313"/>
      <c r="AW451" s="313"/>
      <c r="AX451" s="313"/>
      <c r="AY451" s="313"/>
      <c r="AZ451" s="313"/>
      <c r="BA451" s="313"/>
      <c r="BB451" s="313"/>
      <c r="BC451" s="313"/>
      <c r="BD451" s="313"/>
      <c r="BE451" s="314"/>
      <c r="BW451" s="314"/>
      <c r="BX451" s="314"/>
      <c r="BY451" s="314"/>
      <c r="BZ451" s="314"/>
      <c r="CA451" s="314"/>
      <c r="CB451" s="314"/>
      <c r="CC451" s="314"/>
      <c r="CD451" s="314"/>
    </row>
    <row r="452" ht="28.5" customHeight="1">
      <c r="A452" s="767"/>
      <c r="B452" s="768"/>
      <c r="C452" s="768"/>
      <c r="D452" s="769"/>
      <c r="E452" s="769"/>
      <c r="F452" s="769"/>
      <c r="G452" s="336"/>
      <c r="H452" s="771"/>
      <c r="I452" s="769"/>
      <c r="J452" s="769"/>
      <c r="K452" s="314"/>
      <c r="L452" s="314"/>
      <c r="M452" s="314"/>
      <c r="N452" s="769"/>
      <c r="O452" s="769"/>
      <c r="P452" s="773"/>
      <c r="Q452" s="774"/>
      <c r="R452" s="774"/>
      <c r="S452" s="775"/>
      <c r="AH452" s="776"/>
      <c r="AI452" s="776"/>
      <c r="AJ452" s="732"/>
      <c r="AK452" s="732"/>
      <c r="AL452" s="776"/>
      <c r="AM452" s="776"/>
      <c r="AN452" s="17"/>
      <c r="AO452" s="17"/>
      <c r="AP452" s="17"/>
      <c r="AQ452" s="17"/>
      <c r="AR452" s="17"/>
      <c r="AS452" s="17"/>
      <c r="AT452" s="17"/>
      <c r="AU452" s="732"/>
      <c r="AV452" s="313"/>
      <c r="AW452" s="313"/>
      <c r="AX452" s="313"/>
      <c r="AY452" s="313"/>
      <c r="AZ452" s="313"/>
      <c r="BA452" s="313"/>
      <c r="BB452" s="313"/>
      <c r="BC452" s="313"/>
      <c r="BD452" s="313"/>
      <c r="BE452" s="314"/>
      <c r="BW452" s="314"/>
      <c r="BX452" s="314"/>
      <c r="BY452" s="314"/>
      <c r="BZ452" s="314"/>
      <c r="CA452" s="314"/>
      <c r="CB452" s="314"/>
      <c r="CC452" s="314"/>
      <c r="CD452" s="314"/>
    </row>
    <row r="453" ht="28.5" customHeight="1">
      <c r="A453" s="767"/>
      <c r="B453" s="768"/>
      <c r="C453" s="768"/>
      <c r="D453" s="769"/>
      <c r="E453" s="769"/>
      <c r="F453" s="769"/>
      <c r="G453" s="336"/>
      <c r="H453" s="771"/>
      <c r="I453" s="769"/>
      <c r="J453" s="769"/>
      <c r="K453" s="314"/>
      <c r="L453" s="314"/>
      <c r="M453" s="314"/>
      <c r="N453" s="769"/>
      <c r="O453" s="769"/>
      <c r="P453" s="773"/>
      <c r="Q453" s="774"/>
      <c r="R453" s="774"/>
      <c r="S453" s="775"/>
      <c r="AH453" s="776"/>
      <c r="AI453" s="776"/>
      <c r="AJ453" s="732"/>
      <c r="AK453" s="732"/>
      <c r="AL453" s="776"/>
      <c r="AM453" s="776"/>
      <c r="AN453" s="17"/>
      <c r="AO453" s="17"/>
      <c r="AP453" s="17"/>
      <c r="AQ453" s="17"/>
      <c r="AR453" s="17"/>
      <c r="AS453" s="17"/>
      <c r="AT453" s="17"/>
      <c r="AU453" s="732"/>
      <c r="AV453" s="313"/>
      <c r="AW453" s="313"/>
      <c r="AX453" s="313"/>
      <c r="AY453" s="313"/>
      <c r="AZ453" s="313"/>
      <c r="BA453" s="313"/>
      <c r="BB453" s="313"/>
      <c r="BC453" s="313"/>
      <c r="BD453" s="313"/>
      <c r="BE453" s="314"/>
      <c r="BW453" s="314"/>
      <c r="BX453" s="314"/>
      <c r="BY453" s="314"/>
      <c r="BZ453" s="314"/>
      <c r="CA453" s="314"/>
      <c r="CB453" s="314"/>
      <c r="CC453" s="314"/>
      <c r="CD453" s="314"/>
    </row>
    <row r="454" ht="28.5" customHeight="1">
      <c r="A454" s="767"/>
      <c r="B454" s="768"/>
      <c r="C454" s="768"/>
      <c r="D454" s="769"/>
      <c r="E454" s="769"/>
      <c r="F454" s="769"/>
      <c r="G454" s="336"/>
      <c r="H454" s="771"/>
      <c r="I454" s="769"/>
      <c r="J454" s="769"/>
      <c r="K454" s="314"/>
      <c r="L454" s="314"/>
      <c r="M454" s="314"/>
      <c r="N454" s="769"/>
      <c r="O454" s="769"/>
      <c r="P454" s="773"/>
      <c r="Q454" s="774"/>
      <c r="R454" s="774"/>
      <c r="S454" s="775"/>
      <c r="AH454" s="776"/>
      <c r="AI454" s="776"/>
      <c r="AJ454" s="732"/>
      <c r="AK454" s="732"/>
      <c r="AL454" s="776"/>
      <c r="AM454" s="776"/>
      <c r="AN454" s="17"/>
      <c r="AO454" s="17"/>
      <c r="AP454" s="17"/>
      <c r="AQ454" s="17"/>
      <c r="AR454" s="17"/>
      <c r="AS454" s="17"/>
      <c r="AT454" s="17"/>
      <c r="AU454" s="732"/>
      <c r="AV454" s="313"/>
      <c r="AW454" s="313"/>
      <c r="AX454" s="313"/>
      <c r="AY454" s="313"/>
      <c r="AZ454" s="313"/>
      <c r="BA454" s="313"/>
      <c r="BB454" s="313"/>
      <c r="BC454" s="313"/>
      <c r="BD454" s="313"/>
      <c r="BE454" s="314"/>
      <c r="BW454" s="314"/>
      <c r="BX454" s="314"/>
      <c r="BY454" s="314"/>
      <c r="BZ454" s="314"/>
      <c r="CA454" s="314"/>
      <c r="CB454" s="314"/>
      <c r="CC454" s="314"/>
      <c r="CD454" s="314"/>
    </row>
    <row r="455" ht="28.5" customHeight="1">
      <c r="A455" s="767"/>
      <c r="B455" s="768"/>
      <c r="C455" s="768"/>
      <c r="D455" s="769"/>
      <c r="E455" s="769"/>
      <c r="F455" s="769"/>
      <c r="G455" s="336"/>
      <c r="H455" s="771"/>
      <c r="I455" s="769"/>
      <c r="J455" s="769"/>
      <c r="K455" s="314"/>
      <c r="L455" s="314"/>
      <c r="M455" s="314"/>
      <c r="N455" s="769"/>
      <c r="O455" s="769"/>
      <c r="P455" s="773"/>
      <c r="Q455" s="774"/>
      <c r="R455" s="774"/>
      <c r="S455" s="775"/>
      <c r="AH455" s="776"/>
      <c r="AI455" s="776"/>
      <c r="AJ455" s="732"/>
      <c r="AK455" s="732"/>
      <c r="AL455" s="776"/>
      <c r="AM455" s="776"/>
      <c r="AN455" s="17"/>
      <c r="AO455" s="17"/>
      <c r="AP455" s="17"/>
      <c r="AQ455" s="17"/>
      <c r="AR455" s="17"/>
      <c r="AS455" s="17"/>
      <c r="AT455" s="17"/>
      <c r="AU455" s="732"/>
      <c r="AV455" s="313"/>
      <c r="AW455" s="313"/>
      <c r="AX455" s="313"/>
      <c r="AY455" s="313"/>
      <c r="AZ455" s="313"/>
      <c r="BA455" s="313"/>
      <c r="BB455" s="313"/>
      <c r="BC455" s="313"/>
      <c r="BD455" s="313"/>
      <c r="BE455" s="314"/>
      <c r="BW455" s="314"/>
      <c r="BX455" s="314"/>
      <c r="BY455" s="314"/>
      <c r="BZ455" s="314"/>
      <c r="CA455" s="314"/>
      <c r="CB455" s="314"/>
      <c r="CC455" s="314"/>
      <c r="CD455" s="314"/>
    </row>
    <row r="456" ht="28.5" customHeight="1">
      <c r="A456" s="767"/>
      <c r="B456" s="768"/>
      <c r="C456" s="768"/>
      <c r="D456" s="769"/>
      <c r="E456" s="769"/>
      <c r="F456" s="769"/>
      <c r="G456" s="336"/>
      <c r="H456" s="771"/>
      <c r="I456" s="769"/>
      <c r="J456" s="769"/>
      <c r="K456" s="314"/>
      <c r="L456" s="314"/>
      <c r="M456" s="314"/>
      <c r="N456" s="769"/>
      <c r="O456" s="769"/>
      <c r="P456" s="773"/>
      <c r="Q456" s="774"/>
      <c r="R456" s="774"/>
      <c r="S456" s="775"/>
      <c r="AH456" s="776"/>
      <c r="AI456" s="776"/>
      <c r="AJ456" s="732"/>
      <c r="AK456" s="732"/>
      <c r="AL456" s="776"/>
      <c r="AM456" s="776"/>
      <c r="AN456" s="17"/>
      <c r="AO456" s="17"/>
      <c r="AP456" s="17"/>
      <c r="AQ456" s="17"/>
      <c r="AR456" s="17"/>
      <c r="AS456" s="17"/>
      <c r="AT456" s="17"/>
      <c r="AU456" s="732"/>
      <c r="AV456" s="313"/>
      <c r="AW456" s="313"/>
      <c r="AX456" s="313"/>
      <c r="AY456" s="313"/>
      <c r="AZ456" s="313"/>
      <c r="BA456" s="313"/>
      <c r="BB456" s="313"/>
      <c r="BC456" s="313"/>
      <c r="BD456" s="313"/>
      <c r="BE456" s="314"/>
      <c r="BW456" s="314"/>
      <c r="BX456" s="314"/>
      <c r="BY456" s="314"/>
      <c r="BZ456" s="314"/>
      <c r="CA456" s="314"/>
      <c r="CB456" s="314"/>
      <c r="CC456" s="314"/>
      <c r="CD456" s="314"/>
    </row>
    <row r="457" ht="28.5" customHeight="1">
      <c r="A457" s="767"/>
      <c r="B457" s="768"/>
      <c r="C457" s="768"/>
      <c r="D457" s="769"/>
      <c r="E457" s="769"/>
      <c r="F457" s="769"/>
      <c r="G457" s="336"/>
      <c r="H457" s="771"/>
      <c r="I457" s="769"/>
      <c r="J457" s="769"/>
      <c r="K457" s="314"/>
      <c r="L457" s="314"/>
      <c r="M457" s="314"/>
      <c r="N457" s="769"/>
      <c r="O457" s="769"/>
      <c r="P457" s="773"/>
      <c r="Q457" s="774"/>
      <c r="R457" s="774"/>
      <c r="S457" s="775"/>
      <c r="AH457" s="776"/>
      <c r="AI457" s="776"/>
      <c r="AJ457" s="732"/>
      <c r="AK457" s="732"/>
      <c r="AL457" s="776"/>
      <c r="AM457" s="776"/>
      <c r="AN457" s="17"/>
      <c r="AO457" s="17"/>
      <c r="AP457" s="17"/>
      <c r="AQ457" s="17"/>
      <c r="AR457" s="17"/>
      <c r="AS457" s="17"/>
      <c r="AT457" s="17"/>
      <c r="AU457" s="732"/>
      <c r="AV457" s="313"/>
      <c r="AW457" s="313"/>
      <c r="AX457" s="313"/>
      <c r="AY457" s="313"/>
      <c r="AZ457" s="313"/>
      <c r="BA457" s="313"/>
      <c r="BB457" s="313"/>
      <c r="BC457" s="313"/>
      <c r="BD457" s="313"/>
      <c r="BE457" s="314"/>
      <c r="BW457" s="314"/>
      <c r="BX457" s="314"/>
      <c r="BY457" s="314"/>
      <c r="BZ457" s="314"/>
      <c r="CA457" s="314"/>
      <c r="CB457" s="314"/>
      <c r="CC457" s="314"/>
      <c r="CD457" s="314"/>
    </row>
    <row r="458" ht="28.5" customHeight="1">
      <c r="A458" s="767"/>
      <c r="B458" s="768"/>
      <c r="C458" s="768"/>
      <c r="D458" s="769"/>
      <c r="E458" s="769"/>
      <c r="F458" s="769"/>
      <c r="G458" s="336"/>
      <c r="H458" s="771"/>
      <c r="I458" s="769"/>
      <c r="J458" s="769"/>
      <c r="K458" s="314"/>
      <c r="L458" s="314"/>
      <c r="M458" s="314"/>
      <c r="N458" s="769"/>
      <c r="O458" s="769"/>
      <c r="P458" s="773"/>
      <c r="Q458" s="774"/>
      <c r="R458" s="774"/>
      <c r="S458" s="775"/>
      <c r="AH458" s="776"/>
      <c r="AI458" s="776"/>
      <c r="AJ458" s="732"/>
      <c r="AK458" s="732"/>
      <c r="AL458" s="776"/>
      <c r="AM458" s="776"/>
      <c r="AN458" s="17"/>
      <c r="AO458" s="17"/>
      <c r="AP458" s="17"/>
      <c r="AQ458" s="17"/>
      <c r="AR458" s="17"/>
      <c r="AS458" s="17"/>
      <c r="AT458" s="17"/>
      <c r="AU458" s="732"/>
      <c r="AV458" s="313"/>
      <c r="AW458" s="313"/>
      <c r="AX458" s="313"/>
      <c r="AY458" s="313"/>
      <c r="AZ458" s="313"/>
      <c r="BA458" s="313"/>
      <c r="BB458" s="313"/>
      <c r="BC458" s="313"/>
      <c r="BD458" s="313"/>
      <c r="BE458" s="314"/>
      <c r="BW458" s="314"/>
      <c r="BX458" s="314"/>
      <c r="BY458" s="314"/>
      <c r="BZ458" s="314"/>
      <c r="CA458" s="314"/>
      <c r="CB458" s="314"/>
      <c r="CC458" s="314"/>
      <c r="CD458" s="314"/>
    </row>
    <row r="459" ht="28.5" customHeight="1">
      <c r="A459" s="767"/>
      <c r="B459" s="768"/>
      <c r="C459" s="768"/>
      <c r="D459" s="769"/>
      <c r="E459" s="769"/>
      <c r="F459" s="769"/>
      <c r="G459" s="336"/>
      <c r="H459" s="771"/>
      <c r="I459" s="769"/>
      <c r="J459" s="769"/>
      <c r="K459" s="314"/>
      <c r="L459" s="314"/>
      <c r="M459" s="314"/>
      <c r="N459" s="769"/>
      <c r="O459" s="769"/>
      <c r="P459" s="773"/>
      <c r="Q459" s="774"/>
      <c r="R459" s="774"/>
      <c r="S459" s="775"/>
      <c r="AH459" s="776"/>
      <c r="AI459" s="776"/>
      <c r="AJ459" s="732"/>
      <c r="AK459" s="732"/>
      <c r="AL459" s="776"/>
      <c r="AM459" s="776"/>
      <c r="AN459" s="17"/>
      <c r="AO459" s="17"/>
      <c r="AP459" s="17"/>
      <c r="AQ459" s="17"/>
      <c r="AR459" s="17"/>
      <c r="AS459" s="17"/>
      <c r="AT459" s="17"/>
      <c r="AU459" s="732"/>
      <c r="AV459" s="313"/>
      <c r="AW459" s="313"/>
      <c r="AX459" s="313"/>
      <c r="AY459" s="313"/>
      <c r="AZ459" s="313"/>
      <c r="BA459" s="313"/>
      <c r="BB459" s="313"/>
      <c r="BC459" s="313"/>
      <c r="BD459" s="313"/>
      <c r="BE459" s="314"/>
      <c r="BW459" s="314"/>
      <c r="BX459" s="314"/>
      <c r="BY459" s="314"/>
      <c r="BZ459" s="314"/>
      <c r="CA459" s="314"/>
      <c r="CB459" s="314"/>
      <c r="CC459" s="314"/>
      <c r="CD459" s="314"/>
    </row>
    <row r="460" ht="28.5" customHeight="1">
      <c r="A460" s="767"/>
      <c r="B460" s="768"/>
      <c r="C460" s="768"/>
      <c r="D460" s="769"/>
      <c r="E460" s="769"/>
      <c r="F460" s="769"/>
      <c r="G460" s="336"/>
      <c r="H460" s="771"/>
      <c r="I460" s="769"/>
      <c r="J460" s="769"/>
      <c r="K460" s="314"/>
      <c r="L460" s="314"/>
      <c r="M460" s="314"/>
      <c r="N460" s="769"/>
      <c r="O460" s="769"/>
      <c r="P460" s="773"/>
      <c r="Q460" s="774"/>
      <c r="R460" s="774"/>
      <c r="S460" s="775"/>
      <c r="AH460" s="776"/>
      <c r="AI460" s="776"/>
      <c r="AJ460" s="732"/>
      <c r="AK460" s="732"/>
      <c r="AL460" s="776"/>
      <c r="AM460" s="776"/>
      <c r="AN460" s="17"/>
      <c r="AO460" s="17"/>
      <c r="AP460" s="17"/>
      <c r="AQ460" s="17"/>
      <c r="AR460" s="17"/>
      <c r="AS460" s="17"/>
      <c r="AT460" s="17"/>
      <c r="AU460" s="732"/>
      <c r="AV460" s="313"/>
      <c r="AW460" s="313"/>
      <c r="AX460" s="313"/>
      <c r="AY460" s="313"/>
      <c r="AZ460" s="313"/>
      <c r="BA460" s="313"/>
      <c r="BB460" s="313"/>
      <c r="BC460" s="313"/>
      <c r="BD460" s="313"/>
      <c r="BE460" s="314"/>
      <c r="BW460" s="314"/>
      <c r="BX460" s="314"/>
      <c r="BY460" s="314"/>
      <c r="BZ460" s="314"/>
      <c r="CA460" s="314"/>
      <c r="CB460" s="314"/>
      <c r="CC460" s="314"/>
      <c r="CD460" s="314"/>
    </row>
    <row r="461" ht="28.5" customHeight="1">
      <c r="A461" s="767"/>
      <c r="B461" s="768"/>
      <c r="C461" s="768"/>
      <c r="D461" s="769"/>
      <c r="E461" s="769"/>
      <c r="F461" s="769"/>
      <c r="G461" s="336"/>
      <c r="H461" s="771"/>
      <c r="I461" s="769"/>
      <c r="J461" s="769"/>
      <c r="K461" s="314"/>
      <c r="L461" s="314"/>
      <c r="M461" s="314"/>
      <c r="N461" s="769"/>
      <c r="O461" s="769"/>
      <c r="P461" s="773"/>
      <c r="Q461" s="774"/>
      <c r="R461" s="774"/>
      <c r="S461" s="775"/>
      <c r="AH461" s="776"/>
      <c r="AI461" s="776"/>
      <c r="AJ461" s="732"/>
      <c r="AK461" s="732"/>
      <c r="AL461" s="776"/>
      <c r="AM461" s="776"/>
      <c r="AN461" s="17"/>
      <c r="AO461" s="17"/>
      <c r="AP461" s="17"/>
      <c r="AQ461" s="17"/>
      <c r="AR461" s="17"/>
      <c r="AS461" s="17"/>
      <c r="AT461" s="17"/>
      <c r="AU461" s="732"/>
      <c r="AV461" s="313"/>
      <c r="AW461" s="313"/>
      <c r="AX461" s="313"/>
      <c r="AY461" s="313"/>
      <c r="AZ461" s="313"/>
      <c r="BA461" s="313"/>
      <c r="BB461" s="313"/>
      <c r="BC461" s="313"/>
      <c r="BD461" s="313"/>
      <c r="BE461" s="314"/>
      <c r="BW461" s="314"/>
      <c r="BX461" s="314"/>
      <c r="BY461" s="314"/>
      <c r="BZ461" s="314"/>
      <c r="CA461" s="314"/>
      <c r="CB461" s="314"/>
      <c r="CC461" s="314"/>
      <c r="CD461" s="314"/>
    </row>
    <row r="462" ht="28.5" customHeight="1">
      <c r="A462" s="767"/>
      <c r="B462" s="768"/>
      <c r="C462" s="768"/>
      <c r="D462" s="769"/>
      <c r="E462" s="769"/>
      <c r="F462" s="769"/>
      <c r="G462" s="336"/>
      <c r="H462" s="771"/>
      <c r="I462" s="769"/>
      <c r="J462" s="769"/>
      <c r="K462" s="314"/>
      <c r="L462" s="314"/>
      <c r="M462" s="314"/>
      <c r="N462" s="769"/>
      <c r="O462" s="769"/>
      <c r="P462" s="773"/>
      <c r="Q462" s="774"/>
      <c r="R462" s="774"/>
      <c r="S462" s="775"/>
      <c r="AH462" s="776"/>
      <c r="AI462" s="776"/>
      <c r="AJ462" s="732"/>
      <c r="AK462" s="732"/>
      <c r="AL462" s="776"/>
      <c r="AM462" s="776"/>
      <c r="AN462" s="17"/>
      <c r="AO462" s="17"/>
      <c r="AP462" s="17"/>
      <c r="AQ462" s="17"/>
      <c r="AR462" s="17"/>
      <c r="AS462" s="17"/>
      <c r="AT462" s="17"/>
      <c r="AU462" s="732"/>
      <c r="AV462" s="313"/>
      <c r="AW462" s="313"/>
      <c r="AX462" s="313"/>
      <c r="AY462" s="313"/>
      <c r="AZ462" s="313"/>
      <c r="BA462" s="313"/>
      <c r="BB462" s="313"/>
      <c r="BC462" s="313"/>
      <c r="BD462" s="313"/>
      <c r="BE462" s="314"/>
      <c r="BW462" s="314"/>
      <c r="BX462" s="314"/>
      <c r="BY462" s="314"/>
      <c r="BZ462" s="314"/>
      <c r="CA462" s="314"/>
      <c r="CB462" s="314"/>
      <c r="CC462" s="314"/>
      <c r="CD462" s="314"/>
    </row>
    <row r="463" ht="28.5" customHeight="1">
      <c r="A463" s="767"/>
      <c r="B463" s="768"/>
      <c r="C463" s="768"/>
      <c r="D463" s="769"/>
      <c r="E463" s="769"/>
      <c r="F463" s="769"/>
      <c r="G463" s="336"/>
      <c r="H463" s="771"/>
      <c r="I463" s="769"/>
      <c r="J463" s="769"/>
      <c r="K463" s="314"/>
      <c r="L463" s="314"/>
      <c r="M463" s="314"/>
      <c r="N463" s="769"/>
      <c r="O463" s="769"/>
      <c r="P463" s="773"/>
      <c r="Q463" s="774"/>
      <c r="R463" s="774"/>
      <c r="S463" s="775"/>
      <c r="AH463" s="776"/>
      <c r="AI463" s="776"/>
      <c r="AJ463" s="732"/>
      <c r="AK463" s="732"/>
      <c r="AL463" s="776"/>
      <c r="AM463" s="776"/>
      <c r="AN463" s="17"/>
      <c r="AO463" s="17"/>
      <c r="AP463" s="17"/>
      <c r="AQ463" s="17"/>
      <c r="AR463" s="17"/>
      <c r="AS463" s="17"/>
      <c r="AT463" s="17"/>
      <c r="AU463" s="732"/>
      <c r="AV463" s="313"/>
      <c r="AW463" s="313"/>
      <c r="AX463" s="313"/>
      <c r="AY463" s="313"/>
      <c r="AZ463" s="313"/>
      <c r="BA463" s="313"/>
      <c r="BB463" s="313"/>
      <c r="BC463" s="313"/>
      <c r="BD463" s="313"/>
      <c r="BE463" s="314"/>
      <c r="BW463" s="314"/>
      <c r="BX463" s="314"/>
      <c r="BY463" s="314"/>
      <c r="BZ463" s="314"/>
      <c r="CA463" s="314"/>
      <c r="CB463" s="314"/>
      <c r="CC463" s="314"/>
      <c r="CD463" s="314"/>
    </row>
    <row r="464" ht="28.5" customHeight="1">
      <c r="A464" s="767"/>
      <c r="B464" s="768"/>
      <c r="C464" s="768"/>
      <c r="D464" s="769"/>
      <c r="E464" s="769"/>
      <c r="F464" s="769"/>
      <c r="G464" s="336"/>
      <c r="H464" s="771"/>
      <c r="I464" s="769"/>
      <c r="J464" s="769"/>
      <c r="K464" s="314"/>
      <c r="L464" s="314"/>
      <c r="M464" s="314"/>
      <c r="N464" s="769"/>
      <c r="O464" s="769"/>
      <c r="P464" s="773"/>
      <c r="Q464" s="774"/>
      <c r="R464" s="774"/>
      <c r="S464" s="775"/>
      <c r="AH464" s="776"/>
      <c r="AI464" s="776"/>
      <c r="AJ464" s="732"/>
      <c r="AK464" s="732"/>
      <c r="AL464" s="776"/>
      <c r="AM464" s="776"/>
      <c r="AN464" s="17"/>
      <c r="AO464" s="17"/>
      <c r="AP464" s="17"/>
      <c r="AQ464" s="17"/>
      <c r="AR464" s="17"/>
      <c r="AS464" s="17"/>
      <c r="AT464" s="17"/>
      <c r="AU464" s="732"/>
      <c r="AV464" s="313"/>
      <c r="AW464" s="313"/>
      <c r="AX464" s="313"/>
      <c r="AY464" s="313"/>
      <c r="AZ464" s="313"/>
      <c r="BA464" s="313"/>
      <c r="BB464" s="313"/>
      <c r="BC464" s="313"/>
      <c r="BD464" s="313"/>
      <c r="BE464" s="314"/>
      <c r="BW464" s="314"/>
      <c r="BX464" s="314"/>
      <c r="BY464" s="314"/>
      <c r="BZ464" s="314"/>
      <c r="CA464" s="314"/>
      <c r="CB464" s="314"/>
      <c r="CC464" s="314"/>
      <c r="CD464" s="314"/>
    </row>
    <row r="465" ht="28.5" customHeight="1">
      <c r="A465" s="767"/>
      <c r="B465" s="768"/>
      <c r="C465" s="768"/>
      <c r="D465" s="769"/>
      <c r="E465" s="769"/>
      <c r="F465" s="769"/>
      <c r="G465" s="336"/>
      <c r="H465" s="771"/>
      <c r="I465" s="769"/>
      <c r="J465" s="769"/>
      <c r="K465" s="314"/>
      <c r="L465" s="314"/>
      <c r="M465" s="314"/>
      <c r="N465" s="769"/>
      <c r="O465" s="769"/>
      <c r="P465" s="773"/>
      <c r="Q465" s="774"/>
      <c r="R465" s="774"/>
      <c r="S465" s="775"/>
      <c r="AH465" s="776"/>
      <c r="AI465" s="776"/>
      <c r="AJ465" s="732"/>
      <c r="AK465" s="732"/>
      <c r="AL465" s="776"/>
      <c r="AM465" s="776"/>
      <c r="AN465" s="17"/>
      <c r="AO465" s="17"/>
      <c r="AP465" s="17"/>
      <c r="AQ465" s="17"/>
      <c r="AR465" s="17"/>
      <c r="AS465" s="17"/>
      <c r="AT465" s="17"/>
      <c r="AU465" s="732"/>
      <c r="AV465" s="313"/>
      <c r="AW465" s="313"/>
      <c r="AX465" s="313"/>
      <c r="AY465" s="313"/>
      <c r="AZ465" s="313"/>
      <c r="BA465" s="313"/>
      <c r="BB465" s="313"/>
      <c r="BC465" s="313"/>
      <c r="BD465" s="313"/>
      <c r="BE465" s="314"/>
      <c r="BW465" s="314"/>
      <c r="BX465" s="314"/>
      <c r="BY465" s="314"/>
      <c r="BZ465" s="314"/>
      <c r="CA465" s="314"/>
      <c r="CB465" s="314"/>
      <c r="CC465" s="314"/>
      <c r="CD465" s="314"/>
    </row>
    <row r="466" ht="28.5" customHeight="1">
      <c r="A466" s="767"/>
      <c r="B466" s="768"/>
      <c r="C466" s="768"/>
      <c r="D466" s="769"/>
      <c r="E466" s="769"/>
      <c r="F466" s="769"/>
      <c r="G466" s="336"/>
      <c r="H466" s="771"/>
      <c r="I466" s="769"/>
      <c r="J466" s="769"/>
      <c r="K466" s="314"/>
      <c r="L466" s="314"/>
      <c r="M466" s="314"/>
      <c r="N466" s="769"/>
      <c r="O466" s="769"/>
      <c r="P466" s="773"/>
      <c r="Q466" s="774"/>
      <c r="R466" s="774"/>
      <c r="S466" s="775"/>
      <c r="AH466" s="776"/>
      <c r="AI466" s="776"/>
      <c r="AJ466" s="732"/>
      <c r="AK466" s="732"/>
      <c r="AL466" s="776"/>
      <c r="AM466" s="776"/>
      <c r="AN466" s="17"/>
      <c r="AO466" s="17"/>
      <c r="AP466" s="17"/>
      <c r="AQ466" s="17"/>
      <c r="AR466" s="17"/>
      <c r="AS466" s="17"/>
      <c r="AT466" s="17"/>
      <c r="AU466" s="732"/>
      <c r="AV466" s="313"/>
      <c r="AW466" s="313"/>
      <c r="AX466" s="313"/>
      <c r="AY466" s="313"/>
      <c r="AZ466" s="313"/>
      <c r="BA466" s="313"/>
      <c r="BB466" s="313"/>
      <c r="BC466" s="313"/>
      <c r="BD466" s="313"/>
      <c r="BE466" s="314"/>
      <c r="BW466" s="314"/>
      <c r="BX466" s="314"/>
      <c r="BY466" s="314"/>
      <c r="BZ466" s="314"/>
      <c r="CA466" s="314"/>
      <c r="CB466" s="314"/>
      <c r="CC466" s="314"/>
      <c r="CD466" s="314"/>
    </row>
    <row r="467" ht="28.5" customHeight="1">
      <c r="A467" s="767"/>
      <c r="B467" s="768"/>
      <c r="C467" s="768"/>
      <c r="D467" s="769"/>
      <c r="E467" s="769"/>
      <c r="F467" s="769"/>
      <c r="G467" s="336"/>
      <c r="H467" s="771"/>
      <c r="I467" s="769"/>
      <c r="J467" s="769"/>
      <c r="K467" s="314"/>
      <c r="L467" s="314"/>
      <c r="M467" s="314"/>
      <c r="N467" s="769"/>
      <c r="O467" s="769"/>
      <c r="P467" s="773"/>
      <c r="Q467" s="774"/>
      <c r="R467" s="774"/>
      <c r="S467" s="775"/>
      <c r="AH467" s="776"/>
      <c r="AI467" s="776"/>
      <c r="AJ467" s="732"/>
      <c r="AK467" s="732"/>
      <c r="AL467" s="776"/>
      <c r="AM467" s="776"/>
      <c r="AN467" s="17"/>
      <c r="AO467" s="17"/>
      <c r="AP467" s="17"/>
      <c r="AQ467" s="17"/>
      <c r="AR467" s="17"/>
      <c r="AS467" s="17"/>
      <c r="AT467" s="17"/>
      <c r="AU467" s="732"/>
      <c r="AV467" s="313"/>
      <c r="AW467" s="313"/>
      <c r="AX467" s="313"/>
      <c r="AY467" s="313"/>
      <c r="AZ467" s="313"/>
      <c r="BA467" s="313"/>
      <c r="BB467" s="313"/>
      <c r="BC467" s="313"/>
      <c r="BD467" s="313"/>
      <c r="BE467" s="314"/>
      <c r="BW467" s="314"/>
      <c r="BX467" s="314"/>
      <c r="BY467" s="314"/>
      <c r="BZ467" s="314"/>
      <c r="CA467" s="314"/>
      <c r="CB467" s="314"/>
      <c r="CC467" s="314"/>
      <c r="CD467" s="314"/>
    </row>
    <row r="468" ht="28.5" customHeight="1">
      <c r="A468" s="767"/>
      <c r="B468" s="768"/>
      <c r="C468" s="768"/>
      <c r="D468" s="769"/>
      <c r="E468" s="769"/>
      <c r="F468" s="769"/>
      <c r="G468" s="336"/>
      <c r="H468" s="771"/>
      <c r="I468" s="769"/>
      <c r="J468" s="769"/>
      <c r="K468" s="314"/>
      <c r="L468" s="314"/>
      <c r="M468" s="314"/>
      <c r="N468" s="769"/>
      <c r="O468" s="769"/>
      <c r="P468" s="773"/>
      <c r="Q468" s="774"/>
      <c r="R468" s="774"/>
      <c r="S468" s="775"/>
      <c r="AH468" s="776"/>
      <c r="AI468" s="776"/>
      <c r="AJ468" s="732"/>
      <c r="AK468" s="732"/>
      <c r="AL468" s="776"/>
      <c r="AM468" s="776"/>
      <c r="AN468" s="17"/>
      <c r="AO468" s="17"/>
      <c r="AP468" s="17"/>
      <c r="AQ468" s="17"/>
      <c r="AR468" s="17"/>
      <c r="AS468" s="17"/>
      <c r="AT468" s="17"/>
      <c r="AU468" s="732"/>
      <c r="AV468" s="313"/>
      <c r="AW468" s="313"/>
      <c r="AX468" s="313"/>
      <c r="AY468" s="313"/>
      <c r="AZ468" s="313"/>
      <c r="BA468" s="313"/>
      <c r="BB468" s="313"/>
      <c r="BC468" s="313"/>
      <c r="BD468" s="313"/>
      <c r="BE468" s="314"/>
      <c r="BW468" s="314"/>
      <c r="BX468" s="314"/>
      <c r="BY468" s="314"/>
      <c r="BZ468" s="314"/>
      <c r="CA468" s="314"/>
      <c r="CB468" s="314"/>
      <c r="CC468" s="314"/>
      <c r="CD468" s="314"/>
    </row>
    <row r="469" ht="28.5" customHeight="1">
      <c r="A469" s="767"/>
      <c r="B469" s="768"/>
      <c r="C469" s="768"/>
      <c r="D469" s="769"/>
      <c r="E469" s="769"/>
      <c r="F469" s="769"/>
      <c r="G469" s="336"/>
      <c r="H469" s="771"/>
      <c r="I469" s="769"/>
      <c r="J469" s="769"/>
      <c r="K469" s="314"/>
      <c r="L469" s="314"/>
      <c r="M469" s="314"/>
      <c r="N469" s="769"/>
      <c r="O469" s="769"/>
      <c r="P469" s="773"/>
      <c r="Q469" s="774"/>
      <c r="R469" s="774"/>
      <c r="S469" s="775"/>
      <c r="AH469" s="776"/>
      <c r="AI469" s="776"/>
      <c r="AJ469" s="732"/>
      <c r="AK469" s="732"/>
      <c r="AL469" s="776"/>
      <c r="AM469" s="776"/>
      <c r="AN469" s="17"/>
      <c r="AO469" s="17"/>
      <c r="AP469" s="17"/>
      <c r="AQ469" s="17"/>
      <c r="AR469" s="17"/>
      <c r="AS469" s="17"/>
      <c r="AT469" s="17"/>
      <c r="AU469" s="732"/>
      <c r="AV469" s="313"/>
      <c r="AW469" s="313"/>
      <c r="AX469" s="313"/>
      <c r="AY469" s="313"/>
      <c r="AZ469" s="313"/>
      <c r="BA469" s="313"/>
      <c r="BB469" s="313"/>
      <c r="BC469" s="313"/>
      <c r="BD469" s="313"/>
      <c r="BE469" s="314"/>
      <c r="BW469" s="314"/>
      <c r="BX469" s="314"/>
      <c r="BY469" s="314"/>
      <c r="BZ469" s="314"/>
      <c r="CA469" s="314"/>
      <c r="CB469" s="314"/>
      <c r="CC469" s="314"/>
      <c r="CD469" s="314"/>
    </row>
    <row r="470" ht="28.5" customHeight="1">
      <c r="A470" s="767"/>
      <c r="B470" s="768"/>
      <c r="C470" s="768"/>
      <c r="D470" s="769"/>
      <c r="E470" s="769"/>
      <c r="F470" s="769"/>
      <c r="G470" s="336"/>
      <c r="H470" s="771"/>
      <c r="I470" s="769"/>
      <c r="J470" s="769"/>
      <c r="K470" s="314"/>
      <c r="L470" s="314"/>
      <c r="M470" s="314"/>
      <c r="N470" s="769"/>
      <c r="O470" s="769"/>
      <c r="P470" s="773"/>
      <c r="Q470" s="774"/>
      <c r="R470" s="774"/>
      <c r="S470" s="775"/>
      <c r="AH470" s="776"/>
      <c r="AI470" s="776"/>
      <c r="AJ470" s="732"/>
      <c r="AK470" s="732"/>
      <c r="AL470" s="776"/>
      <c r="AM470" s="776"/>
      <c r="AN470" s="17"/>
      <c r="AO470" s="17"/>
      <c r="AP470" s="17"/>
      <c r="AQ470" s="17"/>
      <c r="AR470" s="17"/>
      <c r="AS470" s="17"/>
      <c r="AT470" s="17"/>
      <c r="AU470" s="732"/>
      <c r="AV470" s="313"/>
      <c r="AW470" s="313"/>
      <c r="AX470" s="313"/>
      <c r="AY470" s="313"/>
      <c r="AZ470" s="313"/>
      <c r="BA470" s="313"/>
      <c r="BB470" s="313"/>
      <c r="BC470" s="313"/>
      <c r="BD470" s="313"/>
      <c r="BE470" s="314"/>
      <c r="BW470" s="314"/>
      <c r="BX470" s="314"/>
      <c r="BY470" s="314"/>
      <c r="BZ470" s="314"/>
      <c r="CA470" s="314"/>
      <c r="CB470" s="314"/>
      <c r="CC470" s="314"/>
      <c r="CD470" s="314"/>
    </row>
    <row r="471" ht="28.5" customHeight="1">
      <c r="A471" s="767"/>
      <c r="B471" s="768"/>
      <c r="C471" s="768"/>
      <c r="D471" s="769"/>
      <c r="E471" s="769"/>
      <c r="F471" s="769"/>
      <c r="G471" s="336"/>
      <c r="H471" s="771"/>
      <c r="I471" s="769"/>
      <c r="J471" s="769"/>
      <c r="K471" s="314"/>
      <c r="L471" s="314"/>
      <c r="M471" s="314"/>
      <c r="N471" s="769"/>
      <c r="O471" s="769"/>
      <c r="P471" s="773"/>
      <c r="Q471" s="774"/>
      <c r="R471" s="774"/>
      <c r="S471" s="775"/>
      <c r="AH471" s="776"/>
      <c r="AI471" s="776"/>
      <c r="AJ471" s="732"/>
      <c r="AK471" s="732"/>
      <c r="AL471" s="776"/>
      <c r="AM471" s="776"/>
      <c r="AN471" s="17"/>
      <c r="AO471" s="17"/>
      <c r="AP471" s="17"/>
      <c r="AQ471" s="17"/>
      <c r="AR471" s="17"/>
      <c r="AS471" s="17"/>
      <c r="AT471" s="17"/>
      <c r="AU471" s="732"/>
      <c r="AV471" s="313"/>
      <c r="AW471" s="313"/>
      <c r="AX471" s="313"/>
      <c r="AY471" s="313"/>
      <c r="AZ471" s="313"/>
      <c r="BA471" s="313"/>
      <c r="BB471" s="313"/>
      <c r="BC471" s="313"/>
      <c r="BD471" s="313"/>
      <c r="BE471" s="314"/>
      <c r="BW471" s="314"/>
      <c r="BX471" s="314"/>
      <c r="BY471" s="314"/>
      <c r="BZ471" s="314"/>
      <c r="CA471" s="314"/>
      <c r="CB471" s="314"/>
      <c r="CC471" s="314"/>
      <c r="CD471" s="314"/>
    </row>
    <row r="472" ht="28.5" customHeight="1">
      <c r="A472" s="767"/>
      <c r="B472" s="768"/>
      <c r="C472" s="768"/>
      <c r="D472" s="769"/>
      <c r="E472" s="769"/>
      <c r="F472" s="769"/>
      <c r="G472" s="336"/>
      <c r="H472" s="771"/>
      <c r="I472" s="769"/>
      <c r="J472" s="769"/>
      <c r="K472" s="314"/>
      <c r="L472" s="314"/>
      <c r="M472" s="314"/>
      <c r="N472" s="769"/>
      <c r="O472" s="769"/>
      <c r="P472" s="773"/>
      <c r="Q472" s="774"/>
      <c r="R472" s="774"/>
      <c r="S472" s="775"/>
      <c r="AH472" s="776"/>
      <c r="AI472" s="776"/>
      <c r="AJ472" s="732"/>
      <c r="AK472" s="732"/>
      <c r="AL472" s="776"/>
      <c r="AM472" s="776"/>
      <c r="AN472" s="17"/>
      <c r="AO472" s="17"/>
      <c r="AP472" s="17"/>
      <c r="AQ472" s="17"/>
      <c r="AR472" s="17"/>
      <c r="AS472" s="17"/>
      <c r="AT472" s="17"/>
      <c r="AU472" s="732"/>
      <c r="AV472" s="313"/>
      <c r="AW472" s="313"/>
      <c r="AX472" s="313"/>
      <c r="AY472" s="313"/>
      <c r="AZ472" s="313"/>
      <c r="BA472" s="313"/>
      <c r="BB472" s="313"/>
      <c r="BC472" s="313"/>
      <c r="BD472" s="313"/>
      <c r="BE472" s="314"/>
      <c r="BW472" s="314"/>
      <c r="BX472" s="314"/>
      <c r="BY472" s="314"/>
      <c r="BZ472" s="314"/>
      <c r="CA472" s="314"/>
      <c r="CB472" s="314"/>
      <c r="CC472" s="314"/>
      <c r="CD472" s="314"/>
    </row>
    <row r="473" ht="28.5" customHeight="1">
      <c r="A473" s="767"/>
      <c r="B473" s="768"/>
      <c r="C473" s="768"/>
      <c r="D473" s="769"/>
      <c r="E473" s="769"/>
      <c r="F473" s="769"/>
      <c r="G473" s="336"/>
      <c r="H473" s="771"/>
      <c r="I473" s="769"/>
      <c r="J473" s="769"/>
      <c r="K473" s="314"/>
      <c r="L473" s="314"/>
      <c r="M473" s="314"/>
      <c r="N473" s="769"/>
      <c r="O473" s="769"/>
      <c r="P473" s="773"/>
      <c r="Q473" s="774"/>
      <c r="R473" s="774"/>
      <c r="S473" s="775"/>
      <c r="AH473" s="776"/>
      <c r="AI473" s="776"/>
      <c r="AJ473" s="732"/>
      <c r="AK473" s="732"/>
      <c r="AL473" s="776"/>
      <c r="AM473" s="776"/>
      <c r="AN473" s="17"/>
      <c r="AO473" s="17"/>
      <c r="AP473" s="17"/>
      <c r="AQ473" s="17"/>
      <c r="AR473" s="17"/>
      <c r="AS473" s="17"/>
      <c r="AT473" s="17"/>
      <c r="AU473" s="732"/>
      <c r="AV473" s="313"/>
      <c r="AW473" s="313"/>
      <c r="AX473" s="313"/>
      <c r="AY473" s="313"/>
      <c r="AZ473" s="313"/>
      <c r="BA473" s="313"/>
      <c r="BB473" s="313"/>
      <c r="BC473" s="313"/>
      <c r="BD473" s="313"/>
      <c r="BE473" s="314"/>
      <c r="BW473" s="314"/>
      <c r="BX473" s="314"/>
      <c r="BY473" s="314"/>
      <c r="BZ473" s="314"/>
      <c r="CA473" s="314"/>
      <c r="CB473" s="314"/>
      <c r="CC473" s="314"/>
      <c r="CD473" s="314"/>
    </row>
    <row r="474" ht="28.5" customHeight="1">
      <c r="A474" s="767"/>
      <c r="B474" s="768"/>
      <c r="C474" s="768"/>
      <c r="D474" s="769"/>
      <c r="E474" s="769"/>
      <c r="F474" s="769"/>
      <c r="G474" s="336"/>
      <c r="H474" s="771"/>
      <c r="I474" s="769"/>
      <c r="J474" s="769"/>
      <c r="K474" s="314"/>
      <c r="L474" s="314"/>
      <c r="M474" s="314"/>
      <c r="N474" s="769"/>
      <c r="O474" s="769"/>
      <c r="P474" s="773"/>
      <c r="Q474" s="774"/>
      <c r="R474" s="774"/>
      <c r="S474" s="775"/>
      <c r="AH474" s="776"/>
      <c r="AI474" s="776"/>
      <c r="AJ474" s="732"/>
      <c r="AK474" s="732"/>
      <c r="AL474" s="776"/>
      <c r="AM474" s="776"/>
      <c r="AN474" s="17"/>
      <c r="AO474" s="17"/>
      <c r="AP474" s="17"/>
      <c r="AQ474" s="17"/>
      <c r="AR474" s="17"/>
      <c r="AS474" s="17"/>
      <c r="AT474" s="17"/>
      <c r="AU474" s="732"/>
      <c r="AV474" s="313"/>
      <c r="AW474" s="313"/>
      <c r="AX474" s="313"/>
      <c r="AY474" s="313"/>
      <c r="AZ474" s="313"/>
      <c r="BA474" s="313"/>
      <c r="BB474" s="313"/>
      <c r="BC474" s="313"/>
      <c r="BD474" s="313"/>
      <c r="BE474" s="314"/>
      <c r="BW474" s="314"/>
      <c r="BX474" s="314"/>
      <c r="BY474" s="314"/>
      <c r="BZ474" s="314"/>
      <c r="CA474" s="314"/>
      <c r="CB474" s="314"/>
      <c r="CC474" s="314"/>
      <c r="CD474" s="314"/>
    </row>
    <row r="475" ht="28.5" customHeight="1">
      <c r="A475" s="767"/>
      <c r="B475" s="768"/>
      <c r="C475" s="768"/>
      <c r="D475" s="769"/>
      <c r="E475" s="769"/>
      <c r="F475" s="769"/>
      <c r="G475" s="336"/>
      <c r="H475" s="771"/>
      <c r="I475" s="769"/>
      <c r="J475" s="769"/>
      <c r="K475" s="314"/>
      <c r="L475" s="314"/>
      <c r="M475" s="314"/>
      <c r="N475" s="769"/>
      <c r="O475" s="769"/>
      <c r="P475" s="773"/>
      <c r="Q475" s="774"/>
      <c r="R475" s="774"/>
      <c r="S475" s="775"/>
      <c r="AH475" s="776"/>
      <c r="AI475" s="776"/>
      <c r="AJ475" s="732"/>
      <c r="AK475" s="732"/>
      <c r="AL475" s="776"/>
      <c r="AM475" s="776"/>
      <c r="AN475" s="17"/>
      <c r="AO475" s="17"/>
      <c r="AP475" s="17"/>
      <c r="AQ475" s="17"/>
      <c r="AR475" s="17"/>
      <c r="AS475" s="17"/>
      <c r="AT475" s="17"/>
      <c r="AU475" s="732"/>
      <c r="AV475" s="313"/>
      <c r="AW475" s="313"/>
      <c r="AX475" s="313"/>
      <c r="AY475" s="313"/>
      <c r="AZ475" s="313"/>
      <c r="BA475" s="313"/>
      <c r="BB475" s="313"/>
      <c r="BC475" s="313"/>
      <c r="BD475" s="313"/>
      <c r="BE475" s="314"/>
      <c r="BW475" s="314"/>
      <c r="BX475" s="314"/>
      <c r="BY475" s="314"/>
      <c r="BZ475" s="314"/>
      <c r="CA475" s="314"/>
      <c r="CB475" s="314"/>
      <c r="CC475" s="314"/>
      <c r="CD475" s="314"/>
    </row>
    <row r="476" ht="28.5" customHeight="1">
      <c r="A476" s="767"/>
      <c r="B476" s="768"/>
      <c r="C476" s="768"/>
      <c r="D476" s="769"/>
      <c r="E476" s="769"/>
      <c r="F476" s="769"/>
      <c r="G476" s="336"/>
      <c r="H476" s="771"/>
      <c r="I476" s="769"/>
      <c r="J476" s="769"/>
      <c r="K476" s="314"/>
      <c r="L476" s="314"/>
      <c r="M476" s="314"/>
      <c r="N476" s="769"/>
      <c r="O476" s="769"/>
      <c r="P476" s="773"/>
      <c r="Q476" s="774"/>
      <c r="R476" s="774"/>
      <c r="S476" s="775"/>
      <c r="AH476" s="776"/>
      <c r="AI476" s="776"/>
      <c r="AJ476" s="732"/>
      <c r="AK476" s="732"/>
      <c r="AL476" s="776"/>
      <c r="AM476" s="776"/>
      <c r="AN476" s="17"/>
      <c r="AO476" s="17"/>
      <c r="AP476" s="17"/>
      <c r="AQ476" s="17"/>
      <c r="AR476" s="17"/>
      <c r="AS476" s="17"/>
      <c r="AT476" s="17"/>
      <c r="AU476" s="732"/>
      <c r="AV476" s="313"/>
      <c r="AW476" s="313"/>
      <c r="AX476" s="313"/>
      <c r="AY476" s="313"/>
      <c r="AZ476" s="313"/>
      <c r="BA476" s="313"/>
      <c r="BB476" s="313"/>
      <c r="BC476" s="313"/>
      <c r="BD476" s="313"/>
      <c r="BE476" s="314"/>
      <c r="BW476" s="314"/>
      <c r="BX476" s="314"/>
      <c r="BY476" s="314"/>
      <c r="BZ476" s="314"/>
      <c r="CA476" s="314"/>
      <c r="CB476" s="314"/>
      <c r="CC476" s="314"/>
      <c r="CD476" s="314"/>
    </row>
    <row r="477" ht="28.5" customHeight="1">
      <c r="A477" s="767"/>
      <c r="B477" s="768"/>
      <c r="C477" s="768"/>
      <c r="D477" s="769"/>
      <c r="E477" s="769"/>
      <c r="F477" s="769"/>
      <c r="G477" s="336"/>
      <c r="H477" s="771"/>
      <c r="I477" s="769"/>
      <c r="J477" s="769"/>
      <c r="K477" s="314"/>
      <c r="L477" s="314"/>
      <c r="M477" s="314"/>
      <c r="N477" s="769"/>
      <c r="O477" s="769"/>
      <c r="P477" s="773"/>
      <c r="Q477" s="774"/>
      <c r="R477" s="774"/>
      <c r="S477" s="775"/>
      <c r="AH477" s="776"/>
      <c r="AI477" s="776"/>
      <c r="AJ477" s="732"/>
      <c r="AK477" s="732"/>
      <c r="AL477" s="776"/>
      <c r="AM477" s="776"/>
      <c r="AN477" s="17"/>
      <c r="AO477" s="17"/>
      <c r="AP477" s="17"/>
      <c r="AQ477" s="17"/>
      <c r="AR477" s="17"/>
      <c r="AS477" s="17"/>
      <c r="AT477" s="17"/>
      <c r="AU477" s="732"/>
      <c r="AV477" s="313"/>
      <c r="AW477" s="313"/>
      <c r="AX477" s="313"/>
      <c r="AY477" s="313"/>
      <c r="AZ477" s="313"/>
      <c r="BA477" s="313"/>
      <c r="BB477" s="313"/>
      <c r="BC477" s="313"/>
      <c r="BD477" s="313"/>
      <c r="BE477" s="314"/>
      <c r="BW477" s="314"/>
      <c r="BX477" s="314"/>
      <c r="BY477" s="314"/>
      <c r="BZ477" s="314"/>
      <c r="CA477" s="314"/>
      <c r="CB477" s="314"/>
      <c r="CC477" s="314"/>
      <c r="CD477" s="314"/>
    </row>
    <row r="478" ht="28.5" customHeight="1">
      <c r="A478" s="767"/>
      <c r="B478" s="768"/>
      <c r="C478" s="768"/>
      <c r="D478" s="769"/>
      <c r="E478" s="769"/>
      <c r="F478" s="769"/>
      <c r="G478" s="336"/>
      <c r="H478" s="771"/>
      <c r="I478" s="769"/>
      <c r="J478" s="769"/>
      <c r="K478" s="314"/>
      <c r="L478" s="314"/>
      <c r="M478" s="314"/>
      <c r="N478" s="769"/>
      <c r="O478" s="769"/>
      <c r="P478" s="773"/>
      <c r="Q478" s="774"/>
      <c r="R478" s="774"/>
      <c r="S478" s="775"/>
      <c r="AH478" s="776"/>
      <c r="AI478" s="776"/>
      <c r="AJ478" s="732"/>
      <c r="AK478" s="732"/>
      <c r="AL478" s="776"/>
      <c r="AM478" s="776"/>
      <c r="AN478" s="17"/>
      <c r="AO478" s="17"/>
      <c r="AP478" s="17"/>
      <c r="AQ478" s="17"/>
      <c r="AR478" s="17"/>
      <c r="AS478" s="17"/>
      <c r="AT478" s="17"/>
      <c r="AU478" s="732"/>
      <c r="AV478" s="313"/>
      <c r="AW478" s="313"/>
      <c r="AX478" s="313"/>
      <c r="AY478" s="313"/>
      <c r="AZ478" s="313"/>
      <c r="BA478" s="313"/>
      <c r="BB478" s="313"/>
      <c r="BC478" s="313"/>
      <c r="BD478" s="313"/>
      <c r="BE478" s="314"/>
      <c r="BW478" s="314"/>
      <c r="BX478" s="314"/>
      <c r="BY478" s="314"/>
      <c r="BZ478" s="314"/>
      <c r="CA478" s="314"/>
      <c r="CB478" s="314"/>
      <c r="CC478" s="314"/>
      <c r="CD478" s="314"/>
    </row>
    <row r="479" ht="28.5" customHeight="1">
      <c r="A479" s="767"/>
      <c r="B479" s="768"/>
      <c r="C479" s="768"/>
      <c r="D479" s="769"/>
      <c r="E479" s="769"/>
      <c r="F479" s="769"/>
      <c r="G479" s="336"/>
      <c r="H479" s="771"/>
      <c r="I479" s="769"/>
      <c r="J479" s="769"/>
      <c r="K479" s="314"/>
      <c r="L479" s="314"/>
      <c r="M479" s="314"/>
      <c r="N479" s="769"/>
      <c r="O479" s="769"/>
      <c r="P479" s="773"/>
      <c r="Q479" s="774"/>
      <c r="R479" s="774"/>
      <c r="S479" s="775"/>
      <c r="AH479" s="776"/>
      <c r="AI479" s="776"/>
      <c r="AJ479" s="732"/>
      <c r="AK479" s="732"/>
      <c r="AL479" s="776"/>
      <c r="AM479" s="776"/>
      <c r="AN479" s="17"/>
      <c r="AO479" s="17"/>
      <c r="AP479" s="17"/>
      <c r="AQ479" s="17"/>
      <c r="AR479" s="17"/>
      <c r="AS479" s="17"/>
      <c r="AT479" s="17"/>
      <c r="AU479" s="732"/>
      <c r="AV479" s="313"/>
      <c r="AW479" s="313"/>
      <c r="AX479" s="313"/>
      <c r="AY479" s="313"/>
      <c r="AZ479" s="313"/>
      <c r="BA479" s="313"/>
      <c r="BB479" s="313"/>
      <c r="BC479" s="313"/>
      <c r="BD479" s="313"/>
      <c r="BE479" s="314"/>
      <c r="BW479" s="314"/>
      <c r="BX479" s="314"/>
      <c r="BY479" s="314"/>
      <c r="BZ479" s="314"/>
      <c r="CA479" s="314"/>
      <c r="CB479" s="314"/>
      <c r="CC479" s="314"/>
      <c r="CD479" s="314"/>
    </row>
    <row r="480" ht="28.5" customHeight="1">
      <c r="A480" s="767"/>
      <c r="B480" s="768"/>
      <c r="C480" s="768"/>
      <c r="D480" s="769"/>
      <c r="E480" s="769"/>
      <c r="F480" s="769"/>
      <c r="G480" s="336"/>
      <c r="H480" s="771"/>
      <c r="I480" s="769"/>
      <c r="J480" s="769"/>
      <c r="K480" s="314"/>
      <c r="L480" s="314"/>
      <c r="M480" s="314"/>
      <c r="N480" s="769"/>
      <c r="O480" s="769"/>
      <c r="P480" s="773"/>
      <c r="Q480" s="774"/>
      <c r="R480" s="774"/>
      <c r="S480" s="775"/>
      <c r="AH480" s="776"/>
      <c r="AI480" s="776"/>
      <c r="AJ480" s="732"/>
      <c r="AK480" s="732"/>
      <c r="AL480" s="776"/>
      <c r="AM480" s="776"/>
      <c r="AN480" s="17"/>
      <c r="AO480" s="17"/>
      <c r="AP480" s="17"/>
      <c r="AQ480" s="17"/>
      <c r="AR480" s="17"/>
      <c r="AS480" s="17"/>
      <c r="AT480" s="17"/>
      <c r="AU480" s="732"/>
      <c r="AV480" s="313"/>
      <c r="AW480" s="313"/>
      <c r="AX480" s="313"/>
      <c r="AY480" s="313"/>
      <c r="AZ480" s="313"/>
      <c r="BA480" s="313"/>
      <c r="BB480" s="313"/>
      <c r="BC480" s="313"/>
      <c r="BD480" s="313"/>
      <c r="BE480" s="314"/>
      <c r="BW480" s="314"/>
      <c r="BX480" s="314"/>
      <c r="BY480" s="314"/>
      <c r="BZ480" s="314"/>
      <c r="CA480" s="314"/>
      <c r="CB480" s="314"/>
      <c r="CC480" s="314"/>
      <c r="CD480" s="314"/>
    </row>
    <row r="481" ht="28.5" customHeight="1">
      <c r="A481" s="767"/>
      <c r="B481" s="768"/>
      <c r="C481" s="768"/>
      <c r="D481" s="769"/>
      <c r="E481" s="769"/>
      <c r="F481" s="769"/>
      <c r="G481" s="336"/>
      <c r="H481" s="771"/>
      <c r="I481" s="769"/>
      <c r="J481" s="769"/>
      <c r="K481" s="314"/>
      <c r="L481" s="314"/>
      <c r="M481" s="314"/>
      <c r="N481" s="769"/>
      <c r="O481" s="769"/>
      <c r="P481" s="773"/>
      <c r="Q481" s="774"/>
      <c r="R481" s="774"/>
      <c r="S481" s="775"/>
      <c r="AH481" s="776"/>
      <c r="AI481" s="776"/>
      <c r="AJ481" s="732"/>
      <c r="AK481" s="732"/>
      <c r="AL481" s="776"/>
      <c r="AM481" s="776"/>
      <c r="AN481" s="17"/>
      <c r="AO481" s="17"/>
      <c r="AP481" s="17"/>
      <c r="AQ481" s="17"/>
      <c r="AR481" s="17"/>
      <c r="AS481" s="17"/>
      <c r="AT481" s="17"/>
      <c r="AU481" s="732"/>
      <c r="AV481" s="313"/>
      <c r="AW481" s="313"/>
      <c r="AX481" s="313"/>
      <c r="AY481" s="313"/>
      <c r="AZ481" s="313"/>
      <c r="BA481" s="313"/>
      <c r="BB481" s="313"/>
      <c r="BC481" s="313"/>
      <c r="BD481" s="313"/>
      <c r="BE481" s="314"/>
      <c r="BW481" s="314"/>
      <c r="BX481" s="314"/>
      <c r="BY481" s="314"/>
      <c r="BZ481" s="314"/>
      <c r="CA481" s="314"/>
      <c r="CB481" s="314"/>
      <c r="CC481" s="314"/>
      <c r="CD481" s="314"/>
    </row>
    <row r="482" ht="28.5" customHeight="1">
      <c r="A482" s="767"/>
      <c r="B482" s="768"/>
      <c r="C482" s="768"/>
      <c r="D482" s="769"/>
      <c r="E482" s="769"/>
      <c r="F482" s="769"/>
      <c r="G482" s="336"/>
      <c r="H482" s="771"/>
      <c r="I482" s="769"/>
      <c r="J482" s="769"/>
      <c r="K482" s="314"/>
      <c r="L482" s="314"/>
      <c r="M482" s="314"/>
      <c r="N482" s="769"/>
      <c r="O482" s="769"/>
      <c r="P482" s="773"/>
      <c r="Q482" s="774"/>
      <c r="R482" s="774"/>
      <c r="S482" s="775"/>
      <c r="AH482" s="776"/>
      <c r="AI482" s="776"/>
      <c r="AJ482" s="732"/>
      <c r="AK482" s="732"/>
      <c r="AL482" s="776"/>
      <c r="AM482" s="776"/>
      <c r="AN482" s="17"/>
      <c r="AO482" s="17"/>
      <c r="AP482" s="17"/>
      <c r="AQ482" s="17"/>
      <c r="AR482" s="17"/>
      <c r="AS482" s="17"/>
      <c r="AT482" s="17"/>
      <c r="AU482" s="732"/>
      <c r="AV482" s="313"/>
      <c r="AW482" s="313"/>
      <c r="AX482" s="313"/>
      <c r="AY482" s="313"/>
      <c r="AZ482" s="313"/>
      <c r="BA482" s="313"/>
      <c r="BB482" s="313"/>
      <c r="BC482" s="313"/>
      <c r="BD482" s="313"/>
      <c r="BE482" s="314"/>
      <c r="BW482" s="314"/>
      <c r="BX482" s="314"/>
      <c r="BY482" s="314"/>
      <c r="BZ482" s="314"/>
      <c r="CA482" s="314"/>
      <c r="CB482" s="314"/>
      <c r="CC482" s="314"/>
      <c r="CD482" s="314"/>
    </row>
    <row r="483" ht="28.5" customHeight="1">
      <c r="A483" s="767"/>
      <c r="B483" s="768"/>
      <c r="C483" s="768"/>
      <c r="D483" s="769"/>
      <c r="E483" s="769"/>
      <c r="F483" s="769"/>
      <c r="G483" s="336"/>
      <c r="H483" s="771"/>
      <c r="I483" s="769"/>
      <c r="J483" s="769"/>
      <c r="K483" s="314"/>
      <c r="L483" s="314"/>
      <c r="M483" s="314"/>
      <c r="N483" s="769"/>
      <c r="O483" s="769"/>
      <c r="P483" s="773"/>
      <c r="Q483" s="774"/>
      <c r="R483" s="774"/>
      <c r="S483" s="775"/>
      <c r="AH483" s="776"/>
      <c r="AI483" s="776"/>
      <c r="AJ483" s="732"/>
      <c r="AK483" s="732"/>
      <c r="AL483" s="776"/>
      <c r="AM483" s="776"/>
      <c r="AN483" s="17"/>
      <c r="AO483" s="17"/>
      <c r="AP483" s="17"/>
      <c r="AQ483" s="17"/>
      <c r="AR483" s="17"/>
      <c r="AS483" s="17"/>
      <c r="AT483" s="17"/>
      <c r="AU483" s="732"/>
      <c r="AV483" s="313"/>
      <c r="AW483" s="313"/>
      <c r="AX483" s="313"/>
      <c r="AY483" s="313"/>
      <c r="AZ483" s="313"/>
      <c r="BA483" s="313"/>
      <c r="BB483" s="313"/>
      <c r="BC483" s="313"/>
      <c r="BD483" s="313"/>
      <c r="BE483" s="314"/>
      <c r="BW483" s="314"/>
      <c r="BX483" s="314"/>
      <c r="BY483" s="314"/>
      <c r="BZ483" s="314"/>
      <c r="CA483" s="314"/>
      <c r="CB483" s="314"/>
      <c r="CC483" s="314"/>
      <c r="CD483" s="314"/>
    </row>
    <row r="484" ht="28.5" customHeight="1">
      <c r="A484" s="767"/>
      <c r="B484" s="768"/>
      <c r="C484" s="768"/>
      <c r="D484" s="769"/>
      <c r="E484" s="769"/>
      <c r="F484" s="769"/>
      <c r="G484" s="336"/>
      <c r="H484" s="771"/>
      <c r="I484" s="769"/>
      <c r="J484" s="769"/>
      <c r="K484" s="314"/>
      <c r="L484" s="314"/>
      <c r="M484" s="314"/>
      <c r="N484" s="769"/>
      <c r="O484" s="769"/>
      <c r="P484" s="773"/>
      <c r="Q484" s="774"/>
      <c r="R484" s="774"/>
      <c r="S484" s="775"/>
      <c r="AH484" s="776"/>
      <c r="AI484" s="776"/>
      <c r="AJ484" s="732"/>
      <c r="AK484" s="732"/>
      <c r="AL484" s="776"/>
      <c r="AM484" s="776"/>
      <c r="AN484" s="17"/>
      <c r="AO484" s="17"/>
      <c r="AP484" s="17"/>
      <c r="AQ484" s="17"/>
      <c r="AR484" s="17"/>
      <c r="AS484" s="17"/>
      <c r="AT484" s="17"/>
      <c r="AU484" s="732"/>
      <c r="AV484" s="313"/>
      <c r="AW484" s="313"/>
      <c r="AX484" s="313"/>
      <c r="AY484" s="313"/>
      <c r="AZ484" s="313"/>
      <c r="BA484" s="313"/>
      <c r="BB484" s="313"/>
      <c r="BC484" s="313"/>
      <c r="BD484" s="313"/>
      <c r="BE484" s="314"/>
      <c r="BW484" s="314"/>
      <c r="BX484" s="314"/>
      <c r="BY484" s="314"/>
      <c r="BZ484" s="314"/>
      <c r="CA484" s="314"/>
      <c r="CB484" s="314"/>
      <c r="CC484" s="314"/>
      <c r="CD484" s="314"/>
    </row>
    <row r="485" ht="28.5" customHeight="1">
      <c r="A485" s="767"/>
      <c r="B485" s="768"/>
      <c r="C485" s="768"/>
      <c r="D485" s="769"/>
      <c r="E485" s="769"/>
      <c r="F485" s="769"/>
      <c r="G485" s="336"/>
      <c r="H485" s="771"/>
      <c r="I485" s="769"/>
      <c r="J485" s="769"/>
      <c r="K485" s="314"/>
      <c r="L485" s="314"/>
      <c r="M485" s="314"/>
      <c r="N485" s="769"/>
      <c r="O485" s="769"/>
      <c r="P485" s="773"/>
      <c r="Q485" s="774"/>
      <c r="R485" s="774"/>
      <c r="S485" s="775"/>
      <c r="AH485" s="776"/>
      <c r="AI485" s="776"/>
      <c r="AJ485" s="732"/>
      <c r="AK485" s="732"/>
      <c r="AL485" s="776"/>
      <c r="AM485" s="776"/>
      <c r="AN485" s="17"/>
      <c r="AO485" s="17"/>
      <c r="AP485" s="17"/>
      <c r="AQ485" s="17"/>
      <c r="AR485" s="17"/>
      <c r="AS485" s="17"/>
      <c r="AT485" s="17"/>
      <c r="AU485" s="732"/>
      <c r="AV485" s="313"/>
      <c r="AW485" s="313"/>
      <c r="AX485" s="313"/>
      <c r="AY485" s="313"/>
      <c r="AZ485" s="313"/>
      <c r="BA485" s="313"/>
      <c r="BB485" s="313"/>
      <c r="BC485" s="313"/>
      <c r="BD485" s="313"/>
      <c r="BE485" s="314"/>
      <c r="BW485" s="314"/>
      <c r="BX485" s="314"/>
      <c r="BY485" s="314"/>
      <c r="BZ485" s="314"/>
      <c r="CA485" s="314"/>
      <c r="CB485" s="314"/>
      <c r="CC485" s="314"/>
      <c r="CD485" s="314"/>
    </row>
    <row r="486" ht="28.5" customHeight="1">
      <c r="A486" s="767"/>
      <c r="B486" s="768"/>
      <c r="C486" s="768"/>
      <c r="D486" s="769"/>
      <c r="E486" s="769"/>
      <c r="F486" s="769"/>
      <c r="G486" s="336"/>
      <c r="H486" s="771"/>
      <c r="I486" s="769"/>
      <c r="J486" s="769"/>
      <c r="K486" s="314"/>
      <c r="L486" s="314"/>
      <c r="M486" s="314"/>
      <c r="N486" s="769"/>
      <c r="O486" s="769"/>
      <c r="P486" s="773"/>
      <c r="Q486" s="774"/>
      <c r="R486" s="774"/>
      <c r="S486" s="775"/>
      <c r="AH486" s="776"/>
      <c r="AI486" s="776"/>
      <c r="AJ486" s="732"/>
      <c r="AK486" s="732"/>
      <c r="AL486" s="776"/>
      <c r="AM486" s="776"/>
      <c r="AN486" s="17"/>
      <c r="AO486" s="17"/>
      <c r="AP486" s="17"/>
      <c r="AQ486" s="17"/>
      <c r="AR486" s="17"/>
      <c r="AS486" s="17"/>
      <c r="AT486" s="17"/>
      <c r="AU486" s="732"/>
      <c r="AV486" s="313"/>
      <c r="AW486" s="313"/>
      <c r="AX486" s="313"/>
      <c r="AY486" s="313"/>
      <c r="AZ486" s="313"/>
      <c r="BA486" s="313"/>
      <c r="BB486" s="313"/>
      <c r="BC486" s="313"/>
      <c r="BD486" s="313"/>
      <c r="BE486" s="314"/>
      <c r="BW486" s="314"/>
      <c r="BX486" s="314"/>
      <c r="BY486" s="314"/>
      <c r="BZ486" s="314"/>
      <c r="CA486" s="314"/>
      <c r="CB486" s="314"/>
      <c r="CC486" s="314"/>
      <c r="CD486" s="314"/>
    </row>
    <row r="487" ht="28.5" customHeight="1">
      <c r="A487" s="767"/>
      <c r="B487" s="768"/>
      <c r="C487" s="768"/>
      <c r="D487" s="769"/>
      <c r="E487" s="769"/>
      <c r="F487" s="769"/>
      <c r="G487" s="336"/>
      <c r="H487" s="771"/>
      <c r="I487" s="769"/>
      <c r="J487" s="769"/>
      <c r="K487" s="314"/>
      <c r="L487" s="314"/>
      <c r="M487" s="314"/>
      <c r="N487" s="769"/>
      <c r="O487" s="769"/>
      <c r="P487" s="773"/>
      <c r="Q487" s="774"/>
      <c r="R487" s="774"/>
      <c r="S487" s="775"/>
      <c r="AH487" s="776"/>
      <c r="AI487" s="776"/>
      <c r="AJ487" s="732"/>
      <c r="AK487" s="732"/>
      <c r="AL487" s="776"/>
      <c r="AM487" s="776"/>
      <c r="AN487" s="17"/>
      <c r="AO487" s="17"/>
      <c r="AP487" s="17"/>
      <c r="AQ487" s="17"/>
      <c r="AR487" s="17"/>
      <c r="AS487" s="17"/>
      <c r="AT487" s="17"/>
      <c r="AU487" s="732"/>
      <c r="AV487" s="313"/>
      <c r="AW487" s="313"/>
      <c r="AX487" s="313"/>
      <c r="AY487" s="313"/>
      <c r="AZ487" s="313"/>
      <c r="BA487" s="313"/>
      <c r="BB487" s="313"/>
      <c r="BC487" s="313"/>
      <c r="BD487" s="313"/>
      <c r="BE487" s="314"/>
      <c r="BW487" s="314"/>
      <c r="BX487" s="314"/>
      <c r="BY487" s="314"/>
      <c r="BZ487" s="314"/>
      <c r="CA487" s="314"/>
      <c r="CB487" s="314"/>
      <c r="CC487" s="314"/>
      <c r="CD487" s="314"/>
    </row>
    <row r="488" ht="28.5" customHeight="1">
      <c r="A488" s="767"/>
      <c r="B488" s="768"/>
      <c r="C488" s="768"/>
      <c r="D488" s="769"/>
      <c r="E488" s="769"/>
      <c r="F488" s="769"/>
      <c r="G488" s="336"/>
      <c r="H488" s="771"/>
      <c r="I488" s="769"/>
      <c r="J488" s="769"/>
      <c r="K488" s="314"/>
      <c r="L488" s="314"/>
      <c r="M488" s="314"/>
      <c r="N488" s="769"/>
      <c r="O488" s="769"/>
      <c r="P488" s="773"/>
      <c r="Q488" s="774"/>
      <c r="R488" s="774"/>
      <c r="S488" s="775"/>
      <c r="AH488" s="776"/>
      <c r="AI488" s="776"/>
      <c r="AJ488" s="732"/>
      <c r="AK488" s="732"/>
      <c r="AL488" s="776"/>
      <c r="AM488" s="776"/>
      <c r="AN488" s="17"/>
      <c r="AO488" s="17"/>
      <c r="AP488" s="17"/>
      <c r="AQ488" s="17"/>
      <c r="AR488" s="17"/>
      <c r="AS488" s="17"/>
      <c r="AT488" s="17"/>
      <c r="AU488" s="732"/>
      <c r="AV488" s="313"/>
      <c r="AW488" s="313"/>
      <c r="AX488" s="313"/>
      <c r="AY488" s="313"/>
      <c r="AZ488" s="313"/>
      <c r="BA488" s="313"/>
      <c r="BB488" s="313"/>
      <c r="BC488" s="313"/>
      <c r="BD488" s="313"/>
      <c r="BE488" s="314"/>
      <c r="BW488" s="314"/>
      <c r="BX488" s="314"/>
      <c r="BY488" s="314"/>
      <c r="BZ488" s="314"/>
      <c r="CA488" s="314"/>
      <c r="CB488" s="314"/>
      <c r="CC488" s="314"/>
      <c r="CD488" s="314"/>
    </row>
    <row r="489" ht="28.5" customHeight="1">
      <c r="A489" s="767"/>
      <c r="B489" s="768"/>
      <c r="C489" s="768"/>
      <c r="D489" s="769"/>
      <c r="E489" s="769"/>
      <c r="F489" s="769"/>
      <c r="G489" s="336"/>
      <c r="H489" s="771"/>
      <c r="I489" s="769"/>
      <c r="J489" s="769"/>
      <c r="K489" s="314"/>
      <c r="L489" s="314"/>
      <c r="M489" s="314"/>
      <c r="N489" s="769"/>
      <c r="O489" s="769"/>
      <c r="P489" s="773"/>
      <c r="Q489" s="774"/>
      <c r="R489" s="774"/>
      <c r="S489" s="775"/>
      <c r="AH489" s="776"/>
      <c r="AI489" s="776"/>
      <c r="AJ489" s="732"/>
      <c r="AK489" s="732"/>
      <c r="AL489" s="776"/>
      <c r="AM489" s="776"/>
      <c r="AN489" s="17"/>
      <c r="AO489" s="17"/>
      <c r="AP489" s="17"/>
      <c r="AQ489" s="17"/>
      <c r="AR489" s="17"/>
      <c r="AS489" s="17"/>
      <c r="AT489" s="17"/>
      <c r="AU489" s="732"/>
      <c r="AV489" s="313"/>
      <c r="AW489" s="313"/>
      <c r="AX489" s="313"/>
      <c r="AY489" s="313"/>
      <c r="AZ489" s="313"/>
      <c r="BA489" s="313"/>
      <c r="BB489" s="313"/>
      <c r="BC489" s="313"/>
      <c r="BD489" s="313"/>
      <c r="BE489" s="314"/>
      <c r="BW489" s="314"/>
      <c r="BX489" s="314"/>
      <c r="BY489" s="314"/>
      <c r="BZ489" s="314"/>
      <c r="CA489" s="314"/>
      <c r="CB489" s="314"/>
      <c r="CC489" s="314"/>
      <c r="CD489" s="314"/>
    </row>
    <row r="490" ht="28.5" customHeight="1">
      <c r="A490" s="767"/>
      <c r="B490" s="768"/>
      <c r="C490" s="768"/>
      <c r="D490" s="769"/>
      <c r="E490" s="769"/>
      <c r="F490" s="769"/>
      <c r="G490" s="336"/>
      <c r="H490" s="771"/>
      <c r="I490" s="769"/>
      <c r="J490" s="769"/>
      <c r="K490" s="314"/>
      <c r="L490" s="314"/>
      <c r="M490" s="314"/>
      <c r="N490" s="769"/>
      <c r="O490" s="769"/>
      <c r="P490" s="773"/>
      <c r="Q490" s="774"/>
      <c r="R490" s="774"/>
      <c r="S490" s="775"/>
      <c r="AH490" s="776"/>
      <c r="AI490" s="776"/>
      <c r="AJ490" s="732"/>
      <c r="AK490" s="732"/>
      <c r="AL490" s="776"/>
      <c r="AM490" s="776"/>
      <c r="AN490" s="17"/>
      <c r="AO490" s="17"/>
      <c r="AP490" s="17"/>
      <c r="AQ490" s="17"/>
      <c r="AR490" s="17"/>
      <c r="AS490" s="17"/>
      <c r="AT490" s="17"/>
      <c r="AU490" s="732"/>
      <c r="AV490" s="313"/>
      <c r="AW490" s="313"/>
      <c r="AX490" s="313"/>
      <c r="AY490" s="313"/>
      <c r="AZ490" s="313"/>
      <c r="BA490" s="313"/>
      <c r="BB490" s="313"/>
      <c r="BC490" s="313"/>
      <c r="BD490" s="313"/>
      <c r="BE490" s="314"/>
      <c r="BW490" s="314"/>
      <c r="BX490" s="314"/>
      <c r="BY490" s="314"/>
      <c r="BZ490" s="314"/>
      <c r="CA490" s="314"/>
      <c r="CB490" s="314"/>
      <c r="CC490" s="314"/>
      <c r="CD490" s="314"/>
    </row>
    <row r="491" ht="28.5" customHeight="1">
      <c r="A491" s="767"/>
      <c r="B491" s="768"/>
      <c r="C491" s="768"/>
      <c r="D491" s="769"/>
      <c r="E491" s="769"/>
      <c r="F491" s="769"/>
      <c r="G491" s="336"/>
      <c r="H491" s="771"/>
      <c r="I491" s="769"/>
      <c r="J491" s="769"/>
      <c r="K491" s="314"/>
      <c r="L491" s="314"/>
      <c r="M491" s="314"/>
      <c r="N491" s="769"/>
      <c r="O491" s="769"/>
      <c r="P491" s="773"/>
      <c r="Q491" s="774"/>
      <c r="R491" s="774"/>
      <c r="S491" s="775"/>
      <c r="AH491" s="776"/>
      <c r="AI491" s="776"/>
      <c r="AJ491" s="732"/>
      <c r="AK491" s="732"/>
      <c r="AL491" s="776"/>
      <c r="AM491" s="776"/>
      <c r="AN491" s="17"/>
      <c r="AO491" s="17"/>
      <c r="AP491" s="17"/>
      <c r="AQ491" s="17"/>
      <c r="AR491" s="17"/>
      <c r="AS491" s="17"/>
      <c r="AT491" s="17"/>
      <c r="AU491" s="732"/>
      <c r="AV491" s="313"/>
      <c r="AW491" s="313"/>
      <c r="AX491" s="313"/>
      <c r="AY491" s="313"/>
      <c r="AZ491" s="313"/>
      <c r="BA491" s="313"/>
      <c r="BB491" s="313"/>
      <c r="BC491" s="313"/>
      <c r="BD491" s="313"/>
      <c r="BE491" s="314"/>
      <c r="BW491" s="314"/>
      <c r="BX491" s="314"/>
      <c r="BY491" s="314"/>
      <c r="BZ491" s="314"/>
      <c r="CA491" s="314"/>
      <c r="CB491" s="314"/>
      <c r="CC491" s="314"/>
      <c r="CD491" s="314"/>
    </row>
    <row r="492" ht="28.5" customHeight="1">
      <c r="A492" s="767"/>
      <c r="B492" s="768"/>
      <c r="C492" s="768"/>
      <c r="D492" s="769"/>
      <c r="E492" s="769"/>
      <c r="F492" s="769"/>
      <c r="G492" s="336"/>
      <c r="H492" s="771"/>
      <c r="I492" s="769"/>
      <c r="J492" s="769"/>
      <c r="K492" s="314"/>
      <c r="L492" s="314"/>
      <c r="M492" s="314"/>
      <c r="N492" s="769"/>
      <c r="O492" s="769"/>
      <c r="P492" s="773"/>
      <c r="Q492" s="774"/>
      <c r="R492" s="774"/>
      <c r="S492" s="775"/>
      <c r="AH492" s="776"/>
      <c r="AI492" s="776"/>
      <c r="AJ492" s="732"/>
      <c r="AK492" s="732"/>
      <c r="AL492" s="776"/>
      <c r="AM492" s="776"/>
      <c r="AN492" s="17"/>
      <c r="AO492" s="17"/>
      <c r="AP492" s="17"/>
      <c r="AQ492" s="17"/>
      <c r="AR492" s="17"/>
      <c r="AS492" s="17"/>
      <c r="AT492" s="17"/>
      <c r="AU492" s="732"/>
      <c r="AV492" s="313"/>
      <c r="AW492" s="313"/>
      <c r="AX492" s="313"/>
      <c r="AY492" s="313"/>
      <c r="AZ492" s="313"/>
      <c r="BA492" s="313"/>
      <c r="BB492" s="313"/>
      <c r="BC492" s="313"/>
      <c r="BD492" s="313"/>
      <c r="BE492" s="314"/>
      <c r="BW492" s="314"/>
      <c r="BX492" s="314"/>
      <c r="BY492" s="314"/>
      <c r="BZ492" s="314"/>
      <c r="CA492" s="314"/>
      <c r="CB492" s="314"/>
      <c r="CC492" s="314"/>
      <c r="CD492" s="314"/>
    </row>
    <row r="493" ht="28.5" customHeight="1">
      <c r="A493" s="767"/>
      <c r="B493" s="768"/>
      <c r="C493" s="768"/>
      <c r="D493" s="769"/>
      <c r="E493" s="769"/>
      <c r="F493" s="769"/>
      <c r="G493" s="336"/>
      <c r="H493" s="771"/>
      <c r="I493" s="769"/>
      <c r="J493" s="769"/>
      <c r="K493" s="314"/>
      <c r="L493" s="314"/>
      <c r="M493" s="314"/>
      <c r="N493" s="769"/>
      <c r="O493" s="769"/>
      <c r="P493" s="773"/>
      <c r="Q493" s="774"/>
      <c r="R493" s="774"/>
      <c r="S493" s="775"/>
      <c r="AH493" s="776"/>
      <c r="AI493" s="776"/>
      <c r="AJ493" s="732"/>
      <c r="AK493" s="732"/>
      <c r="AL493" s="776"/>
      <c r="AM493" s="776"/>
      <c r="AN493" s="17"/>
      <c r="AO493" s="17"/>
      <c r="AP493" s="17"/>
      <c r="AQ493" s="17"/>
      <c r="AR493" s="17"/>
      <c r="AS493" s="17"/>
      <c r="AT493" s="17"/>
      <c r="AU493" s="732"/>
      <c r="AV493" s="313"/>
      <c r="AW493" s="313"/>
      <c r="AX493" s="313"/>
      <c r="AY493" s="313"/>
      <c r="AZ493" s="313"/>
      <c r="BA493" s="313"/>
      <c r="BB493" s="313"/>
      <c r="BC493" s="313"/>
      <c r="BD493" s="313"/>
      <c r="BE493" s="314"/>
      <c r="BW493" s="314"/>
      <c r="BX493" s="314"/>
      <c r="BY493" s="314"/>
      <c r="BZ493" s="314"/>
      <c r="CA493" s="314"/>
      <c r="CB493" s="314"/>
      <c r="CC493" s="314"/>
      <c r="CD493" s="314"/>
    </row>
    <row r="494" ht="28.5" customHeight="1">
      <c r="A494" s="767"/>
      <c r="B494" s="768"/>
      <c r="C494" s="768"/>
      <c r="D494" s="769"/>
      <c r="E494" s="769"/>
      <c r="F494" s="769"/>
      <c r="G494" s="336"/>
      <c r="H494" s="771"/>
      <c r="I494" s="769"/>
      <c r="J494" s="769"/>
      <c r="K494" s="314"/>
      <c r="L494" s="314"/>
      <c r="M494" s="314"/>
      <c r="N494" s="769"/>
      <c r="O494" s="769"/>
      <c r="P494" s="773"/>
      <c r="Q494" s="774"/>
      <c r="R494" s="774"/>
      <c r="S494" s="775"/>
      <c r="AH494" s="776"/>
      <c r="AI494" s="776"/>
      <c r="AJ494" s="732"/>
      <c r="AK494" s="732"/>
      <c r="AL494" s="776"/>
      <c r="AM494" s="776"/>
      <c r="AN494" s="17"/>
      <c r="AO494" s="17"/>
      <c r="AP494" s="17"/>
      <c r="AQ494" s="17"/>
      <c r="AR494" s="17"/>
      <c r="AS494" s="17"/>
      <c r="AT494" s="17"/>
      <c r="AU494" s="732"/>
      <c r="AV494" s="313"/>
      <c r="AW494" s="313"/>
      <c r="AX494" s="313"/>
      <c r="AY494" s="313"/>
      <c r="AZ494" s="313"/>
      <c r="BA494" s="313"/>
      <c r="BB494" s="313"/>
      <c r="BC494" s="313"/>
      <c r="BD494" s="313"/>
      <c r="BE494" s="314"/>
      <c r="BW494" s="314"/>
      <c r="BX494" s="314"/>
      <c r="BY494" s="314"/>
      <c r="BZ494" s="314"/>
      <c r="CA494" s="314"/>
      <c r="CB494" s="314"/>
      <c r="CC494" s="314"/>
      <c r="CD494" s="314"/>
    </row>
    <row r="495" ht="28.5" customHeight="1">
      <c r="A495" s="767"/>
      <c r="B495" s="768"/>
      <c r="C495" s="768"/>
      <c r="D495" s="769"/>
      <c r="E495" s="769"/>
      <c r="F495" s="769"/>
      <c r="G495" s="336"/>
      <c r="H495" s="771"/>
      <c r="I495" s="769"/>
      <c r="J495" s="769"/>
      <c r="K495" s="314"/>
      <c r="L495" s="314"/>
      <c r="M495" s="314"/>
      <c r="N495" s="769"/>
      <c r="O495" s="769"/>
      <c r="P495" s="773"/>
      <c r="Q495" s="774"/>
      <c r="R495" s="774"/>
      <c r="S495" s="775"/>
      <c r="AH495" s="776"/>
      <c r="AI495" s="776"/>
      <c r="AJ495" s="732"/>
      <c r="AK495" s="732"/>
      <c r="AL495" s="776"/>
      <c r="AM495" s="776"/>
      <c r="AN495" s="17"/>
      <c r="AO495" s="17"/>
      <c r="AP495" s="17"/>
      <c r="AQ495" s="17"/>
      <c r="AR495" s="17"/>
      <c r="AS495" s="17"/>
      <c r="AT495" s="17"/>
      <c r="AU495" s="732"/>
      <c r="AV495" s="313"/>
      <c r="AW495" s="313"/>
      <c r="AX495" s="313"/>
      <c r="AY495" s="313"/>
      <c r="AZ495" s="313"/>
      <c r="BA495" s="313"/>
      <c r="BB495" s="313"/>
      <c r="BC495" s="313"/>
      <c r="BD495" s="313"/>
      <c r="BE495" s="314"/>
      <c r="BW495" s="314"/>
      <c r="BX495" s="314"/>
      <c r="BY495" s="314"/>
      <c r="BZ495" s="314"/>
      <c r="CA495" s="314"/>
      <c r="CB495" s="314"/>
      <c r="CC495" s="314"/>
      <c r="CD495" s="314"/>
    </row>
    <row r="496" ht="28.5" customHeight="1">
      <c r="A496" s="767"/>
      <c r="B496" s="768"/>
      <c r="C496" s="768"/>
      <c r="D496" s="769"/>
      <c r="E496" s="769"/>
      <c r="F496" s="769"/>
      <c r="G496" s="336"/>
      <c r="H496" s="771"/>
      <c r="I496" s="769"/>
      <c r="J496" s="769"/>
      <c r="K496" s="314"/>
      <c r="L496" s="314"/>
      <c r="M496" s="314"/>
      <c r="N496" s="769"/>
      <c r="O496" s="769"/>
      <c r="P496" s="773"/>
      <c r="Q496" s="774"/>
      <c r="R496" s="774"/>
      <c r="S496" s="775"/>
      <c r="AH496" s="776"/>
      <c r="AI496" s="776"/>
      <c r="AJ496" s="732"/>
      <c r="AK496" s="732"/>
      <c r="AL496" s="776"/>
      <c r="AM496" s="776"/>
      <c r="AN496" s="17"/>
      <c r="AO496" s="17"/>
      <c r="AP496" s="17"/>
      <c r="AQ496" s="17"/>
      <c r="AR496" s="17"/>
      <c r="AS496" s="17"/>
      <c r="AT496" s="17"/>
      <c r="AU496" s="732"/>
      <c r="AV496" s="313"/>
      <c r="AW496" s="313"/>
      <c r="AX496" s="313"/>
      <c r="AY496" s="313"/>
      <c r="AZ496" s="313"/>
      <c r="BA496" s="313"/>
      <c r="BB496" s="313"/>
      <c r="BC496" s="313"/>
      <c r="BD496" s="313"/>
      <c r="BE496" s="314"/>
      <c r="BW496" s="314"/>
      <c r="BX496" s="314"/>
      <c r="BY496" s="314"/>
      <c r="BZ496" s="314"/>
      <c r="CA496" s="314"/>
      <c r="CB496" s="314"/>
      <c r="CC496" s="314"/>
      <c r="CD496" s="314"/>
    </row>
    <row r="497" ht="28.5" customHeight="1">
      <c r="A497" s="767"/>
      <c r="B497" s="768"/>
      <c r="C497" s="768"/>
      <c r="D497" s="769"/>
      <c r="E497" s="769"/>
      <c r="F497" s="769"/>
      <c r="G497" s="336"/>
      <c r="H497" s="771"/>
      <c r="I497" s="769"/>
      <c r="J497" s="769"/>
      <c r="K497" s="314"/>
      <c r="L497" s="314"/>
      <c r="M497" s="314"/>
      <c r="N497" s="769"/>
      <c r="O497" s="769"/>
      <c r="P497" s="773"/>
      <c r="Q497" s="774"/>
      <c r="R497" s="774"/>
      <c r="S497" s="775"/>
      <c r="AH497" s="776"/>
      <c r="AI497" s="776"/>
      <c r="AJ497" s="732"/>
      <c r="AK497" s="732"/>
      <c r="AL497" s="776"/>
      <c r="AM497" s="776"/>
      <c r="AN497" s="17"/>
      <c r="AO497" s="17"/>
      <c r="AP497" s="17"/>
      <c r="AQ497" s="17"/>
      <c r="AR497" s="17"/>
      <c r="AS497" s="17"/>
      <c r="AT497" s="17"/>
      <c r="AU497" s="732"/>
      <c r="AV497" s="313"/>
      <c r="AW497" s="313"/>
      <c r="AX497" s="313"/>
      <c r="AY497" s="313"/>
      <c r="AZ497" s="313"/>
      <c r="BA497" s="313"/>
      <c r="BB497" s="313"/>
      <c r="BC497" s="313"/>
      <c r="BD497" s="313"/>
      <c r="BE497" s="314"/>
      <c r="BW497" s="314"/>
      <c r="BX497" s="314"/>
      <c r="BY497" s="314"/>
      <c r="BZ497" s="314"/>
      <c r="CA497" s="314"/>
      <c r="CB497" s="314"/>
      <c r="CC497" s="314"/>
      <c r="CD497" s="314"/>
    </row>
    <row r="498" ht="28.5" customHeight="1">
      <c r="A498" s="767"/>
      <c r="B498" s="768"/>
      <c r="C498" s="768"/>
      <c r="D498" s="769"/>
      <c r="E498" s="769"/>
      <c r="F498" s="769"/>
      <c r="G498" s="336"/>
      <c r="H498" s="771"/>
      <c r="I498" s="769"/>
      <c r="J498" s="769"/>
      <c r="K498" s="314"/>
      <c r="L498" s="314"/>
      <c r="M498" s="314"/>
      <c r="N498" s="769"/>
      <c r="O498" s="769"/>
      <c r="P498" s="773"/>
      <c r="Q498" s="774"/>
      <c r="R498" s="774"/>
      <c r="S498" s="775"/>
      <c r="AH498" s="776"/>
      <c r="AI498" s="776"/>
      <c r="AJ498" s="732"/>
      <c r="AK498" s="732"/>
      <c r="AL498" s="776"/>
      <c r="AM498" s="776"/>
      <c r="AN498" s="17"/>
      <c r="AO498" s="17"/>
      <c r="AP498" s="17"/>
      <c r="AQ498" s="17"/>
      <c r="AR498" s="17"/>
      <c r="AS498" s="17"/>
      <c r="AT498" s="17"/>
      <c r="AU498" s="732"/>
      <c r="AV498" s="313"/>
      <c r="AW498" s="313"/>
      <c r="AX498" s="313"/>
      <c r="AY498" s="313"/>
      <c r="AZ498" s="313"/>
      <c r="BA498" s="313"/>
      <c r="BB498" s="313"/>
      <c r="BC498" s="313"/>
      <c r="BD498" s="313"/>
      <c r="BE498" s="314"/>
      <c r="BW498" s="314"/>
      <c r="BX498" s="314"/>
      <c r="BY498" s="314"/>
      <c r="BZ498" s="314"/>
      <c r="CA498" s="314"/>
      <c r="CB498" s="314"/>
      <c r="CC498" s="314"/>
      <c r="CD498" s="314"/>
    </row>
    <row r="499" ht="28.5" customHeight="1">
      <c r="A499" s="767"/>
      <c r="B499" s="768"/>
      <c r="C499" s="768"/>
      <c r="D499" s="769"/>
      <c r="E499" s="769"/>
      <c r="F499" s="769"/>
      <c r="G499" s="336"/>
      <c r="H499" s="771"/>
      <c r="I499" s="769"/>
      <c r="J499" s="769"/>
      <c r="K499" s="314"/>
      <c r="L499" s="314"/>
      <c r="M499" s="314"/>
      <c r="N499" s="769"/>
      <c r="O499" s="769"/>
      <c r="P499" s="773"/>
      <c r="Q499" s="774"/>
      <c r="R499" s="774"/>
      <c r="S499" s="775"/>
      <c r="AH499" s="776"/>
      <c r="AI499" s="776"/>
      <c r="AJ499" s="732"/>
      <c r="AK499" s="732"/>
      <c r="AL499" s="776"/>
      <c r="AM499" s="776"/>
      <c r="AN499" s="17"/>
      <c r="AO499" s="17"/>
      <c r="AP499" s="17"/>
      <c r="AQ499" s="17"/>
      <c r="AR499" s="17"/>
      <c r="AS499" s="17"/>
      <c r="AT499" s="17"/>
      <c r="AU499" s="732"/>
      <c r="AV499" s="313"/>
      <c r="AW499" s="313"/>
      <c r="AX499" s="313"/>
      <c r="AY499" s="313"/>
      <c r="AZ499" s="313"/>
      <c r="BA499" s="313"/>
      <c r="BB499" s="313"/>
      <c r="BC499" s="313"/>
      <c r="BD499" s="313"/>
      <c r="BE499" s="314"/>
      <c r="BW499" s="314"/>
      <c r="BX499" s="314"/>
      <c r="BY499" s="314"/>
      <c r="BZ499" s="314"/>
      <c r="CA499" s="314"/>
      <c r="CB499" s="314"/>
      <c r="CC499" s="314"/>
      <c r="CD499" s="314"/>
    </row>
    <row r="500" ht="28.5" customHeight="1">
      <c r="A500" s="767"/>
      <c r="B500" s="768"/>
      <c r="C500" s="768"/>
      <c r="D500" s="769"/>
      <c r="E500" s="769"/>
      <c r="F500" s="769"/>
      <c r="G500" s="336"/>
      <c r="H500" s="771"/>
      <c r="I500" s="769"/>
      <c r="J500" s="769"/>
      <c r="K500" s="314"/>
      <c r="L500" s="314"/>
      <c r="M500" s="314"/>
      <c r="N500" s="769"/>
      <c r="O500" s="769"/>
      <c r="P500" s="773"/>
      <c r="Q500" s="774"/>
      <c r="R500" s="774"/>
      <c r="S500" s="775"/>
      <c r="AH500" s="776"/>
      <c r="AI500" s="776"/>
      <c r="AJ500" s="732"/>
      <c r="AK500" s="732"/>
      <c r="AL500" s="776"/>
      <c r="AM500" s="776"/>
      <c r="AN500" s="17"/>
      <c r="AO500" s="17"/>
      <c r="AP500" s="17"/>
      <c r="AQ500" s="17"/>
      <c r="AR500" s="17"/>
      <c r="AS500" s="17"/>
      <c r="AT500" s="17"/>
      <c r="AU500" s="732"/>
      <c r="AV500" s="313"/>
      <c r="AW500" s="313"/>
      <c r="AX500" s="313"/>
      <c r="AY500" s="313"/>
      <c r="AZ500" s="313"/>
      <c r="BA500" s="313"/>
      <c r="BB500" s="313"/>
      <c r="BC500" s="313"/>
      <c r="BD500" s="313"/>
      <c r="BE500" s="314"/>
      <c r="BW500" s="314"/>
      <c r="BX500" s="314"/>
      <c r="BY500" s="314"/>
      <c r="BZ500" s="314"/>
      <c r="CA500" s="314"/>
      <c r="CB500" s="314"/>
      <c r="CC500" s="314"/>
      <c r="CD500" s="314"/>
    </row>
    <row r="501" ht="28.5" customHeight="1">
      <c r="A501" s="767"/>
      <c r="B501" s="768"/>
      <c r="C501" s="768"/>
      <c r="D501" s="769"/>
      <c r="E501" s="769"/>
      <c r="F501" s="769"/>
      <c r="G501" s="336"/>
      <c r="H501" s="771"/>
      <c r="I501" s="769"/>
      <c r="J501" s="769"/>
      <c r="K501" s="314"/>
      <c r="L501" s="314"/>
      <c r="M501" s="314"/>
      <c r="N501" s="769"/>
      <c r="O501" s="769"/>
      <c r="P501" s="773"/>
      <c r="Q501" s="774"/>
      <c r="R501" s="774"/>
      <c r="S501" s="775"/>
      <c r="AH501" s="776"/>
      <c r="AI501" s="776"/>
      <c r="AJ501" s="732"/>
      <c r="AK501" s="732"/>
      <c r="AL501" s="776"/>
      <c r="AM501" s="776"/>
      <c r="AN501" s="17"/>
      <c r="AO501" s="17"/>
      <c r="AP501" s="17"/>
      <c r="AQ501" s="17"/>
      <c r="AR501" s="17"/>
      <c r="AS501" s="17"/>
      <c r="AT501" s="17"/>
      <c r="AU501" s="732"/>
      <c r="AV501" s="313"/>
      <c r="AW501" s="313"/>
      <c r="AX501" s="313"/>
      <c r="AY501" s="313"/>
      <c r="AZ501" s="313"/>
      <c r="BA501" s="313"/>
      <c r="BB501" s="313"/>
      <c r="BC501" s="313"/>
      <c r="BD501" s="313"/>
      <c r="BE501" s="314"/>
      <c r="BW501" s="314"/>
      <c r="BX501" s="314"/>
      <c r="BY501" s="314"/>
      <c r="BZ501" s="314"/>
      <c r="CA501" s="314"/>
      <c r="CB501" s="314"/>
      <c r="CC501" s="314"/>
      <c r="CD501" s="314"/>
    </row>
    <row r="502" ht="28.5" customHeight="1">
      <c r="A502" s="767"/>
      <c r="B502" s="768"/>
      <c r="C502" s="768"/>
      <c r="D502" s="769"/>
      <c r="E502" s="769"/>
      <c r="F502" s="769"/>
      <c r="G502" s="336"/>
      <c r="H502" s="771"/>
      <c r="I502" s="769"/>
      <c r="J502" s="769"/>
      <c r="K502" s="314"/>
      <c r="L502" s="314"/>
      <c r="M502" s="314"/>
      <c r="N502" s="769"/>
      <c r="O502" s="769"/>
      <c r="P502" s="773"/>
      <c r="Q502" s="774"/>
      <c r="R502" s="774"/>
      <c r="S502" s="775"/>
      <c r="AH502" s="776"/>
      <c r="AI502" s="776"/>
      <c r="AJ502" s="732"/>
      <c r="AK502" s="732"/>
      <c r="AL502" s="776"/>
      <c r="AM502" s="776"/>
      <c r="AN502" s="17"/>
      <c r="AO502" s="17"/>
      <c r="AP502" s="17"/>
      <c r="AQ502" s="17"/>
      <c r="AR502" s="17"/>
      <c r="AS502" s="17"/>
      <c r="AT502" s="17"/>
      <c r="AU502" s="732"/>
      <c r="AV502" s="313"/>
      <c r="AW502" s="313"/>
      <c r="AX502" s="313"/>
      <c r="AY502" s="313"/>
      <c r="AZ502" s="313"/>
      <c r="BA502" s="313"/>
      <c r="BB502" s="313"/>
      <c r="BC502" s="313"/>
      <c r="BD502" s="313"/>
      <c r="BE502" s="314"/>
      <c r="BW502" s="314"/>
      <c r="BX502" s="314"/>
      <c r="BY502" s="314"/>
      <c r="BZ502" s="314"/>
      <c r="CA502" s="314"/>
      <c r="CB502" s="314"/>
      <c r="CC502" s="314"/>
      <c r="CD502" s="314"/>
    </row>
    <row r="503" ht="28.5" customHeight="1">
      <c r="A503" s="767"/>
      <c r="B503" s="768"/>
      <c r="C503" s="768"/>
      <c r="D503" s="769"/>
      <c r="E503" s="769"/>
      <c r="F503" s="769"/>
      <c r="G503" s="336"/>
      <c r="H503" s="771"/>
      <c r="I503" s="769"/>
      <c r="J503" s="769"/>
      <c r="K503" s="314"/>
      <c r="L503" s="314"/>
      <c r="M503" s="314"/>
      <c r="N503" s="769"/>
      <c r="O503" s="769"/>
      <c r="P503" s="773"/>
      <c r="Q503" s="774"/>
      <c r="R503" s="774"/>
      <c r="S503" s="775"/>
      <c r="AH503" s="776"/>
      <c r="AI503" s="776"/>
      <c r="AJ503" s="732"/>
      <c r="AK503" s="732"/>
      <c r="AL503" s="776"/>
      <c r="AM503" s="776"/>
      <c r="AN503" s="17"/>
      <c r="AO503" s="17"/>
      <c r="AP503" s="17"/>
      <c r="AQ503" s="17"/>
      <c r="AR503" s="17"/>
      <c r="AS503" s="17"/>
      <c r="AT503" s="17"/>
      <c r="AU503" s="732"/>
      <c r="AV503" s="313"/>
      <c r="AW503" s="313"/>
      <c r="AX503" s="313"/>
      <c r="AY503" s="313"/>
      <c r="AZ503" s="313"/>
      <c r="BA503" s="313"/>
      <c r="BB503" s="313"/>
      <c r="BC503" s="313"/>
      <c r="BD503" s="313"/>
      <c r="BE503" s="314"/>
      <c r="BW503" s="314"/>
      <c r="BX503" s="314"/>
      <c r="BY503" s="314"/>
      <c r="BZ503" s="314"/>
      <c r="CA503" s="314"/>
      <c r="CB503" s="314"/>
      <c r="CC503" s="314"/>
      <c r="CD503" s="314"/>
    </row>
    <row r="504" ht="28.5" customHeight="1">
      <c r="A504" s="767"/>
      <c r="B504" s="768"/>
      <c r="C504" s="768"/>
      <c r="D504" s="769"/>
      <c r="E504" s="769"/>
      <c r="F504" s="769"/>
      <c r="G504" s="336"/>
      <c r="H504" s="771"/>
      <c r="I504" s="769"/>
      <c r="J504" s="769"/>
      <c r="K504" s="314"/>
      <c r="L504" s="314"/>
      <c r="M504" s="314"/>
      <c r="N504" s="769"/>
      <c r="O504" s="769"/>
      <c r="P504" s="773"/>
      <c r="Q504" s="774"/>
      <c r="R504" s="774"/>
      <c r="S504" s="775"/>
      <c r="AH504" s="776"/>
      <c r="AI504" s="776"/>
      <c r="AJ504" s="732"/>
      <c r="AK504" s="732"/>
      <c r="AL504" s="776"/>
      <c r="AM504" s="776"/>
      <c r="AN504" s="17"/>
      <c r="AO504" s="17"/>
      <c r="AP504" s="17"/>
      <c r="AQ504" s="17"/>
      <c r="AR504" s="17"/>
      <c r="AS504" s="17"/>
      <c r="AT504" s="17"/>
      <c r="AU504" s="732"/>
      <c r="AV504" s="313"/>
      <c r="AW504" s="313"/>
      <c r="AX504" s="313"/>
      <c r="AY504" s="313"/>
      <c r="AZ504" s="313"/>
      <c r="BA504" s="313"/>
      <c r="BB504" s="313"/>
      <c r="BC504" s="313"/>
      <c r="BD504" s="313"/>
      <c r="BE504" s="314"/>
      <c r="BW504" s="314"/>
      <c r="BX504" s="314"/>
      <c r="BY504" s="314"/>
      <c r="BZ504" s="314"/>
      <c r="CA504" s="314"/>
      <c r="CB504" s="314"/>
      <c r="CC504" s="314"/>
      <c r="CD504" s="314"/>
    </row>
    <row r="505" ht="28.5" customHeight="1">
      <c r="A505" s="767"/>
      <c r="B505" s="768"/>
      <c r="C505" s="768"/>
      <c r="D505" s="769"/>
      <c r="E505" s="769"/>
      <c r="F505" s="769"/>
      <c r="G505" s="336"/>
      <c r="H505" s="771"/>
      <c r="I505" s="769"/>
      <c r="J505" s="769"/>
      <c r="K505" s="314"/>
      <c r="L505" s="314"/>
      <c r="M505" s="314"/>
      <c r="N505" s="769"/>
      <c r="O505" s="769"/>
      <c r="P505" s="773"/>
      <c r="Q505" s="774"/>
      <c r="R505" s="774"/>
      <c r="S505" s="775"/>
      <c r="AH505" s="776"/>
      <c r="AI505" s="776"/>
      <c r="AJ505" s="732"/>
      <c r="AK505" s="732"/>
      <c r="AL505" s="776"/>
      <c r="AM505" s="776"/>
      <c r="AN505" s="17"/>
      <c r="AO505" s="17"/>
      <c r="AP505" s="17"/>
      <c r="AQ505" s="17"/>
      <c r="AR505" s="17"/>
      <c r="AS505" s="17"/>
      <c r="AT505" s="17"/>
      <c r="AU505" s="732"/>
      <c r="AV505" s="313"/>
      <c r="AW505" s="313"/>
      <c r="AX505" s="313"/>
      <c r="AY505" s="313"/>
      <c r="AZ505" s="313"/>
      <c r="BA505" s="313"/>
      <c r="BB505" s="313"/>
      <c r="BC505" s="313"/>
      <c r="BD505" s="313"/>
      <c r="BE505" s="314"/>
      <c r="BW505" s="314"/>
      <c r="BX505" s="314"/>
      <c r="BY505" s="314"/>
      <c r="BZ505" s="314"/>
      <c r="CA505" s="314"/>
      <c r="CB505" s="314"/>
      <c r="CC505" s="314"/>
      <c r="CD505" s="314"/>
    </row>
    <row r="506" ht="28.5" customHeight="1">
      <c r="A506" s="767"/>
      <c r="B506" s="768"/>
      <c r="C506" s="768"/>
      <c r="D506" s="769"/>
      <c r="E506" s="769"/>
      <c r="F506" s="769"/>
      <c r="G506" s="336"/>
      <c r="H506" s="771"/>
      <c r="I506" s="769"/>
      <c r="J506" s="769"/>
      <c r="K506" s="314"/>
      <c r="L506" s="314"/>
      <c r="M506" s="314"/>
      <c r="N506" s="769"/>
      <c r="O506" s="769"/>
      <c r="P506" s="773"/>
      <c r="Q506" s="774"/>
      <c r="R506" s="774"/>
      <c r="S506" s="775"/>
      <c r="AH506" s="776"/>
      <c r="AI506" s="776"/>
      <c r="AJ506" s="732"/>
      <c r="AK506" s="732"/>
      <c r="AL506" s="776"/>
      <c r="AM506" s="776"/>
      <c r="AN506" s="17"/>
      <c r="AO506" s="17"/>
      <c r="AP506" s="17"/>
      <c r="AQ506" s="17"/>
      <c r="AR506" s="17"/>
      <c r="AS506" s="17"/>
      <c r="AT506" s="17"/>
      <c r="AU506" s="732"/>
      <c r="AV506" s="313"/>
      <c r="AW506" s="313"/>
      <c r="AX506" s="313"/>
      <c r="AY506" s="313"/>
      <c r="AZ506" s="313"/>
      <c r="BA506" s="313"/>
      <c r="BB506" s="313"/>
      <c r="BC506" s="313"/>
      <c r="BD506" s="313"/>
      <c r="BE506" s="314"/>
      <c r="BW506" s="314"/>
      <c r="BX506" s="314"/>
      <c r="BY506" s="314"/>
      <c r="BZ506" s="314"/>
      <c r="CA506" s="314"/>
      <c r="CB506" s="314"/>
      <c r="CC506" s="314"/>
      <c r="CD506" s="314"/>
    </row>
    <row r="507" ht="28.5" customHeight="1">
      <c r="A507" s="767"/>
      <c r="B507" s="768"/>
      <c r="C507" s="768"/>
      <c r="D507" s="769"/>
      <c r="E507" s="769"/>
      <c r="F507" s="769"/>
      <c r="G507" s="336"/>
      <c r="H507" s="771"/>
      <c r="I507" s="769"/>
      <c r="J507" s="769"/>
      <c r="K507" s="314"/>
      <c r="L507" s="314"/>
      <c r="M507" s="314"/>
      <c r="N507" s="769"/>
      <c r="O507" s="769"/>
      <c r="P507" s="773"/>
      <c r="Q507" s="774"/>
      <c r="R507" s="774"/>
      <c r="S507" s="775"/>
      <c r="AH507" s="776"/>
      <c r="AI507" s="776"/>
      <c r="AJ507" s="732"/>
      <c r="AK507" s="732"/>
      <c r="AL507" s="776"/>
      <c r="AM507" s="776"/>
      <c r="AN507" s="17"/>
      <c r="AO507" s="17"/>
      <c r="AP507" s="17"/>
      <c r="AQ507" s="17"/>
      <c r="AR507" s="17"/>
      <c r="AS507" s="17"/>
      <c r="AT507" s="17"/>
      <c r="AU507" s="732"/>
      <c r="AV507" s="313"/>
      <c r="AW507" s="313"/>
      <c r="AX507" s="313"/>
      <c r="AY507" s="313"/>
      <c r="AZ507" s="313"/>
      <c r="BA507" s="313"/>
      <c r="BB507" s="313"/>
      <c r="BC507" s="313"/>
      <c r="BD507" s="313"/>
      <c r="BE507" s="314"/>
      <c r="BW507" s="314"/>
      <c r="BX507" s="314"/>
      <c r="BY507" s="314"/>
      <c r="BZ507" s="314"/>
      <c r="CA507" s="314"/>
      <c r="CB507" s="314"/>
      <c r="CC507" s="314"/>
      <c r="CD507" s="314"/>
    </row>
    <row r="508" ht="28.5" customHeight="1">
      <c r="A508" s="767"/>
      <c r="B508" s="768"/>
      <c r="C508" s="768"/>
      <c r="D508" s="769"/>
      <c r="E508" s="769"/>
      <c r="F508" s="769"/>
      <c r="G508" s="336"/>
      <c r="H508" s="771"/>
      <c r="I508" s="769"/>
      <c r="J508" s="769"/>
      <c r="K508" s="314"/>
      <c r="L508" s="314"/>
      <c r="M508" s="314"/>
      <c r="N508" s="769"/>
      <c r="O508" s="769"/>
      <c r="P508" s="773"/>
      <c r="Q508" s="774"/>
      <c r="R508" s="774"/>
      <c r="S508" s="775"/>
      <c r="AH508" s="776"/>
      <c r="AI508" s="776"/>
      <c r="AJ508" s="732"/>
      <c r="AK508" s="732"/>
      <c r="AL508" s="776"/>
      <c r="AM508" s="776"/>
      <c r="AN508" s="17"/>
      <c r="AO508" s="17"/>
      <c r="AP508" s="17"/>
      <c r="AQ508" s="17"/>
      <c r="AR508" s="17"/>
      <c r="AS508" s="17"/>
      <c r="AT508" s="17"/>
      <c r="AU508" s="732"/>
      <c r="AV508" s="313"/>
      <c r="AW508" s="313"/>
      <c r="AX508" s="313"/>
      <c r="AY508" s="313"/>
      <c r="AZ508" s="313"/>
      <c r="BA508" s="313"/>
      <c r="BB508" s="313"/>
      <c r="BC508" s="313"/>
      <c r="BD508" s="313"/>
      <c r="BE508" s="314"/>
      <c r="BW508" s="314"/>
      <c r="BX508" s="314"/>
      <c r="BY508" s="314"/>
      <c r="BZ508" s="314"/>
      <c r="CA508" s="314"/>
      <c r="CB508" s="314"/>
      <c r="CC508" s="314"/>
      <c r="CD508" s="314"/>
    </row>
    <row r="509" ht="28.5" customHeight="1">
      <c r="A509" s="767"/>
      <c r="B509" s="768"/>
      <c r="C509" s="768"/>
      <c r="D509" s="769"/>
      <c r="E509" s="769"/>
      <c r="F509" s="769"/>
      <c r="G509" s="336"/>
      <c r="H509" s="771"/>
      <c r="I509" s="769"/>
      <c r="J509" s="769"/>
      <c r="K509" s="314"/>
      <c r="L509" s="314"/>
      <c r="M509" s="314"/>
      <c r="N509" s="769"/>
      <c r="O509" s="769"/>
      <c r="P509" s="773"/>
      <c r="Q509" s="774"/>
      <c r="R509" s="774"/>
      <c r="S509" s="775"/>
      <c r="AH509" s="776"/>
      <c r="AI509" s="776"/>
      <c r="AJ509" s="732"/>
      <c r="AK509" s="732"/>
      <c r="AL509" s="776"/>
      <c r="AM509" s="776"/>
      <c r="AN509" s="17"/>
      <c r="AO509" s="17"/>
      <c r="AP509" s="17"/>
      <c r="AQ509" s="17"/>
      <c r="AR509" s="17"/>
      <c r="AS509" s="17"/>
      <c r="AT509" s="17"/>
      <c r="AU509" s="732"/>
      <c r="AV509" s="313"/>
      <c r="AW509" s="313"/>
      <c r="AX509" s="313"/>
      <c r="AY509" s="313"/>
      <c r="AZ509" s="313"/>
      <c r="BA509" s="313"/>
      <c r="BB509" s="313"/>
      <c r="BC509" s="313"/>
      <c r="BD509" s="313"/>
      <c r="BE509" s="314"/>
      <c r="BW509" s="314"/>
      <c r="BX509" s="314"/>
      <c r="BY509" s="314"/>
      <c r="BZ509" s="314"/>
      <c r="CA509" s="314"/>
      <c r="CB509" s="314"/>
      <c r="CC509" s="314"/>
      <c r="CD509" s="314"/>
    </row>
    <row r="510" ht="28.5" customHeight="1">
      <c r="A510" s="767"/>
      <c r="B510" s="768"/>
      <c r="C510" s="768"/>
      <c r="D510" s="769"/>
      <c r="E510" s="769"/>
      <c r="F510" s="769"/>
      <c r="G510" s="336"/>
      <c r="H510" s="771"/>
      <c r="I510" s="769"/>
      <c r="J510" s="769"/>
      <c r="K510" s="314"/>
      <c r="L510" s="314"/>
      <c r="M510" s="314"/>
      <c r="N510" s="769"/>
      <c r="O510" s="769"/>
      <c r="P510" s="773"/>
      <c r="Q510" s="774"/>
      <c r="R510" s="774"/>
      <c r="S510" s="775"/>
      <c r="AH510" s="776"/>
      <c r="AI510" s="776"/>
      <c r="AJ510" s="732"/>
      <c r="AK510" s="732"/>
      <c r="AL510" s="776"/>
      <c r="AM510" s="776"/>
      <c r="AN510" s="17"/>
      <c r="AO510" s="17"/>
      <c r="AP510" s="17"/>
      <c r="AQ510" s="17"/>
      <c r="AR510" s="17"/>
      <c r="AS510" s="17"/>
      <c r="AT510" s="17"/>
      <c r="AU510" s="732"/>
      <c r="AV510" s="313"/>
      <c r="AW510" s="313"/>
      <c r="AX510" s="313"/>
      <c r="AY510" s="313"/>
      <c r="AZ510" s="313"/>
      <c r="BA510" s="313"/>
      <c r="BB510" s="313"/>
      <c r="BC510" s="313"/>
      <c r="BD510" s="313"/>
      <c r="BE510" s="314"/>
      <c r="BW510" s="314"/>
      <c r="BX510" s="314"/>
      <c r="BY510" s="314"/>
      <c r="BZ510" s="314"/>
      <c r="CA510" s="314"/>
      <c r="CB510" s="314"/>
      <c r="CC510" s="314"/>
      <c r="CD510" s="314"/>
    </row>
    <row r="511" ht="28.5" customHeight="1">
      <c r="A511" s="767"/>
      <c r="B511" s="768"/>
      <c r="C511" s="768"/>
      <c r="D511" s="769"/>
      <c r="E511" s="769"/>
      <c r="F511" s="769"/>
      <c r="G511" s="336"/>
      <c r="H511" s="771"/>
      <c r="I511" s="769"/>
      <c r="J511" s="769"/>
      <c r="K511" s="314"/>
      <c r="L511" s="314"/>
      <c r="M511" s="314"/>
      <c r="N511" s="769"/>
      <c r="O511" s="769"/>
      <c r="P511" s="773"/>
      <c r="Q511" s="774"/>
      <c r="R511" s="774"/>
      <c r="S511" s="775"/>
      <c r="AH511" s="776"/>
      <c r="AI511" s="776"/>
      <c r="AJ511" s="732"/>
      <c r="AK511" s="732"/>
      <c r="AL511" s="776"/>
      <c r="AM511" s="776"/>
      <c r="AN511" s="17"/>
      <c r="AO511" s="17"/>
      <c r="AP511" s="17"/>
      <c r="AQ511" s="17"/>
      <c r="AR511" s="17"/>
      <c r="AS511" s="17"/>
      <c r="AT511" s="17"/>
      <c r="AU511" s="732"/>
      <c r="AV511" s="313"/>
      <c r="AW511" s="313"/>
      <c r="AX511" s="313"/>
      <c r="AY511" s="313"/>
      <c r="AZ511" s="313"/>
      <c r="BA511" s="313"/>
      <c r="BB511" s="313"/>
      <c r="BC511" s="313"/>
      <c r="BD511" s="313"/>
      <c r="BE511" s="314"/>
      <c r="BW511" s="314"/>
      <c r="BX511" s="314"/>
      <c r="BY511" s="314"/>
      <c r="BZ511" s="314"/>
      <c r="CA511" s="314"/>
      <c r="CB511" s="314"/>
      <c r="CC511" s="314"/>
      <c r="CD511" s="314"/>
    </row>
    <row r="512" ht="28.5" customHeight="1">
      <c r="A512" s="767"/>
      <c r="B512" s="768"/>
      <c r="C512" s="768"/>
      <c r="D512" s="769"/>
      <c r="E512" s="769"/>
      <c r="F512" s="769"/>
      <c r="G512" s="336"/>
      <c r="H512" s="771"/>
      <c r="I512" s="769"/>
      <c r="J512" s="769"/>
      <c r="K512" s="314"/>
      <c r="L512" s="314"/>
      <c r="M512" s="314"/>
      <c r="N512" s="769"/>
      <c r="O512" s="769"/>
      <c r="P512" s="773"/>
      <c r="Q512" s="774"/>
      <c r="R512" s="774"/>
      <c r="S512" s="775"/>
      <c r="AH512" s="776"/>
      <c r="AI512" s="776"/>
      <c r="AJ512" s="732"/>
      <c r="AK512" s="732"/>
      <c r="AL512" s="776"/>
      <c r="AM512" s="776"/>
      <c r="AN512" s="17"/>
      <c r="AO512" s="17"/>
      <c r="AP512" s="17"/>
      <c r="AQ512" s="17"/>
      <c r="AR512" s="17"/>
      <c r="AS512" s="17"/>
      <c r="AT512" s="17"/>
      <c r="AU512" s="732"/>
      <c r="AV512" s="313"/>
      <c r="AW512" s="313"/>
      <c r="AX512" s="313"/>
      <c r="AY512" s="313"/>
      <c r="AZ512" s="313"/>
      <c r="BA512" s="313"/>
      <c r="BB512" s="313"/>
      <c r="BC512" s="313"/>
      <c r="BD512" s="313"/>
      <c r="BE512" s="314"/>
      <c r="BW512" s="314"/>
      <c r="BX512" s="314"/>
      <c r="BY512" s="314"/>
      <c r="BZ512" s="314"/>
      <c r="CA512" s="314"/>
      <c r="CB512" s="314"/>
      <c r="CC512" s="314"/>
      <c r="CD512" s="314"/>
    </row>
    <row r="513" ht="28.5" customHeight="1">
      <c r="A513" s="767"/>
      <c r="B513" s="768"/>
      <c r="C513" s="768"/>
      <c r="D513" s="769"/>
      <c r="E513" s="769"/>
      <c r="F513" s="769"/>
      <c r="G513" s="336"/>
      <c r="H513" s="771"/>
      <c r="I513" s="769"/>
      <c r="J513" s="769"/>
      <c r="K513" s="314"/>
      <c r="L513" s="314"/>
      <c r="M513" s="314"/>
      <c r="N513" s="769"/>
      <c r="O513" s="769"/>
      <c r="P513" s="773"/>
      <c r="Q513" s="774"/>
      <c r="R513" s="774"/>
      <c r="S513" s="775"/>
      <c r="AH513" s="776"/>
      <c r="AI513" s="776"/>
      <c r="AJ513" s="732"/>
      <c r="AK513" s="732"/>
      <c r="AL513" s="776"/>
      <c r="AM513" s="776"/>
      <c r="AN513" s="17"/>
      <c r="AO513" s="17"/>
      <c r="AP513" s="17"/>
      <c r="AQ513" s="17"/>
      <c r="AR513" s="17"/>
      <c r="AS513" s="17"/>
      <c r="AT513" s="17"/>
      <c r="AU513" s="732"/>
      <c r="AV513" s="313"/>
      <c r="AW513" s="313"/>
      <c r="AX513" s="313"/>
      <c r="AY513" s="313"/>
      <c r="AZ513" s="313"/>
      <c r="BA513" s="313"/>
      <c r="BB513" s="313"/>
      <c r="BC513" s="313"/>
      <c r="BD513" s="313"/>
      <c r="BE513" s="314"/>
      <c r="BW513" s="314"/>
      <c r="BX513" s="314"/>
      <c r="BY513" s="314"/>
      <c r="BZ513" s="314"/>
      <c r="CA513" s="314"/>
      <c r="CB513" s="314"/>
      <c r="CC513" s="314"/>
      <c r="CD513" s="314"/>
    </row>
    <row r="514" ht="28.5" customHeight="1">
      <c r="A514" s="767"/>
      <c r="B514" s="768"/>
      <c r="C514" s="768"/>
      <c r="D514" s="769"/>
      <c r="E514" s="769"/>
      <c r="F514" s="769"/>
      <c r="G514" s="336"/>
      <c r="H514" s="771"/>
      <c r="I514" s="769"/>
      <c r="J514" s="769"/>
      <c r="K514" s="314"/>
      <c r="L514" s="314"/>
      <c r="M514" s="314"/>
      <c r="N514" s="769"/>
      <c r="O514" s="769"/>
      <c r="P514" s="773"/>
      <c r="Q514" s="774"/>
      <c r="R514" s="774"/>
      <c r="S514" s="775"/>
      <c r="AH514" s="776"/>
      <c r="AI514" s="776"/>
      <c r="AJ514" s="732"/>
      <c r="AK514" s="732"/>
      <c r="AL514" s="776"/>
      <c r="AM514" s="776"/>
      <c r="AN514" s="17"/>
      <c r="AO514" s="17"/>
      <c r="AP514" s="17"/>
      <c r="AQ514" s="17"/>
      <c r="AR514" s="17"/>
      <c r="AS514" s="17"/>
      <c r="AT514" s="17"/>
      <c r="AU514" s="732"/>
      <c r="AV514" s="313"/>
      <c r="AW514" s="313"/>
      <c r="AX514" s="313"/>
      <c r="AY514" s="313"/>
      <c r="AZ514" s="313"/>
      <c r="BA514" s="313"/>
      <c r="BB514" s="313"/>
      <c r="BC514" s="313"/>
      <c r="BD514" s="313"/>
      <c r="BE514" s="314"/>
      <c r="BW514" s="314"/>
      <c r="BX514" s="314"/>
      <c r="BY514" s="314"/>
      <c r="BZ514" s="314"/>
      <c r="CA514" s="314"/>
      <c r="CB514" s="314"/>
      <c r="CC514" s="314"/>
      <c r="CD514" s="314"/>
    </row>
    <row r="515" ht="28.5" customHeight="1">
      <c r="A515" s="767"/>
      <c r="B515" s="768"/>
      <c r="C515" s="768"/>
      <c r="D515" s="769"/>
      <c r="E515" s="769"/>
      <c r="F515" s="769"/>
      <c r="G515" s="336"/>
      <c r="H515" s="771"/>
      <c r="I515" s="769"/>
      <c r="J515" s="769"/>
      <c r="K515" s="314"/>
      <c r="L515" s="314"/>
      <c r="M515" s="314"/>
      <c r="N515" s="769"/>
      <c r="O515" s="769"/>
      <c r="P515" s="773"/>
      <c r="Q515" s="774"/>
      <c r="R515" s="774"/>
      <c r="S515" s="775"/>
      <c r="AH515" s="776"/>
      <c r="AI515" s="776"/>
      <c r="AJ515" s="732"/>
      <c r="AK515" s="732"/>
      <c r="AL515" s="776"/>
      <c r="AM515" s="776"/>
      <c r="AN515" s="17"/>
      <c r="AO515" s="17"/>
      <c r="AP515" s="17"/>
      <c r="AQ515" s="17"/>
      <c r="AR515" s="17"/>
      <c r="AS515" s="17"/>
      <c r="AT515" s="17"/>
      <c r="AU515" s="732"/>
      <c r="AV515" s="313"/>
      <c r="AW515" s="313"/>
      <c r="AX515" s="313"/>
      <c r="AY515" s="313"/>
      <c r="AZ515" s="313"/>
      <c r="BA515" s="313"/>
      <c r="BB515" s="313"/>
      <c r="BC515" s="313"/>
      <c r="BD515" s="313"/>
      <c r="BE515" s="314"/>
      <c r="BW515" s="314"/>
      <c r="BX515" s="314"/>
      <c r="BY515" s="314"/>
      <c r="BZ515" s="314"/>
      <c r="CA515" s="314"/>
      <c r="CB515" s="314"/>
      <c r="CC515" s="314"/>
      <c r="CD515" s="314"/>
    </row>
    <row r="516" ht="28.5" customHeight="1">
      <c r="A516" s="767"/>
      <c r="B516" s="768"/>
      <c r="C516" s="768"/>
      <c r="D516" s="769"/>
      <c r="E516" s="769"/>
      <c r="F516" s="769"/>
      <c r="G516" s="336"/>
      <c r="H516" s="771"/>
      <c r="I516" s="769"/>
      <c r="J516" s="769"/>
      <c r="K516" s="314"/>
      <c r="L516" s="314"/>
      <c r="M516" s="314"/>
      <c r="N516" s="769"/>
      <c r="O516" s="769"/>
      <c r="P516" s="773"/>
      <c r="Q516" s="774"/>
      <c r="R516" s="774"/>
      <c r="S516" s="775"/>
      <c r="AH516" s="776"/>
      <c r="AI516" s="776"/>
      <c r="AJ516" s="732"/>
      <c r="AK516" s="732"/>
      <c r="AL516" s="776"/>
      <c r="AM516" s="776"/>
      <c r="AN516" s="17"/>
      <c r="AO516" s="17"/>
      <c r="AP516" s="17"/>
      <c r="AQ516" s="17"/>
      <c r="AR516" s="17"/>
      <c r="AS516" s="17"/>
      <c r="AT516" s="17"/>
      <c r="AU516" s="732"/>
      <c r="AV516" s="313"/>
      <c r="AW516" s="313"/>
      <c r="AX516" s="313"/>
      <c r="AY516" s="313"/>
      <c r="AZ516" s="313"/>
      <c r="BA516" s="313"/>
      <c r="BB516" s="313"/>
      <c r="BC516" s="313"/>
      <c r="BD516" s="313"/>
      <c r="BE516" s="314"/>
      <c r="BW516" s="314"/>
      <c r="BX516" s="314"/>
      <c r="BY516" s="314"/>
      <c r="BZ516" s="314"/>
      <c r="CA516" s="314"/>
      <c r="CB516" s="314"/>
      <c r="CC516" s="314"/>
      <c r="CD516" s="314"/>
    </row>
    <row r="517" ht="28.5" customHeight="1">
      <c r="A517" s="767"/>
      <c r="B517" s="768"/>
      <c r="C517" s="768"/>
      <c r="D517" s="769"/>
      <c r="E517" s="769"/>
      <c r="F517" s="769"/>
      <c r="G517" s="336"/>
      <c r="H517" s="771"/>
      <c r="I517" s="769"/>
      <c r="J517" s="769"/>
      <c r="K517" s="314"/>
      <c r="L517" s="314"/>
      <c r="M517" s="314"/>
      <c r="N517" s="769"/>
      <c r="O517" s="769"/>
      <c r="P517" s="773"/>
      <c r="Q517" s="774"/>
      <c r="R517" s="774"/>
      <c r="S517" s="775"/>
      <c r="AH517" s="776"/>
      <c r="AI517" s="776"/>
      <c r="AJ517" s="732"/>
      <c r="AK517" s="732"/>
      <c r="AL517" s="776"/>
      <c r="AM517" s="776"/>
      <c r="AN517" s="17"/>
      <c r="AO517" s="17"/>
      <c r="AP517" s="17"/>
      <c r="AQ517" s="17"/>
      <c r="AR517" s="17"/>
      <c r="AS517" s="17"/>
      <c r="AT517" s="17"/>
      <c r="AU517" s="732"/>
      <c r="AV517" s="313"/>
      <c r="AW517" s="313"/>
      <c r="AX517" s="313"/>
      <c r="AY517" s="313"/>
      <c r="AZ517" s="313"/>
      <c r="BA517" s="313"/>
      <c r="BB517" s="313"/>
      <c r="BC517" s="313"/>
      <c r="BD517" s="313"/>
      <c r="BE517" s="314"/>
      <c r="BW517" s="314"/>
      <c r="BX517" s="314"/>
      <c r="BY517" s="314"/>
      <c r="BZ517" s="314"/>
      <c r="CA517" s="314"/>
      <c r="CB517" s="314"/>
      <c r="CC517" s="314"/>
      <c r="CD517" s="314"/>
    </row>
    <row r="518" ht="28.5" customHeight="1">
      <c r="A518" s="767"/>
      <c r="B518" s="768"/>
      <c r="C518" s="768"/>
      <c r="D518" s="769"/>
      <c r="E518" s="769"/>
      <c r="F518" s="769"/>
      <c r="G518" s="336"/>
      <c r="H518" s="771"/>
      <c r="I518" s="769"/>
      <c r="J518" s="769"/>
      <c r="K518" s="314"/>
      <c r="L518" s="314"/>
      <c r="M518" s="314"/>
      <c r="N518" s="769"/>
      <c r="O518" s="769"/>
      <c r="P518" s="773"/>
      <c r="Q518" s="774"/>
      <c r="R518" s="774"/>
      <c r="S518" s="775"/>
      <c r="AH518" s="776"/>
      <c r="AI518" s="776"/>
      <c r="AJ518" s="732"/>
      <c r="AK518" s="732"/>
      <c r="AL518" s="776"/>
      <c r="AM518" s="776"/>
      <c r="AN518" s="17"/>
      <c r="AO518" s="17"/>
      <c r="AP518" s="17"/>
      <c r="AQ518" s="17"/>
      <c r="AR518" s="17"/>
      <c r="AS518" s="17"/>
      <c r="AT518" s="17"/>
      <c r="AU518" s="732"/>
      <c r="AV518" s="313"/>
      <c r="AW518" s="313"/>
      <c r="AX518" s="313"/>
      <c r="AY518" s="313"/>
      <c r="AZ518" s="313"/>
      <c r="BA518" s="313"/>
      <c r="BB518" s="313"/>
      <c r="BC518" s="313"/>
      <c r="BD518" s="313"/>
      <c r="BE518" s="314"/>
      <c r="BW518" s="314"/>
      <c r="BX518" s="314"/>
      <c r="BY518" s="314"/>
      <c r="BZ518" s="314"/>
      <c r="CA518" s="314"/>
      <c r="CB518" s="314"/>
      <c r="CC518" s="314"/>
      <c r="CD518" s="314"/>
    </row>
    <row r="519" ht="28.5" customHeight="1">
      <c r="A519" s="767"/>
      <c r="B519" s="768"/>
      <c r="C519" s="768"/>
      <c r="D519" s="769"/>
      <c r="E519" s="769"/>
      <c r="F519" s="769"/>
      <c r="G519" s="336"/>
      <c r="H519" s="771"/>
      <c r="I519" s="769"/>
      <c r="J519" s="769"/>
      <c r="K519" s="314"/>
      <c r="L519" s="314"/>
      <c r="M519" s="314"/>
      <c r="N519" s="769"/>
      <c r="O519" s="769"/>
      <c r="P519" s="773"/>
      <c r="Q519" s="774"/>
      <c r="R519" s="774"/>
      <c r="S519" s="775"/>
      <c r="AH519" s="776"/>
      <c r="AI519" s="776"/>
      <c r="AJ519" s="732"/>
      <c r="AK519" s="732"/>
      <c r="AL519" s="776"/>
      <c r="AM519" s="776"/>
      <c r="AN519" s="17"/>
      <c r="AO519" s="17"/>
      <c r="AP519" s="17"/>
      <c r="AQ519" s="17"/>
      <c r="AR519" s="17"/>
      <c r="AS519" s="17"/>
      <c r="AT519" s="17"/>
      <c r="AU519" s="732"/>
      <c r="AV519" s="313"/>
      <c r="AW519" s="313"/>
      <c r="AX519" s="313"/>
      <c r="AY519" s="313"/>
      <c r="AZ519" s="313"/>
      <c r="BA519" s="313"/>
      <c r="BB519" s="313"/>
      <c r="BC519" s="313"/>
      <c r="BD519" s="313"/>
      <c r="BE519" s="314"/>
      <c r="BW519" s="314"/>
      <c r="BX519" s="314"/>
      <c r="BY519" s="314"/>
      <c r="BZ519" s="314"/>
      <c r="CA519" s="314"/>
      <c r="CB519" s="314"/>
      <c r="CC519" s="314"/>
      <c r="CD519" s="314"/>
    </row>
    <row r="520" ht="28.5" customHeight="1">
      <c r="A520" s="767"/>
      <c r="B520" s="768"/>
      <c r="C520" s="768"/>
      <c r="D520" s="769"/>
      <c r="E520" s="769"/>
      <c r="F520" s="769"/>
      <c r="G520" s="336"/>
      <c r="H520" s="771"/>
      <c r="I520" s="769"/>
      <c r="J520" s="769"/>
      <c r="K520" s="314"/>
      <c r="L520" s="314"/>
      <c r="M520" s="314"/>
      <c r="N520" s="769"/>
      <c r="O520" s="769"/>
      <c r="P520" s="773"/>
      <c r="Q520" s="774"/>
      <c r="R520" s="774"/>
      <c r="S520" s="775"/>
      <c r="AH520" s="776"/>
      <c r="AI520" s="776"/>
      <c r="AJ520" s="732"/>
      <c r="AK520" s="732"/>
      <c r="AL520" s="776"/>
      <c r="AM520" s="776"/>
      <c r="AN520" s="17"/>
      <c r="AO520" s="17"/>
      <c r="AP520" s="17"/>
      <c r="AQ520" s="17"/>
      <c r="AR520" s="17"/>
      <c r="AS520" s="17"/>
      <c r="AT520" s="17"/>
      <c r="AU520" s="732"/>
      <c r="AV520" s="313"/>
      <c r="AW520" s="313"/>
      <c r="AX520" s="313"/>
      <c r="AY520" s="313"/>
      <c r="AZ520" s="313"/>
      <c r="BA520" s="313"/>
      <c r="BB520" s="313"/>
      <c r="BC520" s="313"/>
      <c r="BD520" s="313"/>
      <c r="BE520" s="314"/>
      <c r="BW520" s="314"/>
      <c r="BX520" s="314"/>
      <c r="BY520" s="314"/>
      <c r="BZ520" s="314"/>
      <c r="CA520" s="314"/>
      <c r="CB520" s="314"/>
      <c r="CC520" s="314"/>
      <c r="CD520" s="314"/>
    </row>
    <row r="521" ht="28.5" customHeight="1">
      <c r="A521" s="767"/>
      <c r="B521" s="768"/>
      <c r="C521" s="768"/>
      <c r="D521" s="769"/>
      <c r="E521" s="769"/>
      <c r="F521" s="769"/>
      <c r="G521" s="336"/>
      <c r="H521" s="771"/>
      <c r="I521" s="769"/>
      <c r="J521" s="769"/>
      <c r="K521" s="314"/>
      <c r="L521" s="314"/>
      <c r="M521" s="314"/>
      <c r="N521" s="769"/>
      <c r="O521" s="769"/>
      <c r="P521" s="773"/>
      <c r="Q521" s="774"/>
      <c r="R521" s="774"/>
      <c r="S521" s="775"/>
      <c r="AH521" s="776"/>
      <c r="AI521" s="776"/>
      <c r="AJ521" s="732"/>
      <c r="AK521" s="732"/>
      <c r="AL521" s="776"/>
      <c r="AM521" s="776"/>
      <c r="AN521" s="17"/>
      <c r="AO521" s="17"/>
      <c r="AP521" s="17"/>
      <c r="AQ521" s="17"/>
      <c r="AR521" s="17"/>
      <c r="AS521" s="17"/>
      <c r="AT521" s="17"/>
      <c r="AU521" s="732"/>
      <c r="AV521" s="313"/>
      <c r="AW521" s="313"/>
      <c r="AX521" s="313"/>
      <c r="AY521" s="313"/>
      <c r="AZ521" s="313"/>
      <c r="BA521" s="313"/>
      <c r="BB521" s="313"/>
      <c r="BC521" s="313"/>
      <c r="BD521" s="313"/>
      <c r="BE521" s="314"/>
      <c r="BW521" s="314"/>
      <c r="BX521" s="314"/>
      <c r="BY521" s="314"/>
      <c r="BZ521" s="314"/>
      <c r="CA521" s="314"/>
      <c r="CB521" s="314"/>
      <c r="CC521" s="314"/>
      <c r="CD521" s="314"/>
    </row>
    <row r="522" ht="28.5" customHeight="1">
      <c r="A522" s="767"/>
      <c r="B522" s="768"/>
      <c r="C522" s="768"/>
      <c r="D522" s="769"/>
      <c r="E522" s="769"/>
      <c r="F522" s="769"/>
      <c r="G522" s="336"/>
      <c r="H522" s="771"/>
      <c r="I522" s="769"/>
      <c r="J522" s="769"/>
      <c r="K522" s="314"/>
      <c r="L522" s="314"/>
      <c r="M522" s="314"/>
      <c r="N522" s="769"/>
      <c r="O522" s="769"/>
      <c r="P522" s="773"/>
      <c r="Q522" s="774"/>
      <c r="R522" s="774"/>
      <c r="S522" s="775"/>
      <c r="AH522" s="776"/>
      <c r="AI522" s="776"/>
      <c r="AJ522" s="732"/>
      <c r="AK522" s="732"/>
      <c r="AL522" s="776"/>
      <c r="AM522" s="776"/>
      <c r="AN522" s="17"/>
      <c r="AO522" s="17"/>
      <c r="AP522" s="17"/>
      <c r="AQ522" s="17"/>
      <c r="AR522" s="17"/>
      <c r="AS522" s="17"/>
      <c r="AT522" s="17"/>
      <c r="AU522" s="732"/>
      <c r="AV522" s="313"/>
      <c r="AW522" s="313"/>
      <c r="AX522" s="313"/>
      <c r="AY522" s="313"/>
      <c r="AZ522" s="313"/>
      <c r="BA522" s="313"/>
      <c r="BB522" s="313"/>
      <c r="BC522" s="313"/>
      <c r="BD522" s="313"/>
      <c r="BE522" s="314"/>
      <c r="BW522" s="314"/>
      <c r="BX522" s="314"/>
      <c r="BY522" s="314"/>
      <c r="BZ522" s="314"/>
      <c r="CA522" s="314"/>
      <c r="CB522" s="314"/>
      <c r="CC522" s="314"/>
      <c r="CD522" s="314"/>
    </row>
    <row r="523" ht="28.5" customHeight="1">
      <c r="A523" s="767"/>
      <c r="B523" s="768"/>
      <c r="C523" s="768"/>
      <c r="D523" s="769"/>
      <c r="E523" s="769"/>
      <c r="F523" s="769"/>
      <c r="G523" s="336"/>
      <c r="H523" s="771"/>
      <c r="I523" s="769"/>
      <c r="J523" s="769"/>
      <c r="K523" s="314"/>
      <c r="L523" s="314"/>
      <c r="M523" s="314"/>
      <c r="N523" s="769"/>
      <c r="O523" s="769"/>
      <c r="P523" s="773"/>
      <c r="Q523" s="774"/>
      <c r="R523" s="774"/>
      <c r="S523" s="775"/>
      <c r="AH523" s="776"/>
      <c r="AI523" s="776"/>
      <c r="AJ523" s="732"/>
      <c r="AK523" s="732"/>
      <c r="AL523" s="776"/>
      <c r="AM523" s="776"/>
      <c r="AN523" s="17"/>
      <c r="AO523" s="17"/>
      <c r="AP523" s="17"/>
      <c r="AQ523" s="17"/>
      <c r="AR523" s="17"/>
      <c r="AS523" s="17"/>
      <c r="AT523" s="17"/>
      <c r="AU523" s="732"/>
      <c r="AV523" s="313"/>
      <c r="AW523" s="313"/>
      <c r="AX523" s="313"/>
      <c r="AY523" s="313"/>
      <c r="AZ523" s="313"/>
      <c r="BA523" s="313"/>
      <c r="BB523" s="313"/>
      <c r="BC523" s="313"/>
      <c r="BD523" s="313"/>
      <c r="BE523" s="314"/>
      <c r="BW523" s="314"/>
      <c r="BX523" s="314"/>
      <c r="BY523" s="314"/>
      <c r="BZ523" s="314"/>
      <c r="CA523" s="314"/>
      <c r="CB523" s="314"/>
      <c r="CC523" s="314"/>
      <c r="CD523" s="314"/>
    </row>
    <row r="524" ht="28.5" customHeight="1">
      <c r="A524" s="767"/>
      <c r="B524" s="768"/>
      <c r="C524" s="768"/>
      <c r="D524" s="769"/>
      <c r="E524" s="769"/>
      <c r="F524" s="769"/>
      <c r="G524" s="336"/>
      <c r="H524" s="771"/>
      <c r="I524" s="769"/>
      <c r="J524" s="769"/>
      <c r="K524" s="314"/>
      <c r="L524" s="314"/>
      <c r="M524" s="314"/>
      <c r="N524" s="769"/>
      <c r="O524" s="769"/>
      <c r="P524" s="773"/>
      <c r="Q524" s="774"/>
      <c r="R524" s="774"/>
      <c r="S524" s="775"/>
      <c r="AH524" s="776"/>
      <c r="AI524" s="776"/>
      <c r="AJ524" s="732"/>
      <c r="AK524" s="732"/>
      <c r="AL524" s="776"/>
      <c r="AM524" s="776"/>
      <c r="AN524" s="17"/>
      <c r="AO524" s="17"/>
      <c r="AP524" s="17"/>
      <c r="AQ524" s="17"/>
      <c r="AR524" s="17"/>
      <c r="AS524" s="17"/>
      <c r="AT524" s="17"/>
      <c r="AU524" s="732"/>
      <c r="AV524" s="313"/>
      <c r="AW524" s="313"/>
      <c r="AX524" s="313"/>
      <c r="AY524" s="313"/>
      <c r="AZ524" s="313"/>
      <c r="BA524" s="313"/>
      <c r="BB524" s="313"/>
      <c r="BC524" s="313"/>
      <c r="BD524" s="313"/>
      <c r="BE524" s="314"/>
      <c r="BW524" s="314"/>
      <c r="BX524" s="314"/>
      <c r="BY524" s="314"/>
      <c r="BZ524" s="314"/>
      <c r="CA524" s="314"/>
      <c r="CB524" s="314"/>
      <c r="CC524" s="314"/>
      <c r="CD524" s="314"/>
    </row>
    <row r="525" ht="28.5" customHeight="1">
      <c r="A525" s="767"/>
      <c r="B525" s="768"/>
      <c r="C525" s="768"/>
      <c r="D525" s="769"/>
      <c r="E525" s="769"/>
      <c r="F525" s="769"/>
      <c r="G525" s="336"/>
      <c r="H525" s="771"/>
      <c r="I525" s="769"/>
      <c r="J525" s="769"/>
      <c r="K525" s="314"/>
      <c r="L525" s="314"/>
      <c r="M525" s="314"/>
      <c r="N525" s="769"/>
      <c r="O525" s="769"/>
      <c r="P525" s="773"/>
      <c r="Q525" s="774"/>
      <c r="R525" s="774"/>
      <c r="S525" s="775"/>
      <c r="AH525" s="776"/>
      <c r="AI525" s="776"/>
      <c r="AJ525" s="732"/>
      <c r="AK525" s="732"/>
      <c r="AL525" s="776"/>
      <c r="AM525" s="776"/>
      <c r="AN525" s="17"/>
      <c r="AO525" s="17"/>
      <c r="AP525" s="17"/>
      <c r="AQ525" s="17"/>
      <c r="AR525" s="17"/>
      <c r="AS525" s="17"/>
      <c r="AT525" s="17"/>
      <c r="AU525" s="732"/>
      <c r="AV525" s="313"/>
      <c r="AW525" s="313"/>
      <c r="AX525" s="313"/>
      <c r="AY525" s="313"/>
      <c r="AZ525" s="313"/>
      <c r="BA525" s="313"/>
      <c r="BB525" s="313"/>
      <c r="BC525" s="313"/>
      <c r="BD525" s="313"/>
      <c r="BE525" s="314"/>
      <c r="BW525" s="314"/>
      <c r="BX525" s="314"/>
      <c r="BY525" s="314"/>
      <c r="BZ525" s="314"/>
      <c r="CA525" s="314"/>
      <c r="CB525" s="314"/>
      <c r="CC525" s="314"/>
      <c r="CD525" s="314"/>
    </row>
    <row r="526" ht="28.5" customHeight="1">
      <c r="A526" s="767"/>
      <c r="B526" s="768"/>
      <c r="C526" s="768"/>
      <c r="D526" s="769"/>
      <c r="E526" s="769"/>
      <c r="F526" s="769"/>
      <c r="G526" s="336"/>
      <c r="H526" s="771"/>
      <c r="I526" s="769"/>
      <c r="J526" s="769"/>
      <c r="K526" s="314"/>
      <c r="L526" s="314"/>
      <c r="M526" s="314"/>
      <c r="N526" s="769"/>
      <c r="O526" s="769"/>
      <c r="P526" s="773"/>
      <c r="Q526" s="774"/>
      <c r="R526" s="774"/>
      <c r="S526" s="775"/>
      <c r="AH526" s="776"/>
      <c r="AI526" s="776"/>
      <c r="AJ526" s="732"/>
      <c r="AK526" s="732"/>
      <c r="AL526" s="776"/>
      <c r="AM526" s="776"/>
      <c r="AN526" s="17"/>
      <c r="AO526" s="17"/>
      <c r="AP526" s="17"/>
      <c r="AQ526" s="17"/>
      <c r="AR526" s="17"/>
      <c r="AS526" s="17"/>
      <c r="AT526" s="17"/>
      <c r="AU526" s="732"/>
      <c r="AV526" s="313"/>
      <c r="AW526" s="313"/>
      <c r="AX526" s="313"/>
      <c r="AY526" s="313"/>
      <c r="AZ526" s="313"/>
      <c r="BA526" s="313"/>
      <c r="BB526" s="313"/>
      <c r="BC526" s="313"/>
      <c r="BD526" s="313"/>
      <c r="BE526" s="314"/>
      <c r="BW526" s="314"/>
      <c r="BX526" s="314"/>
      <c r="BY526" s="314"/>
      <c r="BZ526" s="314"/>
      <c r="CA526" s="314"/>
      <c r="CB526" s="314"/>
      <c r="CC526" s="314"/>
      <c r="CD526" s="314"/>
    </row>
    <row r="527" ht="28.5" customHeight="1">
      <c r="A527" s="767"/>
      <c r="B527" s="768"/>
      <c r="C527" s="768"/>
      <c r="D527" s="769"/>
      <c r="E527" s="769"/>
      <c r="F527" s="769"/>
      <c r="G527" s="336"/>
      <c r="H527" s="771"/>
      <c r="I527" s="769"/>
      <c r="J527" s="769"/>
      <c r="K527" s="314"/>
      <c r="L527" s="314"/>
      <c r="M527" s="314"/>
      <c r="N527" s="769"/>
      <c r="O527" s="769"/>
      <c r="P527" s="773"/>
      <c r="Q527" s="774"/>
      <c r="R527" s="774"/>
      <c r="S527" s="775"/>
      <c r="AH527" s="776"/>
      <c r="AI527" s="776"/>
      <c r="AJ527" s="732"/>
      <c r="AK527" s="732"/>
      <c r="AL527" s="776"/>
      <c r="AM527" s="776"/>
      <c r="AN527" s="17"/>
      <c r="AO527" s="17"/>
      <c r="AP527" s="17"/>
      <c r="AQ527" s="17"/>
      <c r="AR527" s="17"/>
      <c r="AS527" s="17"/>
      <c r="AT527" s="17"/>
      <c r="AU527" s="732"/>
      <c r="AV527" s="313"/>
      <c r="AW527" s="313"/>
      <c r="AX527" s="313"/>
      <c r="AY527" s="313"/>
      <c r="AZ527" s="313"/>
      <c r="BA527" s="313"/>
      <c r="BB527" s="313"/>
      <c r="BC527" s="313"/>
      <c r="BD527" s="313"/>
      <c r="BE527" s="314"/>
      <c r="BW527" s="314"/>
      <c r="BX527" s="314"/>
      <c r="BY527" s="314"/>
      <c r="BZ527" s="314"/>
      <c r="CA527" s="314"/>
      <c r="CB527" s="314"/>
      <c r="CC527" s="314"/>
      <c r="CD527" s="314"/>
    </row>
    <row r="528" ht="28.5" customHeight="1">
      <c r="A528" s="767"/>
      <c r="B528" s="768"/>
      <c r="C528" s="768"/>
      <c r="D528" s="769"/>
      <c r="E528" s="769"/>
      <c r="F528" s="769"/>
      <c r="G528" s="336"/>
      <c r="H528" s="771"/>
      <c r="I528" s="769"/>
      <c r="J528" s="769"/>
      <c r="K528" s="314"/>
      <c r="L528" s="314"/>
      <c r="M528" s="314"/>
      <c r="N528" s="769"/>
      <c r="O528" s="769"/>
      <c r="P528" s="773"/>
      <c r="Q528" s="774"/>
      <c r="R528" s="774"/>
      <c r="S528" s="775"/>
      <c r="AH528" s="776"/>
      <c r="AI528" s="776"/>
      <c r="AJ528" s="732"/>
      <c r="AK528" s="732"/>
      <c r="AL528" s="776"/>
      <c r="AM528" s="776"/>
      <c r="AN528" s="17"/>
      <c r="AO528" s="17"/>
      <c r="AP528" s="17"/>
      <c r="AQ528" s="17"/>
      <c r="AR528" s="17"/>
      <c r="AS528" s="17"/>
      <c r="AT528" s="17"/>
      <c r="AU528" s="732"/>
      <c r="AV528" s="313"/>
      <c r="AW528" s="313"/>
      <c r="AX528" s="313"/>
      <c r="AY528" s="313"/>
      <c r="AZ528" s="313"/>
      <c r="BA528" s="313"/>
      <c r="BB528" s="313"/>
      <c r="BC528" s="313"/>
      <c r="BD528" s="313"/>
      <c r="BE528" s="314"/>
      <c r="BW528" s="314"/>
      <c r="BX528" s="314"/>
      <c r="BY528" s="314"/>
      <c r="BZ528" s="314"/>
      <c r="CA528" s="314"/>
      <c r="CB528" s="314"/>
      <c r="CC528" s="314"/>
      <c r="CD528" s="314"/>
    </row>
    <row r="529" ht="28.5" customHeight="1">
      <c r="A529" s="767"/>
      <c r="B529" s="768"/>
      <c r="C529" s="768"/>
      <c r="D529" s="769"/>
      <c r="E529" s="769"/>
      <c r="F529" s="769"/>
      <c r="G529" s="336"/>
      <c r="H529" s="771"/>
      <c r="I529" s="769"/>
      <c r="J529" s="769"/>
      <c r="K529" s="314"/>
      <c r="L529" s="314"/>
      <c r="M529" s="314"/>
      <c r="N529" s="769"/>
      <c r="O529" s="769"/>
      <c r="P529" s="773"/>
      <c r="Q529" s="774"/>
      <c r="R529" s="774"/>
      <c r="S529" s="775"/>
      <c r="AH529" s="776"/>
      <c r="AI529" s="776"/>
      <c r="AJ529" s="732"/>
      <c r="AK529" s="732"/>
      <c r="AL529" s="776"/>
      <c r="AM529" s="776"/>
      <c r="AN529" s="17"/>
      <c r="AO529" s="17"/>
      <c r="AP529" s="17"/>
      <c r="AQ529" s="17"/>
      <c r="AR529" s="17"/>
      <c r="AS529" s="17"/>
      <c r="AT529" s="17"/>
      <c r="AU529" s="732"/>
      <c r="AV529" s="313"/>
      <c r="AW529" s="313"/>
      <c r="AX529" s="313"/>
      <c r="AY529" s="313"/>
      <c r="AZ529" s="313"/>
      <c r="BA529" s="313"/>
      <c r="BB529" s="313"/>
      <c r="BC529" s="313"/>
      <c r="BD529" s="313"/>
      <c r="BE529" s="314"/>
      <c r="BW529" s="314"/>
      <c r="BX529" s="314"/>
      <c r="BY529" s="314"/>
      <c r="BZ529" s="314"/>
      <c r="CA529" s="314"/>
      <c r="CB529" s="314"/>
      <c r="CC529" s="314"/>
      <c r="CD529" s="314"/>
    </row>
    <row r="530" ht="28.5" customHeight="1">
      <c r="A530" s="767"/>
      <c r="B530" s="768"/>
      <c r="C530" s="768"/>
      <c r="D530" s="769"/>
      <c r="E530" s="769"/>
      <c r="F530" s="769"/>
      <c r="G530" s="336"/>
      <c r="H530" s="771"/>
      <c r="I530" s="769"/>
      <c r="J530" s="769"/>
      <c r="K530" s="314"/>
      <c r="L530" s="314"/>
      <c r="M530" s="314"/>
      <c r="N530" s="769"/>
      <c r="O530" s="769"/>
      <c r="P530" s="773"/>
      <c r="Q530" s="774"/>
      <c r="R530" s="774"/>
      <c r="S530" s="775"/>
      <c r="AH530" s="776"/>
      <c r="AI530" s="776"/>
      <c r="AJ530" s="732"/>
      <c r="AK530" s="732"/>
      <c r="AL530" s="776"/>
      <c r="AM530" s="776"/>
      <c r="AN530" s="17"/>
      <c r="AO530" s="17"/>
      <c r="AP530" s="17"/>
      <c r="AQ530" s="17"/>
      <c r="AR530" s="17"/>
      <c r="AS530" s="17"/>
      <c r="AT530" s="17"/>
      <c r="AU530" s="732"/>
      <c r="AV530" s="313"/>
      <c r="AW530" s="313"/>
      <c r="AX530" s="313"/>
      <c r="AY530" s="313"/>
      <c r="AZ530" s="313"/>
      <c r="BA530" s="313"/>
      <c r="BB530" s="313"/>
      <c r="BC530" s="313"/>
      <c r="BD530" s="313"/>
      <c r="BE530" s="314"/>
      <c r="BW530" s="314"/>
      <c r="BX530" s="314"/>
      <c r="BY530" s="314"/>
      <c r="BZ530" s="314"/>
      <c r="CA530" s="314"/>
      <c r="CB530" s="314"/>
      <c r="CC530" s="314"/>
      <c r="CD530" s="314"/>
    </row>
    <row r="531" ht="28.5" customHeight="1">
      <c r="A531" s="767"/>
      <c r="B531" s="768"/>
      <c r="C531" s="768"/>
      <c r="D531" s="769"/>
      <c r="E531" s="769"/>
      <c r="F531" s="769"/>
      <c r="G531" s="336"/>
      <c r="H531" s="771"/>
      <c r="I531" s="769"/>
      <c r="J531" s="769"/>
      <c r="K531" s="314"/>
      <c r="L531" s="314"/>
      <c r="M531" s="314"/>
      <c r="N531" s="769"/>
      <c r="O531" s="769"/>
      <c r="P531" s="773"/>
      <c r="Q531" s="774"/>
      <c r="R531" s="774"/>
      <c r="S531" s="775"/>
      <c r="AH531" s="776"/>
      <c r="AI531" s="776"/>
      <c r="AJ531" s="732"/>
      <c r="AK531" s="732"/>
      <c r="AL531" s="776"/>
      <c r="AM531" s="776"/>
      <c r="AN531" s="17"/>
      <c r="AO531" s="17"/>
      <c r="AP531" s="17"/>
      <c r="AQ531" s="17"/>
      <c r="AR531" s="17"/>
      <c r="AS531" s="17"/>
      <c r="AT531" s="17"/>
      <c r="AU531" s="732"/>
      <c r="AV531" s="313"/>
      <c r="AW531" s="313"/>
      <c r="AX531" s="313"/>
      <c r="AY531" s="313"/>
      <c r="AZ531" s="313"/>
      <c r="BA531" s="313"/>
      <c r="BB531" s="313"/>
      <c r="BC531" s="313"/>
      <c r="BD531" s="313"/>
      <c r="BE531" s="314"/>
      <c r="BW531" s="314"/>
      <c r="BX531" s="314"/>
      <c r="BY531" s="314"/>
      <c r="BZ531" s="314"/>
      <c r="CA531" s="314"/>
      <c r="CB531" s="314"/>
      <c r="CC531" s="314"/>
      <c r="CD531" s="314"/>
    </row>
    <row r="532" ht="28.5" customHeight="1">
      <c r="A532" s="767"/>
      <c r="B532" s="768"/>
      <c r="C532" s="768"/>
      <c r="D532" s="769"/>
      <c r="E532" s="769"/>
      <c r="F532" s="769"/>
      <c r="G532" s="336"/>
      <c r="H532" s="771"/>
      <c r="I532" s="769"/>
      <c r="J532" s="769"/>
      <c r="K532" s="314"/>
      <c r="L532" s="314"/>
      <c r="M532" s="314"/>
      <c r="N532" s="769"/>
      <c r="O532" s="769"/>
      <c r="P532" s="773"/>
      <c r="Q532" s="774"/>
      <c r="R532" s="774"/>
      <c r="S532" s="775"/>
      <c r="AH532" s="776"/>
      <c r="AI532" s="776"/>
      <c r="AJ532" s="732"/>
      <c r="AK532" s="732"/>
      <c r="AL532" s="776"/>
      <c r="AM532" s="776"/>
      <c r="AN532" s="17"/>
      <c r="AO532" s="17"/>
      <c r="AP532" s="17"/>
      <c r="AQ532" s="17"/>
      <c r="AR532" s="17"/>
      <c r="AS532" s="17"/>
      <c r="AT532" s="17"/>
      <c r="AU532" s="732"/>
      <c r="AV532" s="313"/>
      <c r="AW532" s="313"/>
      <c r="AX532" s="313"/>
      <c r="AY532" s="313"/>
      <c r="AZ532" s="313"/>
      <c r="BA532" s="313"/>
      <c r="BB532" s="313"/>
      <c r="BC532" s="313"/>
      <c r="BD532" s="313"/>
      <c r="BE532" s="314"/>
      <c r="BW532" s="314"/>
      <c r="BX532" s="314"/>
      <c r="BY532" s="314"/>
      <c r="BZ532" s="314"/>
      <c r="CA532" s="314"/>
      <c r="CB532" s="314"/>
      <c r="CC532" s="314"/>
      <c r="CD532" s="314"/>
    </row>
    <row r="533" ht="28.5" customHeight="1">
      <c r="A533" s="767"/>
      <c r="B533" s="768"/>
      <c r="C533" s="768"/>
      <c r="D533" s="769"/>
      <c r="E533" s="769"/>
      <c r="F533" s="769"/>
      <c r="G533" s="336"/>
      <c r="H533" s="771"/>
      <c r="I533" s="769"/>
      <c r="J533" s="769"/>
      <c r="K533" s="314"/>
      <c r="L533" s="314"/>
      <c r="M533" s="314"/>
      <c r="N533" s="769"/>
      <c r="O533" s="769"/>
      <c r="P533" s="773"/>
      <c r="Q533" s="774"/>
      <c r="R533" s="774"/>
      <c r="S533" s="775"/>
      <c r="AH533" s="776"/>
      <c r="AI533" s="776"/>
      <c r="AJ533" s="732"/>
      <c r="AK533" s="732"/>
      <c r="AL533" s="776"/>
      <c r="AM533" s="776"/>
      <c r="AN533" s="17"/>
      <c r="AO533" s="17"/>
      <c r="AP533" s="17"/>
      <c r="AQ533" s="17"/>
      <c r="AR533" s="17"/>
      <c r="AS533" s="17"/>
      <c r="AT533" s="17"/>
      <c r="AU533" s="732"/>
      <c r="AV533" s="313"/>
      <c r="AW533" s="313"/>
      <c r="AX533" s="313"/>
      <c r="AY533" s="313"/>
      <c r="AZ533" s="313"/>
      <c r="BA533" s="313"/>
      <c r="BB533" s="313"/>
      <c r="BC533" s="313"/>
      <c r="BD533" s="313"/>
      <c r="BE533" s="314"/>
      <c r="BW533" s="314"/>
      <c r="BX533" s="314"/>
      <c r="BY533" s="314"/>
      <c r="BZ533" s="314"/>
      <c r="CA533" s="314"/>
      <c r="CB533" s="314"/>
      <c r="CC533" s="314"/>
      <c r="CD533" s="314"/>
    </row>
    <row r="534" ht="28.5" customHeight="1">
      <c r="A534" s="767"/>
      <c r="B534" s="768"/>
      <c r="C534" s="768"/>
      <c r="D534" s="769"/>
      <c r="E534" s="769"/>
      <c r="F534" s="769"/>
      <c r="G534" s="336"/>
      <c r="H534" s="771"/>
      <c r="I534" s="769"/>
      <c r="J534" s="769"/>
      <c r="K534" s="314"/>
      <c r="L534" s="314"/>
      <c r="M534" s="314"/>
      <c r="N534" s="769"/>
      <c r="O534" s="769"/>
      <c r="P534" s="773"/>
      <c r="Q534" s="774"/>
      <c r="R534" s="774"/>
      <c r="S534" s="775"/>
      <c r="AH534" s="776"/>
      <c r="AI534" s="776"/>
      <c r="AJ534" s="732"/>
      <c r="AK534" s="732"/>
      <c r="AL534" s="776"/>
      <c r="AM534" s="776"/>
      <c r="AN534" s="17"/>
      <c r="AO534" s="17"/>
      <c r="AP534" s="17"/>
      <c r="AQ534" s="17"/>
      <c r="AR534" s="17"/>
      <c r="AS534" s="17"/>
      <c r="AT534" s="17"/>
      <c r="AU534" s="732"/>
      <c r="AV534" s="313"/>
      <c r="AW534" s="313"/>
      <c r="AX534" s="313"/>
      <c r="AY534" s="313"/>
      <c r="AZ534" s="313"/>
      <c r="BA534" s="313"/>
      <c r="BB534" s="313"/>
      <c r="BC534" s="313"/>
      <c r="BD534" s="313"/>
      <c r="BE534" s="314"/>
      <c r="BW534" s="314"/>
      <c r="BX534" s="314"/>
      <c r="BY534" s="314"/>
      <c r="BZ534" s="314"/>
      <c r="CA534" s="314"/>
      <c r="CB534" s="314"/>
      <c r="CC534" s="314"/>
      <c r="CD534" s="314"/>
    </row>
    <row r="535" ht="28.5" customHeight="1">
      <c r="A535" s="767"/>
      <c r="B535" s="768"/>
      <c r="C535" s="768"/>
      <c r="D535" s="769"/>
      <c r="E535" s="769"/>
      <c r="F535" s="769"/>
      <c r="G535" s="336"/>
      <c r="H535" s="771"/>
      <c r="I535" s="769"/>
      <c r="J535" s="769"/>
      <c r="K535" s="314"/>
      <c r="L535" s="314"/>
      <c r="M535" s="314"/>
      <c r="N535" s="769"/>
      <c r="O535" s="769"/>
      <c r="P535" s="773"/>
      <c r="Q535" s="774"/>
      <c r="R535" s="774"/>
      <c r="S535" s="775"/>
      <c r="AH535" s="776"/>
      <c r="AI535" s="776"/>
      <c r="AJ535" s="732"/>
      <c r="AK535" s="732"/>
      <c r="AL535" s="776"/>
      <c r="AM535" s="776"/>
      <c r="AN535" s="17"/>
      <c r="AO535" s="17"/>
      <c r="AP535" s="17"/>
      <c r="AQ535" s="17"/>
      <c r="AR535" s="17"/>
      <c r="AS535" s="17"/>
      <c r="AT535" s="17"/>
      <c r="AU535" s="732"/>
      <c r="AV535" s="313"/>
      <c r="AW535" s="313"/>
      <c r="AX535" s="313"/>
      <c r="AY535" s="313"/>
      <c r="AZ535" s="313"/>
      <c r="BA535" s="313"/>
      <c r="BB535" s="313"/>
      <c r="BC535" s="313"/>
      <c r="BD535" s="313"/>
      <c r="BE535" s="314"/>
      <c r="BW535" s="314"/>
      <c r="BX535" s="314"/>
      <c r="BY535" s="314"/>
      <c r="BZ535" s="314"/>
      <c r="CA535" s="314"/>
      <c r="CB535" s="314"/>
      <c r="CC535" s="314"/>
      <c r="CD535" s="314"/>
    </row>
    <row r="536" ht="28.5" customHeight="1">
      <c r="A536" s="767"/>
      <c r="B536" s="768"/>
      <c r="C536" s="768"/>
      <c r="D536" s="769"/>
      <c r="E536" s="769"/>
      <c r="F536" s="769"/>
      <c r="G536" s="336"/>
      <c r="H536" s="771"/>
      <c r="I536" s="769"/>
      <c r="J536" s="769"/>
      <c r="K536" s="314"/>
      <c r="L536" s="314"/>
      <c r="M536" s="314"/>
      <c r="N536" s="769"/>
      <c r="O536" s="769"/>
      <c r="P536" s="773"/>
      <c r="Q536" s="774"/>
      <c r="R536" s="774"/>
      <c r="S536" s="775"/>
      <c r="AH536" s="776"/>
      <c r="AI536" s="776"/>
      <c r="AJ536" s="732"/>
      <c r="AK536" s="732"/>
      <c r="AL536" s="776"/>
      <c r="AM536" s="776"/>
      <c r="AN536" s="17"/>
      <c r="AO536" s="17"/>
      <c r="AP536" s="17"/>
      <c r="AQ536" s="17"/>
      <c r="AR536" s="17"/>
      <c r="AS536" s="17"/>
      <c r="AT536" s="17"/>
      <c r="AU536" s="732"/>
      <c r="AV536" s="313"/>
      <c r="AW536" s="313"/>
      <c r="AX536" s="313"/>
      <c r="AY536" s="313"/>
      <c r="AZ536" s="313"/>
      <c r="BA536" s="313"/>
      <c r="BB536" s="313"/>
      <c r="BC536" s="313"/>
      <c r="BD536" s="313"/>
      <c r="BE536" s="314"/>
      <c r="BW536" s="314"/>
      <c r="BX536" s="314"/>
      <c r="BY536" s="314"/>
      <c r="BZ536" s="314"/>
      <c r="CA536" s="314"/>
      <c r="CB536" s="314"/>
      <c r="CC536" s="314"/>
      <c r="CD536" s="314"/>
    </row>
    <row r="537" ht="28.5" customHeight="1">
      <c r="A537" s="767"/>
      <c r="B537" s="768"/>
      <c r="C537" s="768"/>
      <c r="D537" s="769"/>
      <c r="E537" s="769"/>
      <c r="F537" s="769"/>
      <c r="G537" s="336"/>
      <c r="H537" s="771"/>
      <c r="I537" s="769"/>
      <c r="J537" s="769"/>
      <c r="K537" s="314"/>
      <c r="L537" s="314"/>
      <c r="M537" s="314"/>
      <c r="N537" s="769"/>
      <c r="O537" s="769"/>
      <c r="P537" s="773"/>
      <c r="Q537" s="774"/>
      <c r="R537" s="774"/>
      <c r="S537" s="775"/>
      <c r="AH537" s="776"/>
      <c r="AI537" s="776"/>
      <c r="AJ537" s="732"/>
      <c r="AK537" s="732"/>
      <c r="AL537" s="776"/>
      <c r="AM537" s="776"/>
      <c r="AN537" s="17"/>
      <c r="AO537" s="17"/>
      <c r="AP537" s="17"/>
      <c r="AQ537" s="17"/>
      <c r="AR537" s="17"/>
      <c r="AS537" s="17"/>
      <c r="AT537" s="17"/>
      <c r="AU537" s="732"/>
      <c r="AV537" s="313"/>
      <c r="AW537" s="313"/>
      <c r="AX537" s="313"/>
      <c r="AY537" s="313"/>
      <c r="AZ537" s="313"/>
      <c r="BA537" s="313"/>
      <c r="BB537" s="313"/>
      <c r="BC537" s="313"/>
      <c r="BD537" s="313"/>
      <c r="BE537" s="314"/>
      <c r="BW537" s="314"/>
      <c r="BX537" s="314"/>
      <c r="BY537" s="314"/>
      <c r="BZ537" s="314"/>
      <c r="CA537" s="314"/>
      <c r="CB537" s="314"/>
      <c r="CC537" s="314"/>
      <c r="CD537" s="314"/>
    </row>
    <row r="538" ht="28.5" customHeight="1">
      <c r="A538" s="767"/>
      <c r="B538" s="768"/>
      <c r="C538" s="768"/>
      <c r="D538" s="769"/>
      <c r="E538" s="769"/>
      <c r="F538" s="769"/>
      <c r="G538" s="336"/>
      <c r="H538" s="771"/>
      <c r="I538" s="769"/>
      <c r="J538" s="769"/>
      <c r="K538" s="314"/>
      <c r="L538" s="314"/>
      <c r="M538" s="314"/>
      <c r="N538" s="769"/>
      <c r="O538" s="769"/>
      <c r="P538" s="773"/>
      <c r="Q538" s="774"/>
      <c r="R538" s="774"/>
      <c r="S538" s="775"/>
      <c r="AH538" s="776"/>
      <c r="AI538" s="776"/>
      <c r="AJ538" s="732"/>
      <c r="AK538" s="732"/>
      <c r="AL538" s="776"/>
      <c r="AM538" s="776"/>
      <c r="AN538" s="17"/>
      <c r="AO538" s="17"/>
      <c r="AP538" s="17"/>
      <c r="AQ538" s="17"/>
      <c r="AR538" s="17"/>
      <c r="AS538" s="17"/>
      <c r="AT538" s="17"/>
      <c r="AU538" s="732"/>
      <c r="AV538" s="313"/>
      <c r="AW538" s="313"/>
      <c r="AX538" s="313"/>
      <c r="AY538" s="313"/>
      <c r="AZ538" s="313"/>
      <c r="BA538" s="313"/>
      <c r="BB538" s="313"/>
      <c r="BC538" s="313"/>
      <c r="BD538" s="313"/>
      <c r="BE538" s="314"/>
      <c r="BW538" s="314"/>
      <c r="BX538" s="314"/>
      <c r="BY538" s="314"/>
      <c r="BZ538" s="314"/>
      <c r="CA538" s="314"/>
      <c r="CB538" s="314"/>
      <c r="CC538" s="314"/>
      <c r="CD538" s="314"/>
    </row>
    <row r="539" ht="28.5" customHeight="1">
      <c r="A539" s="767"/>
      <c r="B539" s="768"/>
      <c r="C539" s="768"/>
      <c r="D539" s="769"/>
      <c r="E539" s="769"/>
      <c r="F539" s="769"/>
      <c r="G539" s="336"/>
      <c r="H539" s="771"/>
      <c r="I539" s="769"/>
      <c r="J539" s="769"/>
      <c r="K539" s="314"/>
      <c r="L539" s="314"/>
      <c r="M539" s="314"/>
      <c r="N539" s="769"/>
      <c r="O539" s="769"/>
      <c r="P539" s="773"/>
      <c r="Q539" s="774"/>
      <c r="R539" s="774"/>
      <c r="S539" s="775"/>
      <c r="AH539" s="776"/>
      <c r="AI539" s="776"/>
      <c r="AJ539" s="732"/>
      <c r="AK539" s="732"/>
      <c r="AL539" s="776"/>
      <c r="AM539" s="776"/>
      <c r="AN539" s="17"/>
      <c r="AO539" s="17"/>
      <c r="AP539" s="17"/>
      <c r="AQ539" s="17"/>
      <c r="AR539" s="17"/>
      <c r="AS539" s="17"/>
      <c r="AT539" s="17"/>
      <c r="AU539" s="732"/>
      <c r="AV539" s="313"/>
      <c r="AW539" s="313"/>
      <c r="AX539" s="313"/>
      <c r="AY539" s="313"/>
      <c r="AZ539" s="313"/>
      <c r="BA539" s="313"/>
      <c r="BB539" s="313"/>
      <c r="BC539" s="313"/>
      <c r="BD539" s="313"/>
      <c r="BE539" s="314"/>
      <c r="BW539" s="314"/>
      <c r="BX539" s="314"/>
      <c r="BY539" s="314"/>
      <c r="BZ539" s="314"/>
      <c r="CA539" s="314"/>
      <c r="CB539" s="314"/>
      <c r="CC539" s="314"/>
      <c r="CD539" s="314"/>
    </row>
    <row r="540" ht="28.5" customHeight="1">
      <c r="A540" s="767"/>
      <c r="B540" s="768"/>
      <c r="C540" s="768"/>
      <c r="D540" s="769"/>
      <c r="E540" s="769"/>
      <c r="F540" s="769"/>
      <c r="G540" s="336"/>
      <c r="H540" s="771"/>
      <c r="I540" s="769"/>
      <c r="J540" s="769"/>
      <c r="K540" s="314"/>
      <c r="L540" s="314"/>
      <c r="M540" s="314"/>
      <c r="N540" s="769"/>
      <c r="O540" s="769"/>
      <c r="P540" s="773"/>
      <c r="Q540" s="774"/>
      <c r="R540" s="774"/>
      <c r="S540" s="775"/>
      <c r="AH540" s="776"/>
      <c r="AI540" s="776"/>
      <c r="AJ540" s="732"/>
      <c r="AK540" s="732"/>
      <c r="AL540" s="776"/>
      <c r="AM540" s="776"/>
      <c r="AN540" s="17"/>
      <c r="AO540" s="17"/>
      <c r="AP540" s="17"/>
      <c r="AQ540" s="17"/>
      <c r="AR540" s="17"/>
      <c r="AS540" s="17"/>
      <c r="AT540" s="17"/>
      <c r="AU540" s="732"/>
      <c r="AV540" s="313"/>
      <c r="AW540" s="313"/>
      <c r="AX540" s="313"/>
      <c r="AY540" s="313"/>
      <c r="AZ540" s="313"/>
      <c r="BA540" s="313"/>
      <c r="BB540" s="313"/>
      <c r="BC540" s="313"/>
      <c r="BD540" s="313"/>
      <c r="BE540" s="314"/>
      <c r="BW540" s="314"/>
      <c r="BX540" s="314"/>
      <c r="BY540" s="314"/>
      <c r="BZ540" s="314"/>
      <c r="CA540" s="314"/>
      <c r="CB540" s="314"/>
      <c r="CC540" s="314"/>
      <c r="CD540" s="314"/>
    </row>
    <row r="541" ht="28.5" customHeight="1">
      <c r="A541" s="767"/>
      <c r="B541" s="768"/>
      <c r="C541" s="768"/>
      <c r="D541" s="769"/>
      <c r="E541" s="769"/>
      <c r="F541" s="769"/>
      <c r="G541" s="336"/>
      <c r="H541" s="771"/>
      <c r="I541" s="769"/>
      <c r="J541" s="769"/>
      <c r="K541" s="314"/>
      <c r="L541" s="314"/>
      <c r="M541" s="314"/>
      <c r="N541" s="769"/>
      <c r="O541" s="769"/>
      <c r="P541" s="773"/>
      <c r="Q541" s="774"/>
      <c r="R541" s="774"/>
      <c r="S541" s="775"/>
      <c r="AH541" s="776"/>
      <c r="AI541" s="776"/>
      <c r="AJ541" s="732"/>
      <c r="AK541" s="732"/>
      <c r="AL541" s="776"/>
      <c r="AM541" s="776"/>
      <c r="AN541" s="17"/>
      <c r="AO541" s="17"/>
      <c r="AP541" s="17"/>
      <c r="AQ541" s="17"/>
      <c r="AR541" s="17"/>
      <c r="AS541" s="17"/>
      <c r="AT541" s="17"/>
      <c r="AU541" s="732"/>
      <c r="AV541" s="313"/>
      <c r="AW541" s="313"/>
      <c r="AX541" s="313"/>
      <c r="AY541" s="313"/>
      <c r="AZ541" s="313"/>
      <c r="BA541" s="313"/>
      <c r="BB541" s="313"/>
      <c r="BC541" s="313"/>
      <c r="BD541" s="313"/>
      <c r="BE541" s="314"/>
      <c r="BW541" s="314"/>
      <c r="BX541" s="314"/>
      <c r="BY541" s="314"/>
      <c r="BZ541" s="314"/>
      <c r="CA541" s="314"/>
      <c r="CB541" s="314"/>
      <c r="CC541" s="314"/>
      <c r="CD541" s="314"/>
    </row>
    <row r="542" ht="28.5" customHeight="1">
      <c r="A542" s="767"/>
      <c r="B542" s="768"/>
      <c r="C542" s="768"/>
      <c r="D542" s="769"/>
      <c r="E542" s="769"/>
      <c r="F542" s="769"/>
      <c r="G542" s="336"/>
      <c r="H542" s="771"/>
      <c r="I542" s="769"/>
      <c r="J542" s="769"/>
      <c r="K542" s="314"/>
      <c r="L542" s="314"/>
      <c r="M542" s="314"/>
      <c r="N542" s="769"/>
      <c r="O542" s="769"/>
      <c r="P542" s="773"/>
      <c r="Q542" s="774"/>
      <c r="R542" s="774"/>
      <c r="S542" s="775"/>
      <c r="AH542" s="776"/>
      <c r="AI542" s="776"/>
      <c r="AJ542" s="732"/>
      <c r="AK542" s="732"/>
      <c r="AL542" s="776"/>
      <c r="AM542" s="776"/>
      <c r="AN542" s="17"/>
      <c r="AO542" s="17"/>
      <c r="AP542" s="17"/>
      <c r="AQ542" s="17"/>
      <c r="AR542" s="17"/>
      <c r="AS542" s="17"/>
      <c r="AT542" s="17"/>
      <c r="AU542" s="732"/>
      <c r="AV542" s="313"/>
      <c r="AW542" s="313"/>
      <c r="AX542" s="313"/>
      <c r="AY542" s="313"/>
      <c r="AZ542" s="313"/>
      <c r="BA542" s="313"/>
      <c r="BB542" s="313"/>
      <c r="BC542" s="313"/>
      <c r="BD542" s="313"/>
      <c r="BE542" s="314"/>
      <c r="BW542" s="314"/>
      <c r="BX542" s="314"/>
      <c r="BY542" s="314"/>
      <c r="BZ542" s="314"/>
      <c r="CA542" s="314"/>
      <c r="CB542" s="314"/>
      <c r="CC542" s="314"/>
      <c r="CD542" s="314"/>
    </row>
    <row r="543" ht="28.5" customHeight="1">
      <c r="A543" s="767"/>
      <c r="B543" s="768"/>
      <c r="C543" s="768"/>
      <c r="D543" s="769"/>
      <c r="E543" s="769"/>
      <c r="F543" s="769"/>
      <c r="G543" s="336"/>
      <c r="H543" s="771"/>
      <c r="I543" s="769"/>
      <c r="J543" s="769"/>
      <c r="K543" s="314"/>
      <c r="L543" s="314"/>
      <c r="M543" s="314"/>
      <c r="N543" s="769"/>
      <c r="O543" s="769"/>
      <c r="P543" s="773"/>
      <c r="Q543" s="774"/>
      <c r="R543" s="774"/>
      <c r="S543" s="775"/>
      <c r="AH543" s="776"/>
      <c r="AI543" s="776"/>
      <c r="AJ543" s="732"/>
      <c r="AK543" s="732"/>
      <c r="AL543" s="776"/>
      <c r="AM543" s="776"/>
      <c r="AN543" s="17"/>
      <c r="AO543" s="17"/>
      <c r="AP543" s="17"/>
      <c r="AQ543" s="17"/>
      <c r="AR543" s="17"/>
      <c r="AS543" s="17"/>
      <c r="AT543" s="17"/>
      <c r="AU543" s="732"/>
      <c r="AV543" s="313"/>
      <c r="AW543" s="313"/>
      <c r="AX543" s="313"/>
      <c r="AY543" s="313"/>
      <c r="AZ543" s="313"/>
      <c r="BA543" s="313"/>
      <c r="BB543" s="313"/>
      <c r="BC543" s="313"/>
      <c r="BD543" s="313"/>
      <c r="BE543" s="314"/>
      <c r="BW543" s="314"/>
      <c r="BX543" s="314"/>
      <c r="BY543" s="314"/>
      <c r="BZ543" s="314"/>
      <c r="CA543" s="314"/>
      <c r="CB543" s="314"/>
      <c r="CC543" s="314"/>
      <c r="CD543" s="314"/>
    </row>
    <row r="544" ht="28.5" customHeight="1">
      <c r="A544" s="767"/>
      <c r="B544" s="768"/>
      <c r="C544" s="768"/>
      <c r="D544" s="769"/>
      <c r="E544" s="769"/>
      <c r="F544" s="769"/>
      <c r="G544" s="336"/>
      <c r="H544" s="771"/>
      <c r="I544" s="769"/>
      <c r="J544" s="769"/>
      <c r="K544" s="314"/>
      <c r="L544" s="314"/>
      <c r="M544" s="314"/>
      <c r="N544" s="769"/>
      <c r="O544" s="769"/>
      <c r="P544" s="773"/>
      <c r="Q544" s="774"/>
      <c r="R544" s="774"/>
      <c r="S544" s="775"/>
      <c r="AH544" s="776"/>
      <c r="AI544" s="776"/>
      <c r="AJ544" s="732"/>
      <c r="AK544" s="732"/>
      <c r="AL544" s="776"/>
      <c r="AM544" s="776"/>
      <c r="AN544" s="17"/>
      <c r="AO544" s="17"/>
      <c r="AP544" s="17"/>
      <c r="AQ544" s="17"/>
      <c r="AR544" s="17"/>
      <c r="AS544" s="17"/>
      <c r="AT544" s="17"/>
      <c r="AU544" s="732"/>
      <c r="AV544" s="313"/>
      <c r="AW544" s="313"/>
      <c r="AX544" s="313"/>
      <c r="AY544" s="313"/>
      <c r="AZ544" s="313"/>
      <c r="BA544" s="313"/>
      <c r="BB544" s="313"/>
      <c r="BC544" s="313"/>
      <c r="BD544" s="313"/>
      <c r="BE544" s="314"/>
      <c r="BW544" s="314"/>
      <c r="BX544" s="314"/>
      <c r="BY544" s="314"/>
      <c r="BZ544" s="314"/>
      <c r="CA544" s="314"/>
      <c r="CB544" s="314"/>
      <c r="CC544" s="314"/>
      <c r="CD544" s="314"/>
    </row>
    <row r="545" ht="28.5" customHeight="1">
      <c r="A545" s="767"/>
      <c r="B545" s="768"/>
      <c r="C545" s="768"/>
      <c r="D545" s="769"/>
      <c r="E545" s="769"/>
      <c r="F545" s="769"/>
      <c r="G545" s="336"/>
      <c r="H545" s="771"/>
      <c r="I545" s="769"/>
      <c r="J545" s="769"/>
      <c r="K545" s="314"/>
      <c r="L545" s="314"/>
      <c r="M545" s="314"/>
      <c r="N545" s="769"/>
      <c r="O545" s="769"/>
      <c r="P545" s="773"/>
      <c r="Q545" s="774"/>
      <c r="R545" s="774"/>
      <c r="S545" s="775"/>
      <c r="AH545" s="776"/>
      <c r="AI545" s="776"/>
      <c r="AJ545" s="732"/>
      <c r="AK545" s="732"/>
      <c r="AL545" s="776"/>
      <c r="AM545" s="776"/>
      <c r="AN545" s="17"/>
      <c r="AO545" s="17"/>
      <c r="AP545" s="17"/>
      <c r="AQ545" s="17"/>
      <c r="AR545" s="17"/>
      <c r="AS545" s="17"/>
      <c r="AT545" s="17"/>
      <c r="AU545" s="732"/>
      <c r="AV545" s="313"/>
      <c r="AW545" s="313"/>
      <c r="AX545" s="313"/>
      <c r="AY545" s="313"/>
      <c r="AZ545" s="313"/>
      <c r="BA545" s="313"/>
      <c r="BB545" s="313"/>
      <c r="BC545" s="313"/>
      <c r="BD545" s="313"/>
      <c r="BE545" s="314"/>
      <c r="BW545" s="314"/>
      <c r="BX545" s="314"/>
      <c r="BY545" s="314"/>
      <c r="BZ545" s="314"/>
      <c r="CA545" s="314"/>
      <c r="CB545" s="314"/>
      <c r="CC545" s="314"/>
      <c r="CD545" s="314"/>
    </row>
    <row r="546" ht="28.5" customHeight="1">
      <c r="A546" s="767"/>
      <c r="B546" s="768"/>
      <c r="C546" s="768"/>
      <c r="D546" s="769"/>
      <c r="E546" s="769"/>
      <c r="F546" s="769"/>
      <c r="G546" s="336"/>
      <c r="H546" s="771"/>
      <c r="I546" s="769"/>
      <c r="J546" s="769"/>
      <c r="K546" s="314"/>
      <c r="L546" s="314"/>
      <c r="M546" s="314"/>
      <c r="N546" s="769"/>
      <c r="O546" s="769"/>
      <c r="P546" s="773"/>
      <c r="Q546" s="774"/>
      <c r="R546" s="774"/>
      <c r="S546" s="775"/>
      <c r="AH546" s="776"/>
      <c r="AI546" s="776"/>
      <c r="AJ546" s="732"/>
      <c r="AK546" s="732"/>
      <c r="AL546" s="776"/>
      <c r="AM546" s="776"/>
      <c r="AN546" s="17"/>
      <c r="AO546" s="17"/>
      <c r="AP546" s="17"/>
      <c r="AQ546" s="17"/>
      <c r="AR546" s="17"/>
      <c r="AS546" s="17"/>
      <c r="AT546" s="17"/>
      <c r="AU546" s="732"/>
      <c r="AV546" s="313"/>
      <c r="AW546" s="313"/>
      <c r="AX546" s="313"/>
      <c r="AY546" s="313"/>
      <c r="AZ546" s="313"/>
      <c r="BA546" s="313"/>
      <c r="BB546" s="313"/>
      <c r="BC546" s="313"/>
      <c r="BD546" s="313"/>
      <c r="BE546" s="314"/>
      <c r="BW546" s="314"/>
      <c r="BX546" s="314"/>
      <c r="BY546" s="314"/>
      <c r="BZ546" s="314"/>
      <c r="CA546" s="314"/>
      <c r="CB546" s="314"/>
      <c r="CC546" s="314"/>
      <c r="CD546" s="314"/>
    </row>
    <row r="547" ht="28.5" customHeight="1">
      <c r="A547" s="767"/>
      <c r="B547" s="768"/>
      <c r="C547" s="768"/>
      <c r="D547" s="769"/>
      <c r="E547" s="769"/>
      <c r="F547" s="769"/>
      <c r="G547" s="336"/>
      <c r="H547" s="771"/>
      <c r="I547" s="769"/>
      <c r="J547" s="769"/>
      <c r="K547" s="314"/>
      <c r="L547" s="314"/>
      <c r="M547" s="314"/>
      <c r="N547" s="769"/>
      <c r="O547" s="769"/>
      <c r="P547" s="773"/>
      <c r="Q547" s="774"/>
      <c r="R547" s="774"/>
      <c r="S547" s="775"/>
      <c r="AH547" s="776"/>
      <c r="AI547" s="776"/>
      <c r="AJ547" s="732"/>
      <c r="AK547" s="732"/>
      <c r="AL547" s="776"/>
      <c r="AM547" s="776"/>
      <c r="AN547" s="17"/>
      <c r="AO547" s="17"/>
      <c r="AP547" s="17"/>
      <c r="AQ547" s="17"/>
      <c r="AR547" s="17"/>
      <c r="AS547" s="17"/>
      <c r="AT547" s="17"/>
      <c r="AU547" s="732"/>
      <c r="AV547" s="313"/>
      <c r="AW547" s="313"/>
      <c r="AX547" s="313"/>
      <c r="AY547" s="313"/>
      <c r="AZ547" s="313"/>
      <c r="BA547" s="313"/>
      <c r="BB547" s="313"/>
      <c r="BC547" s="313"/>
      <c r="BD547" s="313"/>
      <c r="BE547" s="314"/>
      <c r="BW547" s="314"/>
      <c r="BX547" s="314"/>
      <c r="BY547" s="314"/>
      <c r="BZ547" s="314"/>
      <c r="CA547" s="314"/>
      <c r="CB547" s="314"/>
      <c r="CC547" s="314"/>
      <c r="CD547" s="314"/>
    </row>
    <row r="548" ht="28.5" customHeight="1">
      <c r="A548" s="767"/>
      <c r="B548" s="768"/>
      <c r="C548" s="768"/>
      <c r="D548" s="769"/>
      <c r="E548" s="769"/>
      <c r="F548" s="769"/>
      <c r="G548" s="336"/>
      <c r="H548" s="771"/>
      <c r="I548" s="769"/>
      <c r="J548" s="769"/>
      <c r="K548" s="314"/>
      <c r="L548" s="314"/>
      <c r="M548" s="314"/>
      <c r="N548" s="769"/>
      <c r="O548" s="769"/>
      <c r="P548" s="773"/>
      <c r="Q548" s="774"/>
      <c r="R548" s="774"/>
      <c r="S548" s="775"/>
      <c r="AH548" s="776"/>
      <c r="AI548" s="776"/>
      <c r="AJ548" s="732"/>
      <c r="AK548" s="732"/>
      <c r="AL548" s="776"/>
      <c r="AM548" s="776"/>
      <c r="AN548" s="17"/>
      <c r="AO548" s="17"/>
      <c r="AP548" s="17"/>
      <c r="AQ548" s="17"/>
      <c r="AR548" s="17"/>
      <c r="AS548" s="17"/>
      <c r="AT548" s="17"/>
      <c r="AU548" s="732"/>
      <c r="AV548" s="313"/>
      <c r="AW548" s="313"/>
      <c r="AX548" s="313"/>
      <c r="AY548" s="313"/>
      <c r="AZ548" s="313"/>
      <c r="BA548" s="313"/>
      <c r="BB548" s="313"/>
      <c r="BC548" s="313"/>
      <c r="BD548" s="313"/>
      <c r="BE548" s="314"/>
      <c r="BW548" s="314"/>
      <c r="BX548" s="314"/>
      <c r="BY548" s="314"/>
      <c r="BZ548" s="314"/>
      <c r="CA548" s="314"/>
      <c r="CB548" s="314"/>
      <c r="CC548" s="314"/>
      <c r="CD548" s="314"/>
    </row>
    <row r="549" ht="28.5" customHeight="1">
      <c r="A549" s="767"/>
      <c r="B549" s="768"/>
      <c r="C549" s="768"/>
      <c r="D549" s="769"/>
      <c r="E549" s="769"/>
      <c r="F549" s="769"/>
      <c r="G549" s="336"/>
      <c r="H549" s="771"/>
      <c r="I549" s="769"/>
      <c r="J549" s="769"/>
      <c r="K549" s="314"/>
      <c r="L549" s="314"/>
      <c r="M549" s="314"/>
      <c r="N549" s="769"/>
      <c r="O549" s="769"/>
      <c r="P549" s="773"/>
      <c r="Q549" s="774"/>
      <c r="R549" s="774"/>
      <c r="S549" s="775"/>
      <c r="AH549" s="776"/>
      <c r="AI549" s="776"/>
      <c r="AJ549" s="732"/>
      <c r="AK549" s="732"/>
      <c r="AL549" s="776"/>
      <c r="AM549" s="776"/>
      <c r="AN549" s="17"/>
      <c r="AO549" s="17"/>
      <c r="AP549" s="17"/>
      <c r="AQ549" s="17"/>
      <c r="AR549" s="17"/>
      <c r="AS549" s="17"/>
      <c r="AT549" s="17"/>
      <c r="AU549" s="732"/>
      <c r="AV549" s="313"/>
      <c r="AW549" s="313"/>
      <c r="AX549" s="313"/>
      <c r="AY549" s="313"/>
      <c r="AZ549" s="313"/>
      <c r="BA549" s="313"/>
      <c r="BB549" s="313"/>
      <c r="BC549" s="313"/>
      <c r="BD549" s="313"/>
      <c r="BE549" s="314"/>
      <c r="BW549" s="314"/>
      <c r="BX549" s="314"/>
      <c r="BY549" s="314"/>
      <c r="BZ549" s="314"/>
      <c r="CA549" s="314"/>
      <c r="CB549" s="314"/>
      <c r="CC549" s="314"/>
      <c r="CD549" s="314"/>
    </row>
    <row r="550" ht="28.5" customHeight="1">
      <c r="A550" s="767"/>
      <c r="B550" s="768"/>
      <c r="C550" s="768"/>
      <c r="D550" s="769"/>
      <c r="E550" s="769"/>
      <c r="F550" s="769"/>
      <c r="G550" s="336"/>
      <c r="H550" s="771"/>
      <c r="I550" s="769"/>
      <c r="J550" s="769"/>
      <c r="K550" s="314"/>
      <c r="L550" s="314"/>
      <c r="M550" s="314"/>
      <c r="N550" s="769"/>
      <c r="O550" s="769"/>
      <c r="P550" s="773"/>
      <c r="Q550" s="774"/>
      <c r="R550" s="774"/>
      <c r="S550" s="775"/>
      <c r="AH550" s="776"/>
      <c r="AI550" s="776"/>
      <c r="AJ550" s="732"/>
      <c r="AK550" s="732"/>
      <c r="AL550" s="776"/>
      <c r="AM550" s="776"/>
      <c r="AN550" s="17"/>
      <c r="AO550" s="17"/>
      <c r="AP550" s="17"/>
      <c r="AQ550" s="17"/>
      <c r="AR550" s="17"/>
      <c r="AS550" s="17"/>
      <c r="AT550" s="17"/>
      <c r="AU550" s="732"/>
      <c r="AV550" s="313"/>
      <c r="AW550" s="313"/>
      <c r="AX550" s="313"/>
      <c r="AY550" s="313"/>
      <c r="AZ550" s="313"/>
      <c r="BA550" s="313"/>
      <c r="BB550" s="313"/>
      <c r="BC550" s="313"/>
      <c r="BD550" s="313"/>
      <c r="BE550" s="314"/>
      <c r="BW550" s="314"/>
      <c r="BX550" s="314"/>
      <c r="BY550" s="314"/>
      <c r="BZ550" s="314"/>
      <c r="CA550" s="314"/>
      <c r="CB550" s="314"/>
      <c r="CC550" s="314"/>
      <c r="CD550" s="314"/>
    </row>
    <row r="551" ht="28.5" customHeight="1">
      <c r="A551" s="767"/>
      <c r="B551" s="768"/>
      <c r="C551" s="768"/>
      <c r="D551" s="769"/>
      <c r="E551" s="769"/>
      <c r="F551" s="769"/>
      <c r="G551" s="336"/>
      <c r="H551" s="771"/>
      <c r="I551" s="769"/>
      <c r="J551" s="769"/>
      <c r="K551" s="314"/>
      <c r="L551" s="314"/>
      <c r="M551" s="314"/>
      <c r="N551" s="769"/>
      <c r="O551" s="769"/>
      <c r="P551" s="773"/>
      <c r="Q551" s="774"/>
      <c r="R551" s="774"/>
      <c r="S551" s="775"/>
      <c r="AH551" s="776"/>
      <c r="AI551" s="776"/>
      <c r="AJ551" s="732"/>
      <c r="AK551" s="732"/>
      <c r="AL551" s="776"/>
      <c r="AM551" s="776"/>
      <c r="AN551" s="17"/>
      <c r="AO551" s="17"/>
      <c r="AP551" s="17"/>
      <c r="AQ551" s="17"/>
      <c r="AR551" s="17"/>
      <c r="AS551" s="17"/>
      <c r="AT551" s="17"/>
      <c r="AU551" s="732"/>
      <c r="AV551" s="313"/>
      <c r="AW551" s="313"/>
      <c r="AX551" s="313"/>
      <c r="AY551" s="313"/>
      <c r="AZ551" s="313"/>
      <c r="BA551" s="313"/>
      <c r="BB551" s="313"/>
      <c r="BC551" s="313"/>
      <c r="BD551" s="313"/>
      <c r="BE551" s="314"/>
      <c r="BW551" s="314"/>
      <c r="BX551" s="314"/>
      <c r="BY551" s="314"/>
      <c r="BZ551" s="314"/>
      <c r="CA551" s="314"/>
      <c r="CB551" s="314"/>
      <c r="CC551" s="314"/>
      <c r="CD551" s="314"/>
    </row>
    <row r="552" ht="28.5" customHeight="1">
      <c r="A552" s="767"/>
      <c r="B552" s="768"/>
      <c r="C552" s="768"/>
      <c r="D552" s="769"/>
      <c r="E552" s="769"/>
      <c r="F552" s="769"/>
      <c r="G552" s="336"/>
      <c r="H552" s="771"/>
      <c r="I552" s="769"/>
      <c r="J552" s="769"/>
      <c r="K552" s="314"/>
      <c r="L552" s="314"/>
      <c r="M552" s="314"/>
      <c r="N552" s="769"/>
      <c r="O552" s="769"/>
      <c r="P552" s="773"/>
      <c r="Q552" s="774"/>
      <c r="R552" s="774"/>
      <c r="S552" s="775"/>
      <c r="AH552" s="776"/>
      <c r="AI552" s="776"/>
      <c r="AJ552" s="732"/>
      <c r="AK552" s="732"/>
      <c r="AL552" s="776"/>
      <c r="AM552" s="776"/>
      <c r="AN552" s="17"/>
      <c r="AO552" s="17"/>
      <c r="AP552" s="17"/>
      <c r="AQ552" s="17"/>
      <c r="AR552" s="17"/>
      <c r="AS552" s="17"/>
      <c r="AT552" s="17"/>
      <c r="AU552" s="732"/>
      <c r="AV552" s="313"/>
      <c r="AW552" s="313"/>
      <c r="AX552" s="313"/>
      <c r="AY552" s="313"/>
      <c r="AZ552" s="313"/>
      <c r="BA552" s="313"/>
      <c r="BB552" s="313"/>
      <c r="BC552" s="313"/>
      <c r="BD552" s="313"/>
      <c r="BE552" s="314"/>
      <c r="BW552" s="314"/>
      <c r="BX552" s="314"/>
      <c r="BY552" s="314"/>
      <c r="BZ552" s="314"/>
      <c r="CA552" s="314"/>
      <c r="CB552" s="314"/>
      <c r="CC552" s="314"/>
      <c r="CD552" s="314"/>
    </row>
    <row r="553" ht="28.5" customHeight="1">
      <c r="A553" s="767"/>
      <c r="B553" s="768"/>
      <c r="C553" s="768"/>
      <c r="D553" s="769"/>
      <c r="E553" s="769"/>
      <c r="F553" s="769"/>
      <c r="G553" s="336"/>
      <c r="H553" s="771"/>
      <c r="I553" s="769"/>
      <c r="J553" s="769"/>
      <c r="K553" s="314"/>
      <c r="L553" s="314"/>
      <c r="M553" s="314"/>
      <c r="N553" s="769"/>
      <c r="O553" s="769"/>
      <c r="P553" s="773"/>
      <c r="Q553" s="774"/>
      <c r="R553" s="774"/>
      <c r="S553" s="775"/>
      <c r="AH553" s="776"/>
      <c r="AI553" s="776"/>
      <c r="AJ553" s="732"/>
      <c r="AK553" s="732"/>
      <c r="AL553" s="776"/>
      <c r="AM553" s="776"/>
      <c r="AN553" s="17"/>
      <c r="AO553" s="17"/>
      <c r="AP553" s="17"/>
      <c r="AQ553" s="17"/>
      <c r="AR553" s="17"/>
      <c r="AS553" s="17"/>
      <c r="AT553" s="17"/>
      <c r="AU553" s="732"/>
      <c r="AV553" s="313"/>
      <c r="AW553" s="313"/>
      <c r="AX553" s="313"/>
      <c r="AY553" s="313"/>
      <c r="AZ553" s="313"/>
      <c r="BA553" s="313"/>
      <c r="BB553" s="313"/>
      <c r="BC553" s="313"/>
      <c r="BD553" s="313"/>
      <c r="BE553" s="314"/>
      <c r="BW553" s="314"/>
      <c r="BX553" s="314"/>
      <c r="BY553" s="314"/>
      <c r="BZ553" s="314"/>
      <c r="CA553" s="314"/>
      <c r="CB553" s="314"/>
      <c r="CC553" s="314"/>
      <c r="CD553" s="314"/>
    </row>
    <row r="554" ht="28.5" customHeight="1">
      <c r="A554" s="767"/>
      <c r="B554" s="768"/>
      <c r="C554" s="768"/>
      <c r="D554" s="769"/>
      <c r="E554" s="769"/>
      <c r="F554" s="769"/>
      <c r="G554" s="336"/>
      <c r="H554" s="771"/>
      <c r="I554" s="769"/>
      <c r="J554" s="769"/>
      <c r="K554" s="314"/>
      <c r="L554" s="314"/>
      <c r="M554" s="314"/>
      <c r="N554" s="769"/>
      <c r="O554" s="769"/>
      <c r="P554" s="773"/>
      <c r="Q554" s="774"/>
      <c r="R554" s="774"/>
      <c r="S554" s="775"/>
      <c r="AH554" s="776"/>
      <c r="AI554" s="776"/>
      <c r="AJ554" s="732"/>
      <c r="AK554" s="732"/>
      <c r="AL554" s="776"/>
      <c r="AM554" s="776"/>
      <c r="AN554" s="17"/>
      <c r="AO554" s="17"/>
      <c r="AP554" s="17"/>
      <c r="AQ554" s="17"/>
      <c r="AR554" s="17"/>
      <c r="AS554" s="17"/>
      <c r="AT554" s="17"/>
      <c r="AU554" s="732"/>
      <c r="AV554" s="313"/>
      <c r="AW554" s="313"/>
      <c r="AX554" s="313"/>
      <c r="AY554" s="313"/>
      <c r="AZ554" s="313"/>
      <c r="BA554" s="313"/>
      <c r="BB554" s="313"/>
      <c r="BC554" s="313"/>
      <c r="BD554" s="313"/>
      <c r="BE554" s="314"/>
      <c r="BW554" s="314"/>
      <c r="BX554" s="314"/>
      <c r="BY554" s="314"/>
      <c r="BZ554" s="314"/>
      <c r="CA554" s="314"/>
      <c r="CB554" s="314"/>
      <c r="CC554" s="314"/>
      <c r="CD554" s="314"/>
    </row>
    <row r="555" ht="28.5" customHeight="1">
      <c r="A555" s="767"/>
      <c r="B555" s="768"/>
      <c r="C555" s="768"/>
      <c r="D555" s="769"/>
      <c r="E555" s="769"/>
      <c r="F555" s="769"/>
      <c r="G555" s="336"/>
      <c r="H555" s="771"/>
      <c r="I555" s="769"/>
      <c r="J555" s="769"/>
      <c r="K555" s="314"/>
      <c r="L555" s="314"/>
      <c r="M555" s="314"/>
      <c r="N555" s="769"/>
      <c r="O555" s="769"/>
      <c r="P555" s="773"/>
      <c r="Q555" s="774"/>
      <c r="R555" s="774"/>
      <c r="S555" s="775"/>
      <c r="AH555" s="776"/>
      <c r="AI555" s="776"/>
      <c r="AJ555" s="732"/>
      <c r="AK555" s="732"/>
      <c r="AL555" s="776"/>
      <c r="AM555" s="776"/>
      <c r="AN555" s="17"/>
      <c r="AO555" s="17"/>
      <c r="AP555" s="17"/>
      <c r="AQ555" s="17"/>
      <c r="AR555" s="17"/>
      <c r="AS555" s="17"/>
      <c r="AT555" s="17"/>
      <c r="AU555" s="732"/>
      <c r="AV555" s="313"/>
      <c r="AW555" s="313"/>
      <c r="AX555" s="313"/>
      <c r="AY555" s="313"/>
      <c r="AZ555" s="313"/>
      <c r="BA555" s="313"/>
      <c r="BB555" s="313"/>
      <c r="BC555" s="313"/>
      <c r="BD555" s="313"/>
      <c r="BE555" s="314"/>
      <c r="BW555" s="314"/>
      <c r="BX555" s="314"/>
      <c r="BY555" s="314"/>
      <c r="BZ555" s="314"/>
      <c r="CA555" s="314"/>
      <c r="CB555" s="314"/>
      <c r="CC555" s="314"/>
      <c r="CD555" s="314"/>
    </row>
    <row r="556" ht="28.5" customHeight="1">
      <c r="A556" s="767"/>
      <c r="B556" s="768"/>
      <c r="C556" s="768"/>
      <c r="D556" s="769"/>
      <c r="E556" s="769"/>
      <c r="F556" s="769"/>
      <c r="G556" s="336"/>
      <c r="H556" s="771"/>
      <c r="I556" s="769"/>
      <c r="J556" s="769"/>
      <c r="K556" s="314"/>
      <c r="L556" s="314"/>
      <c r="M556" s="314"/>
      <c r="N556" s="769"/>
      <c r="O556" s="769"/>
      <c r="P556" s="773"/>
      <c r="Q556" s="774"/>
      <c r="R556" s="774"/>
      <c r="S556" s="775"/>
      <c r="AH556" s="776"/>
      <c r="AI556" s="776"/>
      <c r="AJ556" s="732"/>
      <c r="AK556" s="732"/>
      <c r="AL556" s="776"/>
      <c r="AM556" s="776"/>
      <c r="AN556" s="17"/>
      <c r="AO556" s="17"/>
      <c r="AP556" s="17"/>
      <c r="AQ556" s="17"/>
      <c r="AR556" s="17"/>
      <c r="AS556" s="17"/>
      <c r="AT556" s="17"/>
      <c r="AU556" s="732"/>
      <c r="AV556" s="313"/>
      <c r="AW556" s="313"/>
      <c r="AX556" s="313"/>
      <c r="AY556" s="313"/>
      <c r="AZ556" s="313"/>
      <c r="BA556" s="313"/>
      <c r="BB556" s="313"/>
      <c r="BC556" s="313"/>
      <c r="BD556" s="313"/>
      <c r="BE556" s="314"/>
      <c r="BW556" s="314"/>
      <c r="BX556" s="314"/>
      <c r="BY556" s="314"/>
      <c r="BZ556" s="314"/>
      <c r="CA556" s="314"/>
      <c r="CB556" s="314"/>
      <c r="CC556" s="314"/>
      <c r="CD556" s="314"/>
    </row>
    <row r="557" ht="28.5" customHeight="1">
      <c r="A557" s="767"/>
      <c r="B557" s="768"/>
      <c r="C557" s="768"/>
      <c r="D557" s="769"/>
      <c r="E557" s="769"/>
      <c r="F557" s="769"/>
      <c r="G557" s="336"/>
      <c r="H557" s="771"/>
      <c r="I557" s="769"/>
      <c r="J557" s="769"/>
      <c r="K557" s="314"/>
      <c r="L557" s="314"/>
      <c r="M557" s="314"/>
      <c r="N557" s="769"/>
      <c r="O557" s="769"/>
      <c r="P557" s="773"/>
      <c r="Q557" s="774"/>
      <c r="R557" s="774"/>
      <c r="S557" s="775"/>
      <c r="AH557" s="776"/>
      <c r="AI557" s="776"/>
      <c r="AJ557" s="732"/>
      <c r="AK557" s="732"/>
      <c r="AL557" s="776"/>
      <c r="AM557" s="776"/>
      <c r="AN557" s="17"/>
      <c r="AO557" s="17"/>
      <c r="AP557" s="17"/>
      <c r="AQ557" s="17"/>
      <c r="AR557" s="17"/>
      <c r="AS557" s="17"/>
      <c r="AT557" s="17"/>
      <c r="AU557" s="732"/>
      <c r="AV557" s="313"/>
      <c r="AW557" s="313"/>
      <c r="AX557" s="313"/>
      <c r="AY557" s="313"/>
      <c r="AZ557" s="313"/>
      <c r="BA557" s="313"/>
      <c r="BB557" s="313"/>
      <c r="BC557" s="313"/>
      <c r="BD557" s="313"/>
      <c r="BE557" s="314"/>
      <c r="BW557" s="314"/>
      <c r="BX557" s="314"/>
      <c r="BY557" s="314"/>
      <c r="BZ557" s="314"/>
      <c r="CA557" s="314"/>
      <c r="CB557" s="314"/>
      <c r="CC557" s="314"/>
      <c r="CD557" s="314"/>
    </row>
    <row r="558" ht="28.5" customHeight="1">
      <c r="A558" s="767"/>
      <c r="B558" s="768"/>
      <c r="C558" s="768"/>
      <c r="D558" s="769"/>
      <c r="E558" s="769"/>
      <c r="F558" s="769"/>
      <c r="G558" s="336"/>
      <c r="H558" s="771"/>
      <c r="I558" s="769"/>
      <c r="J558" s="769"/>
      <c r="K558" s="314"/>
      <c r="L558" s="314"/>
      <c r="M558" s="314"/>
      <c r="N558" s="769"/>
      <c r="O558" s="769"/>
      <c r="P558" s="773"/>
      <c r="Q558" s="774"/>
      <c r="R558" s="774"/>
      <c r="S558" s="775"/>
      <c r="AH558" s="776"/>
      <c r="AI558" s="776"/>
      <c r="AJ558" s="732"/>
      <c r="AK558" s="732"/>
      <c r="AL558" s="776"/>
      <c r="AM558" s="776"/>
      <c r="AN558" s="17"/>
      <c r="AO558" s="17"/>
      <c r="AP558" s="17"/>
      <c r="AQ558" s="17"/>
      <c r="AR558" s="17"/>
      <c r="AS558" s="17"/>
      <c r="AT558" s="17"/>
      <c r="AU558" s="732"/>
      <c r="AV558" s="313"/>
      <c r="AW558" s="313"/>
      <c r="AX558" s="313"/>
      <c r="AY558" s="313"/>
      <c r="AZ558" s="313"/>
      <c r="BA558" s="313"/>
      <c r="BB558" s="313"/>
      <c r="BC558" s="313"/>
      <c r="BD558" s="313"/>
      <c r="BE558" s="314"/>
      <c r="BW558" s="314"/>
      <c r="BX558" s="314"/>
      <c r="BY558" s="314"/>
      <c r="BZ558" s="314"/>
      <c r="CA558" s="314"/>
      <c r="CB558" s="314"/>
      <c r="CC558" s="314"/>
      <c r="CD558" s="314"/>
    </row>
    <row r="559" ht="28.5" customHeight="1">
      <c r="A559" s="767"/>
      <c r="B559" s="768"/>
      <c r="C559" s="768"/>
      <c r="D559" s="769"/>
      <c r="E559" s="769"/>
      <c r="F559" s="769"/>
      <c r="G559" s="336"/>
      <c r="H559" s="771"/>
      <c r="I559" s="769"/>
      <c r="J559" s="769"/>
      <c r="K559" s="314"/>
      <c r="L559" s="314"/>
      <c r="M559" s="314"/>
      <c r="N559" s="769"/>
      <c r="O559" s="769"/>
      <c r="P559" s="773"/>
      <c r="Q559" s="774"/>
      <c r="R559" s="774"/>
      <c r="S559" s="775"/>
      <c r="AH559" s="776"/>
      <c r="AI559" s="776"/>
      <c r="AJ559" s="732"/>
      <c r="AK559" s="732"/>
      <c r="AL559" s="776"/>
      <c r="AM559" s="776"/>
      <c r="AN559" s="17"/>
      <c r="AO559" s="17"/>
      <c r="AP559" s="17"/>
      <c r="AQ559" s="17"/>
      <c r="AR559" s="17"/>
      <c r="AS559" s="17"/>
      <c r="AT559" s="17"/>
      <c r="AU559" s="732"/>
      <c r="AV559" s="313"/>
      <c r="AW559" s="313"/>
      <c r="AX559" s="313"/>
      <c r="AY559" s="313"/>
      <c r="AZ559" s="313"/>
      <c r="BA559" s="313"/>
      <c r="BB559" s="313"/>
      <c r="BC559" s="313"/>
      <c r="BD559" s="313"/>
      <c r="BE559" s="314"/>
      <c r="BW559" s="314"/>
      <c r="BX559" s="314"/>
      <c r="BY559" s="314"/>
      <c r="BZ559" s="314"/>
      <c r="CA559" s="314"/>
      <c r="CB559" s="314"/>
      <c r="CC559" s="314"/>
      <c r="CD559" s="314"/>
    </row>
    <row r="560" ht="28.5" customHeight="1">
      <c r="A560" s="767"/>
      <c r="B560" s="768"/>
      <c r="C560" s="768"/>
      <c r="D560" s="769"/>
      <c r="E560" s="769"/>
      <c r="F560" s="769"/>
      <c r="G560" s="336"/>
      <c r="H560" s="771"/>
      <c r="I560" s="769"/>
      <c r="J560" s="769"/>
      <c r="K560" s="314"/>
      <c r="L560" s="314"/>
      <c r="M560" s="314"/>
      <c r="N560" s="769"/>
      <c r="O560" s="769"/>
      <c r="P560" s="773"/>
      <c r="Q560" s="774"/>
      <c r="R560" s="774"/>
      <c r="S560" s="775"/>
      <c r="AH560" s="776"/>
      <c r="AI560" s="776"/>
      <c r="AJ560" s="732"/>
      <c r="AK560" s="732"/>
      <c r="AL560" s="776"/>
      <c r="AM560" s="776"/>
      <c r="AN560" s="17"/>
      <c r="AO560" s="17"/>
      <c r="AP560" s="17"/>
      <c r="AQ560" s="17"/>
      <c r="AR560" s="17"/>
      <c r="AS560" s="17"/>
      <c r="AT560" s="17"/>
      <c r="AU560" s="732"/>
      <c r="AV560" s="313"/>
      <c r="AW560" s="313"/>
      <c r="AX560" s="313"/>
      <c r="AY560" s="313"/>
      <c r="AZ560" s="313"/>
      <c r="BA560" s="313"/>
      <c r="BB560" s="313"/>
      <c r="BC560" s="313"/>
      <c r="BD560" s="313"/>
      <c r="BE560" s="314"/>
      <c r="BW560" s="314"/>
      <c r="BX560" s="314"/>
      <c r="BY560" s="314"/>
      <c r="BZ560" s="314"/>
      <c r="CA560" s="314"/>
      <c r="CB560" s="314"/>
      <c r="CC560" s="314"/>
      <c r="CD560" s="314"/>
    </row>
    <row r="561" ht="28.5" customHeight="1">
      <c r="A561" s="767"/>
      <c r="B561" s="768"/>
      <c r="C561" s="768"/>
      <c r="D561" s="769"/>
      <c r="E561" s="769"/>
      <c r="F561" s="769"/>
      <c r="G561" s="336"/>
      <c r="H561" s="771"/>
      <c r="I561" s="769"/>
      <c r="J561" s="769"/>
      <c r="K561" s="314"/>
      <c r="L561" s="314"/>
      <c r="M561" s="314"/>
      <c r="N561" s="769"/>
      <c r="O561" s="769"/>
      <c r="P561" s="773"/>
      <c r="Q561" s="774"/>
      <c r="R561" s="774"/>
      <c r="S561" s="775"/>
      <c r="AH561" s="776"/>
      <c r="AI561" s="776"/>
      <c r="AJ561" s="732"/>
      <c r="AK561" s="732"/>
      <c r="AL561" s="776"/>
      <c r="AM561" s="776"/>
      <c r="AN561" s="17"/>
      <c r="AO561" s="17"/>
      <c r="AP561" s="17"/>
      <c r="AQ561" s="17"/>
      <c r="AR561" s="17"/>
      <c r="AS561" s="17"/>
      <c r="AT561" s="17"/>
      <c r="AU561" s="732"/>
      <c r="AV561" s="313"/>
      <c r="AW561" s="313"/>
      <c r="AX561" s="313"/>
      <c r="AY561" s="313"/>
      <c r="AZ561" s="313"/>
      <c r="BA561" s="313"/>
      <c r="BB561" s="313"/>
      <c r="BC561" s="313"/>
      <c r="BD561" s="313"/>
      <c r="BE561" s="314"/>
      <c r="BW561" s="314"/>
      <c r="BX561" s="314"/>
      <c r="BY561" s="314"/>
      <c r="BZ561" s="314"/>
      <c r="CA561" s="314"/>
      <c r="CB561" s="314"/>
      <c r="CC561" s="314"/>
      <c r="CD561" s="314"/>
    </row>
    <row r="562" ht="28.5" customHeight="1">
      <c r="A562" s="767"/>
      <c r="B562" s="768"/>
      <c r="C562" s="768"/>
      <c r="D562" s="769"/>
      <c r="E562" s="769"/>
      <c r="F562" s="769"/>
      <c r="G562" s="336"/>
      <c r="H562" s="771"/>
      <c r="I562" s="769"/>
      <c r="J562" s="769"/>
      <c r="K562" s="314"/>
      <c r="L562" s="314"/>
      <c r="M562" s="314"/>
      <c r="N562" s="769"/>
      <c r="O562" s="769"/>
      <c r="P562" s="773"/>
      <c r="Q562" s="774"/>
      <c r="R562" s="774"/>
      <c r="S562" s="775"/>
      <c r="AH562" s="776"/>
      <c r="AI562" s="776"/>
      <c r="AJ562" s="732"/>
      <c r="AK562" s="732"/>
      <c r="AL562" s="776"/>
      <c r="AM562" s="776"/>
      <c r="AN562" s="17"/>
      <c r="AO562" s="17"/>
      <c r="AP562" s="17"/>
      <c r="AQ562" s="17"/>
      <c r="AR562" s="17"/>
      <c r="AS562" s="17"/>
      <c r="AT562" s="17"/>
      <c r="AU562" s="732"/>
      <c r="AV562" s="313"/>
      <c r="AW562" s="313"/>
      <c r="AX562" s="313"/>
      <c r="AY562" s="313"/>
      <c r="AZ562" s="313"/>
      <c r="BA562" s="313"/>
      <c r="BB562" s="313"/>
      <c r="BC562" s="313"/>
      <c r="BD562" s="313"/>
      <c r="BE562" s="314"/>
      <c r="BW562" s="314"/>
      <c r="BX562" s="314"/>
      <c r="BY562" s="314"/>
      <c r="BZ562" s="314"/>
      <c r="CA562" s="314"/>
      <c r="CB562" s="314"/>
      <c r="CC562" s="314"/>
      <c r="CD562" s="314"/>
    </row>
    <row r="563" ht="28.5" customHeight="1">
      <c r="A563" s="767"/>
      <c r="B563" s="768"/>
      <c r="C563" s="768"/>
      <c r="D563" s="769"/>
      <c r="E563" s="769"/>
      <c r="F563" s="769"/>
      <c r="G563" s="336"/>
      <c r="H563" s="771"/>
      <c r="I563" s="769"/>
      <c r="J563" s="769"/>
      <c r="K563" s="314"/>
      <c r="L563" s="314"/>
      <c r="M563" s="314"/>
      <c r="N563" s="769"/>
      <c r="O563" s="769"/>
      <c r="P563" s="773"/>
      <c r="Q563" s="774"/>
      <c r="R563" s="774"/>
      <c r="S563" s="775"/>
      <c r="AH563" s="776"/>
      <c r="AI563" s="776"/>
      <c r="AJ563" s="732"/>
      <c r="AK563" s="732"/>
      <c r="AL563" s="776"/>
      <c r="AM563" s="776"/>
      <c r="AN563" s="17"/>
      <c r="AO563" s="17"/>
      <c r="AP563" s="17"/>
      <c r="AQ563" s="17"/>
      <c r="AR563" s="17"/>
      <c r="AS563" s="17"/>
      <c r="AT563" s="17"/>
      <c r="AU563" s="732"/>
      <c r="AV563" s="313"/>
      <c r="AW563" s="313"/>
      <c r="AX563" s="313"/>
      <c r="AY563" s="313"/>
      <c r="AZ563" s="313"/>
      <c r="BA563" s="313"/>
      <c r="BB563" s="313"/>
      <c r="BC563" s="313"/>
      <c r="BD563" s="313"/>
      <c r="BE563" s="314"/>
      <c r="BW563" s="314"/>
      <c r="BX563" s="314"/>
      <c r="BY563" s="314"/>
      <c r="BZ563" s="314"/>
      <c r="CA563" s="314"/>
      <c r="CB563" s="314"/>
      <c r="CC563" s="314"/>
      <c r="CD563" s="314"/>
    </row>
    <row r="564" ht="28.5" customHeight="1">
      <c r="A564" s="767"/>
      <c r="B564" s="768"/>
      <c r="C564" s="768"/>
      <c r="D564" s="769"/>
      <c r="E564" s="769"/>
      <c r="F564" s="769"/>
      <c r="G564" s="336"/>
      <c r="H564" s="771"/>
      <c r="I564" s="769"/>
      <c r="J564" s="769"/>
      <c r="K564" s="314"/>
      <c r="L564" s="314"/>
      <c r="M564" s="314"/>
      <c r="N564" s="769"/>
      <c r="O564" s="769"/>
      <c r="P564" s="773"/>
      <c r="Q564" s="774"/>
      <c r="R564" s="774"/>
      <c r="S564" s="775"/>
      <c r="AH564" s="776"/>
      <c r="AI564" s="776"/>
      <c r="AJ564" s="732"/>
      <c r="AK564" s="732"/>
      <c r="AL564" s="776"/>
      <c r="AM564" s="776"/>
      <c r="AN564" s="17"/>
      <c r="AO564" s="17"/>
      <c r="AP564" s="17"/>
      <c r="AQ564" s="17"/>
      <c r="AR564" s="17"/>
      <c r="AS564" s="17"/>
      <c r="AT564" s="17"/>
      <c r="AU564" s="732"/>
      <c r="AV564" s="313"/>
      <c r="AW564" s="313"/>
      <c r="AX564" s="313"/>
      <c r="AY564" s="313"/>
      <c r="AZ564" s="313"/>
      <c r="BA564" s="313"/>
      <c r="BB564" s="313"/>
      <c r="BC564" s="313"/>
      <c r="BD564" s="313"/>
      <c r="BE564" s="314"/>
      <c r="BW564" s="314"/>
      <c r="BX564" s="314"/>
      <c r="BY564" s="314"/>
      <c r="BZ564" s="314"/>
      <c r="CA564" s="314"/>
      <c r="CB564" s="314"/>
      <c r="CC564" s="314"/>
      <c r="CD564" s="314"/>
    </row>
    <row r="565" ht="28.5" customHeight="1">
      <c r="A565" s="767"/>
      <c r="B565" s="768"/>
      <c r="C565" s="768"/>
      <c r="D565" s="769"/>
      <c r="E565" s="769"/>
      <c r="F565" s="769"/>
      <c r="G565" s="336"/>
      <c r="H565" s="771"/>
      <c r="I565" s="769"/>
      <c r="J565" s="769"/>
      <c r="K565" s="314"/>
      <c r="L565" s="314"/>
      <c r="M565" s="314"/>
      <c r="N565" s="769"/>
      <c r="O565" s="769"/>
      <c r="P565" s="773"/>
      <c r="Q565" s="774"/>
      <c r="R565" s="774"/>
      <c r="S565" s="775"/>
      <c r="AH565" s="776"/>
      <c r="AI565" s="776"/>
      <c r="AJ565" s="732"/>
      <c r="AK565" s="732"/>
      <c r="AL565" s="776"/>
      <c r="AM565" s="776"/>
      <c r="AN565" s="17"/>
      <c r="AO565" s="17"/>
      <c r="AP565" s="17"/>
      <c r="AQ565" s="17"/>
      <c r="AR565" s="17"/>
      <c r="AS565" s="17"/>
      <c r="AT565" s="17"/>
      <c r="AU565" s="732"/>
      <c r="AV565" s="313"/>
      <c r="AW565" s="313"/>
      <c r="AX565" s="313"/>
      <c r="AY565" s="313"/>
      <c r="AZ565" s="313"/>
      <c r="BA565" s="313"/>
      <c r="BB565" s="313"/>
      <c r="BC565" s="313"/>
      <c r="BD565" s="313"/>
      <c r="BE565" s="314"/>
      <c r="BW565" s="314"/>
      <c r="BX565" s="314"/>
      <c r="BY565" s="314"/>
      <c r="BZ565" s="314"/>
      <c r="CA565" s="314"/>
      <c r="CB565" s="314"/>
      <c r="CC565" s="314"/>
      <c r="CD565" s="314"/>
    </row>
    <row r="566" ht="28.5" customHeight="1">
      <c r="A566" s="767"/>
      <c r="B566" s="768"/>
      <c r="C566" s="768"/>
      <c r="D566" s="769"/>
      <c r="E566" s="769"/>
      <c r="F566" s="769"/>
      <c r="G566" s="336"/>
      <c r="H566" s="771"/>
      <c r="I566" s="769"/>
      <c r="J566" s="769"/>
      <c r="K566" s="314"/>
      <c r="L566" s="314"/>
      <c r="M566" s="314"/>
      <c r="N566" s="769"/>
      <c r="O566" s="769"/>
      <c r="P566" s="773"/>
      <c r="Q566" s="774"/>
      <c r="R566" s="774"/>
      <c r="S566" s="775"/>
      <c r="AH566" s="776"/>
      <c r="AI566" s="776"/>
      <c r="AJ566" s="732"/>
      <c r="AK566" s="732"/>
      <c r="AL566" s="776"/>
      <c r="AM566" s="776"/>
      <c r="AN566" s="17"/>
      <c r="AO566" s="17"/>
      <c r="AP566" s="17"/>
      <c r="AQ566" s="17"/>
      <c r="AR566" s="17"/>
      <c r="AS566" s="17"/>
      <c r="AT566" s="17"/>
      <c r="AU566" s="732"/>
      <c r="AV566" s="313"/>
      <c r="AW566" s="313"/>
      <c r="AX566" s="313"/>
      <c r="AY566" s="313"/>
      <c r="AZ566" s="313"/>
      <c r="BA566" s="313"/>
      <c r="BB566" s="313"/>
      <c r="BC566" s="313"/>
      <c r="BD566" s="313"/>
      <c r="BE566" s="314"/>
      <c r="BW566" s="314"/>
      <c r="BX566" s="314"/>
      <c r="BY566" s="314"/>
      <c r="BZ566" s="314"/>
      <c r="CA566" s="314"/>
      <c r="CB566" s="314"/>
      <c r="CC566" s="314"/>
      <c r="CD566" s="314"/>
    </row>
    <row r="567" ht="28.5" customHeight="1">
      <c r="A567" s="767"/>
      <c r="B567" s="768"/>
      <c r="C567" s="768"/>
      <c r="D567" s="769"/>
      <c r="E567" s="769"/>
      <c r="F567" s="769"/>
      <c r="G567" s="336"/>
      <c r="H567" s="771"/>
      <c r="I567" s="769"/>
      <c r="J567" s="769"/>
      <c r="K567" s="314"/>
      <c r="L567" s="314"/>
      <c r="M567" s="314"/>
      <c r="N567" s="769"/>
      <c r="O567" s="769"/>
      <c r="P567" s="773"/>
      <c r="Q567" s="774"/>
      <c r="R567" s="774"/>
      <c r="S567" s="775"/>
      <c r="AH567" s="776"/>
      <c r="AI567" s="776"/>
      <c r="AJ567" s="732"/>
      <c r="AK567" s="732"/>
      <c r="AL567" s="776"/>
      <c r="AM567" s="776"/>
      <c r="AN567" s="17"/>
      <c r="AO567" s="17"/>
      <c r="AP567" s="17"/>
      <c r="AQ567" s="17"/>
      <c r="AR567" s="17"/>
      <c r="AS567" s="17"/>
      <c r="AT567" s="17"/>
      <c r="AU567" s="732"/>
      <c r="AV567" s="313"/>
      <c r="AW567" s="313"/>
      <c r="AX567" s="313"/>
      <c r="AY567" s="313"/>
      <c r="AZ567" s="313"/>
      <c r="BA567" s="313"/>
      <c r="BB567" s="313"/>
      <c r="BC567" s="313"/>
      <c r="BD567" s="313"/>
      <c r="BE567" s="314"/>
      <c r="BW567" s="314"/>
      <c r="BX567" s="314"/>
      <c r="BY567" s="314"/>
      <c r="BZ567" s="314"/>
      <c r="CA567" s="314"/>
      <c r="CB567" s="314"/>
      <c r="CC567" s="314"/>
      <c r="CD567" s="314"/>
    </row>
    <row r="568" ht="28.5" customHeight="1">
      <c r="A568" s="767"/>
      <c r="B568" s="768"/>
      <c r="C568" s="768"/>
      <c r="D568" s="769"/>
      <c r="E568" s="769"/>
      <c r="F568" s="769"/>
      <c r="G568" s="336"/>
      <c r="H568" s="771"/>
      <c r="I568" s="769"/>
      <c r="J568" s="769"/>
      <c r="K568" s="314"/>
      <c r="L568" s="314"/>
      <c r="M568" s="314"/>
      <c r="N568" s="769"/>
      <c r="O568" s="769"/>
      <c r="P568" s="773"/>
      <c r="Q568" s="774"/>
      <c r="R568" s="774"/>
      <c r="S568" s="775"/>
      <c r="AH568" s="776"/>
      <c r="AI568" s="776"/>
      <c r="AJ568" s="732"/>
      <c r="AK568" s="732"/>
      <c r="AL568" s="776"/>
      <c r="AM568" s="776"/>
      <c r="AN568" s="17"/>
      <c r="AO568" s="17"/>
      <c r="AP568" s="17"/>
      <c r="AQ568" s="17"/>
      <c r="AR568" s="17"/>
      <c r="AS568" s="17"/>
      <c r="AT568" s="17"/>
      <c r="AU568" s="732"/>
      <c r="AV568" s="313"/>
      <c r="AW568" s="313"/>
      <c r="AX568" s="313"/>
      <c r="AY568" s="313"/>
      <c r="AZ568" s="313"/>
      <c r="BA568" s="313"/>
      <c r="BB568" s="313"/>
      <c r="BC568" s="313"/>
      <c r="BD568" s="313"/>
      <c r="BE568" s="314"/>
      <c r="BW568" s="314"/>
      <c r="BX568" s="314"/>
      <c r="BY568" s="314"/>
      <c r="BZ568" s="314"/>
      <c r="CA568" s="314"/>
      <c r="CB568" s="314"/>
      <c r="CC568" s="314"/>
      <c r="CD568" s="314"/>
    </row>
    <row r="569" ht="28.5" customHeight="1">
      <c r="A569" s="767"/>
      <c r="B569" s="768"/>
      <c r="C569" s="768"/>
      <c r="D569" s="769"/>
      <c r="E569" s="769"/>
      <c r="F569" s="769"/>
      <c r="G569" s="336"/>
      <c r="H569" s="771"/>
      <c r="I569" s="769"/>
      <c r="J569" s="769"/>
      <c r="K569" s="314"/>
      <c r="L569" s="314"/>
      <c r="M569" s="314"/>
      <c r="N569" s="769"/>
      <c r="O569" s="769"/>
      <c r="P569" s="773"/>
      <c r="Q569" s="774"/>
      <c r="R569" s="774"/>
      <c r="S569" s="775"/>
      <c r="AH569" s="776"/>
      <c r="AI569" s="776"/>
      <c r="AJ569" s="732"/>
      <c r="AK569" s="732"/>
      <c r="AL569" s="776"/>
      <c r="AM569" s="776"/>
      <c r="AN569" s="17"/>
      <c r="AO569" s="17"/>
      <c r="AP569" s="17"/>
      <c r="AQ569" s="17"/>
      <c r="AR569" s="17"/>
      <c r="AS569" s="17"/>
      <c r="AT569" s="17"/>
      <c r="AU569" s="732"/>
      <c r="AV569" s="313"/>
      <c r="AW569" s="313"/>
      <c r="AX569" s="313"/>
      <c r="AY569" s="313"/>
      <c r="AZ569" s="313"/>
      <c r="BA569" s="313"/>
      <c r="BB569" s="313"/>
      <c r="BC569" s="313"/>
      <c r="BD569" s="313"/>
      <c r="BE569" s="314"/>
      <c r="BW569" s="314"/>
      <c r="BX569" s="314"/>
      <c r="BY569" s="314"/>
      <c r="BZ569" s="314"/>
      <c r="CA569" s="314"/>
      <c r="CB569" s="314"/>
      <c r="CC569" s="314"/>
      <c r="CD569" s="314"/>
    </row>
    <row r="570" ht="28.5" customHeight="1">
      <c r="A570" s="767"/>
      <c r="B570" s="768"/>
      <c r="C570" s="768"/>
      <c r="D570" s="769"/>
      <c r="E570" s="769"/>
      <c r="F570" s="769"/>
      <c r="G570" s="336"/>
      <c r="H570" s="771"/>
      <c r="I570" s="769"/>
      <c r="J570" s="769"/>
      <c r="K570" s="314"/>
      <c r="L570" s="314"/>
      <c r="M570" s="314"/>
      <c r="N570" s="769"/>
      <c r="O570" s="769"/>
      <c r="P570" s="773"/>
      <c r="Q570" s="774"/>
      <c r="R570" s="774"/>
      <c r="S570" s="775"/>
      <c r="AH570" s="776"/>
      <c r="AI570" s="776"/>
      <c r="AJ570" s="732"/>
      <c r="AK570" s="732"/>
      <c r="AL570" s="776"/>
      <c r="AM570" s="776"/>
      <c r="AN570" s="17"/>
      <c r="AO570" s="17"/>
      <c r="AP570" s="17"/>
      <c r="AQ570" s="17"/>
      <c r="AR570" s="17"/>
      <c r="AS570" s="17"/>
      <c r="AT570" s="17"/>
      <c r="AU570" s="732"/>
      <c r="AV570" s="313"/>
      <c r="AW570" s="313"/>
      <c r="AX570" s="313"/>
      <c r="AY570" s="313"/>
      <c r="AZ570" s="313"/>
      <c r="BA570" s="313"/>
      <c r="BB570" s="313"/>
      <c r="BC570" s="313"/>
      <c r="BD570" s="313"/>
      <c r="BE570" s="314"/>
      <c r="BW570" s="314"/>
      <c r="BX570" s="314"/>
      <c r="BY570" s="314"/>
      <c r="BZ570" s="314"/>
      <c r="CA570" s="314"/>
      <c r="CB570" s="314"/>
      <c r="CC570" s="314"/>
      <c r="CD570" s="314"/>
    </row>
    <row r="571" ht="28.5" customHeight="1">
      <c r="A571" s="767"/>
      <c r="B571" s="768"/>
      <c r="C571" s="768"/>
      <c r="D571" s="769"/>
      <c r="E571" s="769"/>
      <c r="F571" s="769"/>
      <c r="G571" s="336"/>
      <c r="H571" s="771"/>
      <c r="I571" s="769"/>
      <c r="J571" s="769"/>
      <c r="K571" s="314"/>
      <c r="L571" s="314"/>
      <c r="M571" s="314"/>
      <c r="N571" s="769"/>
      <c r="O571" s="769"/>
      <c r="P571" s="773"/>
      <c r="Q571" s="774"/>
      <c r="R571" s="774"/>
      <c r="S571" s="775"/>
      <c r="AH571" s="776"/>
      <c r="AI571" s="776"/>
      <c r="AJ571" s="732"/>
      <c r="AK571" s="732"/>
      <c r="AL571" s="776"/>
      <c r="AM571" s="776"/>
      <c r="AN571" s="17"/>
      <c r="AO571" s="17"/>
      <c r="AP571" s="17"/>
      <c r="AQ571" s="17"/>
      <c r="AR571" s="17"/>
      <c r="AS571" s="17"/>
      <c r="AT571" s="17"/>
      <c r="AU571" s="732"/>
      <c r="AV571" s="313"/>
      <c r="AW571" s="313"/>
      <c r="AX571" s="313"/>
      <c r="AY571" s="313"/>
      <c r="AZ571" s="313"/>
      <c r="BA571" s="313"/>
      <c r="BB571" s="313"/>
      <c r="BC571" s="313"/>
      <c r="BD571" s="313"/>
      <c r="BE571" s="314"/>
      <c r="BW571" s="314"/>
      <c r="BX571" s="314"/>
      <c r="BY571" s="314"/>
      <c r="BZ571" s="314"/>
      <c r="CA571" s="314"/>
      <c r="CB571" s="314"/>
      <c r="CC571" s="314"/>
      <c r="CD571" s="314"/>
    </row>
    <row r="572" ht="28.5" customHeight="1">
      <c r="A572" s="767"/>
      <c r="B572" s="768"/>
      <c r="C572" s="768"/>
      <c r="D572" s="769"/>
      <c r="E572" s="769"/>
      <c r="F572" s="769"/>
      <c r="G572" s="336"/>
      <c r="H572" s="771"/>
      <c r="I572" s="769"/>
      <c r="J572" s="769"/>
      <c r="K572" s="314"/>
      <c r="L572" s="314"/>
      <c r="M572" s="314"/>
      <c r="N572" s="769"/>
      <c r="O572" s="769"/>
      <c r="P572" s="773"/>
      <c r="Q572" s="774"/>
      <c r="R572" s="774"/>
      <c r="S572" s="775"/>
      <c r="AH572" s="776"/>
      <c r="AI572" s="776"/>
      <c r="AJ572" s="732"/>
      <c r="AK572" s="732"/>
      <c r="AL572" s="776"/>
      <c r="AM572" s="776"/>
      <c r="AN572" s="17"/>
      <c r="AO572" s="17"/>
      <c r="AP572" s="17"/>
      <c r="AQ572" s="17"/>
      <c r="AR572" s="17"/>
      <c r="AS572" s="17"/>
      <c r="AT572" s="17"/>
      <c r="AU572" s="732"/>
      <c r="AV572" s="313"/>
      <c r="AW572" s="313"/>
      <c r="AX572" s="313"/>
      <c r="AY572" s="313"/>
      <c r="AZ572" s="313"/>
      <c r="BA572" s="313"/>
      <c r="BB572" s="313"/>
      <c r="BC572" s="313"/>
      <c r="BD572" s="313"/>
      <c r="BE572" s="314"/>
      <c r="BW572" s="314"/>
      <c r="BX572" s="314"/>
      <c r="BY572" s="314"/>
      <c r="BZ572" s="314"/>
      <c r="CA572" s="314"/>
      <c r="CB572" s="314"/>
      <c r="CC572" s="314"/>
      <c r="CD572" s="314"/>
    </row>
    <row r="573" ht="28.5" customHeight="1">
      <c r="A573" s="767"/>
      <c r="B573" s="768"/>
      <c r="C573" s="768"/>
      <c r="D573" s="769"/>
      <c r="E573" s="769"/>
      <c r="F573" s="769"/>
      <c r="G573" s="336"/>
      <c r="H573" s="771"/>
      <c r="I573" s="769"/>
      <c r="J573" s="769"/>
      <c r="K573" s="314"/>
      <c r="L573" s="314"/>
      <c r="M573" s="314"/>
      <c r="N573" s="769"/>
      <c r="O573" s="769"/>
      <c r="P573" s="773"/>
      <c r="Q573" s="774"/>
      <c r="R573" s="774"/>
      <c r="S573" s="775"/>
      <c r="AH573" s="776"/>
      <c r="AI573" s="776"/>
      <c r="AJ573" s="732"/>
      <c r="AK573" s="732"/>
      <c r="AL573" s="776"/>
      <c r="AM573" s="776"/>
      <c r="AN573" s="17"/>
      <c r="AO573" s="17"/>
      <c r="AP573" s="17"/>
      <c r="AQ573" s="17"/>
      <c r="AR573" s="17"/>
      <c r="AS573" s="17"/>
      <c r="AT573" s="17"/>
      <c r="AU573" s="732"/>
      <c r="AV573" s="313"/>
      <c r="AW573" s="313"/>
      <c r="AX573" s="313"/>
      <c r="AY573" s="313"/>
      <c r="AZ573" s="313"/>
      <c r="BA573" s="313"/>
      <c r="BB573" s="313"/>
      <c r="BC573" s="313"/>
      <c r="BD573" s="313"/>
      <c r="BE573" s="314"/>
      <c r="BW573" s="314"/>
      <c r="BX573" s="314"/>
      <c r="BY573" s="314"/>
      <c r="BZ573" s="314"/>
      <c r="CA573" s="314"/>
      <c r="CB573" s="314"/>
      <c r="CC573" s="314"/>
      <c r="CD573" s="314"/>
    </row>
    <row r="574" ht="28.5" customHeight="1">
      <c r="A574" s="767"/>
      <c r="B574" s="768"/>
      <c r="C574" s="768"/>
      <c r="D574" s="769"/>
      <c r="E574" s="769"/>
      <c r="F574" s="769"/>
      <c r="G574" s="336"/>
      <c r="H574" s="771"/>
      <c r="I574" s="769"/>
      <c r="J574" s="769"/>
      <c r="K574" s="314"/>
      <c r="L574" s="314"/>
      <c r="M574" s="314"/>
      <c r="N574" s="769"/>
      <c r="O574" s="769"/>
      <c r="P574" s="773"/>
      <c r="Q574" s="774"/>
      <c r="R574" s="774"/>
      <c r="S574" s="775"/>
      <c r="AH574" s="776"/>
      <c r="AI574" s="776"/>
      <c r="AJ574" s="732"/>
      <c r="AK574" s="732"/>
      <c r="AL574" s="776"/>
      <c r="AM574" s="776"/>
      <c r="AN574" s="17"/>
      <c r="AO574" s="17"/>
      <c r="AP574" s="17"/>
      <c r="AQ574" s="17"/>
      <c r="AR574" s="17"/>
      <c r="AS574" s="17"/>
      <c r="AT574" s="17"/>
      <c r="AU574" s="732"/>
      <c r="AV574" s="313"/>
      <c r="AW574" s="313"/>
      <c r="AX574" s="313"/>
      <c r="AY574" s="313"/>
      <c r="AZ574" s="313"/>
      <c r="BA574" s="313"/>
      <c r="BB574" s="313"/>
      <c r="BC574" s="313"/>
      <c r="BD574" s="313"/>
      <c r="BE574" s="314"/>
      <c r="BW574" s="314"/>
      <c r="BX574" s="314"/>
      <c r="BY574" s="314"/>
      <c r="BZ574" s="314"/>
      <c r="CA574" s="314"/>
      <c r="CB574" s="314"/>
      <c r="CC574" s="314"/>
      <c r="CD574" s="314"/>
    </row>
    <row r="575" ht="28.5" customHeight="1">
      <c r="A575" s="767"/>
      <c r="B575" s="768"/>
      <c r="C575" s="768"/>
      <c r="D575" s="769"/>
      <c r="E575" s="769"/>
      <c r="F575" s="769"/>
      <c r="G575" s="336"/>
      <c r="H575" s="771"/>
      <c r="I575" s="769"/>
      <c r="J575" s="769"/>
      <c r="K575" s="314"/>
      <c r="L575" s="314"/>
      <c r="M575" s="314"/>
      <c r="N575" s="769"/>
      <c r="O575" s="769"/>
      <c r="P575" s="773"/>
      <c r="Q575" s="774"/>
      <c r="R575" s="774"/>
      <c r="S575" s="775"/>
      <c r="AH575" s="776"/>
      <c r="AI575" s="776"/>
      <c r="AJ575" s="732"/>
      <c r="AK575" s="732"/>
      <c r="AL575" s="776"/>
      <c r="AM575" s="776"/>
      <c r="AN575" s="17"/>
      <c r="AO575" s="17"/>
      <c r="AP575" s="17"/>
      <c r="AQ575" s="17"/>
      <c r="AR575" s="17"/>
      <c r="AS575" s="17"/>
      <c r="AT575" s="17"/>
      <c r="AU575" s="732"/>
      <c r="AV575" s="313"/>
      <c r="AW575" s="313"/>
      <c r="AX575" s="313"/>
      <c r="AY575" s="313"/>
      <c r="AZ575" s="313"/>
      <c r="BA575" s="313"/>
      <c r="BB575" s="313"/>
      <c r="BC575" s="313"/>
      <c r="BD575" s="313"/>
      <c r="BE575" s="314"/>
      <c r="BW575" s="314"/>
      <c r="BX575" s="314"/>
      <c r="BY575" s="314"/>
      <c r="BZ575" s="314"/>
      <c r="CA575" s="314"/>
      <c r="CB575" s="314"/>
      <c r="CC575" s="314"/>
      <c r="CD575" s="314"/>
    </row>
    <row r="576" ht="28.5" customHeight="1">
      <c r="A576" s="767"/>
      <c r="B576" s="768"/>
      <c r="C576" s="768"/>
      <c r="D576" s="769"/>
      <c r="E576" s="769"/>
      <c r="F576" s="769"/>
      <c r="G576" s="336"/>
      <c r="H576" s="771"/>
      <c r="I576" s="769"/>
      <c r="J576" s="769"/>
      <c r="K576" s="314"/>
      <c r="L576" s="314"/>
      <c r="M576" s="314"/>
      <c r="N576" s="769"/>
      <c r="O576" s="769"/>
      <c r="P576" s="773"/>
      <c r="Q576" s="774"/>
      <c r="R576" s="774"/>
      <c r="S576" s="775"/>
      <c r="AH576" s="776"/>
      <c r="AI576" s="776"/>
      <c r="AJ576" s="732"/>
      <c r="AK576" s="732"/>
      <c r="AL576" s="776"/>
      <c r="AM576" s="776"/>
      <c r="AN576" s="17"/>
      <c r="AO576" s="17"/>
      <c r="AP576" s="17"/>
      <c r="AQ576" s="17"/>
      <c r="AR576" s="17"/>
      <c r="AS576" s="17"/>
      <c r="AT576" s="17"/>
      <c r="AU576" s="732"/>
      <c r="AV576" s="313"/>
      <c r="AW576" s="313"/>
      <c r="AX576" s="313"/>
      <c r="AY576" s="313"/>
      <c r="AZ576" s="313"/>
      <c r="BA576" s="313"/>
      <c r="BB576" s="313"/>
      <c r="BC576" s="313"/>
      <c r="BD576" s="313"/>
      <c r="BE576" s="314"/>
      <c r="BW576" s="314"/>
      <c r="BX576" s="314"/>
      <c r="BY576" s="314"/>
      <c r="BZ576" s="314"/>
      <c r="CA576" s="314"/>
      <c r="CB576" s="314"/>
      <c r="CC576" s="314"/>
      <c r="CD576" s="314"/>
    </row>
    <row r="577" ht="28.5" customHeight="1">
      <c r="A577" s="767"/>
      <c r="B577" s="768"/>
      <c r="C577" s="768"/>
      <c r="D577" s="769"/>
      <c r="E577" s="769"/>
      <c r="F577" s="769"/>
      <c r="G577" s="336"/>
      <c r="H577" s="771"/>
      <c r="I577" s="769"/>
      <c r="J577" s="769"/>
      <c r="K577" s="314"/>
      <c r="L577" s="314"/>
      <c r="M577" s="314"/>
      <c r="N577" s="769"/>
      <c r="O577" s="769"/>
      <c r="P577" s="773"/>
      <c r="Q577" s="774"/>
      <c r="R577" s="774"/>
      <c r="S577" s="775"/>
      <c r="AH577" s="776"/>
      <c r="AI577" s="776"/>
      <c r="AJ577" s="732"/>
      <c r="AK577" s="732"/>
      <c r="AL577" s="776"/>
      <c r="AM577" s="776"/>
      <c r="AN577" s="17"/>
      <c r="AO577" s="17"/>
      <c r="AP577" s="17"/>
      <c r="AQ577" s="17"/>
      <c r="AR577" s="17"/>
      <c r="AS577" s="17"/>
      <c r="AT577" s="17"/>
      <c r="AU577" s="732"/>
      <c r="AV577" s="313"/>
      <c r="AW577" s="313"/>
      <c r="AX577" s="313"/>
      <c r="AY577" s="313"/>
      <c r="AZ577" s="313"/>
      <c r="BA577" s="313"/>
      <c r="BB577" s="313"/>
      <c r="BC577" s="313"/>
      <c r="BD577" s="313"/>
      <c r="BE577" s="314"/>
      <c r="BW577" s="314"/>
      <c r="BX577" s="314"/>
      <c r="BY577" s="314"/>
      <c r="BZ577" s="314"/>
      <c r="CA577" s="314"/>
      <c r="CB577" s="314"/>
      <c r="CC577" s="314"/>
      <c r="CD577" s="314"/>
    </row>
    <row r="578" ht="28.5" customHeight="1">
      <c r="A578" s="767"/>
      <c r="B578" s="768"/>
      <c r="C578" s="768"/>
      <c r="D578" s="769"/>
      <c r="E578" s="769"/>
      <c r="F578" s="769"/>
      <c r="G578" s="336"/>
      <c r="H578" s="771"/>
      <c r="I578" s="769"/>
      <c r="J578" s="769"/>
      <c r="K578" s="314"/>
      <c r="L578" s="314"/>
      <c r="M578" s="314"/>
      <c r="N578" s="769"/>
      <c r="O578" s="769"/>
      <c r="P578" s="773"/>
      <c r="Q578" s="774"/>
      <c r="R578" s="774"/>
      <c r="S578" s="775"/>
      <c r="AH578" s="776"/>
      <c r="AI578" s="776"/>
      <c r="AJ578" s="732"/>
      <c r="AK578" s="732"/>
      <c r="AL578" s="776"/>
      <c r="AM578" s="776"/>
      <c r="AN578" s="17"/>
      <c r="AO578" s="17"/>
      <c r="AP578" s="17"/>
      <c r="AQ578" s="17"/>
      <c r="AR578" s="17"/>
      <c r="AS578" s="17"/>
      <c r="AT578" s="17"/>
      <c r="AU578" s="732"/>
      <c r="AV578" s="313"/>
      <c r="AW578" s="313"/>
      <c r="AX578" s="313"/>
      <c r="AY578" s="313"/>
      <c r="AZ578" s="313"/>
      <c r="BA578" s="313"/>
      <c r="BB578" s="313"/>
      <c r="BC578" s="313"/>
      <c r="BD578" s="313"/>
      <c r="BE578" s="314"/>
      <c r="BW578" s="314"/>
      <c r="BX578" s="314"/>
      <c r="BY578" s="314"/>
      <c r="BZ578" s="314"/>
      <c r="CA578" s="314"/>
      <c r="CB578" s="314"/>
      <c r="CC578" s="314"/>
      <c r="CD578" s="314"/>
    </row>
    <row r="579" ht="28.5" customHeight="1">
      <c r="A579" s="767"/>
      <c r="B579" s="768"/>
      <c r="C579" s="768"/>
      <c r="D579" s="769"/>
      <c r="E579" s="769"/>
      <c r="F579" s="769"/>
      <c r="G579" s="336"/>
      <c r="H579" s="771"/>
      <c r="I579" s="769"/>
      <c r="J579" s="769"/>
      <c r="K579" s="314"/>
      <c r="L579" s="314"/>
      <c r="M579" s="314"/>
      <c r="N579" s="769"/>
      <c r="O579" s="769"/>
      <c r="P579" s="773"/>
      <c r="Q579" s="774"/>
      <c r="R579" s="774"/>
      <c r="S579" s="775"/>
      <c r="AH579" s="776"/>
      <c r="AI579" s="776"/>
      <c r="AJ579" s="732"/>
      <c r="AK579" s="732"/>
      <c r="AL579" s="776"/>
      <c r="AM579" s="776"/>
      <c r="AN579" s="17"/>
      <c r="AO579" s="17"/>
      <c r="AP579" s="17"/>
      <c r="AQ579" s="17"/>
      <c r="AR579" s="17"/>
      <c r="AS579" s="17"/>
      <c r="AT579" s="17"/>
      <c r="AU579" s="732"/>
      <c r="AV579" s="313"/>
      <c r="AW579" s="313"/>
      <c r="AX579" s="313"/>
      <c r="AY579" s="313"/>
      <c r="AZ579" s="313"/>
      <c r="BA579" s="313"/>
      <c r="BB579" s="313"/>
      <c r="BC579" s="313"/>
      <c r="BD579" s="313"/>
      <c r="BE579" s="314"/>
      <c r="BW579" s="314"/>
      <c r="BX579" s="314"/>
      <c r="BY579" s="314"/>
      <c r="BZ579" s="314"/>
      <c r="CA579" s="314"/>
      <c r="CB579" s="314"/>
      <c r="CC579" s="314"/>
      <c r="CD579" s="314"/>
    </row>
    <row r="580" ht="28.5" customHeight="1">
      <c r="A580" s="767"/>
      <c r="B580" s="768"/>
      <c r="C580" s="768"/>
      <c r="D580" s="769"/>
      <c r="E580" s="769"/>
      <c r="F580" s="769"/>
      <c r="G580" s="336"/>
      <c r="H580" s="771"/>
      <c r="I580" s="769"/>
      <c r="J580" s="769"/>
      <c r="K580" s="314"/>
      <c r="L580" s="314"/>
      <c r="M580" s="314"/>
      <c r="N580" s="769"/>
      <c r="O580" s="769"/>
      <c r="P580" s="773"/>
      <c r="Q580" s="774"/>
      <c r="R580" s="774"/>
      <c r="S580" s="775"/>
      <c r="AH580" s="776"/>
      <c r="AI580" s="776"/>
      <c r="AJ580" s="732"/>
      <c r="AK580" s="732"/>
      <c r="AL580" s="776"/>
      <c r="AM580" s="776"/>
      <c r="AN580" s="17"/>
      <c r="AO580" s="17"/>
      <c r="AP580" s="17"/>
      <c r="AQ580" s="17"/>
      <c r="AR580" s="17"/>
      <c r="AS580" s="17"/>
      <c r="AT580" s="17"/>
      <c r="AU580" s="732"/>
      <c r="AV580" s="313"/>
      <c r="AW580" s="313"/>
      <c r="AX580" s="313"/>
      <c r="AY580" s="313"/>
      <c r="AZ580" s="313"/>
      <c r="BA580" s="313"/>
      <c r="BB580" s="313"/>
      <c r="BC580" s="313"/>
      <c r="BD580" s="313"/>
      <c r="BE580" s="314"/>
      <c r="BW580" s="314"/>
      <c r="BX580" s="314"/>
      <c r="BY580" s="314"/>
      <c r="BZ580" s="314"/>
      <c r="CA580" s="314"/>
      <c r="CB580" s="314"/>
      <c r="CC580" s="314"/>
      <c r="CD580" s="314"/>
    </row>
    <row r="581" ht="28.5" customHeight="1">
      <c r="A581" s="767"/>
      <c r="B581" s="768"/>
      <c r="C581" s="768"/>
      <c r="D581" s="769"/>
      <c r="E581" s="769"/>
      <c r="F581" s="769"/>
      <c r="G581" s="336"/>
      <c r="H581" s="771"/>
      <c r="I581" s="769"/>
      <c r="J581" s="769"/>
      <c r="K581" s="314"/>
      <c r="L581" s="314"/>
      <c r="M581" s="314"/>
      <c r="N581" s="769"/>
      <c r="O581" s="769"/>
      <c r="P581" s="773"/>
      <c r="Q581" s="774"/>
      <c r="R581" s="774"/>
      <c r="S581" s="775"/>
      <c r="AH581" s="776"/>
      <c r="AI581" s="776"/>
      <c r="AJ581" s="732"/>
      <c r="AK581" s="732"/>
      <c r="AL581" s="776"/>
      <c r="AM581" s="776"/>
      <c r="AN581" s="17"/>
      <c r="AO581" s="17"/>
      <c r="AP581" s="17"/>
      <c r="AQ581" s="17"/>
      <c r="AR581" s="17"/>
      <c r="AS581" s="17"/>
      <c r="AT581" s="17"/>
      <c r="AU581" s="732"/>
      <c r="AV581" s="313"/>
      <c r="AW581" s="313"/>
      <c r="AX581" s="313"/>
      <c r="AY581" s="313"/>
      <c r="AZ581" s="313"/>
      <c r="BA581" s="313"/>
      <c r="BB581" s="313"/>
      <c r="BC581" s="313"/>
      <c r="BD581" s="313"/>
      <c r="BE581" s="314"/>
      <c r="BW581" s="314"/>
      <c r="BX581" s="314"/>
      <c r="BY581" s="314"/>
      <c r="BZ581" s="314"/>
      <c r="CA581" s="314"/>
      <c r="CB581" s="314"/>
      <c r="CC581" s="314"/>
      <c r="CD581" s="314"/>
    </row>
    <row r="582" ht="28.5" customHeight="1">
      <c r="A582" s="767"/>
      <c r="B582" s="768"/>
      <c r="C582" s="768"/>
      <c r="D582" s="769"/>
      <c r="E582" s="769"/>
      <c r="F582" s="769"/>
      <c r="G582" s="336"/>
      <c r="H582" s="771"/>
      <c r="I582" s="769"/>
      <c r="J582" s="769"/>
      <c r="K582" s="314"/>
      <c r="L582" s="314"/>
      <c r="M582" s="314"/>
      <c r="N582" s="769"/>
      <c r="O582" s="769"/>
      <c r="P582" s="773"/>
      <c r="Q582" s="774"/>
      <c r="R582" s="774"/>
      <c r="S582" s="775"/>
      <c r="AH582" s="776"/>
      <c r="AI582" s="776"/>
      <c r="AJ582" s="732"/>
      <c r="AK582" s="732"/>
      <c r="AL582" s="776"/>
      <c r="AM582" s="776"/>
      <c r="AN582" s="17"/>
      <c r="AO582" s="17"/>
      <c r="AP582" s="17"/>
      <c r="AQ582" s="17"/>
      <c r="AR582" s="17"/>
      <c r="AS582" s="17"/>
      <c r="AT582" s="17"/>
      <c r="AU582" s="732"/>
      <c r="AV582" s="313"/>
      <c r="AW582" s="313"/>
      <c r="AX582" s="313"/>
      <c r="AY582" s="313"/>
      <c r="AZ582" s="313"/>
      <c r="BA582" s="313"/>
      <c r="BB582" s="313"/>
      <c r="BC582" s="313"/>
      <c r="BD582" s="313"/>
      <c r="BE582" s="314"/>
      <c r="BW582" s="314"/>
      <c r="BX582" s="314"/>
      <c r="BY582" s="314"/>
      <c r="BZ582" s="314"/>
      <c r="CA582" s="314"/>
      <c r="CB582" s="314"/>
      <c r="CC582" s="314"/>
      <c r="CD582" s="314"/>
    </row>
    <row r="583" ht="28.5" customHeight="1">
      <c r="A583" s="767"/>
      <c r="B583" s="768"/>
      <c r="C583" s="768"/>
      <c r="D583" s="769"/>
      <c r="E583" s="769"/>
      <c r="F583" s="769"/>
      <c r="G583" s="336"/>
      <c r="H583" s="771"/>
      <c r="I583" s="769"/>
      <c r="J583" s="769"/>
      <c r="K583" s="314"/>
      <c r="L583" s="314"/>
      <c r="M583" s="314"/>
      <c r="N583" s="769"/>
      <c r="O583" s="769"/>
      <c r="P583" s="773"/>
      <c r="Q583" s="774"/>
      <c r="R583" s="774"/>
      <c r="S583" s="775"/>
      <c r="AH583" s="776"/>
      <c r="AI583" s="776"/>
      <c r="AJ583" s="732"/>
      <c r="AK583" s="732"/>
      <c r="AL583" s="776"/>
      <c r="AM583" s="776"/>
      <c r="AN583" s="17"/>
      <c r="AO583" s="17"/>
      <c r="AP583" s="17"/>
      <c r="AQ583" s="17"/>
      <c r="AR583" s="17"/>
      <c r="AS583" s="17"/>
      <c r="AT583" s="17"/>
      <c r="AU583" s="732"/>
      <c r="AV583" s="313"/>
      <c r="AW583" s="313"/>
      <c r="AX583" s="313"/>
      <c r="AY583" s="313"/>
      <c r="AZ583" s="313"/>
      <c r="BA583" s="313"/>
      <c r="BB583" s="313"/>
      <c r="BC583" s="313"/>
      <c r="BD583" s="313"/>
      <c r="BE583" s="314"/>
      <c r="BW583" s="314"/>
      <c r="BX583" s="314"/>
      <c r="BY583" s="314"/>
      <c r="BZ583" s="314"/>
      <c r="CA583" s="314"/>
      <c r="CB583" s="314"/>
      <c r="CC583" s="314"/>
      <c r="CD583" s="314"/>
    </row>
    <row r="584" ht="28.5" customHeight="1">
      <c r="A584" s="767"/>
      <c r="B584" s="768"/>
      <c r="C584" s="768"/>
      <c r="D584" s="769"/>
      <c r="E584" s="769"/>
      <c r="F584" s="769"/>
      <c r="G584" s="336"/>
      <c r="H584" s="771"/>
      <c r="I584" s="769"/>
      <c r="J584" s="769"/>
      <c r="K584" s="314"/>
      <c r="L584" s="314"/>
      <c r="M584" s="314"/>
      <c r="N584" s="769"/>
      <c r="O584" s="769"/>
      <c r="P584" s="773"/>
      <c r="Q584" s="774"/>
      <c r="R584" s="774"/>
      <c r="S584" s="775"/>
      <c r="AH584" s="776"/>
      <c r="AI584" s="776"/>
      <c r="AJ584" s="732"/>
      <c r="AK584" s="732"/>
      <c r="AL584" s="776"/>
      <c r="AM584" s="776"/>
      <c r="AN584" s="17"/>
      <c r="AO584" s="17"/>
      <c r="AP584" s="17"/>
      <c r="AQ584" s="17"/>
      <c r="AR584" s="17"/>
      <c r="AS584" s="17"/>
      <c r="AT584" s="17"/>
      <c r="AU584" s="732"/>
      <c r="AV584" s="313"/>
      <c r="AW584" s="313"/>
      <c r="AX584" s="313"/>
      <c r="AY584" s="313"/>
      <c r="AZ584" s="313"/>
      <c r="BA584" s="313"/>
      <c r="BB584" s="313"/>
      <c r="BC584" s="313"/>
      <c r="BD584" s="313"/>
      <c r="BE584" s="314"/>
      <c r="BW584" s="314"/>
      <c r="BX584" s="314"/>
      <c r="BY584" s="314"/>
      <c r="BZ584" s="314"/>
      <c r="CA584" s="314"/>
      <c r="CB584" s="314"/>
      <c r="CC584" s="314"/>
      <c r="CD584" s="314"/>
    </row>
    <row r="585" ht="28.5" customHeight="1">
      <c r="A585" s="767"/>
      <c r="B585" s="768"/>
      <c r="C585" s="768"/>
      <c r="D585" s="769"/>
      <c r="E585" s="769"/>
      <c r="F585" s="769"/>
      <c r="G585" s="336"/>
      <c r="H585" s="771"/>
      <c r="I585" s="769"/>
      <c r="J585" s="769"/>
      <c r="K585" s="314"/>
      <c r="L585" s="314"/>
      <c r="M585" s="314"/>
      <c r="N585" s="769"/>
      <c r="O585" s="769"/>
      <c r="P585" s="773"/>
      <c r="Q585" s="774"/>
      <c r="R585" s="774"/>
      <c r="S585" s="775"/>
      <c r="AH585" s="776"/>
      <c r="AI585" s="776"/>
      <c r="AJ585" s="732"/>
      <c r="AK585" s="732"/>
      <c r="AL585" s="776"/>
      <c r="AM585" s="776"/>
      <c r="AN585" s="17"/>
      <c r="AO585" s="17"/>
      <c r="AP585" s="17"/>
      <c r="AQ585" s="17"/>
      <c r="AR585" s="17"/>
      <c r="AS585" s="17"/>
      <c r="AT585" s="17"/>
      <c r="AU585" s="732"/>
      <c r="AV585" s="313"/>
      <c r="AW585" s="313"/>
      <c r="AX585" s="313"/>
      <c r="AY585" s="313"/>
      <c r="AZ585" s="313"/>
      <c r="BA585" s="313"/>
      <c r="BB585" s="313"/>
      <c r="BC585" s="313"/>
      <c r="BD585" s="313"/>
      <c r="BE585" s="314"/>
      <c r="BW585" s="314"/>
      <c r="BX585" s="314"/>
      <c r="BY585" s="314"/>
      <c r="BZ585" s="314"/>
      <c r="CA585" s="314"/>
      <c r="CB585" s="314"/>
      <c r="CC585" s="314"/>
      <c r="CD585" s="314"/>
    </row>
    <row r="586" ht="28.5" customHeight="1">
      <c r="A586" s="767"/>
      <c r="B586" s="768"/>
      <c r="C586" s="768"/>
      <c r="D586" s="769"/>
      <c r="E586" s="769"/>
      <c r="F586" s="769"/>
      <c r="G586" s="336"/>
      <c r="H586" s="771"/>
      <c r="I586" s="769"/>
      <c r="J586" s="769"/>
      <c r="K586" s="314"/>
      <c r="L586" s="314"/>
      <c r="M586" s="314"/>
      <c r="N586" s="769"/>
      <c r="O586" s="769"/>
      <c r="P586" s="773"/>
      <c r="Q586" s="774"/>
      <c r="R586" s="774"/>
      <c r="S586" s="775"/>
      <c r="AH586" s="776"/>
      <c r="AI586" s="776"/>
      <c r="AJ586" s="732"/>
      <c r="AK586" s="732"/>
      <c r="AL586" s="776"/>
      <c r="AM586" s="776"/>
      <c r="AN586" s="17"/>
      <c r="AO586" s="17"/>
      <c r="AP586" s="17"/>
      <c r="AQ586" s="17"/>
      <c r="AR586" s="17"/>
      <c r="AS586" s="17"/>
      <c r="AT586" s="17"/>
      <c r="AU586" s="732"/>
      <c r="AV586" s="313"/>
      <c r="AW586" s="313"/>
      <c r="AX586" s="313"/>
      <c r="AY586" s="313"/>
      <c r="AZ586" s="313"/>
      <c r="BA586" s="313"/>
      <c r="BB586" s="313"/>
      <c r="BC586" s="313"/>
      <c r="BD586" s="313"/>
      <c r="BE586" s="314"/>
      <c r="BW586" s="314"/>
      <c r="BX586" s="314"/>
      <c r="BY586" s="314"/>
      <c r="BZ586" s="314"/>
      <c r="CA586" s="314"/>
      <c r="CB586" s="314"/>
      <c r="CC586" s="314"/>
      <c r="CD586" s="314"/>
    </row>
    <row r="587" ht="28.5" customHeight="1">
      <c r="A587" s="767"/>
      <c r="B587" s="768"/>
      <c r="C587" s="768"/>
      <c r="D587" s="769"/>
      <c r="E587" s="769"/>
      <c r="F587" s="769"/>
      <c r="G587" s="336"/>
      <c r="H587" s="771"/>
      <c r="I587" s="769"/>
      <c r="J587" s="769"/>
      <c r="K587" s="314"/>
      <c r="L587" s="314"/>
      <c r="M587" s="314"/>
      <c r="N587" s="769"/>
      <c r="O587" s="769"/>
      <c r="P587" s="773"/>
      <c r="Q587" s="774"/>
      <c r="R587" s="774"/>
      <c r="S587" s="775"/>
      <c r="AH587" s="776"/>
      <c r="AI587" s="776"/>
      <c r="AJ587" s="732"/>
      <c r="AK587" s="732"/>
      <c r="AL587" s="776"/>
      <c r="AM587" s="776"/>
      <c r="AN587" s="17"/>
      <c r="AO587" s="17"/>
      <c r="AP587" s="17"/>
      <c r="AQ587" s="17"/>
      <c r="AR587" s="17"/>
      <c r="AS587" s="17"/>
      <c r="AT587" s="17"/>
      <c r="AU587" s="732"/>
      <c r="AV587" s="313"/>
      <c r="AW587" s="313"/>
      <c r="AX587" s="313"/>
      <c r="AY587" s="313"/>
      <c r="AZ587" s="313"/>
      <c r="BA587" s="313"/>
      <c r="BB587" s="313"/>
      <c r="BC587" s="313"/>
      <c r="BD587" s="313"/>
      <c r="BE587" s="314"/>
      <c r="BW587" s="314"/>
      <c r="BX587" s="314"/>
      <c r="BY587" s="314"/>
      <c r="BZ587" s="314"/>
      <c r="CA587" s="314"/>
      <c r="CB587" s="314"/>
      <c r="CC587" s="314"/>
      <c r="CD587" s="314"/>
    </row>
    <row r="588" ht="28.5" customHeight="1">
      <c r="A588" s="767"/>
      <c r="B588" s="768"/>
      <c r="C588" s="768"/>
      <c r="D588" s="769"/>
      <c r="E588" s="769"/>
      <c r="F588" s="769"/>
      <c r="G588" s="336"/>
      <c r="H588" s="771"/>
      <c r="I588" s="769"/>
      <c r="J588" s="769"/>
      <c r="K588" s="314"/>
      <c r="L588" s="314"/>
      <c r="M588" s="314"/>
      <c r="N588" s="769"/>
      <c r="O588" s="769"/>
      <c r="P588" s="773"/>
      <c r="Q588" s="774"/>
      <c r="R588" s="774"/>
      <c r="S588" s="775"/>
      <c r="AH588" s="776"/>
      <c r="AI588" s="776"/>
      <c r="AJ588" s="732"/>
      <c r="AK588" s="732"/>
      <c r="AL588" s="776"/>
      <c r="AM588" s="776"/>
      <c r="AN588" s="17"/>
      <c r="AO588" s="17"/>
      <c r="AP588" s="17"/>
      <c r="AQ588" s="17"/>
      <c r="AR588" s="17"/>
      <c r="AS588" s="17"/>
      <c r="AT588" s="17"/>
      <c r="AU588" s="732"/>
      <c r="AV588" s="313"/>
      <c r="AW588" s="313"/>
      <c r="AX588" s="313"/>
      <c r="AY588" s="313"/>
      <c r="AZ588" s="313"/>
      <c r="BA588" s="313"/>
      <c r="BB588" s="313"/>
      <c r="BC588" s="313"/>
      <c r="BD588" s="313"/>
      <c r="BE588" s="314"/>
      <c r="BW588" s="314"/>
      <c r="BX588" s="314"/>
      <c r="BY588" s="314"/>
      <c r="BZ588" s="314"/>
      <c r="CA588" s="314"/>
      <c r="CB588" s="314"/>
      <c r="CC588" s="314"/>
      <c r="CD588" s="314"/>
    </row>
    <row r="589" ht="28.5" customHeight="1">
      <c r="A589" s="767"/>
      <c r="B589" s="768"/>
      <c r="C589" s="768"/>
      <c r="D589" s="769"/>
      <c r="E589" s="769"/>
      <c r="F589" s="769"/>
      <c r="G589" s="336"/>
      <c r="H589" s="771"/>
      <c r="I589" s="769"/>
      <c r="J589" s="769"/>
      <c r="K589" s="314"/>
      <c r="L589" s="314"/>
      <c r="M589" s="314"/>
      <c r="N589" s="769"/>
      <c r="O589" s="769"/>
      <c r="P589" s="773"/>
      <c r="Q589" s="774"/>
      <c r="R589" s="774"/>
      <c r="S589" s="775"/>
      <c r="AH589" s="776"/>
      <c r="AI589" s="776"/>
      <c r="AJ589" s="732"/>
      <c r="AK589" s="732"/>
      <c r="AL589" s="776"/>
      <c r="AM589" s="776"/>
      <c r="AN589" s="17"/>
      <c r="AO589" s="17"/>
      <c r="AP589" s="17"/>
      <c r="AQ589" s="17"/>
      <c r="AR589" s="17"/>
      <c r="AS589" s="17"/>
      <c r="AT589" s="17"/>
      <c r="AU589" s="732"/>
      <c r="AV589" s="313"/>
      <c r="AW589" s="313"/>
      <c r="AX589" s="313"/>
      <c r="AY589" s="313"/>
      <c r="AZ589" s="313"/>
      <c r="BA589" s="313"/>
      <c r="BB589" s="313"/>
      <c r="BC589" s="313"/>
      <c r="BD589" s="313"/>
      <c r="BE589" s="314"/>
      <c r="BW589" s="314"/>
      <c r="BX589" s="314"/>
      <c r="BY589" s="314"/>
      <c r="BZ589" s="314"/>
      <c r="CA589" s="314"/>
      <c r="CB589" s="314"/>
      <c r="CC589" s="314"/>
      <c r="CD589" s="314"/>
    </row>
    <row r="590" ht="28.5" customHeight="1">
      <c r="A590" s="767"/>
      <c r="B590" s="768"/>
      <c r="C590" s="768"/>
      <c r="D590" s="769"/>
      <c r="E590" s="769"/>
      <c r="F590" s="769"/>
      <c r="G590" s="336"/>
      <c r="H590" s="771"/>
      <c r="I590" s="769"/>
      <c r="J590" s="769"/>
      <c r="K590" s="314"/>
      <c r="L590" s="314"/>
      <c r="M590" s="314"/>
      <c r="N590" s="769"/>
      <c r="O590" s="769"/>
      <c r="P590" s="773"/>
      <c r="Q590" s="774"/>
      <c r="R590" s="774"/>
      <c r="S590" s="775"/>
      <c r="AH590" s="776"/>
      <c r="AI590" s="776"/>
      <c r="AJ590" s="732"/>
      <c r="AK590" s="732"/>
      <c r="AL590" s="776"/>
      <c r="AM590" s="776"/>
      <c r="AN590" s="17"/>
      <c r="AO590" s="17"/>
      <c r="AP590" s="17"/>
      <c r="AQ590" s="17"/>
      <c r="AR590" s="17"/>
      <c r="AS590" s="17"/>
      <c r="AT590" s="17"/>
      <c r="AU590" s="732"/>
      <c r="AV590" s="313"/>
      <c r="AW590" s="313"/>
      <c r="AX590" s="313"/>
      <c r="AY590" s="313"/>
      <c r="AZ590" s="313"/>
      <c r="BA590" s="313"/>
      <c r="BB590" s="313"/>
      <c r="BC590" s="313"/>
      <c r="BD590" s="313"/>
      <c r="BE590" s="314"/>
      <c r="BW590" s="314"/>
      <c r="BX590" s="314"/>
      <c r="BY590" s="314"/>
      <c r="BZ590" s="314"/>
      <c r="CA590" s="314"/>
      <c r="CB590" s="314"/>
      <c r="CC590" s="314"/>
      <c r="CD590" s="314"/>
    </row>
    <row r="591" ht="28.5" customHeight="1">
      <c r="A591" s="767"/>
      <c r="B591" s="768"/>
      <c r="C591" s="768"/>
      <c r="D591" s="769"/>
      <c r="E591" s="769"/>
      <c r="F591" s="769"/>
      <c r="G591" s="336"/>
      <c r="H591" s="771"/>
      <c r="I591" s="769"/>
      <c r="J591" s="769"/>
      <c r="K591" s="314"/>
      <c r="L591" s="314"/>
      <c r="M591" s="314"/>
      <c r="N591" s="769"/>
      <c r="O591" s="769"/>
      <c r="P591" s="773"/>
      <c r="Q591" s="774"/>
      <c r="R591" s="774"/>
      <c r="S591" s="775"/>
      <c r="AH591" s="776"/>
      <c r="AI591" s="776"/>
      <c r="AJ591" s="732"/>
      <c r="AK591" s="732"/>
      <c r="AL591" s="776"/>
      <c r="AM591" s="776"/>
      <c r="AN591" s="17"/>
      <c r="AO591" s="17"/>
      <c r="AP591" s="17"/>
      <c r="AQ591" s="17"/>
      <c r="AR591" s="17"/>
      <c r="AS591" s="17"/>
      <c r="AT591" s="17"/>
      <c r="AU591" s="732"/>
      <c r="AV591" s="313"/>
      <c r="AW591" s="313"/>
      <c r="AX591" s="313"/>
      <c r="AY591" s="313"/>
      <c r="AZ591" s="313"/>
      <c r="BA591" s="313"/>
      <c r="BB591" s="313"/>
      <c r="BC591" s="313"/>
      <c r="BD591" s="313"/>
      <c r="BE591" s="314"/>
      <c r="BW591" s="314"/>
      <c r="BX591" s="314"/>
      <c r="BY591" s="314"/>
      <c r="BZ591" s="314"/>
      <c r="CA591" s="314"/>
      <c r="CB591" s="314"/>
      <c r="CC591" s="314"/>
      <c r="CD591" s="314"/>
    </row>
    <row r="592" ht="28.5" customHeight="1">
      <c r="A592" s="767"/>
      <c r="B592" s="768"/>
      <c r="C592" s="768"/>
      <c r="D592" s="769"/>
      <c r="E592" s="769"/>
      <c r="F592" s="769"/>
      <c r="G592" s="336"/>
      <c r="H592" s="771"/>
      <c r="I592" s="769"/>
      <c r="J592" s="769"/>
      <c r="K592" s="314"/>
      <c r="L592" s="314"/>
      <c r="M592" s="314"/>
      <c r="N592" s="769"/>
      <c r="O592" s="769"/>
      <c r="P592" s="773"/>
      <c r="Q592" s="774"/>
      <c r="R592" s="774"/>
      <c r="S592" s="775"/>
      <c r="AH592" s="776"/>
      <c r="AI592" s="776"/>
      <c r="AJ592" s="732"/>
      <c r="AK592" s="732"/>
      <c r="AL592" s="776"/>
      <c r="AM592" s="776"/>
      <c r="AN592" s="17"/>
      <c r="AO592" s="17"/>
      <c r="AP592" s="17"/>
      <c r="AQ592" s="17"/>
      <c r="AR592" s="17"/>
      <c r="AS592" s="17"/>
      <c r="AT592" s="17"/>
      <c r="AU592" s="732"/>
      <c r="AV592" s="313"/>
      <c r="AW592" s="313"/>
      <c r="AX592" s="313"/>
      <c r="AY592" s="313"/>
      <c r="AZ592" s="313"/>
      <c r="BA592" s="313"/>
      <c r="BB592" s="313"/>
      <c r="BC592" s="313"/>
      <c r="BD592" s="313"/>
      <c r="BE592" s="314"/>
      <c r="BW592" s="314"/>
      <c r="BX592" s="314"/>
      <c r="BY592" s="314"/>
      <c r="BZ592" s="314"/>
      <c r="CA592" s="314"/>
      <c r="CB592" s="314"/>
      <c r="CC592" s="314"/>
      <c r="CD592" s="314"/>
    </row>
    <row r="593" ht="28.5" customHeight="1">
      <c r="A593" s="767"/>
      <c r="B593" s="768"/>
      <c r="C593" s="768"/>
      <c r="D593" s="769"/>
      <c r="E593" s="769"/>
      <c r="F593" s="769"/>
      <c r="G593" s="336"/>
      <c r="H593" s="771"/>
      <c r="I593" s="769"/>
      <c r="J593" s="769"/>
      <c r="K593" s="314"/>
      <c r="L593" s="314"/>
      <c r="M593" s="314"/>
      <c r="N593" s="769"/>
      <c r="O593" s="769"/>
      <c r="P593" s="773"/>
      <c r="Q593" s="774"/>
      <c r="R593" s="774"/>
      <c r="S593" s="775"/>
      <c r="AH593" s="776"/>
      <c r="AI593" s="776"/>
      <c r="AJ593" s="732"/>
      <c r="AK593" s="732"/>
      <c r="AL593" s="776"/>
      <c r="AM593" s="776"/>
      <c r="AN593" s="17"/>
      <c r="AO593" s="17"/>
      <c r="AP593" s="17"/>
      <c r="AQ593" s="17"/>
      <c r="AR593" s="17"/>
      <c r="AS593" s="17"/>
      <c r="AT593" s="17"/>
      <c r="AU593" s="732"/>
      <c r="AV593" s="313"/>
      <c r="AW593" s="313"/>
      <c r="AX593" s="313"/>
      <c r="AY593" s="313"/>
      <c r="AZ593" s="313"/>
      <c r="BA593" s="313"/>
      <c r="BB593" s="313"/>
      <c r="BC593" s="313"/>
      <c r="BD593" s="313"/>
      <c r="BE593" s="314"/>
      <c r="BW593" s="314"/>
      <c r="BX593" s="314"/>
      <c r="BY593" s="314"/>
      <c r="BZ593" s="314"/>
      <c r="CA593" s="314"/>
      <c r="CB593" s="314"/>
      <c r="CC593" s="314"/>
      <c r="CD593" s="314"/>
    </row>
    <row r="594" ht="28.5" customHeight="1">
      <c r="A594" s="767"/>
      <c r="B594" s="768"/>
      <c r="C594" s="768"/>
      <c r="D594" s="769"/>
      <c r="E594" s="769"/>
      <c r="F594" s="769"/>
      <c r="G594" s="336"/>
      <c r="H594" s="771"/>
      <c r="I594" s="769"/>
      <c r="J594" s="769"/>
      <c r="K594" s="314"/>
      <c r="L594" s="314"/>
      <c r="M594" s="314"/>
      <c r="N594" s="769"/>
      <c r="O594" s="769"/>
      <c r="P594" s="773"/>
      <c r="Q594" s="774"/>
      <c r="R594" s="774"/>
      <c r="S594" s="775"/>
      <c r="AH594" s="776"/>
      <c r="AI594" s="776"/>
      <c r="AJ594" s="732"/>
      <c r="AK594" s="732"/>
      <c r="AL594" s="776"/>
      <c r="AM594" s="776"/>
      <c r="AN594" s="17"/>
      <c r="AO594" s="17"/>
      <c r="AP594" s="17"/>
      <c r="AQ594" s="17"/>
      <c r="AR594" s="17"/>
      <c r="AS594" s="17"/>
      <c r="AT594" s="17"/>
      <c r="AU594" s="732"/>
      <c r="AV594" s="313"/>
      <c r="AW594" s="313"/>
      <c r="AX594" s="313"/>
      <c r="AY594" s="313"/>
      <c r="AZ594" s="313"/>
      <c r="BA594" s="313"/>
      <c r="BB594" s="313"/>
      <c r="BC594" s="313"/>
      <c r="BD594" s="313"/>
      <c r="BE594" s="314"/>
      <c r="BW594" s="314"/>
      <c r="BX594" s="314"/>
      <c r="BY594" s="314"/>
      <c r="BZ594" s="314"/>
      <c r="CA594" s="314"/>
      <c r="CB594" s="314"/>
      <c r="CC594" s="314"/>
      <c r="CD594" s="314"/>
    </row>
    <row r="595" ht="28.5" customHeight="1">
      <c r="A595" s="767"/>
      <c r="B595" s="768"/>
      <c r="C595" s="768"/>
      <c r="D595" s="769"/>
      <c r="E595" s="769"/>
      <c r="F595" s="769"/>
      <c r="G595" s="336"/>
      <c r="H595" s="771"/>
      <c r="I595" s="769"/>
      <c r="J595" s="769"/>
      <c r="K595" s="314"/>
      <c r="L595" s="314"/>
      <c r="M595" s="314"/>
      <c r="N595" s="769"/>
      <c r="O595" s="769"/>
      <c r="P595" s="773"/>
      <c r="Q595" s="774"/>
      <c r="R595" s="774"/>
      <c r="S595" s="775"/>
      <c r="AH595" s="776"/>
      <c r="AI595" s="776"/>
      <c r="AJ595" s="732"/>
      <c r="AK595" s="732"/>
      <c r="AL595" s="776"/>
      <c r="AM595" s="776"/>
      <c r="AN595" s="17"/>
      <c r="AO595" s="17"/>
      <c r="AP595" s="17"/>
      <c r="AQ595" s="17"/>
      <c r="AR595" s="17"/>
      <c r="AS595" s="17"/>
      <c r="AT595" s="17"/>
      <c r="AU595" s="732"/>
      <c r="AV595" s="313"/>
      <c r="AW595" s="313"/>
      <c r="AX595" s="313"/>
      <c r="AY595" s="313"/>
      <c r="AZ595" s="313"/>
      <c r="BA595" s="313"/>
      <c r="BB595" s="313"/>
      <c r="BC595" s="313"/>
      <c r="BD595" s="313"/>
      <c r="BE595" s="314"/>
      <c r="BW595" s="314"/>
      <c r="BX595" s="314"/>
      <c r="BY595" s="314"/>
      <c r="BZ595" s="314"/>
      <c r="CA595" s="314"/>
      <c r="CB595" s="314"/>
      <c r="CC595" s="314"/>
      <c r="CD595" s="314"/>
    </row>
    <row r="596" ht="28.5" customHeight="1">
      <c r="A596" s="767"/>
      <c r="B596" s="768"/>
      <c r="C596" s="768"/>
      <c r="D596" s="769"/>
      <c r="E596" s="769"/>
      <c r="F596" s="769"/>
      <c r="G596" s="336"/>
      <c r="H596" s="771"/>
      <c r="I596" s="769"/>
      <c r="J596" s="769"/>
      <c r="K596" s="314"/>
      <c r="L596" s="314"/>
      <c r="M596" s="314"/>
      <c r="N596" s="769"/>
      <c r="O596" s="769"/>
      <c r="P596" s="773"/>
      <c r="Q596" s="774"/>
      <c r="R596" s="774"/>
      <c r="S596" s="775"/>
      <c r="AH596" s="776"/>
      <c r="AI596" s="776"/>
      <c r="AJ596" s="732"/>
      <c r="AK596" s="732"/>
      <c r="AL596" s="776"/>
      <c r="AM596" s="776"/>
      <c r="AN596" s="17"/>
      <c r="AO596" s="17"/>
      <c r="AP596" s="17"/>
      <c r="AQ596" s="17"/>
      <c r="AR596" s="17"/>
      <c r="AS596" s="17"/>
      <c r="AT596" s="17"/>
      <c r="AU596" s="732"/>
      <c r="AV596" s="313"/>
      <c r="AW596" s="313"/>
      <c r="AX596" s="313"/>
      <c r="AY596" s="313"/>
      <c r="AZ596" s="313"/>
      <c r="BA596" s="313"/>
      <c r="BB596" s="313"/>
      <c r="BC596" s="313"/>
      <c r="BD596" s="313"/>
      <c r="BE596" s="314"/>
      <c r="BW596" s="314"/>
      <c r="BX596" s="314"/>
      <c r="BY596" s="314"/>
      <c r="BZ596" s="314"/>
      <c r="CA596" s="314"/>
      <c r="CB596" s="314"/>
      <c r="CC596" s="314"/>
      <c r="CD596" s="314"/>
    </row>
    <row r="597" ht="28.5" customHeight="1">
      <c r="A597" s="767"/>
      <c r="B597" s="768"/>
      <c r="C597" s="768"/>
      <c r="D597" s="769"/>
      <c r="E597" s="769"/>
      <c r="F597" s="769"/>
      <c r="G597" s="336"/>
      <c r="H597" s="771"/>
      <c r="I597" s="769"/>
      <c r="J597" s="769"/>
      <c r="K597" s="314"/>
      <c r="L597" s="314"/>
      <c r="M597" s="314"/>
      <c r="N597" s="769"/>
      <c r="O597" s="769"/>
      <c r="P597" s="773"/>
      <c r="Q597" s="774"/>
      <c r="R597" s="774"/>
      <c r="S597" s="775"/>
      <c r="AH597" s="776"/>
      <c r="AI597" s="776"/>
      <c r="AJ597" s="732"/>
      <c r="AK597" s="732"/>
      <c r="AL597" s="776"/>
      <c r="AM597" s="776"/>
      <c r="AN597" s="17"/>
      <c r="AO597" s="17"/>
      <c r="AP597" s="17"/>
      <c r="AQ597" s="17"/>
      <c r="AR597" s="17"/>
      <c r="AS597" s="17"/>
      <c r="AT597" s="17"/>
      <c r="AU597" s="732"/>
      <c r="AV597" s="313"/>
      <c r="AW597" s="313"/>
      <c r="AX597" s="313"/>
      <c r="AY597" s="313"/>
      <c r="AZ597" s="313"/>
      <c r="BA597" s="313"/>
      <c r="BB597" s="313"/>
      <c r="BC597" s="313"/>
      <c r="BD597" s="313"/>
      <c r="BE597" s="314"/>
      <c r="BW597" s="314"/>
      <c r="BX597" s="314"/>
      <c r="BY597" s="314"/>
      <c r="BZ597" s="314"/>
      <c r="CA597" s="314"/>
      <c r="CB597" s="314"/>
      <c r="CC597" s="314"/>
      <c r="CD597" s="314"/>
    </row>
    <row r="598" ht="28.5" customHeight="1">
      <c r="A598" s="767"/>
      <c r="B598" s="768"/>
      <c r="C598" s="768"/>
      <c r="D598" s="769"/>
      <c r="E598" s="769"/>
      <c r="F598" s="769"/>
      <c r="G598" s="336"/>
      <c r="H598" s="771"/>
      <c r="I598" s="769"/>
      <c r="J598" s="769"/>
      <c r="K598" s="314"/>
      <c r="L598" s="314"/>
      <c r="M598" s="314"/>
      <c r="N598" s="769"/>
      <c r="O598" s="769"/>
      <c r="P598" s="773"/>
      <c r="Q598" s="774"/>
      <c r="R598" s="774"/>
      <c r="S598" s="775"/>
      <c r="AH598" s="776"/>
      <c r="AI598" s="776"/>
      <c r="AJ598" s="732"/>
      <c r="AK598" s="732"/>
      <c r="AL598" s="776"/>
      <c r="AM598" s="776"/>
      <c r="AN598" s="17"/>
      <c r="AO598" s="17"/>
      <c r="AP598" s="17"/>
      <c r="AQ598" s="17"/>
      <c r="AR598" s="17"/>
      <c r="AS598" s="17"/>
      <c r="AT598" s="17"/>
      <c r="AU598" s="732"/>
      <c r="AV598" s="313"/>
      <c r="AW598" s="313"/>
      <c r="AX598" s="313"/>
      <c r="AY598" s="313"/>
      <c r="AZ598" s="313"/>
      <c r="BA598" s="313"/>
      <c r="BB598" s="313"/>
      <c r="BC598" s="313"/>
      <c r="BD598" s="313"/>
      <c r="BE598" s="314"/>
      <c r="BW598" s="314"/>
      <c r="BX598" s="314"/>
      <c r="BY598" s="314"/>
      <c r="BZ598" s="314"/>
      <c r="CA598" s="314"/>
      <c r="CB598" s="314"/>
      <c r="CC598" s="314"/>
      <c r="CD598" s="314"/>
    </row>
    <row r="599" ht="28.5" customHeight="1">
      <c r="A599" s="767"/>
      <c r="B599" s="768"/>
      <c r="C599" s="768"/>
      <c r="D599" s="769"/>
      <c r="E599" s="769"/>
      <c r="F599" s="769"/>
      <c r="G599" s="336"/>
      <c r="H599" s="771"/>
      <c r="I599" s="769"/>
      <c r="J599" s="769"/>
      <c r="K599" s="314"/>
      <c r="L599" s="314"/>
      <c r="M599" s="314"/>
      <c r="N599" s="769"/>
      <c r="O599" s="769"/>
      <c r="P599" s="773"/>
      <c r="Q599" s="774"/>
      <c r="R599" s="774"/>
      <c r="S599" s="775"/>
      <c r="AH599" s="776"/>
      <c r="AI599" s="776"/>
      <c r="AJ599" s="732"/>
      <c r="AK599" s="732"/>
      <c r="AL599" s="776"/>
      <c r="AM599" s="776"/>
      <c r="AN599" s="17"/>
      <c r="AO599" s="17"/>
      <c r="AP599" s="17"/>
      <c r="AQ599" s="17"/>
      <c r="AR599" s="17"/>
      <c r="AS599" s="17"/>
      <c r="AT599" s="17"/>
      <c r="AU599" s="732"/>
      <c r="AV599" s="313"/>
      <c r="AW599" s="313"/>
      <c r="AX599" s="313"/>
      <c r="AY599" s="313"/>
      <c r="AZ599" s="313"/>
      <c r="BA599" s="313"/>
      <c r="BB599" s="313"/>
      <c r="BC599" s="313"/>
      <c r="BD599" s="313"/>
      <c r="BE599" s="314"/>
      <c r="BW599" s="314"/>
      <c r="BX599" s="314"/>
      <c r="BY599" s="314"/>
      <c r="BZ599" s="314"/>
      <c r="CA599" s="314"/>
      <c r="CB599" s="314"/>
      <c r="CC599" s="314"/>
      <c r="CD599" s="314"/>
    </row>
    <row r="600" ht="28.5" customHeight="1">
      <c r="A600" s="767"/>
      <c r="B600" s="768"/>
      <c r="C600" s="768"/>
      <c r="D600" s="769"/>
      <c r="E600" s="769"/>
      <c r="F600" s="769"/>
      <c r="G600" s="336"/>
      <c r="H600" s="771"/>
      <c r="I600" s="769"/>
      <c r="J600" s="769"/>
      <c r="K600" s="314"/>
      <c r="L600" s="314"/>
      <c r="M600" s="314"/>
      <c r="N600" s="769"/>
      <c r="O600" s="769"/>
      <c r="P600" s="773"/>
      <c r="Q600" s="774"/>
      <c r="R600" s="774"/>
      <c r="S600" s="775"/>
      <c r="AH600" s="776"/>
      <c r="AI600" s="776"/>
      <c r="AJ600" s="732"/>
      <c r="AK600" s="732"/>
      <c r="AL600" s="776"/>
      <c r="AM600" s="776"/>
      <c r="AN600" s="17"/>
      <c r="AO600" s="17"/>
      <c r="AP600" s="17"/>
      <c r="AQ600" s="17"/>
      <c r="AR600" s="17"/>
      <c r="AS600" s="17"/>
      <c r="AT600" s="17"/>
      <c r="AU600" s="732"/>
      <c r="AV600" s="313"/>
      <c r="AW600" s="313"/>
      <c r="AX600" s="313"/>
      <c r="AY600" s="313"/>
      <c r="AZ600" s="313"/>
      <c r="BA600" s="313"/>
      <c r="BB600" s="313"/>
      <c r="BC600" s="313"/>
      <c r="BD600" s="313"/>
      <c r="BE600" s="314"/>
      <c r="BW600" s="314"/>
      <c r="BX600" s="314"/>
      <c r="BY600" s="314"/>
      <c r="BZ600" s="314"/>
      <c r="CA600" s="314"/>
      <c r="CB600" s="314"/>
      <c r="CC600" s="314"/>
      <c r="CD600" s="314"/>
    </row>
    <row r="601" ht="28.5" customHeight="1">
      <c r="A601" s="767"/>
      <c r="B601" s="768"/>
      <c r="C601" s="768"/>
      <c r="D601" s="769"/>
      <c r="E601" s="769"/>
      <c r="F601" s="769"/>
      <c r="G601" s="336"/>
      <c r="H601" s="771"/>
      <c r="I601" s="769"/>
      <c r="J601" s="769"/>
      <c r="K601" s="314"/>
      <c r="L601" s="314"/>
      <c r="M601" s="314"/>
      <c r="N601" s="769"/>
      <c r="O601" s="769"/>
      <c r="P601" s="773"/>
      <c r="Q601" s="774"/>
      <c r="R601" s="774"/>
      <c r="S601" s="775"/>
      <c r="AH601" s="776"/>
      <c r="AI601" s="776"/>
      <c r="AJ601" s="732"/>
      <c r="AK601" s="732"/>
      <c r="AL601" s="776"/>
      <c r="AM601" s="776"/>
      <c r="AN601" s="17"/>
      <c r="AO601" s="17"/>
      <c r="AP601" s="17"/>
      <c r="AQ601" s="17"/>
      <c r="AR601" s="17"/>
      <c r="AS601" s="17"/>
      <c r="AT601" s="17"/>
      <c r="AU601" s="732"/>
      <c r="AV601" s="313"/>
      <c r="AW601" s="313"/>
      <c r="AX601" s="313"/>
      <c r="AY601" s="313"/>
      <c r="AZ601" s="313"/>
      <c r="BA601" s="313"/>
      <c r="BB601" s="313"/>
      <c r="BC601" s="313"/>
      <c r="BD601" s="313"/>
      <c r="BE601" s="314"/>
      <c r="BW601" s="314"/>
      <c r="BX601" s="314"/>
      <c r="BY601" s="314"/>
      <c r="BZ601" s="314"/>
      <c r="CA601" s="314"/>
      <c r="CB601" s="314"/>
      <c r="CC601" s="314"/>
      <c r="CD601" s="314"/>
    </row>
    <row r="602" ht="28.5" customHeight="1">
      <c r="A602" s="767"/>
      <c r="B602" s="768"/>
      <c r="C602" s="768"/>
      <c r="D602" s="769"/>
      <c r="E602" s="769"/>
      <c r="F602" s="769"/>
      <c r="G602" s="336"/>
      <c r="H602" s="771"/>
      <c r="I602" s="769"/>
      <c r="J602" s="769"/>
      <c r="K602" s="314"/>
      <c r="L602" s="314"/>
      <c r="M602" s="314"/>
      <c r="N602" s="769"/>
      <c r="O602" s="769"/>
      <c r="P602" s="773"/>
      <c r="Q602" s="774"/>
      <c r="R602" s="774"/>
      <c r="S602" s="775"/>
      <c r="AH602" s="776"/>
      <c r="AI602" s="776"/>
      <c r="AJ602" s="732"/>
      <c r="AK602" s="732"/>
      <c r="AL602" s="776"/>
      <c r="AM602" s="776"/>
      <c r="AN602" s="17"/>
      <c r="AO602" s="17"/>
      <c r="AP602" s="17"/>
      <c r="AQ602" s="17"/>
      <c r="AR602" s="17"/>
      <c r="AS602" s="17"/>
      <c r="AT602" s="17"/>
      <c r="AU602" s="732"/>
      <c r="AV602" s="313"/>
      <c r="AW602" s="313"/>
      <c r="AX602" s="313"/>
      <c r="AY602" s="313"/>
      <c r="AZ602" s="313"/>
      <c r="BA602" s="313"/>
      <c r="BB602" s="313"/>
      <c r="BC602" s="313"/>
      <c r="BD602" s="313"/>
      <c r="BE602" s="314"/>
      <c r="BW602" s="314"/>
      <c r="BX602" s="314"/>
      <c r="BY602" s="314"/>
      <c r="BZ602" s="314"/>
      <c r="CA602" s="314"/>
      <c r="CB602" s="314"/>
      <c r="CC602" s="314"/>
      <c r="CD602" s="314"/>
    </row>
    <row r="603" ht="28.5" customHeight="1">
      <c r="A603" s="767"/>
      <c r="B603" s="768"/>
      <c r="C603" s="768"/>
      <c r="D603" s="769"/>
      <c r="E603" s="769"/>
      <c r="F603" s="769"/>
      <c r="G603" s="336"/>
      <c r="H603" s="771"/>
      <c r="I603" s="769"/>
      <c r="J603" s="769"/>
      <c r="K603" s="314"/>
      <c r="L603" s="314"/>
      <c r="M603" s="314"/>
      <c r="N603" s="769"/>
      <c r="O603" s="769"/>
      <c r="P603" s="773"/>
      <c r="Q603" s="774"/>
      <c r="R603" s="774"/>
      <c r="S603" s="775"/>
      <c r="AH603" s="776"/>
      <c r="AI603" s="776"/>
      <c r="AJ603" s="732"/>
      <c r="AK603" s="732"/>
      <c r="AL603" s="776"/>
      <c r="AM603" s="776"/>
      <c r="AN603" s="17"/>
      <c r="AO603" s="17"/>
      <c r="AP603" s="17"/>
      <c r="AQ603" s="17"/>
      <c r="AR603" s="17"/>
      <c r="AS603" s="17"/>
      <c r="AT603" s="17"/>
      <c r="AU603" s="732"/>
      <c r="AV603" s="313"/>
      <c r="AW603" s="313"/>
      <c r="AX603" s="313"/>
      <c r="AY603" s="313"/>
      <c r="AZ603" s="313"/>
      <c r="BA603" s="313"/>
      <c r="BB603" s="313"/>
      <c r="BC603" s="313"/>
      <c r="BD603" s="313"/>
      <c r="BE603" s="314"/>
      <c r="BW603" s="314"/>
      <c r="BX603" s="314"/>
      <c r="BY603" s="314"/>
      <c r="BZ603" s="314"/>
      <c r="CA603" s="314"/>
      <c r="CB603" s="314"/>
      <c r="CC603" s="314"/>
      <c r="CD603" s="314"/>
    </row>
    <row r="604" ht="28.5" customHeight="1">
      <c r="A604" s="767"/>
      <c r="B604" s="768"/>
      <c r="C604" s="768"/>
      <c r="D604" s="769"/>
      <c r="E604" s="769"/>
      <c r="F604" s="769"/>
      <c r="G604" s="336"/>
      <c r="H604" s="771"/>
      <c r="I604" s="769"/>
      <c r="J604" s="769"/>
      <c r="K604" s="314"/>
      <c r="L604" s="314"/>
      <c r="M604" s="314"/>
      <c r="N604" s="769"/>
      <c r="O604" s="769"/>
      <c r="P604" s="773"/>
      <c r="Q604" s="774"/>
      <c r="R604" s="774"/>
      <c r="S604" s="775"/>
      <c r="AH604" s="776"/>
      <c r="AI604" s="776"/>
      <c r="AJ604" s="732"/>
      <c r="AK604" s="732"/>
      <c r="AL604" s="776"/>
      <c r="AM604" s="776"/>
      <c r="AN604" s="17"/>
      <c r="AO604" s="17"/>
      <c r="AP604" s="17"/>
      <c r="AQ604" s="17"/>
      <c r="AR604" s="17"/>
      <c r="AS604" s="17"/>
      <c r="AT604" s="17"/>
      <c r="AU604" s="732"/>
      <c r="AV604" s="313"/>
      <c r="AW604" s="313"/>
      <c r="AX604" s="313"/>
      <c r="AY604" s="313"/>
      <c r="AZ604" s="313"/>
      <c r="BA604" s="313"/>
      <c r="BB604" s="313"/>
      <c r="BC604" s="313"/>
      <c r="BD604" s="313"/>
      <c r="BE604" s="314"/>
      <c r="BW604" s="314"/>
      <c r="BX604" s="314"/>
      <c r="BY604" s="314"/>
      <c r="BZ604" s="314"/>
      <c r="CA604" s="314"/>
      <c r="CB604" s="314"/>
      <c r="CC604" s="314"/>
      <c r="CD604" s="314"/>
    </row>
    <row r="605" ht="28.5" customHeight="1">
      <c r="A605" s="767"/>
      <c r="B605" s="768"/>
      <c r="C605" s="768"/>
      <c r="D605" s="769"/>
      <c r="E605" s="769"/>
      <c r="F605" s="769"/>
      <c r="G605" s="336"/>
      <c r="H605" s="771"/>
      <c r="I605" s="769"/>
      <c r="J605" s="769"/>
      <c r="K605" s="314"/>
      <c r="L605" s="314"/>
      <c r="M605" s="314"/>
      <c r="N605" s="769"/>
      <c r="O605" s="769"/>
      <c r="P605" s="773"/>
      <c r="Q605" s="774"/>
      <c r="R605" s="774"/>
      <c r="S605" s="775"/>
      <c r="AH605" s="776"/>
      <c r="AI605" s="776"/>
      <c r="AJ605" s="732"/>
      <c r="AK605" s="732"/>
      <c r="AL605" s="776"/>
      <c r="AM605" s="776"/>
      <c r="AN605" s="17"/>
      <c r="AO605" s="17"/>
      <c r="AP605" s="17"/>
      <c r="AQ605" s="17"/>
      <c r="AR605" s="17"/>
      <c r="AS605" s="17"/>
      <c r="AT605" s="17"/>
      <c r="AU605" s="732"/>
      <c r="AV605" s="313"/>
      <c r="AW605" s="313"/>
      <c r="AX605" s="313"/>
      <c r="AY605" s="313"/>
      <c r="AZ605" s="313"/>
      <c r="BA605" s="313"/>
      <c r="BB605" s="313"/>
      <c r="BC605" s="313"/>
      <c r="BD605" s="313"/>
      <c r="BE605" s="314"/>
      <c r="BW605" s="314"/>
      <c r="BX605" s="314"/>
      <c r="BY605" s="314"/>
      <c r="BZ605" s="314"/>
      <c r="CA605" s="314"/>
      <c r="CB605" s="314"/>
      <c r="CC605" s="314"/>
      <c r="CD605" s="314"/>
    </row>
    <row r="606" ht="28.5" customHeight="1">
      <c r="A606" s="767"/>
      <c r="B606" s="768"/>
      <c r="C606" s="768"/>
      <c r="D606" s="769"/>
      <c r="E606" s="769"/>
      <c r="F606" s="769"/>
      <c r="G606" s="336"/>
      <c r="H606" s="771"/>
      <c r="I606" s="769"/>
      <c r="J606" s="769"/>
      <c r="K606" s="314"/>
      <c r="L606" s="314"/>
      <c r="M606" s="314"/>
      <c r="N606" s="769"/>
      <c r="O606" s="769"/>
      <c r="P606" s="773"/>
      <c r="Q606" s="774"/>
      <c r="R606" s="774"/>
      <c r="S606" s="775"/>
      <c r="AH606" s="776"/>
      <c r="AI606" s="776"/>
      <c r="AJ606" s="732"/>
      <c r="AK606" s="732"/>
      <c r="AL606" s="776"/>
      <c r="AM606" s="776"/>
      <c r="AN606" s="17"/>
      <c r="AO606" s="17"/>
      <c r="AP606" s="17"/>
      <c r="AQ606" s="17"/>
      <c r="AR606" s="17"/>
      <c r="AS606" s="17"/>
      <c r="AT606" s="17"/>
      <c r="AU606" s="732"/>
      <c r="AV606" s="313"/>
      <c r="AW606" s="313"/>
      <c r="AX606" s="313"/>
      <c r="AY606" s="313"/>
      <c r="AZ606" s="313"/>
      <c r="BA606" s="313"/>
      <c r="BB606" s="313"/>
      <c r="BC606" s="313"/>
      <c r="BD606" s="313"/>
      <c r="BE606" s="314"/>
      <c r="BW606" s="314"/>
      <c r="BX606" s="314"/>
      <c r="BY606" s="314"/>
      <c r="BZ606" s="314"/>
      <c r="CA606" s="314"/>
      <c r="CB606" s="314"/>
      <c r="CC606" s="314"/>
      <c r="CD606" s="314"/>
    </row>
    <row r="607" ht="28.5" customHeight="1">
      <c r="A607" s="767"/>
      <c r="B607" s="768"/>
      <c r="C607" s="768"/>
      <c r="D607" s="769"/>
      <c r="E607" s="769"/>
      <c r="F607" s="769"/>
      <c r="G607" s="336"/>
      <c r="H607" s="771"/>
      <c r="I607" s="769"/>
      <c r="J607" s="769"/>
      <c r="K607" s="314"/>
      <c r="L607" s="314"/>
      <c r="M607" s="314"/>
      <c r="N607" s="769"/>
      <c r="O607" s="769"/>
      <c r="P607" s="773"/>
      <c r="Q607" s="774"/>
      <c r="R607" s="774"/>
      <c r="S607" s="775"/>
      <c r="AH607" s="776"/>
      <c r="AI607" s="776"/>
      <c r="AJ607" s="732"/>
      <c r="AK607" s="732"/>
      <c r="AL607" s="776"/>
      <c r="AM607" s="776"/>
      <c r="AN607" s="17"/>
      <c r="AO607" s="17"/>
      <c r="AP607" s="17"/>
      <c r="AQ607" s="17"/>
      <c r="AR607" s="17"/>
      <c r="AS607" s="17"/>
      <c r="AT607" s="17"/>
      <c r="AU607" s="732"/>
      <c r="AV607" s="313"/>
      <c r="AW607" s="313"/>
      <c r="AX607" s="313"/>
      <c r="AY607" s="313"/>
      <c r="AZ607" s="313"/>
      <c r="BA607" s="313"/>
      <c r="BB607" s="313"/>
      <c r="BC607" s="313"/>
      <c r="BD607" s="313"/>
      <c r="BE607" s="314"/>
      <c r="BW607" s="314"/>
      <c r="BX607" s="314"/>
      <c r="BY607" s="314"/>
      <c r="BZ607" s="314"/>
      <c r="CA607" s="314"/>
      <c r="CB607" s="314"/>
      <c r="CC607" s="314"/>
      <c r="CD607" s="314"/>
    </row>
    <row r="608" ht="28.5" customHeight="1">
      <c r="A608" s="767"/>
      <c r="B608" s="768"/>
      <c r="C608" s="768"/>
      <c r="D608" s="769"/>
      <c r="E608" s="769"/>
      <c r="F608" s="769"/>
      <c r="G608" s="336"/>
      <c r="H608" s="771"/>
      <c r="I608" s="769"/>
      <c r="J608" s="769"/>
      <c r="K608" s="314"/>
      <c r="L608" s="314"/>
      <c r="M608" s="314"/>
      <c r="N608" s="769"/>
      <c r="O608" s="769"/>
      <c r="P608" s="773"/>
      <c r="Q608" s="774"/>
      <c r="R608" s="774"/>
      <c r="S608" s="775"/>
      <c r="AH608" s="776"/>
      <c r="AI608" s="776"/>
      <c r="AJ608" s="732"/>
      <c r="AK608" s="732"/>
      <c r="AL608" s="776"/>
      <c r="AM608" s="776"/>
      <c r="AN608" s="17"/>
      <c r="AO608" s="17"/>
      <c r="AP608" s="17"/>
      <c r="AQ608" s="17"/>
      <c r="AR608" s="17"/>
      <c r="AS608" s="17"/>
      <c r="AT608" s="17"/>
      <c r="AU608" s="732"/>
      <c r="AV608" s="313"/>
      <c r="AW608" s="313"/>
      <c r="AX608" s="313"/>
      <c r="AY608" s="313"/>
      <c r="AZ608" s="313"/>
      <c r="BA608" s="313"/>
      <c r="BB608" s="313"/>
      <c r="BC608" s="313"/>
      <c r="BD608" s="313"/>
      <c r="BE608" s="314"/>
      <c r="BW608" s="314"/>
      <c r="BX608" s="314"/>
      <c r="BY608" s="314"/>
      <c r="BZ608" s="314"/>
      <c r="CA608" s="314"/>
      <c r="CB608" s="314"/>
      <c r="CC608" s="314"/>
      <c r="CD608" s="314"/>
    </row>
    <row r="609" ht="28.5" customHeight="1">
      <c r="A609" s="767"/>
      <c r="B609" s="768"/>
      <c r="C609" s="768"/>
      <c r="D609" s="769"/>
      <c r="E609" s="769"/>
      <c r="F609" s="769"/>
      <c r="G609" s="336"/>
      <c r="H609" s="771"/>
      <c r="I609" s="769"/>
      <c r="J609" s="769"/>
      <c r="K609" s="314"/>
      <c r="L609" s="314"/>
      <c r="M609" s="314"/>
      <c r="N609" s="769"/>
      <c r="O609" s="769"/>
      <c r="P609" s="773"/>
      <c r="Q609" s="774"/>
      <c r="R609" s="774"/>
      <c r="S609" s="775"/>
      <c r="AH609" s="776"/>
      <c r="AI609" s="776"/>
      <c r="AJ609" s="732"/>
      <c r="AK609" s="732"/>
      <c r="AL609" s="776"/>
      <c r="AM609" s="776"/>
      <c r="AN609" s="17"/>
      <c r="AO609" s="17"/>
      <c r="AP609" s="17"/>
      <c r="AQ609" s="17"/>
      <c r="AR609" s="17"/>
      <c r="AS609" s="17"/>
      <c r="AT609" s="17"/>
      <c r="AU609" s="732"/>
      <c r="AV609" s="313"/>
      <c r="AW609" s="313"/>
      <c r="AX609" s="313"/>
      <c r="AY609" s="313"/>
      <c r="AZ609" s="313"/>
      <c r="BA609" s="313"/>
      <c r="BB609" s="313"/>
      <c r="BC609" s="313"/>
      <c r="BD609" s="313"/>
      <c r="BE609" s="314"/>
      <c r="BW609" s="314"/>
      <c r="BX609" s="314"/>
      <c r="BY609" s="314"/>
      <c r="BZ609" s="314"/>
      <c r="CA609" s="314"/>
      <c r="CB609" s="314"/>
      <c r="CC609" s="314"/>
      <c r="CD609" s="314"/>
    </row>
    <row r="610" ht="28.5" customHeight="1">
      <c r="A610" s="767"/>
      <c r="B610" s="768"/>
      <c r="C610" s="768"/>
      <c r="D610" s="769"/>
      <c r="E610" s="769"/>
      <c r="F610" s="769"/>
      <c r="G610" s="336"/>
      <c r="H610" s="771"/>
      <c r="I610" s="769"/>
      <c r="J610" s="769"/>
      <c r="K610" s="314"/>
      <c r="L610" s="314"/>
      <c r="M610" s="314"/>
      <c r="N610" s="769"/>
      <c r="O610" s="769"/>
      <c r="P610" s="773"/>
      <c r="Q610" s="774"/>
      <c r="R610" s="774"/>
      <c r="S610" s="775"/>
      <c r="AH610" s="776"/>
      <c r="AI610" s="776"/>
      <c r="AJ610" s="732"/>
      <c r="AK610" s="732"/>
      <c r="AL610" s="776"/>
      <c r="AM610" s="776"/>
      <c r="AN610" s="17"/>
      <c r="AO610" s="17"/>
      <c r="AP610" s="17"/>
      <c r="AQ610" s="17"/>
      <c r="AR610" s="17"/>
      <c r="AS610" s="17"/>
      <c r="AT610" s="17"/>
      <c r="AU610" s="732"/>
      <c r="AV610" s="313"/>
      <c r="AW610" s="313"/>
      <c r="AX610" s="313"/>
      <c r="AY610" s="313"/>
      <c r="AZ610" s="313"/>
      <c r="BA610" s="313"/>
      <c r="BB610" s="313"/>
      <c r="BC610" s="313"/>
      <c r="BD610" s="313"/>
      <c r="BE610" s="314"/>
      <c r="BW610" s="314"/>
      <c r="BX610" s="314"/>
      <c r="BY610" s="314"/>
      <c r="BZ610" s="314"/>
      <c r="CA610" s="314"/>
      <c r="CB610" s="314"/>
      <c r="CC610" s="314"/>
      <c r="CD610" s="314"/>
    </row>
    <row r="611" ht="28.5" customHeight="1">
      <c r="A611" s="767"/>
      <c r="B611" s="768"/>
      <c r="C611" s="768"/>
      <c r="D611" s="769"/>
      <c r="E611" s="769"/>
      <c r="F611" s="769"/>
      <c r="G611" s="336"/>
      <c r="H611" s="771"/>
      <c r="I611" s="769"/>
      <c r="J611" s="769"/>
      <c r="K611" s="314"/>
      <c r="L611" s="314"/>
      <c r="M611" s="314"/>
      <c r="N611" s="769"/>
      <c r="O611" s="769"/>
      <c r="P611" s="773"/>
      <c r="Q611" s="774"/>
      <c r="R611" s="774"/>
      <c r="S611" s="775"/>
      <c r="AH611" s="776"/>
      <c r="AI611" s="776"/>
      <c r="AJ611" s="732"/>
      <c r="AK611" s="732"/>
      <c r="AL611" s="776"/>
      <c r="AM611" s="776"/>
      <c r="AN611" s="17"/>
      <c r="AO611" s="17"/>
      <c r="AP611" s="17"/>
      <c r="AQ611" s="17"/>
      <c r="AR611" s="17"/>
      <c r="AS611" s="17"/>
      <c r="AT611" s="17"/>
      <c r="AU611" s="732"/>
      <c r="AV611" s="313"/>
      <c r="AW611" s="313"/>
      <c r="AX611" s="313"/>
      <c r="AY611" s="313"/>
      <c r="AZ611" s="313"/>
      <c r="BA611" s="313"/>
      <c r="BB611" s="313"/>
      <c r="BC611" s="313"/>
      <c r="BD611" s="313"/>
      <c r="BE611" s="314"/>
      <c r="BW611" s="314"/>
      <c r="BX611" s="314"/>
      <c r="BY611" s="314"/>
      <c r="BZ611" s="314"/>
      <c r="CA611" s="314"/>
      <c r="CB611" s="314"/>
      <c r="CC611" s="314"/>
      <c r="CD611" s="314"/>
    </row>
    <row r="612" ht="28.5" customHeight="1">
      <c r="A612" s="767"/>
      <c r="B612" s="768"/>
      <c r="C612" s="768"/>
      <c r="D612" s="769"/>
      <c r="E612" s="769"/>
      <c r="F612" s="769"/>
      <c r="G612" s="336"/>
      <c r="H612" s="771"/>
      <c r="I612" s="769"/>
      <c r="J612" s="769"/>
      <c r="K612" s="314"/>
      <c r="L612" s="314"/>
      <c r="M612" s="314"/>
      <c r="N612" s="769"/>
      <c r="O612" s="769"/>
      <c r="P612" s="773"/>
      <c r="Q612" s="774"/>
      <c r="R612" s="774"/>
      <c r="S612" s="775"/>
      <c r="AH612" s="776"/>
      <c r="AI612" s="776"/>
      <c r="AJ612" s="732"/>
      <c r="AK612" s="732"/>
      <c r="AL612" s="776"/>
      <c r="AM612" s="776"/>
      <c r="AN612" s="17"/>
      <c r="AO612" s="17"/>
      <c r="AP612" s="17"/>
      <c r="AQ612" s="17"/>
      <c r="AR612" s="17"/>
      <c r="AS612" s="17"/>
      <c r="AT612" s="17"/>
      <c r="AU612" s="732"/>
      <c r="AV612" s="313"/>
      <c r="AW612" s="313"/>
      <c r="AX612" s="313"/>
      <c r="AY612" s="313"/>
      <c r="AZ612" s="313"/>
      <c r="BA612" s="313"/>
      <c r="BB612" s="313"/>
      <c r="BC612" s="313"/>
      <c r="BD612" s="313"/>
      <c r="BE612" s="314"/>
      <c r="BW612" s="314"/>
      <c r="BX612" s="314"/>
      <c r="BY612" s="314"/>
      <c r="BZ612" s="314"/>
      <c r="CA612" s="314"/>
      <c r="CB612" s="314"/>
      <c r="CC612" s="314"/>
      <c r="CD612" s="314"/>
    </row>
    <row r="613" ht="28.5" customHeight="1">
      <c r="A613" s="767"/>
      <c r="B613" s="768"/>
      <c r="C613" s="768"/>
      <c r="D613" s="769"/>
      <c r="E613" s="769"/>
      <c r="F613" s="769"/>
      <c r="G613" s="336"/>
      <c r="H613" s="771"/>
      <c r="I613" s="769"/>
      <c r="J613" s="769"/>
      <c r="K613" s="314"/>
      <c r="L613" s="314"/>
      <c r="M613" s="314"/>
      <c r="N613" s="769"/>
      <c r="O613" s="769"/>
      <c r="P613" s="773"/>
      <c r="Q613" s="774"/>
      <c r="R613" s="774"/>
      <c r="S613" s="775"/>
      <c r="AH613" s="776"/>
      <c r="AI613" s="776"/>
      <c r="AJ613" s="732"/>
      <c r="AK613" s="732"/>
      <c r="AL613" s="776"/>
      <c r="AM613" s="776"/>
      <c r="AN613" s="17"/>
      <c r="AO613" s="17"/>
      <c r="AP613" s="17"/>
      <c r="AQ613" s="17"/>
      <c r="AR613" s="17"/>
      <c r="AS613" s="17"/>
      <c r="AT613" s="17"/>
      <c r="AU613" s="732"/>
      <c r="AV613" s="313"/>
      <c r="AW613" s="313"/>
      <c r="AX613" s="313"/>
      <c r="AY613" s="313"/>
      <c r="AZ613" s="313"/>
      <c r="BA613" s="313"/>
      <c r="BB613" s="313"/>
      <c r="BC613" s="313"/>
      <c r="BD613" s="313"/>
      <c r="BE613" s="314"/>
      <c r="BW613" s="314"/>
      <c r="BX613" s="314"/>
      <c r="BY613" s="314"/>
      <c r="BZ613" s="314"/>
      <c r="CA613" s="314"/>
      <c r="CB613" s="314"/>
      <c r="CC613" s="314"/>
      <c r="CD613" s="314"/>
    </row>
    <row r="614" ht="28.5" customHeight="1">
      <c r="A614" s="767"/>
      <c r="B614" s="768"/>
      <c r="C614" s="768"/>
      <c r="D614" s="769"/>
      <c r="E614" s="769"/>
      <c r="F614" s="769"/>
      <c r="G614" s="336"/>
      <c r="H614" s="771"/>
      <c r="I614" s="769"/>
      <c r="J614" s="769"/>
      <c r="K614" s="314"/>
      <c r="L614" s="314"/>
      <c r="M614" s="314"/>
      <c r="N614" s="769"/>
      <c r="O614" s="769"/>
      <c r="P614" s="773"/>
      <c r="Q614" s="774"/>
      <c r="R614" s="774"/>
      <c r="S614" s="775"/>
      <c r="AH614" s="776"/>
      <c r="AI614" s="776"/>
      <c r="AJ614" s="732"/>
      <c r="AK614" s="732"/>
      <c r="AL614" s="776"/>
      <c r="AM614" s="776"/>
      <c r="AN614" s="17"/>
      <c r="AO614" s="17"/>
      <c r="AP614" s="17"/>
      <c r="AQ614" s="17"/>
      <c r="AR614" s="17"/>
      <c r="AS614" s="17"/>
      <c r="AT614" s="17"/>
      <c r="AU614" s="732"/>
      <c r="AV614" s="313"/>
      <c r="AW614" s="313"/>
      <c r="AX614" s="313"/>
      <c r="AY614" s="313"/>
      <c r="AZ614" s="313"/>
      <c r="BA614" s="313"/>
      <c r="BB614" s="313"/>
      <c r="BC614" s="313"/>
      <c r="BD614" s="313"/>
      <c r="BE614" s="314"/>
      <c r="BW614" s="314"/>
      <c r="BX614" s="314"/>
      <c r="BY614" s="314"/>
      <c r="BZ614" s="314"/>
      <c r="CA614" s="314"/>
      <c r="CB614" s="314"/>
      <c r="CC614" s="314"/>
      <c r="CD614" s="314"/>
    </row>
    <row r="615" ht="28.5" customHeight="1">
      <c r="A615" s="767"/>
      <c r="B615" s="768"/>
      <c r="C615" s="768"/>
      <c r="D615" s="769"/>
      <c r="E615" s="769"/>
      <c r="F615" s="769"/>
      <c r="G615" s="336"/>
      <c r="H615" s="771"/>
      <c r="I615" s="769"/>
      <c r="J615" s="769"/>
      <c r="K615" s="314"/>
      <c r="L615" s="314"/>
      <c r="M615" s="314"/>
      <c r="N615" s="769"/>
      <c r="O615" s="769"/>
      <c r="P615" s="773"/>
      <c r="Q615" s="774"/>
      <c r="R615" s="774"/>
      <c r="S615" s="775"/>
      <c r="AH615" s="776"/>
      <c r="AI615" s="776"/>
      <c r="AJ615" s="732"/>
      <c r="AK615" s="732"/>
      <c r="AL615" s="776"/>
      <c r="AM615" s="776"/>
      <c r="AN615" s="17"/>
      <c r="AO615" s="17"/>
      <c r="AP615" s="17"/>
      <c r="AQ615" s="17"/>
      <c r="AR615" s="17"/>
      <c r="AS615" s="17"/>
      <c r="AT615" s="17"/>
      <c r="AU615" s="732"/>
      <c r="AV615" s="313"/>
      <c r="AW615" s="313"/>
      <c r="AX615" s="313"/>
      <c r="AY615" s="313"/>
      <c r="AZ615" s="313"/>
      <c r="BA615" s="313"/>
      <c r="BB615" s="313"/>
      <c r="BC615" s="313"/>
      <c r="BD615" s="313"/>
      <c r="BE615" s="314"/>
      <c r="BW615" s="314"/>
      <c r="BX615" s="314"/>
      <c r="BY615" s="314"/>
      <c r="BZ615" s="314"/>
      <c r="CA615" s="314"/>
      <c r="CB615" s="314"/>
      <c r="CC615" s="314"/>
      <c r="CD615" s="314"/>
    </row>
    <row r="616" ht="28.5" customHeight="1">
      <c r="A616" s="767"/>
      <c r="B616" s="768"/>
      <c r="C616" s="768"/>
      <c r="D616" s="769"/>
      <c r="E616" s="769"/>
      <c r="F616" s="769"/>
      <c r="G616" s="336"/>
      <c r="H616" s="771"/>
      <c r="I616" s="769"/>
      <c r="J616" s="769"/>
      <c r="K616" s="314"/>
      <c r="L616" s="314"/>
      <c r="M616" s="314"/>
      <c r="N616" s="769"/>
      <c r="O616" s="769"/>
      <c r="P616" s="773"/>
      <c r="Q616" s="774"/>
      <c r="R616" s="774"/>
      <c r="S616" s="775"/>
      <c r="AH616" s="776"/>
      <c r="AI616" s="776"/>
      <c r="AJ616" s="732"/>
      <c r="AK616" s="732"/>
      <c r="AL616" s="776"/>
      <c r="AM616" s="776"/>
      <c r="AN616" s="17"/>
      <c r="AO616" s="17"/>
      <c r="AP616" s="17"/>
      <c r="AQ616" s="17"/>
      <c r="AR616" s="17"/>
      <c r="AS616" s="17"/>
      <c r="AT616" s="17"/>
      <c r="AU616" s="732"/>
      <c r="AV616" s="313"/>
      <c r="AW616" s="313"/>
      <c r="AX616" s="313"/>
      <c r="AY616" s="313"/>
      <c r="AZ616" s="313"/>
      <c r="BA616" s="313"/>
      <c r="BB616" s="313"/>
      <c r="BC616" s="313"/>
      <c r="BD616" s="313"/>
      <c r="BE616" s="314"/>
      <c r="BW616" s="314"/>
      <c r="BX616" s="314"/>
      <c r="BY616" s="314"/>
      <c r="BZ616" s="314"/>
      <c r="CA616" s="314"/>
      <c r="CB616" s="314"/>
      <c r="CC616" s="314"/>
      <c r="CD616" s="314"/>
    </row>
    <row r="617" ht="28.5" customHeight="1">
      <c r="A617" s="767"/>
      <c r="B617" s="768"/>
      <c r="C617" s="768"/>
      <c r="D617" s="769"/>
      <c r="E617" s="769"/>
      <c r="F617" s="769"/>
      <c r="G617" s="336"/>
      <c r="H617" s="771"/>
      <c r="I617" s="769"/>
      <c r="J617" s="769"/>
      <c r="K617" s="314"/>
      <c r="L617" s="314"/>
      <c r="M617" s="314"/>
      <c r="N617" s="769"/>
      <c r="O617" s="769"/>
      <c r="P617" s="773"/>
      <c r="Q617" s="774"/>
      <c r="R617" s="774"/>
      <c r="S617" s="775"/>
      <c r="AH617" s="776"/>
      <c r="AI617" s="776"/>
      <c r="AJ617" s="732"/>
      <c r="AK617" s="732"/>
      <c r="AL617" s="776"/>
      <c r="AM617" s="776"/>
      <c r="AN617" s="17"/>
      <c r="AO617" s="17"/>
      <c r="AP617" s="17"/>
      <c r="AQ617" s="17"/>
      <c r="AR617" s="17"/>
      <c r="AS617" s="17"/>
      <c r="AT617" s="17"/>
      <c r="AU617" s="732"/>
      <c r="AV617" s="313"/>
      <c r="AW617" s="313"/>
      <c r="AX617" s="313"/>
      <c r="AY617" s="313"/>
      <c r="AZ617" s="313"/>
      <c r="BA617" s="313"/>
      <c r="BB617" s="313"/>
      <c r="BC617" s="313"/>
      <c r="BD617" s="313"/>
      <c r="BE617" s="314"/>
      <c r="BW617" s="314"/>
      <c r="BX617" s="314"/>
      <c r="BY617" s="314"/>
      <c r="BZ617" s="314"/>
      <c r="CA617" s="314"/>
      <c r="CB617" s="314"/>
      <c r="CC617" s="314"/>
      <c r="CD617" s="314"/>
    </row>
    <row r="618" ht="28.5" customHeight="1">
      <c r="A618" s="767"/>
      <c r="B618" s="768"/>
      <c r="C618" s="768"/>
      <c r="D618" s="769"/>
      <c r="E618" s="769"/>
      <c r="F618" s="769"/>
      <c r="G618" s="336"/>
      <c r="H618" s="771"/>
      <c r="I618" s="769"/>
      <c r="J618" s="769"/>
      <c r="K618" s="314"/>
      <c r="L618" s="314"/>
      <c r="M618" s="314"/>
      <c r="N618" s="769"/>
      <c r="O618" s="769"/>
      <c r="P618" s="773"/>
      <c r="Q618" s="774"/>
      <c r="R618" s="774"/>
      <c r="S618" s="775"/>
      <c r="AH618" s="776"/>
      <c r="AI618" s="776"/>
      <c r="AJ618" s="732"/>
      <c r="AK618" s="732"/>
      <c r="AL618" s="776"/>
      <c r="AM618" s="776"/>
      <c r="AN618" s="17"/>
      <c r="AO618" s="17"/>
      <c r="AP618" s="17"/>
      <c r="AQ618" s="17"/>
      <c r="AR618" s="17"/>
      <c r="AS618" s="17"/>
      <c r="AT618" s="17"/>
      <c r="AU618" s="732"/>
      <c r="AV618" s="313"/>
      <c r="AW618" s="313"/>
      <c r="AX618" s="313"/>
      <c r="AY618" s="313"/>
      <c r="AZ618" s="313"/>
      <c r="BA618" s="313"/>
      <c r="BB618" s="313"/>
      <c r="BC618" s="313"/>
      <c r="BD618" s="313"/>
      <c r="BE618" s="314"/>
      <c r="BW618" s="314"/>
      <c r="BX618" s="314"/>
      <c r="BY618" s="314"/>
      <c r="BZ618" s="314"/>
      <c r="CA618" s="314"/>
      <c r="CB618" s="314"/>
      <c r="CC618" s="314"/>
      <c r="CD618" s="314"/>
    </row>
    <row r="619" ht="28.5" customHeight="1">
      <c r="A619" s="767"/>
      <c r="B619" s="768"/>
      <c r="C619" s="768"/>
      <c r="D619" s="769"/>
      <c r="E619" s="769"/>
      <c r="F619" s="769"/>
      <c r="G619" s="336"/>
      <c r="H619" s="771"/>
      <c r="I619" s="769"/>
      <c r="J619" s="769"/>
      <c r="K619" s="314"/>
      <c r="L619" s="314"/>
      <c r="M619" s="314"/>
      <c r="N619" s="769"/>
      <c r="O619" s="769"/>
      <c r="P619" s="773"/>
      <c r="Q619" s="774"/>
      <c r="R619" s="774"/>
      <c r="S619" s="775"/>
      <c r="AH619" s="776"/>
      <c r="AI619" s="776"/>
      <c r="AJ619" s="732"/>
      <c r="AK619" s="732"/>
      <c r="AL619" s="776"/>
      <c r="AM619" s="776"/>
      <c r="AN619" s="17"/>
      <c r="AO619" s="17"/>
      <c r="AP619" s="17"/>
      <c r="AQ619" s="17"/>
      <c r="AR619" s="17"/>
      <c r="AS619" s="17"/>
      <c r="AT619" s="17"/>
      <c r="AU619" s="732"/>
      <c r="AV619" s="313"/>
      <c r="AW619" s="313"/>
      <c r="AX619" s="313"/>
      <c r="AY619" s="313"/>
      <c r="AZ619" s="313"/>
      <c r="BA619" s="313"/>
      <c r="BB619" s="313"/>
      <c r="BC619" s="313"/>
      <c r="BD619" s="313"/>
      <c r="BE619" s="314"/>
      <c r="BW619" s="314"/>
      <c r="BX619" s="314"/>
      <c r="BY619" s="314"/>
      <c r="BZ619" s="314"/>
      <c r="CA619" s="314"/>
      <c r="CB619" s="314"/>
      <c r="CC619" s="314"/>
      <c r="CD619" s="314"/>
    </row>
    <row r="620" ht="28.5" customHeight="1">
      <c r="A620" s="767"/>
      <c r="B620" s="768"/>
      <c r="C620" s="768"/>
      <c r="D620" s="769"/>
      <c r="E620" s="769"/>
      <c r="F620" s="769"/>
      <c r="G620" s="336"/>
      <c r="H620" s="771"/>
      <c r="I620" s="769"/>
      <c r="J620" s="769"/>
      <c r="K620" s="314"/>
      <c r="L620" s="314"/>
      <c r="M620" s="314"/>
      <c r="N620" s="769"/>
      <c r="O620" s="769"/>
      <c r="P620" s="773"/>
      <c r="Q620" s="774"/>
      <c r="R620" s="774"/>
      <c r="S620" s="775"/>
      <c r="AH620" s="776"/>
      <c r="AI620" s="776"/>
      <c r="AJ620" s="732"/>
      <c r="AK620" s="732"/>
      <c r="AL620" s="776"/>
      <c r="AM620" s="776"/>
      <c r="AN620" s="17"/>
      <c r="AO620" s="17"/>
      <c r="AP620" s="17"/>
      <c r="AQ620" s="17"/>
      <c r="AR620" s="17"/>
      <c r="AS620" s="17"/>
      <c r="AT620" s="17"/>
      <c r="AU620" s="732"/>
      <c r="AV620" s="313"/>
      <c r="AW620" s="313"/>
      <c r="AX620" s="313"/>
      <c r="AY620" s="313"/>
      <c r="AZ620" s="313"/>
      <c r="BA620" s="313"/>
      <c r="BB620" s="313"/>
      <c r="BC620" s="313"/>
      <c r="BD620" s="313"/>
      <c r="BE620" s="314"/>
      <c r="BW620" s="314"/>
      <c r="BX620" s="314"/>
      <c r="BY620" s="314"/>
      <c r="BZ620" s="314"/>
      <c r="CA620" s="314"/>
      <c r="CB620" s="314"/>
      <c r="CC620" s="314"/>
      <c r="CD620" s="314"/>
    </row>
    <row r="621" ht="28.5" customHeight="1">
      <c r="A621" s="767"/>
      <c r="B621" s="768"/>
      <c r="C621" s="768"/>
      <c r="D621" s="769"/>
      <c r="E621" s="769"/>
      <c r="F621" s="769"/>
      <c r="G621" s="336"/>
      <c r="H621" s="771"/>
      <c r="I621" s="769"/>
      <c r="J621" s="769"/>
      <c r="K621" s="314"/>
      <c r="L621" s="314"/>
      <c r="M621" s="314"/>
      <c r="N621" s="769"/>
      <c r="O621" s="769"/>
      <c r="P621" s="773"/>
      <c r="Q621" s="774"/>
      <c r="R621" s="774"/>
      <c r="S621" s="775"/>
      <c r="AH621" s="776"/>
      <c r="AI621" s="776"/>
      <c r="AJ621" s="732"/>
      <c r="AK621" s="732"/>
      <c r="AL621" s="776"/>
      <c r="AM621" s="776"/>
      <c r="AN621" s="17"/>
      <c r="AO621" s="17"/>
      <c r="AP621" s="17"/>
      <c r="AQ621" s="17"/>
      <c r="AR621" s="17"/>
      <c r="AS621" s="17"/>
      <c r="AT621" s="17"/>
      <c r="AU621" s="732"/>
      <c r="AV621" s="313"/>
      <c r="AW621" s="313"/>
      <c r="AX621" s="313"/>
      <c r="AY621" s="313"/>
      <c r="AZ621" s="313"/>
      <c r="BA621" s="313"/>
      <c r="BB621" s="313"/>
      <c r="BC621" s="313"/>
      <c r="BD621" s="313"/>
      <c r="BE621" s="314"/>
      <c r="BW621" s="314"/>
      <c r="BX621" s="314"/>
      <c r="BY621" s="314"/>
      <c r="BZ621" s="314"/>
      <c r="CA621" s="314"/>
      <c r="CB621" s="314"/>
      <c r="CC621" s="314"/>
      <c r="CD621" s="314"/>
    </row>
    <row r="622" ht="28.5" customHeight="1">
      <c r="A622" s="767"/>
      <c r="B622" s="768"/>
      <c r="C622" s="768"/>
      <c r="D622" s="769"/>
      <c r="E622" s="769"/>
      <c r="F622" s="769"/>
      <c r="G622" s="336"/>
      <c r="H622" s="771"/>
      <c r="I622" s="769"/>
      <c r="J622" s="769"/>
      <c r="K622" s="314"/>
      <c r="L622" s="314"/>
      <c r="M622" s="314"/>
      <c r="N622" s="769"/>
      <c r="O622" s="769"/>
      <c r="P622" s="773"/>
      <c r="Q622" s="774"/>
      <c r="R622" s="774"/>
      <c r="S622" s="775"/>
      <c r="AH622" s="776"/>
      <c r="AI622" s="776"/>
      <c r="AJ622" s="732"/>
      <c r="AK622" s="732"/>
      <c r="AL622" s="776"/>
      <c r="AM622" s="776"/>
      <c r="AN622" s="17"/>
      <c r="AO622" s="17"/>
      <c r="AP622" s="17"/>
      <c r="AQ622" s="17"/>
      <c r="AR622" s="17"/>
      <c r="AS622" s="17"/>
      <c r="AT622" s="17"/>
      <c r="AU622" s="732"/>
      <c r="AV622" s="313"/>
      <c r="AW622" s="313"/>
      <c r="AX622" s="313"/>
      <c r="AY622" s="313"/>
      <c r="AZ622" s="313"/>
      <c r="BA622" s="313"/>
      <c r="BB622" s="313"/>
      <c r="BC622" s="313"/>
      <c r="BD622" s="313"/>
      <c r="BE622" s="314"/>
      <c r="BW622" s="314"/>
      <c r="BX622" s="314"/>
      <c r="BY622" s="314"/>
      <c r="BZ622" s="314"/>
      <c r="CA622" s="314"/>
      <c r="CB622" s="314"/>
      <c r="CC622" s="314"/>
      <c r="CD622" s="314"/>
    </row>
    <row r="623" ht="28.5" customHeight="1">
      <c r="A623" s="767"/>
      <c r="B623" s="768"/>
      <c r="C623" s="768"/>
      <c r="D623" s="769"/>
      <c r="E623" s="769"/>
      <c r="F623" s="769"/>
      <c r="G623" s="336"/>
      <c r="H623" s="771"/>
      <c r="I623" s="769"/>
      <c r="J623" s="769"/>
      <c r="K623" s="314"/>
      <c r="L623" s="314"/>
      <c r="M623" s="314"/>
      <c r="N623" s="769"/>
      <c r="O623" s="769"/>
      <c r="P623" s="773"/>
      <c r="Q623" s="774"/>
      <c r="R623" s="774"/>
      <c r="S623" s="775"/>
      <c r="AH623" s="776"/>
      <c r="AI623" s="776"/>
      <c r="AJ623" s="732"/>
      <c r="AK623" s="732"/>
      <c r="AL623" s="776"/>
      <c r="AM623" s="776"/>
      <c r="AN623" s="17"/>
      <c r="AO623" s="17"/>
      <c r="AP623" s="17"/>
      <c r="AQ623" s="17"/>
      <c r="AR623" s="17"/>
      <c r="AS623" s="17"/>
      <c r="AT623" s="17"/>
      <c r="AU623" s="732"/>
      <c r="AV623" s="313"/>
      <c r="AW623" s="313"/>
      <c r="AX623" s="313"/>
      <c r="AY623" s="313"/>
      <c r="AZ623" s="313"/>
      <c r="BA623" s="313"/>
      <c r="BB623" s="313"/>
      <c r="BC623" s="313"/>
      <c r="BD623" s="313"/>
      <c r="BE623" s="314"/>
      <c r="BW623" s="314"/>
      <c r="BX623" s="314"/>
      <c r="BY623" s="314"/>
      <c r="BZ623" s="314"/>
      <c r="CA623" s="314"/>
      <c r="CB623" s="314"/>
      <c r="CC623" s="314"/>
      <c r="CD623" s="314"/>
    </row>
    <row r="624" ht="28.5" customHeight="1">
      <c r="A624" s="767"/>
      <c r="B624" s="768"/>
      <c r="C624" s="768"/>
      <c r="D624" s="769"/>
      <c r="E624" s="769"/>
      <c r="F624" s="769"/>
      <c r="G624" s="336"/>
      <c r="H624" s="771"/>
      <c r="I624" s="769"/>
      <c r="J624" s="769"/>
      <c r="K624" s="314"/>
      <c r="L624" s="314"/>
      <c r="M624" s="314"/>
      <c r="N624" s="769"/>
      <c r="O624" s="769"/>
      <c r="P624" s="773"/>
      <c r="Q624" s="774"/>
      <c r="R624" s="774"/>
      <c r="S624" s="775"/>
      <c r="AH624" s="776"/>
      <c r="AI624" s="776"/>
      <c r="AJ624" s="732"/>
      <c r="AK624" s="732"/>
      <c r="AL624" s="776"/>
      <c r="AM624" s="776"/>
      <c r="AN624" s="17"/>
      <c r="AO624" s="17"/>
      <c r="AP624" s="17"/>
      <c r="AQ624" s="17"/>
      <c r="AR624" s="17"/>
      <c r="AS624" s="17"/>
      <c r="AT624" s="17"/>
      <c r="AU624" s="732"/>
      <c r="AV624" s="313"/>
      <c r="AW624" s="313"/>
      <c r="AX624" s="313"/>
      <c r="AY624" s="313"/>
      <c r="AZ624" s="313"/>
      <c r="BA624" s="313"/>
      <c r="BB624" s="313"/>
      <c r="BC624" s="313"/>
      <c r="BD624" s="313"/>
      <c r="BE624" s="314"/>
      <c r="BW624" s="314"/>
      <c r="BX624" s="314"/>
      <c r="BY624" s="314"/>
      <c r="BZ624" s="314"/>
      <c r="CA624" s="314"/>
      <c r="CB624" s="314"/>
      <c r="CC624" s="314"/>
      <c r="CD624" s="314"/>
    </row>
    <row r="625" ht="28.5" customHeight="1">
      <c r="A625" s="767"/>
      <c r="B625" s="768"/>
      <c r="C625" s="768"/>
      <c r="D625" s="769"/>
      <c r="E625" s="769"/>
      <c r="F625" s="769"/>
      <c r="G625" s="336"/>
      <c r="H625" s="771"/>
      <c r="I625" s="769"/>
      <c r="J625" s="769"/>
      <c r="K625" s="314"/>
      <c r="L625" s="314"/>
      <c r="M625" s="314"/>
      <c r="N625" s="769"/>
      <c r="O625" s="769"/>
      <c r="P625" s="773"/>
      <c r="Q625" s="774"/>
      <c r="R625" s="774"/>
      <c r="S625" s="775"/>
      <c r="AH625" s="776"/>
      <c r="AI625" s="776"/>
      <c r="AJ625" s="732"/>
      <c r="AK625" s="732"/>
      <c r="AL625" s="776"/>
      <c r="AM625" s="776"/>
      <c r="AN625" s="17"/>
      <c r="AO625" s="17"/>
      <c r="AP625" s="17"/>
      <c r="AQ625" s="17"/>
      <c r="AR625" s="17"/>
      <c r="AS625" s="17"/>
      <c r="AT625" s="17"/>
      <c r="AU625" s="732"/>
      <c r="AV625" s="313"/>
      <c r="AW625" s="313"/>
      <c r="AX625" s="313"/>
      <c r="AY625" s="313"/>
      <c r="AZ625" s="313"/>
      <c r="BA625" s="313"/>
      <c r="BB625" s="313"/>
      <c r="BC625" s="313"/>
      <c r="BD625" s="313"/>
      <c r="BE625" s="314"/>
      <c r="BW625" s="314"/>
      <c r="BX625" s="314"/>
      <c r="BY625" s="314"/>
      <c r="BZ625" s="314"/>
      <c r="CA625" s="314"/>
      <c r="CB625" s="314"/>
      <c r="CC625" s="314"/>
      <c r="CD625" s="314"/>
    </row>
    <row r="626" ht="28.5" customHeight="1">
      <c r="A626" s="767"/>
      <c r="B626" s="768"/>
      <c r="C626" s="768"/>
      <c r="D626" s="769"/>
      <c r="E626" s="769"/>
      <c r="F626" s="769"/>
      <c r="G626" s="336"/>
      <c r="H626" s="771"/>
      <c r="I626" s="769"/>
      <c r="J626" s="769"/>
      <c r="K626" s="314"/>
      <c r="L626" s="314"/>
      <c r="M626" s="314"/>
      <c r="N626" s="769"/>
      <c r="O626" s="769"/>
      <c r="P626" s="773"/>
      <c r="Q626" s="774"/>
      <c r="R626" s="774"/>
      <c r="S626" s="775"/>
      <c r="AH626" s="776"/>
      <c r="AI626" s="776"/>
      <c r="AJ626" s="732"/>
      <c r="AK626" s="732"/>
      <c r="AL626" s="776"/>
      <c r="AM626" s="776"/>
      <c r="AN626" s="17"/>
      <c r="AO626" s="17"/>
      <c r="AP626" s="17"/>
      <c r="AQ626" s="17"/>
      <c r="AR626" s="17"/>
      <c r="AS626" s="17"/>
      <c r="AT626" s="17"/>
      <c r="AU626" s="732"/>
      <c r="AV626" s="313"/>
      <c r="AW626" s="313"/>
      <c r="AX626" s="313"/>
      <c r="AY626" s="313"/>
      <c r="AZ626" s="313"/>
      <c r="BA626" s="313"/>
      <c r="BB626" s="313"/>
      <c r="BC626" s="313"/>
      <c r="BD626" s="313"/>
      <c r="BE626" s="314"/>
      <c r="BW626" s="314"/>
      <c r="BX626" s="314"/>
      <c r="BY626" s="314"/>
      <c r="BZ626" s="314"/>
      <c r="CA626" s="314"/>
      <c r="CB626" s="314"/>
      <c r="CC626" s="314"/>
      <c r="CD626" s="314"/>
    </row>
    <row r="627" ht="28.5" customHeight="1">
      <c r="A627" s="767"/>
      <c r="B627" s="768"/>
      <c r="C627" s="768"/>
      <c r="D627" s="769"/>
      <c r="E627" s="769"/>
      <c r="F627" s="769"/>
      <c r="G627" s="336"/>
      <c r="H627" s="771"/>
      <c r="I627" s="769"/>
      <c r="J627" s="769"/>
      <c r="K627" s="314"/>
      <c r="L627" s="314"/>
      <c r="M627" s="314"/>
      <c r="N627" s="769"/>
      <c r="O627" s="769"/>
      <c r="P627" s="773"/>
      <c r="Q627" s="774"/>
      <c r="R627" s="774"/>
      <c r="S627" s="775"/>
      <c r="AH627" s="776"/>
      <c r="AI627" s="776"/>
      <c r="AJ627" s="732"/>
      <c r="AK627" s="732"/>
      <c r="AL627" s="776"/>
      <c r="AM627" s="776"/>
      <c r="AN627" s="17"/>
      <c r="AO627" s="17"/>
      <c r="AP627" s="17"/>
      <c r="AQ627" s="17"/>
      <c r="AR627" s="17"/>
      <c r="AS627" s="17"/>
      <c r="AT627" s="17"/>
      <c r="AU627" s="732"/>
      <c r="AV627" s="313"/>
      <c r="AW627" s="313"/>
      <c r="AX627" s="313"/>
      <c r="AY627" s="313"/>
      <c r="AZ627" s="313"/>
      <c r="BA627" s="313"/>
      <c r="BB627" s="313"/>
      <c r="BC627" s="313"/>
      <c r="BD627" s="313"/>
      <c r="BE627" s="314"/>
      <c r="BW627" s="314"/>
      <c r="BX627" s="314"/>
      <c r="BY627" s="314"/>
      <c r="BZ627" s="314"/>
      <c r="CA627" s="314"/>
      <c r="CB627" s="314"/>
      <c r="CC627" s="314"/>
      <c r="CD627" s="314"/>
    </row>
    <row r="628" ht="28.5" customHeight="1">
      <c r="A628" s="767"/>
      <c r="B628" s="768"/>
      <c r="C628" s="768"/>
      <c r="D628" s="769"/>
      <c r="E628" s="769"/>
      <c r="F628" s="769"/>
      <c r="G628" s="336"/>
      <c r="H628" s="771"/>
      <c r="I628" s="769"/>
      <c r="J628" s="769"/>
      <c r="K628" s="314"/>
      <c r="L628" s="314"/>
      <c r="M628" s="314"/>
      <c r="N628" s="769"/>
      <c r="O628" s="769"/>
      <c r="P628" s="773"/>
      <c r="Q628" s="774"/>
      <c r="R628" s="774"/>
      <c r="S628" s="775"/>
      <c r="AH628" s="776"/>
      <c r="AI628" s="776"/>
      <c r="AJ628" s="732"/>
      <c r="AK628" s="732"/>
      <c r="AL628" s="776"/>
      <c r="AM628" s="776"/>
      <c r="AN628" s="17"/>
      <c r="AO628" s="17"/>
      <c r="AP628" s="17"/>
      <c r="AQ628" s="17"/>
      <c r="AR628" s="17"/>
      <c r="AS628" s="17"/>
      <c r="AT628" s="17"/>
      <c r="AU628" s="732"/>
      <c r="AV628" s="313"/>
      <c r="AW628" s="313"/>
      <c r="AX628" s="313"/>
      <c r="AY628" s="313"/>
      <c r="AZ628" s="313"/>
      <c r="BA628" s="313"/>
      <c r="BB628" s="313"/>
      <c r="BC628" s="313"/>
      <c r="BD628" s="313"/>
      <c r="BE628" s="314"/>
      <c r="BW628" s="314"/>
      <c r="BX628" s="314"/>
      <c r="BY628" s="314"/>
      <c r="BZ628" s="314"/>
      <c r="CA628" s="314"/>
      <c r="CB628" s="314"/>
      <c r="CC628" s="314"/>
      <c r="CD628" s="314"/>
    </row>
    <row r="629" ht="28.5" customHeight="1">
      <c r="A629" s="767"/>
      <c r="B629" s="768"/>
      <c r="C629" s="768"/>
      <c r="D629" s="769"/>
      <c r="E629" s="769"/>
      <c r="F629" s="769"/>
      <c r="G629" s="336"/>
      <c r="H629" s="771"/>
      <c r="I629" s="769"/>
      <c r="J629" s="769"/>
      <c r="K629" s="314"/>
      <c r="L629" s="314"/>
      <c r="M629" s="314"/>
      <c r="N629" s="769"/>
      <c r="O629" s="769"/>
      <c r="P629" s="773"/>
      <c r="Q629" s="774"/>
      <c r="R629" s="774"/>
      <c r="S629" s="775"/>
      <c r="AH629" s="776"/>
      <c r="AI629" s="776"/>
      <c r="AJ629" s="732"/>
      <c r="AK629" s="732"/>
      <c r="AL629" s="776"/>
      <c r="AM629" s="776"/>
      <c r="AN629" s="17"/>
      <c r="AO629" s="17"/>
      <c r="AP629" s="17"/>
      <c r="AQ629" s="17"/>
      <c r="AR629" s="17"/>
      <c r="AS629" s="17"/>
      <c r="AT629" s="17"/>
      <c r="AU629" s="732"/>
      <c r="AV629" s="313"/>
      <c r="AW629" s="313"/>
      <c r="AX629" s="313"/>
      <c r="AY629" s="313"/>
      <c r="AZ629" s="313"/>
      <c r="BA629" s="313"/>
      <c r="BB629" s="313"/>
      <c r="BC629" s="313"/>
      <c r="BD629" s="313"/>
      <c r="BE629" s="314"/>
      <c r="BW629" s="314"/>
      <c r="BX629" s="314"/>
      <c r="BY629" s="314"/>
      <c r="BZ629" s="314"/>
      <c r="CA629" s="314"/>
      <c r="CB629" s="314"/>
      <c r="CC629" s="314"/>
      <c r="CD629" s="314"/>
    </row>
    <row r="630" ht="28.5" customHeight="1">
      <c r="A630" s="767"/>
      <c r="B630" s="768"/>
      <c r="C630" s="768"/>
      <c r="D630" s="769"/>
      <c r="E630" s="769"/>
      <c r="F630" s="769"/>
      <c r="G630" s="336"/>
      <c r="H630" s="771"/>
      <c r="I630" s="769"/>
      <c r="J630" s="769"/>
      <c r="K630" s="314"/>
      <c r="L630" s="314"/>
      <c r="M630" s="314"/>
      <c r="N630" s="769"/>
      <c r="O630" s="769"/>
      <c r="P630" s="773"/>
      <c r="Q630" s="774"/>
      <c r="R630" s="774"/>
      <c r="S630" s="775"/>
      <c r="AH630" s="776"/>
      <c r="AI630" s="776"/>
      <c r="AJ630" s="732"/>
      <c r="AK630" s="732"/>
      <c r="AL630" s="776"/>
      <c r="AM630" s="776"/>
      <c r="AN630" s="17"/>
      <c r="AO630" s="17"/>
      <c r="AP630" s="17"/>
      <c r="AQ630" s="17"/>
      <c r="AR630" s="17"/>
      <c r="AS630" s="17"/>
      <c r="AT630" s="17"/>
      <c r="AU630" s="732"/>
      <c r="AV630" s="313"/>
      <c r="AW630" s="313"/>
      <c r="AX630" s="313"/>
      <c r="AY630" s="313"/>
      <c r="AZ630" s="313"/>
      <c r="BA630" s="313"/>
      <c r="BB630" s="313"/>
      <c r="BC630" s="313"/>
      <c r="BD630" s="313"/>
      <c r="BE630" s="314"/>
      <c r="BW630" s="314"/>
      <c r="BX630" s="314"/>
      <c r="BY630" s="314"/>
      <c r="BZ630" s="314"/>
      <c r="CA630" s="314"/>
      <c r="CB630" s="314"/>
      <c r="CC630" s="314"/>
      <c r="CD630" s="314"/>
    </row>
    <row r="631" ht="28.5" customHeight="1">
      <c r="A631" s="767"/>
      <c r="B631" s="768"/>
      <c r="C631" s="768"/>
      <c r="D631" s="769"/>
      <c r="E631" s="769"/>
      <c r="F631" s="769"/>
      <c r="G631" s="336"/>
      <c r="H631" s="771"/>
      <c r="I631" s="769"/>
      <c r="J631" s="769"/>
      <c r="K631" s="314"/>
      <c r="L631" s="314"/>
      <c r="M631" s="314"/>
      <c r="N631" s="769"/>
      <c r="O631" s="769"/>
      <c r="P631" s="773"/>
      <c r="Q631" s="774"/>
      <c r="R631" s="774"/>
      <c r="S631" s="775"/>
      <c r="AH631" s="776"/>
      <c r="AI631" s="776"/>
      <c r="AJ631" s="732"/>
      <c r="AK631" s="732"/>
      <c r="AL631" s="776"/>
      <c r="AM631" s="776"/>
      <c r="AN631" s="17"/>
      <c r="AO631" s="17"/>
      <c r="AP631" s="17"/>
      <c r="AQ631" s="17"/>
      <c r="AR631" s="17"/>
      <c r="AS631" s="17"/>
      <c r="AT631" s="17"/>
      <c r="AU631" s="732"/>
      <c r="AV631" s="313"/>
      <c r="AW631" s="313"/>
      <c r="AX631" s="313"/>
      <c r="AY631" s="313"/>
      <c r="AZ631" s="313"/>
      <c r="BA631" s="313"/>
      <c r="BB631" s="313"/>
      <c r="BC631" s="313"/>
      <c r="BD631" s="313"/>
      <c r="BE631" s="314"/>
      <c r="BW631" s="314"/>
      <c r="BX631" s="314"/>
      <c r="BY631" s="314"/>
      <c r="BZ631" s="314"/>
      <c r="CA631" s="314"/>
      <c r="CB631" s="314"/>
      <c r="CC631" s="314"/>
      <c r="CD631" s="314"/>
    </row>
    <row r="632" ht="28.5" customHeight="1">
      <c r="A632" s="767"/>
      <c r="B632" s="768"/>
      <c r="C632" s="768"/>
      <c r="D632" s="769"/>
      <c r="E632" s="769"/>
      <c r="F632" s="769"/>
      <c r="G632" s="336"/>
      <c r="H632" s="771"/>
      <c r="I632" s="769"/>
      <c r="J632" s="769"/>
      <c r="K632" s="314"/>
      <c r="L632" s="314"/>
      <c r="M632" s="314"/>
      <c r="N632" s="769"/>
      <c r="O632" s="769"/>
      <c r="P632" s="773"/>
      <c r="Q632" s="774"/>
      <c r="R632" s="774"/>
      <c r="S632" s="775"/>
      <c r="AH632" s="776"/>
      <c r="AI632" s="776"/>
      <c r="AJ632" s="732"/>
      <c r="AK632" s="732"/>
      <c r="AL632" s="776"/>
      <c r="AM632" s="776"/>
      <c r="AN632" s="17"/>
      <c r="AO632" s="17"/>
      <c r="AP632" s="17"/>
      <c r="AQ632" s="17"/>
      <c r="AR632" s="17"/>
      <c r="AS632" s="17"/>
      <c r="AT632" s="17"/>
      <c r="AU632" s="732"/>
      <c r="AV632" s="313"/>
      <c r="AW632" s="313"/>
      <c r="AX632" s="313"/>
      <c r="AY632" s="313"/>
      <c r="AZ632" s="313"/>
      <c r="BA632" s="313"/>
      <c r="BB632" s="313"/>
      <c r="BC632" s="313"/>
      <c r="BD632" s="313"/>
      <c r="BE632" s="314"/>
      <c r="BW632" s="314"/>
      <c r="BX632" s="314"/>
      <c r="BY632" s="314"/>
      <c r="BZ632" s="314"/>
      <c r="CA632" s="314"/>
      <c r="CB632" s="314"/>
      <c r="CC632" s="314"/>
      <c r="CD632" s="314"/>
    </row>
    <row r="633" ht="28.5" customHeight="1">
      <c r="A633" s="767"/>
      <c r="B633" s="768"/>
      <c r="C633" s="768"/>
      <c r="D633" s="769"/>
      <c r="E633" s="769"/>
      <c r="F633" s="769"/>
      <c r="G633" s="336"/>
      <c r="H633" s="771"/>
      <c r="I633" s="769"/>
      <c r="J633" s="769"/>
      <c r="K633" s="314"/>
      <c r="L633" s="314"/>
      <c r="M633" s="314"/>
      <c r="N633" s="769"/>
      <c r="O633" s="769"/>
      <c r="P633" s="773"/>
      <c r="Q633" s="774"/>
      <c r="R633" s="774"/>
      <c r="S633" s="775"/>
      <c r="AH633" s="776"/>
      <c r="AI633" s="776"/>
      <c r="AJ633" s="732"/>
      <c r="AK633" s="732"/>
      <c r="AL633" s="776"/>
      <c r="AM633" s="776"/>
      <c r="AN633" s="17"/>
      <c r="AO633" s="17"/>
      <c r="AP633" s="17"/>
      <c r="AQ633" s="17"/>
      <c r="AR633" s="17"/>
      <c r="AS633" s="17"/>
      <c r="AT633" s="17"/>
      <c r="AU633" s="732"/>
      <c r="AV633" s="313"/>
      <c r="AW633" s="313"/>
      <c r="AX633" s="313"/>
      <c r="AY633" s="313"/>
      <c r="AZ633" s="313"/>
      <c r="BA633" s="313"/>
      <c r="BB633" s="313"/>
      <c r="BC633" s="313"/>
      <c r="BD633" s="313"/>
      <c r="BE633" s="314"/>
      <c r="BW633" s="314"/>
      <c r="BX633" s="314"/>
      <c r="BY633" s="314"/>
      <c r="BZ633" s="314"/>
      <c r="CA633" s="314"/>
      <c r="CB633" s="314"/>
      <c r="CC633" s="314"/>
      <c r="CD633" s="314"/>
    </row>
    <row r="634" ht="28.5" customHeight="1">
      <c r="A634" s="767"/>
      <c r="B634" s="768"/>
      <c r="C634" s="768"/>
      <c r="D634" s="769"/>
      <c r="E634" s="769"/>
      <c r="F634" s="769"/>
      <c r="G634" s="336"/>
      <c r="H634" s="771"/>
      <c r="I634" s="769"/>
      <c r="J634" s="769"/>
      <c r="K634" s="314"/>
      <c r="L634" s="314"/>
      <c r="M634" s="314"/>
      <c r="N634" s="769"/>
      <c r="O634" s="769"/>
      <c r="P634" s="773"/>
      <c r="Q634" s="774"/>
      <c r="R634" s="774"/>
      <c r="S634" s="775"/>
      <c r="AH634" s="776"/>
      <c r="AI634" s="776"/>
      <c r="AJ634" s="732"/>
      <c r="AK634" s="732"/>
      <c r="AL634" s="776"/>
      <c r="AM634" s="776"/>
      <c r="AN634" s="17"/>
      <c r="AO634" s="17"/>
      <c r="AP634" s="17"/>
      <c r="AQ634" s="17"/>
      <c r="AR634" s="17"/>
      <c r="AS634" s="17"/>
      <c r="AT634" s="17"/>
      <c r="AU634" s="732"/>
      <c r="AV634" s="313"/>
      <c r="AW634" s="313"/>
      <c r="AX634" s="313"/>
      <c r="AY634" s="313"/>
      <c r="AZ634" s="313"/>
      <c r="BA634" s="313"/>
      <c r="BB634" s="313"/>
      <c r="BC634" s="313"/>
      <c r="BD634" s="313"/>
      <c r="BE634" s="314"/>
      <c r="BW634" s="314"/>
      <c r="BX634" s="314"/>
      <c r="BY634" s="314"/>
      <c r="BZ634" s="314"/>
      <c r="CA634" s="314"/>
      <c r="CB634" s="314"/>
      <c r="CC634" s="314"/>
      <c r="CD634" s="314"/>
    </row>
    <row r="635" ht="28.5" customHeight="1">
      <c r="A635" s="767"/>
      <c r="B635" s="768"/>
      <c r="C635" s="768"/>
      <c r="D635" s="769"/>
      <c r="E635" s="769"/>
      <c r="F635" s="769"/>
      <c r="G635" s="336"/>
      <c r="H635" s="771"/>
      <c r="I635" s="769"/>
      <c r="J635" s="769"/>
      <c r="K635" s="314"/>
      <c r="L635" s="314"/>
      <c r="M635" s="314"/>
      <c r="N635" s="769"/>
      <c r="O635" s="769"/>
      <c r="P635" s="773"/>
      <c r="Q635" s="774"/>
      <c r="R635" s="774"/>
      <c r="S635" s="775"/>
      <c r="AH635" s="776"/>
      <c r="AI635" s="776"/>
      <c r="AJ635" s="732"/>
      <c r="AK635" s="732"/>
      <c r="AL635" s="776"/>
      <c r="AM635" s="776"/>
      <c r="AN635" s="17"/>
      <c r="AO635" s="17"/>
      <c r="AP635" s="17"/>
      <c r="AQ635" s="17"/>
      <c r="AR635" s="17"/>
      <c r="AS635" s="17"/>
      <c r="AT635" s="17"/>
      <c r="AU635" s="732"/>
      <c r="AV635" s="313"/>
      <c r="AW635" s="313"/>
      <c r="AX635" s="313"/>
      <c r="AY635" s="313"/>
      <c r="AZ635" s="313"/>
      <c r="BA635" s="313"/>
      <c r="BB635" s="313"/>
      <c r="BC635" s="313"/>
      <c r="BD635" s="313"/>
      <c r="BE635" s="314"/>
      <c r="BW635" s="314"/>
      <c r="BX635" s="314"/>
      <c r="BY635" s="314"/>
      <c r="BZ635" s="314"/>
      <c r="CA635" s="314"/>
      <c r="CB635" s="314"/>
      <c r="CC635" s="314"/>
      <c r="CD635" s="314"/>
    </row>
    <row r="636" ht="28.5" customHeight="1">
      <c r="A636" s="767"/>
      <c r="B636" s="768"/>
      <c r="C636" s="768"/>
      <c r="D636" s="769"/>
      <c r="E636" s="769"/>
      <c r="F636" s="769"/>
      <c r="G636" s="336"/>
      <c r="H636" s="771"/>
      <c r="I636" s="769"/>
      <c r="J636" s="769"/>
      <c r="K636" s="314"/>
      <c r="L636" s="314"/>
      <c r="M636" s="314"/>
      <c r="N636" s="769"/>
      <c r="O636" s="769"/>
      <c r="P636" s="773"/>
      <c r="Q636" s="774"/>
      <c r="R636" s="774"/>
      <c r="S636" s="775"/>
      <c r="AH636" s="776"/>
      <c r="AI636" s="776"/>
      <c r="AJ636" s="732"/>
      <c r="AK636" s="732"/>
      <c r="AL636" s="776"/>
      <c r="AM636" s="776"/>
      <c r="AN636" s="17"/>
      <c r="AO636" s="17"/>
      <c r="AP636" s="17"/>
      <c r="AQ636" s="17"/>
      <c r="AR636" s="17"/>
      <c r="AS636" s="17"/>
      <c r="AT636" s="17"/>
      <c r="AU636" s="732"/>
      <c r="AV636" s="313"/>
      <c r="AW636" s="313"/>
      <c r="AX636" s="313"/>
      <c r="AY636" s="313"/>
      <c r="AZ636" s="313"/>
      <c r="BA636" s="313"/>
      <c r="BB636" s="313"/>
      <c r="BC636" s="313"/>
      <c r="BD636" s="313"/>
      <c r="BE636" s="314"/>
      <c r="BW636" s="314"/>
      <c r="BX636" s="314"/>
      <c r="BY636" s="314"/>
      <c r="BZ636" s="314"/>
      <c r="CA636" s="314"/>
      <c r="CB636" s="314"/>
      <c r="CC636" s="314"/>
      <c r="CD636" s="314"/>
    </row>
    <row r="637" ht="28.5" customHeight="1">
      <c r="A637" s="767"/>
      <c r="B637" s="768"/>
      <c r="C637" s="768"/>
      <c r="D637" s="769"/>
      <c r="E637" s="769"/>
      <c r="F637" s="769"/>
      <c r="G637" s="336"/>
      <c r="H637" s="771"/>
      <c r="I637" s="769"/>
      <c r="J637" s="769"/>
      <c r="K637" s="314"/>
      <c r="L637" s="314"/>
      <c r="M637" s="314"/>
      <c r="N637" s="769"/>
      <c r="O637" s="769"/>
      <c r="P637" s="773"/>
      <c r="Q637" s="774"/>
      <c r="R637" s="774"/>
      <c r="S637" s="775"/>
      <c r="AH637" s="776"/>
      <c r="AI637" s="776"/>
      <c r="AJ637" s="732"/>
      <c r="AK637" s="732"/>
      <c r="AL637" s="776"/>
      <c r="AM637" s="776"/>
      <c r="AN637" s="17"/>
      <c r="AO637" s="17"/>
      <c r="AP637" s="17"/>
      <c r="AQ637" s="17"/>
      <c r="AR637" s="17"/>
      <c r="AS637" s="17"/>
      <c r="AT637" s="17"/>
      <c r="AU637" s="732"/>
      <c r="AV637" s="313"/>
      <c r="AW637" s="313"/>
      <c r="AX637" s="313"/>
      <c r="AY637" s="313"/>
      <c r="AZ637" s="313"/>
      <c r="BA637" s="313"/>
      <c r="BB637" s="313"/>
      <c r="BC637" s="313"/>
      <c r="BD637" s="313"/>
      <c r="BE637" s="314"/>
      <c r="BW637" s="314"/>
      <c r="BX637" s="314"/>
      <c r="BY637" s="314"/>
      <c r="BZ637" s="314"/>
      <c r="CA637" s="314"/>
      <c r="CB637" s="314"/>
      <c r="CC637" s="314"/>
      <c r="CD637" s="314"/>
    </row>
    <row r="638" ht="28.5" customHeight="1">
      <c r="A638" s="767"/>
      <c r="B638" s="768"/>
      <c r="C638" s="768"/>
      <c r="D638" s="769"/>
      <c r="E638" s="769"/>
      <c r="F638" s="769"/>
      <c r="G638" s="336"/>
      <c r="H638" s="771"/>
      <c r="I638" s="769"/>
      <c r="J638" s="769"/>
      <c r="K638" s="314"/>
      <c r="L638" s="314"/>
      <c r="M638" s="314"/>
      <c r="N638" s="769"/>
      <c r="O638" s="769"/>
      <c r="P638" s="773"/>
      <c r="Q638" s="774"/>
      <c r="R638" s="774"/>
      <c r="S638" s="775"/>
      <c r="AH638" s="776"/>
      <c r="AI638" s="776"/>
      <c r="AJ638" s="732"/>
      <c r="AK638" s="732"/>
      <c r="AL638" s="776"/>
      <c r="AM638" s="776"/>
      <c r="AN638" s="17"/>
      <c r="AO638" s="17"/>
      <c r="AP638" s="17"/>
      <c r="AQ638" s="17"/>
      <c r="AR638" s="17"/>
      <c r="AS638" s="17"/>
      <c r="AT638" s="17"/>
      <c r="AU638" s="732"/>
      <c r="AV638" s="313"/>
      <c r="AW638" s="313"/>
      <c r="AX638" s="313"/>
      <c r="AY638" s="313"/>
      <c r="AZ638" s="313"/>
      <c r="BA638" s="313"/>
      <c r="BB638" s="313"/>
      <c r="BC638" s="313"/>
      <c r="BD638" s="313"/>
      <c r="BE638" s="314"/>
      <c r="BW638" s="314"/>
      <c r="BX638" s="314"/>
      <c r="BY638" s="314"/>
      <c r="BZ638" s="314"/>
      <c r="CA638" s="314"/>
      <c r="CB638" s="314"/>
      <c r="CC638" s="314"/>
      <c r="CD638" s="314"/>
    </row>
    <row r="639" ht="28.5" customHeight="1">
      <c r="A639" s="767"/>
      <c r="B639" s="768"/>
      <c r="C639" s="768"/>
      <c r="D639" s="769"/>
      <c r="E639" s="769"/>
      <c r="F639" s="769"/>
      <c r="G639" s="336"/>
      <c r="H639" s="771"/>
      <c r="I639" s="769"/>
      <c r="J639" s="769"/>
      <c r="K639" s="314"/>
      <c r="L639" s="314"/>
      <c r="M639" s="314"/>
      <c r="N639" s="769"/>
      <c r="O639" s="769"/>
      <c r="P639" s="773"/>
      <c r="Q639" s="774"/>
      <c r="R639" s="774"/>
      <c r="S639" s="775"/>
      <c r="AH639" s="776"/>
      <c r="AI639" s="776"/>
      <c r="AJ639" s="732"/>
      <c r="AK639" s="732"/>
      <c r="AL639" s="776"/>
      <c r="AM639" s="776"/>
      <c r="AN639" s="17"/>
      <c r="AO639" s="17"/>
      <c r="AP639" s="17"/>
      <c r="AQ639" s="17"/>
      <c r="AR639" s="17"/>
      <c r="AS639" s="17"/>
      <c r="AT639" s="17"/>
      <c r="AU639" s="732"/>
      <c r="AV639" s="313"/>
      <c r="AW639" s="313"/>
      <c r="AX639" s="313"/>
      <c r="AY639" s="313"/>
      <c r="AZ639" s="313"/>
      <c r="BA639" s="313"/>
      <c r="BB639" s="313"/>
      <c r="BC639" s="313"/>
      <c r="BD639" s="313"/>
      <c r="BE639" s="314"/>
      <c r="BW639" s="314"/>
      <c r="BX639" s="314"/>
      <c r="BY639" s="314"/>
      <c r="BZ639" s="314"/>
      <c r="CA639" s="314"/>
      <c r="CB639" s="314"/>
      <c r="CC639" s="314"/>
      <c r="CD639" s="314"/>
    </row>
    <row r="640" ht="28.5" customHeight="1">
      <c r="A640" s="767"/>
      <c r="B640" s="768"/>
      <c r="C640" s="768"/>
      <c r="D640" s="769"/>
      <c r="E640" s="769"/>
      <c r="F640" s="769"/>
      <c r="G640" s="336"/>
      <c r="H640" s="771"/>
      <c r="I640" s="769"/>
      <c r="J640" s="769"/>
      <c r="K640" s="314"/>
      <c r="L640" s="314"/>
      <c r="M640" s="314"/>
      <c r="N640" s="769"/>
      <c r="O640" s="769"/>
      <c r="P640" s="773"/>
      <c r="Q640" s="774"/>
      <c r="R640" s="774"/>
      <c r="S640" s="775"/>
      <c r="AH640" s="776"/>
      <c r="AI640" s="776"/>
      <c r="AJ640" s="732"/>
      <c r="AK640" s="732"/>
      <c r="AL640" s="776"/>
      <c r="AM640" s="776"/>
      <c r="AN640" s="17"/>
      <c r="AO640" s="17"/>
      <c r="AP640" s="17"/>
      <c r="AQ640" s="17"/>
      <c r="AR640" s="17"/>
      <c r="AS640" s="17"/>
      <c r="AT640" s="17"/>
      <c r="AU640" s="732"/>
      <c r="AV640" s="313"/>
      <c r="AW640" s="313"/>
      <c r="AX640" s="313"/>
      <c r="AY640" s="313"/>
      <c r="AZ640" s="313"/>
      <c r="BA640" s="313"/>
      <c r="BB640" s="313"/>
      <c r="BC640" s="313"/>
      <c r="BD640" s="313"/>
      <c r="BE640" s="314"/>
      <c r="BW640" s="314"/>
      <c r="BX640" s="314"/>
      <c r="BY640" s="314"/>
      <c r="BZ640" s="314"/>
      <c r="CA640" s="314"/>
      <c r="CB640" s="314"/>
      <c r="CC640" s="314"/>
      <c r="CD640" s="314"/>
    </row>
    <row r="641" ht="28.5" customHeight="1">
      <c r="A641" s="767"/>
      <c r="B641" s="768"/>
      <c r="C641" s="768"/>
      <c r="D641" s="769"/>
      <c r="E641" s="769"/>
      <c r="F641" s="769"/>
      <c r="G641" s="336"/>
      <c r="H641" s="771"/>
      <c r="I641" s="769"/>
      <c r="J641" s="769"/>
      <c r="K641" s="314"/>
      <c r="L641" s="314"/>
      <c r="M641" s="314"/>
      <c r="N641" s="769"/>
      <c r="O641" s="769"/>
      <c r="P641" s="773"/>
      <c r="Q641" s="774"/>
      <c r="R641" s="774"/>
      <c r="S641" s="775"/>
      <c r="AH641" s="776"/>
      <c r="AI641" s="776"/>
      <c r="AJ641" s="732"/>
      <c r="AK641" s="732"/>
      <c r="AL641" s="776"/>
      <c r="AM641" s="776"/>
      <c r="AN641" s="17"/>
      <c r="AO641" s="17"/>
      <c r="AP641" s="17"/>
      <c r="AQ641" s="17"/>
      <c r="AR641" s="17"/>
      <c r="AS641" s="17"/>
      <c r="AT641" s="17"/>
      <c r="AU641" s="732"/>
      <c r="AV641" s="313"/>
      <c r="AW641" s="313"/>
      <c r="AX641" s="313"/>
      <c r="AY641" s="313"/>
      <c r="AZ641" s="313"/>
      <c r="BA641" s="313"/>
      <c r="BB641" s="313"/>
      <c r="BC641" s="313"/>
      <c r="BD641" s="313"/>
      <c r="BE641" s="314"/>
      <c r="BW641" s="314"/>
      <c r="BX641" s="314"/>
      <c r="BY641" s="314"/>
      <c r="BZ641" s="314"/>
      <c r="CA641" s="314"/>
      <c r="CB641" s="314"/>
      <c r="CC641" s="314"/>
      <c r="CD641" s="314"/>
    </row>
    <row r="642" ht="28.5" customHeight="1">
      <c r="A642" s="767"/>
      <c r="B642" s="768"/>
      <c r="C642" s="768"/>
      <c r="D642" s="769"/>
      <c r="E642" s="769"/>
      <c r="F642" s="769"/>
      <c r="G642" s="336"/>
      <c r="H642" s="771"/>
      <c r="I642" s="769"/>
      <c r="J642" s="769"/>
      <c r="K642" s="314"/>
      <c r="L642" s="314"/>
      <c r="M642" s="314"/>
      <c r="N642" s="769"/>
      <c r="O642" s="769"/>
      <c r="P642" s="773"/>
      <c r="Q642" s="774"/>
      <c r="R642" s="774"/>
      <c r="S642" s="775"/>
      <c r="AH642" s="776"/>
      <c r="AI642" s="776"/>
      <c r="AJ642" s="732"/>
      <c r="AK642" s="732"/>
      <c r="AL642" s="776"/>
      <c r="AM642" s="776"/>
      <c r="AN642" s="17"/>
      <c r="AO642" s="17"/>
      <c r="AP642" s="17"/>
      <c r="AQ642" s="17"/>
      <c r="AR642" s="17"/>
      <c r="AS642" s="17"/>
      <c r="AT642" s="17"/>
      <c r="AU642" s="732"/>
      <c r="AV642" s="313"/>
      <c r="AW642" s="313"/>
      <c r="AX642" s="313"/>
      <c r="AY642" s="313"/>
      <c r="AZ642" s="313"/>
      <c r="BA642" s="313"/>
      <c r="BB642" s="313"/>
      <c r="BC642" s="313"/>
      <c r="BD642" s="313"/>
      <c r="BE642" s="314"/>
      <c r="BW642" s="314"/>
      <c r="BX642" s="314"/>
      <c r="BY642" s="314"/>
      <c r="BZ642" s="314"/>
      <c r="CA642" s="314"/>
      <c r="CB642" s="314"/>
      <c r="CC642" s="314"/>
      <c r="CD642" s="314"/>
    </row>
    <row r="643" ht="28.5" customHeight="1">
      <c r="A643" s="767"/>
      <c r="B643" s="768"/>
      <c r="C643" s="768"/>
      <c r="D643" s="769"/>
      <c r="E643" s="769"/>
      <c r="F643" s="769"/>
      <c r="G643" s="336"/>
      <c r="H643" s="771"/>
      <c r="I643" s="769"/>
      <c r="J643" s="769"/>
      <c r="K643" s="314"/>
      <c r="L643" s="314"/>
      <c r="M643" s="314"/>
      <c r="N643" s="769"/>
      <c r="O643" s="769"/>
      <c r="P643" s="773"/>
      <c r="Q643" s="774"/>
      <c r="R643" s="774"/>
      <c r="S643" s="775"/>
      <c r="AH643" s="776"/>
      <c r="AI643" s="776"/>
      <c r="AJ643" s="732"/>
      <c r="AK643" s="732"/>
      <c r="AL643" s="776"/>
      <c r="AM643" s="776"/>
      <c r="AN643" s="17"/>
      <c r="AO643" s="17"/>
      <c r="AP643" s="17"/>
      <c r="AQ643" s="17"/>
      <c r="AR643" s="17"/>
      <c r="AS643" s="17"/>
      <c r="AT643" s="17"/>
      <c r="AU643" s="732"/>
      <c r="AV643" s="313"/>
      <c r="AW643" s="313"/>
      <c r="AX643" s="313"/>
      <c r="AY643" s="313"/>
      <c r="AZ643" s="313"/>
      <c r="BA643" s="313"/>
      <c r="BB643" s="313"/>
      <c r="BC643" s="313"/>
      <c r="BD643" s="313"/>
      <c r="BE643" s="314"/>
      <c r="BW643" s="314"/>
      <c r="BX643" s="314"/>
      <c r="BY643" s="314"/>
      <c r="BZ643" s="314"/>
      <c r="CA643" s="314"/>
      <c r="CB643" s="314"/>
      <c r="CC643" s="314"/>
      <c r="CD643" s="314"/>
    </row>
    <row r="644" ht="28.5" customHeight="1">
      <c r="A644" s="767"/>
      <c r="B644" s="768"/>
      <c r="C644" s="768"/>
      <c r="D644" s="769"/>
      <c r="E644" s="769"/>
      <c r="F644" s="769"/>
      <c r="G644" s="336"/>
      <c r="H644" s="771"/>
      <c r="I644" s="769"/>
      <c r="J644" s="769"/>
      <c r="K644" s="314"/>
      <c r="L644" s="314"/>
      <c r="M644" s="314"/>
      <c r="N644" s="769"/>
      <c r="O644" s="769"/>
      <c r="P644" s="773"/>
      <c r="Q644" s="774"/>
      <c r="R644" s="774"/>
      <c r="S644" s="775"/>
      <c r="AH644" s="776"/>
      <c r="AI644" s="776"/>
      <c r="AJ644" s="732"/>
      <c r="AK644" s="732"/>
      <c r="AL644" s="776"/>
      <c r="AM644" s="776"/>
      <c r="AN644" s="17"/>
      <c r="AO644" s="17"/>
      <c r="AP644" s="17"/>
      <c r="AQ644" s="17"/>
      <c r="AR644" s="17"/>
      <c r="AS644" s="17"/>
      <c r="AT644" s="17"/>
      <c r="AU644" s="732"/>
      <c r="AV644" s="313"/>
      <c r="AW644" s="313"/>
      <c r="AX644" s="313"/>
      <c r="AY644" s="313"/>
      <c r="AZ644" s="313"/>
      <c r="BA644" s="313"/>
      <c r="BB644" s="313"/>
      <c r="BC644" s="313"/>
      <c r="BD644" s="313"/>
      <c r="BE644" s="314"/>
      <c r="BW644" s="314"/>
      <c r="BX644" s="314"/>
      <c r="BY644" s="314"/>
      <c r="BZ644" s="314"/>
      <c r="CA644" s="314"/>
      <c r="CB644" s="314"/>
      <c r="CC644" s="314"/>
      <c r="CD644" s="314"/>
    </row>
    <row r="645" ht="28.5" customHeight="1">
      <c r="A645" s="767"/>
      <c r="B645" s="768"/>
      <c r="C645" s="768"/>
      <c r="D645" s="769"/>
      <c r="E645" s="769"/>
      <c r="F645" s="769"/>
      <c r="G645" s="336"/>
      <c r="H645" s="771"/>
      <c r="I645" s="769"/>
      <c r="J645" s="769"/>
      <c r="K645" s="314"/>
      <c r="L645" s="314"/>
      <c r="M645" s="314"/>
      <c r="N645" s="769"/>
      <c r="O645" s="769"/>
      <c r="P645" s="773"/>
      <c r="Q645" s="774"/>
      <c r="R645" s="774"/>
      <c r="S645" s="775"/>
      <c r="AH645" s="776"/>
      <c r="AI645" s="776"/>
      <c r="AJ645" s="732"/>
      <c r="AK645" s="732"/>
      <c r="AL645" s="776"/>
      <c r="AM645" s="776"/>
      <c r="AN645" s="17"/>
      <c r="AO645" s="17"/>
      <c r="AP645" s="17"/>
      <c r="AQ645" s="17"/>
      <c r="AR645" s="17"/>
      <c r="AS645" s="17"/>
      <c r="AT645" s="17"/>
      <c r="AU645" s="732"/>
      <c r="AV645" s="313"/>
      <c r="AW645" s="313"/>
      <c r="AX645" s="313"/>
      <c r="AY645" s="313"/>
      <c r="AZ645" s="313"/>
      <c r="BA645" s="313"/>
      <c r="BB645" s="313"/>
      <c r="BC645" s="313"/>
      <c r="BD645" s="313"/>
      <c r="BE645" s="314"/>
      <c r="BW645" s="314"/>
      <c r="BX645" s="314"/>
      <c r="BY645" s="314"/>
      <c r="BZ645" s="314"/>
      <c r="CA645" s="314"/>
      <c r="CB645" s="314"/>
      <c r="CC645" s="314"/>
      <c r="CD645" s="314"/>
    </row>
    <row r="646" ht="28.5" customHeight="1">
      <c r="A646" s="767"/>
      <c r="B646" s="768"/>
      <c r="C646" s="768"/>
      <c r="D646" s="769"/>
      <c r="E646" s="769"/>
      <c r="F646" s="769"/>
      <c r="G646" s="336"/>
      <c r="H646" s="771"/>
      <c r="I646" s="769"/>
      <c r="J646" s="769"/>
      <c r="K646" s="314"/>
      <c r="L646" s="314"/>
      <c r="M646" s="314"/>
      <c r="N646" s="769"/>
      <c r="O646" s="769"/>
      <c r="P646" s="773"/>
      <c r="Q646" s="774"/>
      <c r="R646" s="774"/>
      <c r="S646" s="775"/>
      <c r="AH646" s="776"/>
      <c r="AI646" s="776"/>
      <c r="AJ646" s="732"/>
      <c r="AK646" s="732"/>
      <c r="AL646" s="776"/>
      <c r="AM646" s="776"/>
      <c r="AN646" s="17"/>
      <c r="AO646" s="17"/>
      <c r="AP646" s="17"/>
      <c r="AQ646" s="17"/>
      <c r="AR646" s="17"/>
      <c r="AS646" s="17"/>
      <c r="AT646" s="17"/>
      <c r="AU646" s="732"/>
      <c r="AV646" s="313"/>
      <c r="AW646" s="313"/>
      <c r="AX646" s="313"/>
      <c r="AY646" s="313"/>
      <c r="AZ646" s="313"/>
      <c r="BA646" s="313"/>
      <c r="BB646" s="313"/>
      <c r="BC646" s="313"/>
      <c r="BD646" s="313"/>
      <c r="BE646" s="314"/>
      <c r="BW646" s="314"/>
      <c r="BX646" s="314"/>
      <c r="BY646" s="314"/>
      <c r="BZ646" s="314"/>
      <c r="CA646" s="314"/>
      <c r="CB646" s="314"/>
      <c r="CC646" s="314"/>
      <c r="CD646" s="314"/>
    </row>
    <row r="647" ht="28.5" customHeight="1">
      <c r="A647" s="767"/>
      <c r="B647" s="768"/>
      <c r="C647" s="768"/>
      <c r="D647" s="769"/>
      <c r="E647" s="769"/>
      <c r="F647" s="769"/>
      <c r="G647" s="336"/>
      <c r="H647" s="771"/>
      <c r="I647" s="769"/>
      <c r="J647" s="769"/>
      <c r="K647" s="314"/>
      <c r="L647" s="314"/>
      <c r="M647" s="314"/>
      <c r="N647" s="769"/>
      <c r="O647" s="769"/>
      <c r="P647" s="773"/>
      <c r="Q647" s="774"/>
      <c r="R647" s="774"/>
      <c r="S647" s="775"/>
      <c r="AH647" s="776"/>
      <c r="AI647" s="776"/>
      <c r="AJ647" s="732"/>
      <c r="AK647" s="732"/>
      <c r="AL647" s="776"/>
      <c r="AM647" s="776"/>
      <c r="AN647" s="17"/>
      <c r="AO647" s="17"/>
      <c r="AP647" s="17"/>
      <c r="AQ647" s="17"/>
      <c r="AR647" s="17"/>
      <c r="AS647" s="17"/>
      <c r="AT647" s="17"/>
      <c r="AU647" s="732"/>
      <c r="AV647" s="313"/>
      <c r="AW647" s="313"/>
      <c r="AX647" s="313"/>
      <c r="AY647" s="313"/>
      <c r="AZ647" s="313"/>
      <c r="BA647" s="313"/>
      <c r="BB647" s="313"/>
      <c r="BC647" s="313"/>
      <c r="BD647" s="313"/>
      <c r="BE647" s="314"/>
      <c r="BW647" s="314"/>
      <c r="BX647" s="314"/>
      <c r="BY647" s="314"/>
      <c r="BZ647" s="314"/>
      <c r="CA647" s="314"/>
      <c r="CB647" s="314"/>
      <c r="CC647" s="314"/>
      <c r="CD647" s="314"/>
    </row>
    <row r="648" ht="28.5" customHeight="1">
      <c r="A648" s="767"/>
      <c r="B648" s="768"/>
      <c r="C648" s="768"/>
      <c r="D648" s="769"/>
      <c r="E648" s="769"/>
      <c r="F648" s="769"/>
      <c r="G648" s="336"/>
      <c r="H648" s="771"/>
      <c r="I648" s="769"/>
      <c r="J648" s="769"/>
      <c r="K648" s="314"/>
      <c r="L648" s="314"/>
      <c r="M648" s="314"/>
      <c r="N648" s="769"/>
      <c r="O648" s="769"/>
      <c r="P648" s="773"/>
      <c r="Q648" s="774"/>
      <c r="R648" s="774"/>
      <c r="S648" s="775"/>
      <c r="AH648" s="776"/>
      <c r="AI648" s="776"/>
      <c r="AJ648" s="732"/>
      <c r="AK648" s="732"/>
      <c r="AL648" s="776"/>
      <c r="AM648" s="776"/>
      <c r="AN648" s="17"/>
      <c r="AO648" s="17"/>
      <c r="AP648" s="17"/>
      <c r="AQ648" s="17"/>
      <c r="AR648" s="17"/>
      <c r="AS648" s="17"/>
      <c r="AT648" s="17"/>
      <c r="AU648" s="732"/>
      <c r="AV648" s="313"/>
      <c r="AW648" s="313"/>
      <c r="AX648" s="313"/>
      <c r="AY648" s="313"/>
      <c r="AZ648" s="313"/>
      <c r="BA648" s="313"/>
      <c r="BB648" s="313"/>
      <c r="BC648" s="313"/>
      <c r="BD648" s="313"/>
      <c r="BE648" s="314"/>
      <c r="BW648" s="314"/>
      <c r="BX648" s="314"/>
      <c r="BY648" s="314"/>
      <c r="BZ648" s="314"/>
      <c r="CA648" s="314"/>
      <c r="CB648" s="314"/>
      <c r="CC648" s="314"/>
      <c r="CD648" s="314"/>
    </row>
    <row r="649" ht="28.5" customHeight="1">
      <c r="A649" s="767"/>
      <c r="B649" s="768"/>
      <c r="C649" s="768"/>
      <c r="D649" s="769"/>
      <c r="E649" s="769"/>
      <c r="F649" s="769"/>
      <c r="G649" s="336"/>
      <c r="H649" s="771"/>
      <c r="I649" s="769"/>
      <c r="J649" s="769"/>
      <c r="K649" s="314"/>
      <c r="L649" s="314"/>
      <c r="M649" s="314"/>
      <c r="N649" s="769"/>
      <c r="O649" s="769"/>
      <c r="P649" s="773"/>
      <c r="Q649" s="774"/>
      <c r="R649" s="774"/>
      <c r="S649" s="775"/>
      <c r="AH649" s="776"/>
      <c r="AI649" s="776"/>
      <c r="AJ649" s="732"/>
      <c r="AK649" s="732"/>
      <c r="AL649" s="776"/>
      <c r="AM649" s="776"/>
      <c r="AN649" s="17"/>
      <c r="AO649" s="17"/>
      <c r="AP649" s="17"/>
      <c r="AQ649" s="17"/>
      <c r="AR649" s="17"/>
      <c r="AS649" s="17"/>
      <c r="AT649" s="17"/>
      <c r="AU649" s="732"/>
      <c r="AV649" s="313"/>
      <c r="AW649" s="313"/>
      <c r="AX649" s="313"/>
      <c r="AY649" s="313"/>
      <c r="AZ649" s="313"/>
      <c r="BA649" s="313"/>
      <c r="BB649" s="313"/>
      <c r="BC649" s="313"/>
      <c r="BD649" s="313"/>
      <c r="BE649" s="314"/>
      <c r="BW649" s="314"/>
      <c r="BX649" s="314"/>
      <c r="BY649" s="314"/>
      <c r="BZ649" s="314"/>
      <c r="CA649" s="314"/>
      <c r="CB649" s="314"/>
      <c r="CC649" s="314"/>
      <c r="CD649" s="314"/>
    </row>
    <row r="650" ht="28.5" customHeight="1">
      <c r="A650" s="767"/>
      <c r="B650" s="768"/>
      <c r="C650" s="768"/>
      <c r="D650" s="769"/>
      <c r="E650" s="769"/>
      <c r="F650" s="769"/>
      <c r="G650" s="336"/>
      <c r="H650" s="771"/>
      <c r="I650" s="769"/>
      <c r="J650" s="769"/>
      <c r="K650" s="314"/>
      <c r="L650" s="314"/>
      <c r="M650" s="314"/>
      <c r="N650" s="769"/>
      <c r="O650" s="769"/>
      <c r="P650" s="773"/>
      <c r="Q650" s="774"/>
      <c r="R650" s="774"/>
      <c r="S650" s="775"/>
      <c r="AH650" s="776"/>
      <c r="AI650" s="776"/>
      <c r="AJ650" s="732"/>
      <c r="AK650" s="732"/>
      <c r="AL650" s="776"/>
      <c r="AM650" s="776"/>
      <c r="AN650" s="17"/>
      <c r="AO650" s="17"/>
      <c r="AP650" s="17"/>
      <c r="AQ650" s="17"/>
      <c r="AR650" s="17"/>
      <c r="AS650" s="17"/>
      <c r="AT650" s="17"/>
      <c r="AU650" s="732"/>
      <c r="AV650" s="313"/>
      <c r="AW650" s="313"/>
      <c r="AX650" s="313"/>
      <c r="AY650" s="313"/>
      <c r="AZ650" s="313"/>
      <c r="BA650" s="313"/>
      <c r="BB650" s="313"/>
      <c r="BC650" s="313"/>
      <c r="BD650" s="313"/>
      <c r="BE650" s="314"/>
      <c r="BW650" s="314"/>
      <c r="BX650" s="314"/>
      <c r="BY650" s="314"/>
      <c r="BZ650" s="314"/>
      <c r="CA650" s="314"/>
      <c r="CB650" s="314"/>
      <c r="CC650" s="314"/>
      <c r="CD650" s="314"/>
    </row>
    <row r="651" ht="28.5" customHeight="1">
      <c r="A651" s="767"/>
      <c r="B651" s="768"/>
      <c r="C651" s="768"/>
      <c r="D651" s="769"/>
      <c r="E651" s="769"/>
      <c r="F651" s="769"/>
      <c r="G651" s="336"/>
      <c r="H651" s="771"/>
      <c r="I651" s="769"/>
      <c r="J651" s="769"/>
      <c r="K651" s="314"/>
      <c r="L651" s="314"/>
      <c r="M651" s="314"/>
      <c r="N651" s="769"/>
      <c r="O651" s="769"/>
      <c r="P651" s="773"/>
      <c r="Q651" s="774"/>
      <c r="R651" s="774"/>
      <c r="S651" s="775"/>
      <c r="AH651" s="776"/>
      <c r="AI651" s="776"/>
      <c r="AJ651" s="732"/>
      <c r="AK651" s="732"/>
      <c r="AL651" s="776"/>
      <c r="AM651" s="776"/>
      <c r="AN651" s="17"/>
      <c r="AO651" s="17"/>
      <c r="AP651" s="17"/>
      <c r="AQ651" s="17"/>
      <c r="AR651" s="17"/>
      <c r="AS651" s="17"/>
      <c r="AT651" s="17"/>
      <c r="AU651" s="732"/>
      <c r="AV651" s="313"/>
      <c r="AW651" s="313"/>
      <c r="AX651" s="313"/>
      <c r="AY651" s="313"/>
      <c r="AZ651" s="313"/>
      <c r="BA651" s="313"/>
      <c r="BB651" s="313"/>
      <c r="BC651" s="313"/>
      <c r="BD651" s="313"/>
      <c r="BE651" s="314"/>
      <c r="BW651" s="314"/>
      <c r="BX651" s="314"/>
      <c r="BY651" s="314"/>
      <c r="BZ651" s="314"/>
      <c r="CA651" s="314"/>
      <c r="CB651" s="314"/>
      <c r="CC651" s="314"/>
      <c r="CD651" s="314"/>
    </row>
    <row r="652" ht="28.5" customHeight="1">
      <c r="A652" s="767"/>
      <c r="B652" s="768"/>
      <c r="C652" s="768"/>
      <c r="D652" s="769"/>
      <c r="E652" s="769"/>
      <c r="F652" s="769"/>
      <c r="G652" s="336"/>
      <c r="H652" s="771"/>
      <c r="I652" s="769"/>
      <c r="J652" s="769"/>
      <c r="K652" s="314"/>
      <c r="L652" s="314"/>
      <c r="M652" s="314"/>
      <c r="N652" s="769"/>
      <c r="O652" s="769"/>
      <c r="P652" s="773"/>
      <c r="Q652" s="774"/>
      <c r="R652" s="774"/>
      <c r="S652" s="775"/>
      <c r="AH652" s="776"/>
      <c r="AI652" s="776"/>
      <c r="AJ652" s="732"/>
      <c r="AK652" s="732"/>
      <c r="AL652" s="776"/>
      <c r="AM652" s="776"/>
      <c r="AN652" s="17"/>
      <c r="AO652" s="17"/>
      <c r="AP652" s="17"/>
      <c r="AQ652" s="17"/>
      <c r="AR652" s="17"/>
      <c r="AS652" s="17"/>
      <c r="AT652" s="17"/>
      <c r="AU652" s="732"/>
      <c r="AV652" s="313"/>
      <c r="AW652" s="313"/>
      <c r="AX652" s="313"/>
      <c r="AY652" s="313"/>
      <c r="AZ652" s="313"/>
      <c r="BA652" s="313"/>
      <c r="BB652" s="313"/>
      <c r="BC652" s="313"/>
      <c r="BD652" s="313"/>
      <c r="BE652" s="314"/>
      <c r="BW652" s="314"/>
      <c r="BX652" s="314"/>
      <c r="BY652" s="314"/>
      <c r="BZ652" s="314"/>
      <c r="CA652" s="314"/>
      <c r="CB652" s="314"/>
      <c r="CC652" s="314"/>
      <c r="CD652" s="314"/>
    </row>
    <row r="653" ht="28.5" customHeight="1">
      <c r="A653" s="767"/>
      <c r="B653" s="768"/>
      <c r="C653" s="768"/>
      <c r="D653" s="769"/>
      <c r="E653" s="769"/>
      <c r="F653" s="769"/>
      <c r="G653" s="336"/>
      <c r="H653" s="771"/>
      <c r="I653" s="769"/>
      <c r="J653" s="769"/>
      <c r="K653" s="314"/>
      <c r="L653" s="314"/>
      <c r="M653" s="314"/>
      <c r="N653" s="769"/>
      <c r="O653" s="769"/>
      <c r="P653" s="773"/>
      <c r="Q653" s="774"/>
      <c r="R653" s="774"/>
      <c r="S653" s="775"/>
      <c r="AH653" s="776"/>
      <c r="AI653" s="776"/>
      <c r="AJ653" s="732"/>
      <c r="AK653" s="732"/>
      <c r="AL653" s="776"/>
      <c r="AM653" s="776"/>
      <c r="AN653" s="17"/>
      <c r="AO653" s="17"/>
      <c r="AP653" s="17"/>
      <c r="AQ653" s="17"/>
      <c r="AR653" s="17"/>
      <c r="AS653" s="17"/>
      <c r="AT653" s="17"/>
      <c r="AU653" s="732"/>
      <c r="AV653" s="313"/>
      <c r="AW653" s="313"/>
      <c r="AX653" s="313"/>
      <c r="AY653" s="313"/>
      <c r="AZ653" s="313"/>
      <c r="BA653" s="313"/>
      <c r="BB653" s="313"/>
      <c r="BC653" s="313"/>
      <c r="BD653" s="313"/>
      <c r="BE653" s="314"/>
      <c r="BW653" s="314"/>
      <c r="BX653" s="314"/>
      <c r="BY653" s="314"/>
      <c r="BZ653" s="314"/>
      <c r="CA653" s="314"/>
      <c r="CB653" s="314"/>
      <c r="CC653" s="314"/>
      <c r="CD653" s="314"/>
    </row>
    <row r="654" ht="28.5" customHeight="1">
      <c r="A654" s="767"/>
      <c r="B654" s="768"/>
      <c r="C654" s="768"/>
      <c r="D654" s="769"/>
      <c r="E654" s="769"/>
      <c r="F654" s="769"/>
      <c r="G654" s="336"/>
      <c r="H654" s="771"/>
      <c r="I654" s="769"/>
      <c r="J654" s="769"/>
      <c r="K654" s="314"/>
      <c r="L654" s="314"/>
      <c r="M654" s="314"/>
      <c r="N654" s="769"/>
      <c r="O654" s="769"/>
      <c r="P654" s="773"/>
      <c r="Q654" s="774"/>
      <c r="R654" s="774"/>
      <c r="S654" s="775"/>
      <c r="AH654" s="776"/>
      <c r="AI654" s="776"/>
      <c r="AJ654" s="732"/>
      <c r="AK654" s="732"/>
      <c r="AL654" s="776"/>
      <c r="AM654" s="776"/>
      <c r="AN654" s="17"/>
      <c r="AO654" s="17"/>
      <c r="AP654" s="17"/>
      <c r="AQ654" s="17"/>
      <c r="AR654" s="17"/>
      <c r="AS654" s="17"/>
      <c r="AT654" s="17"/>
      <c r="AU654" s="732"/>
      <c r="AV654" s="313"/>
      <c r="AW654" s="313"/>
      <c r="AX654" s="313"/>
      <c r="AY654" s="313"/>
      <c r="AZ654" s="313"/>
      <c r="BA654" s="313"/>
      <c r="BB654" s="313"/>
      <c r="BC654" s="313"/>
      <c r="BD654" s="313"/>
      <c r="BE654" s="314"/>
      <c r="BW654" s="314"/>
      <c r="BX654" s="314"/>
      <c r="BY654" s="314"/>
      <c r="BZ654" s="314"/>
      <c r="CA654" s="314"/>
      <c r="CB654" s="314"/>
      <c r="CC654" s="314"/>
      <c r="CD654" s="314"/>
    </row>
    <row r="655" ht="28.5" customHeight="1">
      <c r="A655" s="767"/>
      <c r="B655" s="768"/>
      <c r="C655" s="768"/>
      <c r="D655" s="769"/>
      <c r="E655" s="769"/>
      <c r="F655" s="769"/>
      <c r="G655" s="336"/>
      <c r="H655" s="771"/>
      <c r="I655" s="769"/>
      <c r="J655" s="769"/>
      <c r="K655" s="314"/>
      <c r="L655" s="314"/>
      <c r="M655" s="314"/>
      <c r="N655" s="769"/>
      <c r="O655" s="769"/>
      <c r="P655" s="773"/>
      <c r="Q655" s="774"/>
      <c r="R655" s="774"/>
      <c r="S655" s="775"/>
      <c r="AH655" s="776"/>
      <c r="AI655" s="776"/>
      <c r="AJ655" s="732"/>
      <c r="AK655" s="732"/>
      <c r="AL655" s="776"/>
      <c r="AM655" s="776"/>
      <c r="AN655" s="17"/>
      <c r="AO655" s="17"/>
      <c r="AP655" s="17"/>
      <c r="AQ655" s="17"/>
      <c r="AR655" s="17"/>
      <c r="AS655" s="17"/>
      <c r="AT655" s="17"/>
      <c r="AU655" s="732"/>
      <c r="AV655" s="313"/>
      <c r="AW655" s="313"/>
      <c r="AX655" s="313"/>
      <c r="AY655" s="313"/>
      <c r="AZ655" s="313"/>
      <c r="BA655" s="313"/>
      <c r="BB655" s="313"/>
      <c r="BC655" s="313"/>
      <c r="BD655" s="313"/>
      <c r="BE655" s="314"/>
      <c r="BW655" s="314"/>
      <c r="BX655" s="314"/>
      <c r="BY655" s="314"/>
      <c r="BZ655" s="314"/>
      <c r="CA655" s="314"/>
      <c r="CB655" s="314"/>
      <c r="CC655" s="314"/>
      <c r="CD655" s="314"/>
    </row>
    <row r="656" ht="28.5" customHeight="1">
      <c r="A656" s="767"/>
      <c r="B656" s="768"/>
      <c r="C656" s="768"/>
      <c r="D656" s="769"/>
      <c r="E656" s="769"/>
      <c r="F656" s="769"/>
      <c r="G656" s="336"/>
      <c r="H656" s="771"/>
      <c r="I656" s="769"/>
      <c r="J656" s="769"/>
      <c r="K656" s="314"/>
      <c r="L656" s="314"/>
      <c r="M656" s="314"/>
      <c r="N656" s="769"/>
      <c r="O656" s="769"/>
      <c r="P656" s="773"/>
      <c r="Q656" s="774"/>
      <c r="R656" s="774"/>
      <c r="S656" s="775"/>
      <c r="AH656" s="776"/>
      <c r="AI656" s="776"/>
      <c r="AJ656" s="732"/>
      <c r="AK656" s="732"/>
      <c r="AL656" s="776"/>
      <c r="AM656" s="776"/>
      <c r="AN656" s="17"/>
      <c r="AO656" s="17"/>
      <c r="AP656" s="17"/>
      <c r="AQ656" s="17"/>
      <c r="AR656" s="17"/>
      <c r="AS656" s="17"/>
      <c r="AT656" s="17"/>
      <c r="AU656" s="732"/>
      <c r="AV656" s="313"/>
      <c r="AW656" s="313"/>
      <c r="AX656" s="313"/>
      <c r="AY656" s="313"/>
      <c r="AZ656" s="313"/>
      <c r="BA656" s="313"/>
      <c r="BB656" s="313"/>
      <c r="BC656" s="313"/>
      <c r="BD656" s="313"/>
      <c r="BE656" s="314"/>
      <c r="BW656" s="314"/>
      <c r="BX656" s="314"/>
      <c r="BY656" s="314"/>
      <c r="BZ656" s="314"/>
      <c r="CA656" s="314"/>
      <c r="CB656" s="314"/>
      <c r="CC656" s="314"/>
      <c r="CD656" s="314"/>
    </row>
    <row r="657" ht="28.5" customHeight="1">
      <c r="A657" s="767"/>
      <c r="B657" s="768"/>
      <c r="C657" s="768"/>
      <c r="D657" s="769"/>
      <c r="E657" s="769"/>
      <c r="F657" s="769"/>
      <c r="G657" s="336"/>
      <c r="H657" s="771"/>
      <c r="I657" s="769"/>
      <c r="J657" s="769"/>
      <c r="K657" s="314"/>
      <c r="L657" s="314"/>
      <c r="M657" s="314"/>
      <c r="N657" s="769"/>
      <c r="O657" s="769"/>
      <c r="P657" s="773"/>
      <c r="Q657" s="774"/>
      <c r="R657" s="774"/>
      <c r="S657" s="775"/>
      <c r="AH657" s="776"/>
      <c r="AI657" s="776"/>
      <c r="AJ657" s="732"/>
      <c r="AK657" s="732"/>
      <c r="AL657" s="776"/>
      <c r="AM657" s="776"/>
      <c r="AN657" s="17"/>
      <c r="AO657" s="17"/>
      <c r="AP657" s="17"/>
      <c r="AQ657" s="17"/>
      <c r="AR657" s="17"/>
      <c r="AS657" s="17"/>
      <c r="AT657" s="17"/>
      <c r="AU657" s="732"/>
      <c r="AV657" s="313"/>
      <c r="AW657" s="313"/>
      <c r="AX657" s="313"/>
      <c r="AY657" s="313"/>
      <c r="AZ657" s="313"/>
      <c r="BA657" s="313"/>
      <c r="BB657" s="313"/>
      <c r="BC657" s="313"/>
      <c r="BD657" s="313"/>
      <c r="BE657" s="314"/>
      <c r="BW657" s="314"/>
      <c r="BX657" s="314"/>
      <c r="BY657" s="314"/>
      <c r="BZ657" s="314"/>
      <c r="CA657" s="314"/>
      <c r="CB657" s="314"/>
      <c r="CC657" s="314"/>
      <c r="CD657" s="314"/>
    </row>
    <row r="658" ht="28.5" customHeight="1">
      <c r="A658" s="767"/>
      <c r="B658" s="768"/>
      <c r="C658" s="768"/>
      <c r="D658" s="769"/>
      <c r="E658" s="769"/>
      <c r="F658" s="769"/>
      <c r="G658" s="336"/>
      <c r="H658" s="771"/>
      <c r="I658" s="769"/>
      <c r="J658" s="769"/>
      <c r="K658" s="314"/>
      <c r="L658" s="314"/>
      <c r="M658" s="314"/>
      <c r="N658" s="769"/>
      <c r="O658" s="769"/>
      <c r="P658" s="773"/>
      <c r="Q658" s="774"/>
      <c r="R658" s="774"/>
      <c r="S658" s="775"/>
      <c r="AH658" s="776"/>
      <c r="AI658" s="776"/>
      <c r="AJ658" s="732"/>
      <c r="AK658" s="732"/>
      <c r="AL658" s="776"/>
      <c r="AM658" s="776"/>
      <c r="AN658" s="17"/>
      <c r="AO658" s="17"/>
      <c r="AP658" s="17"/>
      <c r="AQ658" s="17"/>
      <c r="AR658" s="17"/>
      <c r="AS658" s="17"/>
      <c r="AT658" s="17"/>
      <c r="AU658" s="732"/>
      <c r="AV658" s="313"/>
      <c r="AW658" s="313"/>
      <c r="AX658" s="313"/>
      <c r="AY658" s="313"/>
      <c r="AZ658" s="313"/>
      <c r="BA658" s="313"/>
      <c r="BB658" s="313"/>
      <c r="BC658" s="313"/>
      <c r="BD658" s="313"/>
      <c r="BE658" s="314"/>
      <c r="BW658" s="314"/>
      <c r="BX658" s="314"/>
      <c r="BY658" s="314"/>
      <c r="BZ658" s="314"/>
      <c r="CA658" s="314"/>
      <c r="CB658" s="314"/>
      <c r="CC658" s="314"/>
      <c r="CD658" s="314"/>
    </row>
    <row r="659" ht="28.5" customHeight="1">
      <c r="A659" s="767"/>
      <c r="B659" s="768"/>
      <c r="C659" s="768"/>
      <c r="D659" s="769"/>
      <c r="E659" s="769"/>
      <c r="F659" s="769"/>
      <c r="G659" s="336"/>
      <c r="H659" s="771"/>
      <c r="I659" s="769"/>
      <c r="J659" s="769"/>
      <c r="K659" s="314"/>
      <c r="L659" s="314"/>
      <c r="M659" s="314"/>
      <c r="N659" s="769"/>
      <c r="O659" s="769"/>
      <c r="P659" s="773"/>
      <c r="Q659" s="774"/>
      <c r="R659" s="774"/>
      <c r="S659" s="775"/>
      <c r="AH659" s="776"/>
      <c r="AI659" s="776"/>
      <c r="AJ659" s="732"/>
      <c r="AK659" s="732"/>
      <c r="AL659" s="776"/>
      <c r="AM659" s="776"/>
      <c r="AN659" s="17"/>
      <c r="AO659" s="17"/>
      <c r="AP659" s="17"/>
      <c r="AQ659" s="17"/>
      <c r="AR659" s="17"/>
      <c r="AS659" s="17"/>
      <c r="AT659" s="17"/>
      <c r="AU659" s="732"/>
      <c r="AV659" s="313"/>
      <c r="AW659" s="313"/>
      <c r="AX659" s="313"/>
      <c r="AY659" s="313"/>
      <c r="AZ659" s="313"/>
      <c r="BA659" s="313"/>
      <c r="BB659" s="313"/>
      <c r="BC659" s="313"/>
      <c r="BD659" s="313"/>
      <c r="BE659" s="314"/>
      <c r="BW659" s="314"/>
      <c r="BX659" s="314"/>
      <c r="BY659" s="314"/>
      <c r="BZ659" s="314"/>
      <c r="CA659" s="314"/>
      <c r="CB659" s="314"/>
      <c r="CC659" s="314"/>
      <c r="CD659" s="314"/>
    </row>
    <row r="660" ht="28.5" customHeight="1">
      <c r="A660" s="767"/>
      <c r="B660" s="768"/>
      <c r="C660" s="768"/>
      <c r="D660" s="769"/>
      <c r="E660" s="769"/>
      <c r="F660" s="769"/>
      <c r="G660" s="336"/>
      <c r="H660" s="771"/>
      <c r="I660" s="769"/>
      <c r="J660" s="769"/>
      <c r="K660" s="314"/>
      <c r="L660" s="314"/>
      <c r="M660" s="314"/>
      <c r="N660" s="769"/>
      <c r="O660" s="769"/>
      <c r="P660" s="773"/>
      <c r="Q660" s="774"/>
      <c r="R660" s="774"/>
      <c r="S660" s="775"/>
      <c r="AH660" s="776"/>
      <c r="AI660" s="776"/>
      <c r="AJ660" s="732"/>
      <c r="AK660" s="732"/>
      <c r="AL660" s="776"/>
      <c r="AM660" s="776"/>
      <c r="AN660" s="17"/>
      <c r="AO660" s="17"/>
      <c r="AP660" s="17"/>
      <c r="AQ660" s="17"/>
      <c r="AR660" s="17"/>
      <c r="AS660" s="17"/>
      <c r="AT660" s="17"/>
      <c r="AU660" s="732"/>
      <c r="AV660" s="313"/>
      <c r="AW660" s="313"/>
      <c r="AX660" s="313"/>
      <c r="AY660" s="313"/>
      <c r="AZ660" s="313"/>
      <c r="BA660" s="313"/>
      <c r="BB660" s="313"/>
      <c r="BC660" s="313"/>
      <c r="BD660" s="313"/>
      <c r="BE660" s="314"/>
      <c r="BW660" s="314"/>
      <c r="BX660" s="314"/>
      <c r="BY660" s="314"/>
      <c r="BZ660" s="314"/>
      <c r="CA660" s="314"/>
      <c r="CB660" s="314"/>
      <c r="CC660" s="314"/>
      <c r="CD660" s="314"/>
    </row>
    <row r="661" ht="28.5" customHeight="1">
      <c r="A661" s="767"/>
      <c r="B661" s="768"/>
      <c r="C661" s="768"/>
      <c r="D661" s="769"/>
      <c r="E661" s="769"/>
      <c r="F661" s="769"/>
      <c r="G661" s="336"/>
      <c r="H661" s="771"/>
      <c r="I661" s="769"/>
      <c r="J661" s="769"/>
      <c r="K661" s="314"/>
      <c r="L661" s="314"/>
      <c r="M661" s="314"/>
      <c r="N661" s="769"/>
      <c r="O661" s="769"/>
      <c r="P661" s="773"/>
      <c r="Q661" s="774"/>
      <c r="R661" s="774"/>
      <c r="S661" s="775"/>
      <c r="AH661" s="776"/>
      <c r="AI661" s="776"/>
      <c r="AJ661" s="732"/>
      <c r="AK661" s="732"/>
      <c r="AL661" s="776"/>
      <c r="AM661" s="776"/>
      <c r="AN661" s="17"/>
      <c r="AO661" s="17"/>
      <c r="AP661" s="17"/>
      <c r="AQ661" s="17"/>
      <c r="AR661" s="17"/>
      <c r="AS661" s="17"/>
      <c r="AT661" s="17"/>
      <c r="AU661" s="732"/>
      <c r="AV661" s="313"/>
      <c r="AW661" s="313"/>
      <c r="AX661" s="313"/>
      <c r="AY661" s="313"/>
      <c r="AZ661" s="313"/>
      <c r="BA661" s="313"/>
      <c r="BB661" s="313"/>
      <c r="BC661" s="313"/>
      <c r="BD661" s="313"/>
      <c r="BE661" s="314"/>
      <c r="BW661" s="314"/>
      <c r="BX661" s="314"/>
      <c r="BY661" s="314"/>
      <c r="BZ661" s="314"/>
      <c r="CA661" s="314"/>
      <c r="CB661" s="314"/>
      <c r="CC661" s="314"/>
      <c r="CD661" s="314"/>
    </row>
    <row r="662" ht="28.5" customHeight="1">
      <c r="A662" s="767"/>
      <c r="B662" s="768"/>
      <c r="C662" s="768"/>
      <c r="D662" s="769"/>
      <c r="E662" s="769"/>
      <c r="F662" s="769"/>
      <c r="G662" s="336"/>
      <c r="H662" s="771"/>
      <c r="I662" s="769"/>
      <c r="J662" s="769"/>
      <c r="K662" s="314"/>
      <c r="L662" s="314"/>
      <c r="M662" s="314"/>
      <c r="N662" s="769"/>
      <c r="O662" s="769"/>
      <c r="P662" s="773"/>
      <c r="Q662" s="774"/>
      <c r="R662" s="774"/>
      <c r="S662" s="775"/>
      <c r="AH662" s="776"/>
      <c r="AI662" s="776"/>
      <c r="AJ662" s="732"/>
      <c r="AK662" s="732"/>
      <c r="AL662" s="776"/>
      <c r="AM662" s="776"/>
      <c r="AN662" s="17"/>
      <c r="AO662" s="17"/>
      <c r="AP662" s="17"/>
      <c r="AQ662" s="17"/>
      <c r="AR662" s="17"/>
      <c r="AS662" s="17"/>
      <c r="AT662" s="17"/>
      <c r="AU662" s="732"/>
      <c r="AV662" s="313"/>
      <c r="AW662" s="313"/>
      <c r="AX662" s="313"/>
      <c r="AY662" s="313"/>
      <c r="AZ662" s="313"/>
      <c r="BA662" s="313"/>
      <c r="BB662" s="313"/>
      <c r="BC662" s="313"/>
      <c r="BD662" s="313"/>
      <c r="BE662" s="314"/>
      <c r="BW662" s="314"/>
      <c r="BX662" s="314"/>
      <c r="BY662" s="314"/>
      <c r="BZ662" s="314"/>
      <c r="CA662" s="314"/>
      <c r="CB662" s="314"/>
      <c r="CC662" s="314"/>
      <c r="CD662" s="314"/>
    </row>
    <row r="663" ht="28.5" customHeight="1">
      <c r="A663" s="767"/>
      <c r="B663" s="768"/>
      <c r="C663" s="768"/>
      <c r="D663" s="769"/>
      <c r="E663" s="769"/>
      <c r="F663" s="769"/>
      <c r="G663" s="336"/>
      <c r="H663" s="771"/>
      <c r="I663" s="769"/>
      <c r="J663" s="769"/>
      <c r="K663" s="314"/>
      <c r="L663" s="314"/>
      <c r="M663" s="314"/>
      <c r="N663" s="769"/>
      <c r="O663" s="769"/>
      <c r="P663" s="773"/>
      <c r="Q663" s="774"/>
      <c r="R663" s="774"/>
      <c r="S663" s="775"/>
      <c r="AH663" s="776"/>
      <c r="AI663" s="776"/>
      <c r="AJ663" s="732"/>
      <c r="AK663" s="732"/>
      <c r="AL663" s="776"/>
      <c r="AM663" s="776"/>
      <c r="AN663" s="17"/>
      <c r="AO663" s="17"/>
      <c r="AP663" s="17"/>
      <c r="AQ663" s="17"/>
      <c r="AR663" s="17"/>
      <c r="AS663" s="17"/>
      <c r="AT663" s="17"/>
      <c r="AU663" s="732"/>
      <c r="AV663" s="313"/>
      <c r="AW663" s="313"/>
      <c r="AX663" s="313"/>
      <c r="AY663" s="313"/>
      <c r="AZ663" s="313"/>
      <c r="BA663" s="313"/>
      <c r="BB663" s="313"/>
      <c r="BC663" s="313"/>
      <c r="BD663" s="313"/>
      <c r="BE663" s="314"/>
      <c r="BW663" s="314"/>
      <c r="BX663" s="314"/>
      <c r="BY663" s="314"/>
      <c r="BZ663" s="314"/>
      <c r="CA663" s="314"/>
      <c r="CB663" s="314"/>
      <c r="CC663" s="314"/>
      <c r="CD663" s="314"/>
    </row>
    <row r="664" ht="28.5" customHeight="1">
      <c r="A664" s="767"/>
      <c r="B664" s="768"/>
      <c r="C664" s="768"/>
      <c r="D664" s="769"/>
      <c r="E664" s="769"/>
      <c r="F664" s="769"/>
      <c r="G664" s="336"/>
      <c r="H664" s="771"/>
      <c r="I664" s="769"/>
      <c r="J664" s="769"/>
      <c r="K664" s="314"/>
      <c r="L664" s="314"/>
      <c r="M664" s="314"/>
      <c r="N664" s="769"/>
      <c r="O664" s="769"/>
      <c r="P664" s="773"/>
      <c r="Q664" s="774"/>
      <c r="R664" s="774"/>
      <c r="S664" s="775"/>
      <c r="AH664" s="776"/>
      <c r="AI664" s="776"/>
      <c r="AJ664" s="732"/>
      <c r="AK664" s="732"/>
      <c r="AL664" s="776"/>
      <c r="AM664" s="776"/>
      <c r="AN664" s="17"/>
      <c r="AO664" s="17"/>
      <c r="AP664" s="17"/>
      <c r="AQ664" s="17"/>
      <c r="AR664" s="17"/>
      <c r="AS664" s="17"/>
      <c r="AT664" s="17"/>
      <c r="AU664" s="732"/>
      <c r="AV664" s="313"/>
      <c r="AW664" s="313"/>
      <c r="AX664" s="313"/>
      <c r="AY664" s="313"/>
      <c r="AZ664" s="313"/>
      <c r="BA664" s="313"/>
      <c r="BB664" s="313"/>
      <c r="BC664" s="313"/>
      <c r="BD664" s="313"/>
      <c r="BE664" s="314"/>
      <c r="BW664" s="314"/>
      <c r="BX664" s="314"/>
      <c r="BY664" s="314"/>
      <c r="BZ664" s="314"/>
      <c r="CA664" s="314"/>
      <c r="CB664" s="314"/>
      <c r="CC664" s="314"/>
      <c r="CD664" s="314"/>
    </row>
    <row r="665" ht="28.5" customHeight="1">
      <c r="A665" s="767"/>
      <c r="B665" s="768"/>
      <c r="C665" s="768"/>
      <c r="D665" s="769"/>
      <c r="E665" s="769"/>
      <c r="F665" s="769"/>
      <c r="G665" s="336"/>
      <c r="H665" s="771"/>
      <c r="I665" s="769"/>
      <c r="J665" s="769"/>
      <c r="K665" s="314"/>
      <c r="L665" s="314"/>
      <c r="M665" s="314"/>
      <c r="N665" s="769"/>
      <c r="O665" s="769"/>
      <c r="P665" s="773"/>
      <c r="Q665" s="774"/>
      <c r="R665" s="774"/>
      <c r="S665" s="775"/>
      <c r="AH665" s="776"/>
      <c r="AI665" s="776"/>
      <c r="AJ665" s="732"/>
      <c r="AK665" s="732"/>
      <c r="AL665" s="776"/>
      <c r="AM665" s="776"/>
      <c r="AN665" s="17"/>
      <c r="AO665" s="17"/>
      <c r="AP665" s="17"/>
      <c r="AQ665" s="17"/>
      <c r="AR665" s="17"/>
      <c r="AS665" s="17"/>
      <c r="AT665" s="17"/>
      <c r="AU665" s="732"/>
      <c r="AV665" s="313"/>
      <c r="AW665" s="313"/>
      <c r="AX665" s="313"/>
      <c r="AY665" s="313"/>
      <c r="AZ665" s="313"/>
      <c r="BA665" s="313"/>
      <c r="BB665" s="313"/>
      <c r="BC665" s="313"/>
      <c r="BD665" s="313"/>
      <c r="BE665" s="314"/>
      <c r="BW665" s="314"/>
      <c r="BX665" s="314"/>
      <c r="BY665" s="314"/>
      <c r="BZ665" s="314"/>
      <c r="CA665" s="314"/>
      <c r="CB665" s="314"/>
      <c r="CC665" s="314"/>
      <c r="CD665" s="314"/>
    </row>
    <row r="666" ht="28.5" customHeight="1">
      <c r="A666" s="767"/>
      <c r="B666" s="768"/>
      <c r="C666" s="768"/>
      <c r="D666" s="769"/>
      <c r="E666" s="769"/>
      <c r="F666" s="769"/>
      <c r="G666" s="336"/>
      <c r="H666" s="771"/>
      <c r="I666" s="769"/>
      <c r="J666" s="769"/>
      <c r="K666" s="314"/>
      <c r="L666" s="314"/>
      <c r="M666" s="314"/>
      <c r="N666" s="769"/>
      <c r="O666" s="769"/>
      <c r="P666" s="773"/>
      <c r="Q666" s="774"/>
      <c r="R666" s="774"/>
      <c r="S666" s="775"/>
      <c r="AH666" s="776"/>
      <c r="AI666" s="776"/>
      <c r="AJ666" s="732"/>
      <c r="AK666" s="732"/>
      <c r="AL666" s="776"/>
      <c r="AM666" s="776"/>
      <c r="AN666" s="17"/>
      <c r="AO666" s="17"/>
      <c r="AP666" s="17"/>
      <c r="AQ666" s="17"/>
      <c r="AR666" s="17"/>
      <c r="AS666" s="17"/>
      <c r="AT666" s="17"/>
      <c r="AU666" s="732"/>
      <c r="AV666" s="313"/>
      <c r="AW666" s="313"/>
      <c r="AX666" s="313"/>
      <c r="AY666" s="313"/>
      <c r="AZ666" s="313"/>
      <c r="BA666" s="313"/>
      <c r="BB666" s="313"/>
      <c r="BC666" s="313"/>
      <c r="BD666" s="313"/>
      <c r="BE666" s="314"/>
      <c r="BW666" s="314"/>
      <c r="BX666" s="314"/>
      <c r="BY666" s="314"/>
      <c r="BZ666" s="314"/>
      <c r="CA666" s="314"/>
      <c r="CB666" s="314"/>
      <c r="CC666" s="314"/>
      <c r="CD666" s="314"/>
    </row>
    <row r="667" ht="28.5" customHeight="1">
      <c r="A667" s="767"/>
      <c r="B667" s="768"/>
      <c r="C667" s="768"/>
      <c r="D667" s="769"/>
      <c r="E667" s="769"/>
      <c r="F667" s="769"/>
      <c r="G667" s="336"/>
      <c r="H667" s="771"/>
      <c r="I667" s="769"/>
      <c r="J667" s="769"/>
      <c r="K667" s="314"/>
      <c r="L667" s="314"/>
      <c r="M667" s="314"/>
      <c r="N667" s="769"/>
      <c r="O667" s="769"/>
      <c r="P667" s="773"/>
      <c r="Q667" s="774"/>
      <c r="R667" s="774"/>
      <c r="S667" s="775"/>
      <c r="AH667" s="776"/>
      <c r="AI667" s="776"/>
      <c r="AJ667" s="732"/>
      <c r="AK667" s="732"/>
      <c r="AL667" s="776"/>
      <c r="AM667" s="776"/>
      <c r="AN667" s="17"/>
      <c r="AO667" s="17"/>
      <c r="AP667" s="17"/>
      <c r="AQ667" s="17"/>
      <c r="AR667" s="17"/>
      <c r="AS667" s="17"/>
      <c r="AT667" s="17"/>
      <c r="AU667" s="732"/>
      <c r="AV667" s="313"/>
      <c r="AW667" s="313"/>
      <c r="AX667" s="313"/>
      <c r="AY667" s="313"/>
      <c r="AZ667" s="313"/>
      <c r="BA667" s="313"/>
      <c r="BB667" s="313"/>
      <c r="BC667" s="313"/>
      <c r="BD667" s="313"/>
      <c r="BE667" s="314"/>
      <c r="BW667" s="314"/>
      <c r="BX667" s="314"/>
      <c r="BY667" s="314"/>
      <c r="BZ667" s="314"/>
      <c r="CA667" s="314"/>
      <c r="CB667" s="314"/>
      <c r="CC667" s="314"/>
      <c r="CD667" s="314"/>
    </row>
    <row r="668" ht="28.5" customHeight="1">
      <c r="A668" s="767"/>
      <c r="B668" s="768"/>
      <c r="C668" s="768"/>
      <c r="D668" s="769"/>
      <c r="E668" s="769"/>
      <c r="F668" s="769"/>
      <c r="G668" s="336"/>
      <c r="H668" s="771"/>
      <c r="I668" s="769"/>
      <c r="J668" s="769"/>
      <c r="K668" s="314"/>
      <c r="L668" s="314"/>
      <c r="M668" s="314"/>
      <c r="N668" s="769"/>
      <c r="O668" s="769"/>
      <c r="P668" s="773"/>
      <c r="Q668" s="774"/>
      <c r="R668" s="774"/>
      <c r="S668" s="775"/>
      <c r="AH668" s="776"/>
      <c r="AI668" s="776"/>
      <c r="AJ668" s="732"/>
      <c r="AK668" s="732"/>
      <c r="AL668" s="776"/>
      <c r="AM668" s="776"/>
      <c r="AN668" s="17"/>
      <c r="AO668" s="17"/>
      <c r="AP668" s="17"/>
      <c r="AQ668" s="17"/>
      <c r="AR668" s="17"/>
      <c r="AS668" s="17"/>
      <c r="AT668" s="17"/>
      <c r="AU668" s="732"/>
      <c r="AV668" s="313"/>
      <c r="AW668" s="313"/>
      <c r="AX668" s="313"/>
      <c r="AY668" s="313"/>
      <c r="AZ668" s="313"/>
      <c r="BA668" s="313"/>
      <c r="BB668" s="313"/>
      <c r="BC668" s="313"/>
      <c r="BD668" s="313"/>
      <c r="BE668" s="314"/>
      <c r="BW668" s="314"/>
      <c r="BX668" s="314"/>
      <c r="BY668" s="314"/>
      <c r="BZ668" s="314"/>
      <c r="CA668" s="314"/>
      <c r="CB668" s="314"/>
      <c r="CC668" s="314"/>
      <c r="CD668" s="314"/>
    </row>
    <row r="669" ht="28.5" customHeight="1">
      <c r="A669" s="767"/>
      <c r="B669" s="768"/>
      <c r="C669" s="768"/>
      <c r="D669" s="769"/>
      <c r="E669" s="769"/>
      <c r="F669" s="769"/>
      <c r="G669" s="336"/>
      <c r="H669" s="771"/>
      <c r="I669" s="769"/>
      <c r="J669" s="769"/>
      <c r="K669" s="314"/>
      <c r="L669" s="314"/>
      <c r="M669" s="314"/>
      <c r="N669" s="769"/>
      <c r="O669" s="769"/>
      <c r="P669" s="773"/>
      <c r="Q669" s="774"/>
      <c r="R669" s="774"/>
      <c r="S669" s="775"/>
      <c r="AH669" s="776"/>
      <c r="AI669" s="776"/>
      <c r="AJ669" s="732"/>
      <c r="AK669" s="732"/>
      <c r="AL669" s="776"/>
      <c r="AM669" s="776"/>
      <c r="AN669" s="17"/>
      <c r="AO669" s="17"/>
      <c r="AP669" s="17"/>
      <c r="AQ669" s="17"/>
      <c r="AR669" s="17"/>
      <c r="AS669" s="17"/>
      <c r="AT669" s="17"/>
      <c r="AU669" s="732"/>
      <c r="AV669" s="313"/>
      <c r="AW669" s="313"/>
      <c r="AX669" s="313"/>
      <c r="AY669" s="313"/>
      <c r="AZ669" s="313"/>
      <c r="BA669" s="313"/>
      <c r="BB669" s="313"/>
      <c r="BC669" s="313"/>
      <c r="BD669" s="313"/>
      <c r="BE669" s="314"/>
      <c r="BW669" s="314"/>
      <c r="BX669" s="314"/>
      <c r="BY669" s="314"/>
      <c r="BZ669" s="314"/>
      <c r="CA669" s="314"/>
      <c r="CB669" s="314"/>
      <c r="CC669" s="314"/>
      <c r="CD669" s="314"/>
    </row>
    <row r="670" ht="28.5" customHeight="1">
      <c r="A670" s="767"/>
      <c r="B670" s="768"/>
      <c r="C670" s="768"/>
      <c r="D670" s="769"/>
      <c r="E670" s="769"/>
      <c r="F670" s="769"/>
      <c r="G670" s="336"/>
      <c r="H670" s="771"/>
      <c r="I670" s="769"/>
      <c r="J670" s="769"/>
      <c r="K670" s="314"/>
      <c r="L670" s="314"/>
      <c r="M670" s="314"/>
      <c r="N670" s="769"/>
      <c r="O670" s="769"/>
      <c r="P670" s="773"/>
      <c r="Q670" s="774"/>
      <c r="R670" s="774"/>
      <c r="S670" s="775"/>
      <c r="AH670" s="776"/>
      <c r="AI670" s="776"/>
      <c r="AJ670" s="732"/>
      <c r="AK670" s="732"/>
      <c r="AL670" s="776"/>
      <c r="AM670" s="776"/>
      <c r="AN670" s="17"/>
      <c r="AO670" s="17"/>
      <c r="AP670" s="17"/>
      <c r="AQ670" s="17"/>
      <c r="AR670" s="17"/>
      <c r="AS670" s="17"/>
      <c r="AT670" s="17"/>
      <c r="AU670" s="732"/>
      <c r="AV670" s="313"/>
      <c r="AW670" s="313"/>
      <c r="AX670" s="313"/>
      <c r="AY670" s="313"/>
      <c r="AZ670" s="313"/>
      <c r="BA670" s="313"/>
      <c r="BB670" s="313"/>
      <c r="BC670" s="313"/>
      <c r="BD670" s="313"/>
      <c r="BE670" s="314"/>
      <c r="BW670" s="314"/>
      <c r="BX670" s="314"/>
      <c r="BY670" s="314"/>
      <c r="BZ670" s="314"/>
      <c r="CA670" s="314"/>
      <c r="CB670" s="314"/>
      <c r="CC670" s="314"/>
      <c r="CD670" s="314"/>
    </row>
    <row r="671" ht="28.5" customHeight="1">
      <c r="A671" s="767"/>
      <c r="B671" s="768"/>
      <c r="C671" s="768"/>
      <c r="D671" s="769"/>
      <c r="E671" s="769"/>
      <c r="F671" s="769"/>
      <c r="G671" s="336"/>
      <c r="H671" s="771"/>
      <c r="I671" s="769"/>
      <c r="J671" s="769"/>
      <c r="K671" s="314"/>
      <c r="L671" s="314"/>
      <c r="M671" s="314"/>
      <c r="N671" s="769"/>
      <c r="O671" s="769"/>
      <c r="P671" s="773"/>
      <c r="Q671" s="774"/>
      <c r="R671" s="774"/>
      <c r="S671" s="775"/>
      <c r="AH671" s="776"/>
      <c r="AI671" s="776"/>
      <c r="AJ671" s="732"/>
      <c r="AK671" s="732"/>
      <c r="AL671" s="776"/>
      <c r="AM671" s="776"/>
      <c r="AN671" s="17"/>
      <c r="AO671" s="17"/>
      <c r="AP671" s="17"/>
      <c r="AQ671" s="17"/>
      <c r="AR671" s="17"/>
      <c r="AS671" s="17"/>
      <c r="AT671" s="17"/>
      <c r="AU671" s="732"/>
      <c r="AV671" s="313"/>
      <c r="AW671" s="313"/>
      <c r="AX671" s="313"/>
      <c r="AY671" s="313"/>
      <c r="AZ671" s="313"/>
      <c r="BA671" s="313"/>
      <c r="BB671" s="313"/>
      <c r="BC671" s="313"/>
      <c r="BD671" s="313"/>
      <c r="BE671" s="314"/>
      <c r="BW671" s="314"/>
      <c r="BX671" s="314"/>
      <c r="BY671" s="314"/>
      <c r="BZ671" s="314"/>
      <c r="CA671" s="314"/>
      <c r="CB671" s="314"/>
      <c r="CC671" s="314"/>
      <c r="CD671" s="314"/>
    </row>
    <row r="672" ht="28.5" customHeight="1">
      <c r="A672" s="767"/>
      <c r="B672" s="768"/>
      <c r="C672" s="768"/>
      <c r="D672" s="769"/>
      <c r="E672" s="769"/>
      <c r="F672" s="769"/>
      <c r="G672" s="336"/>
      <c r="H672" s="771"/>
      <c r="I672" s="769"/>
      <c r="J672" s="769"/>
      <c r="K672" s="314"/>
      <c r="L672" s="314"/>
      <c r="M672" s="314"/>
      <c r="N672" s="769"/>
      <c r="O672" s="769"/>
      <c r="P672" s="773"/>
      <c r="Q672" s="774"/>
      <c r="R672" s="774"/>
      <c r="S672" s="775"/>
      <c r="AH672" s="776"/>
      <c r="AI672" s="776"/>
      <c r="AJ672" s="732"/>
      <c r="AK672" s="732"/>
      <c r="AL672" s="776"/>
      <c r="AM672" s="776"/>
      <c r="AN672" s="17"/>
      <c r="AO672" s="17"/>
      <c r="AP672" s="17"/>
      <c r="AQ672" s="17"/>
      <c r="AR672" s="17"/>
      <c r="AS672" s="17"/>
      <c r="AT672" s="17"/>
      <c r="AU672" s="732"/>
      <c r="AV672" s="313"/>
      <c r="AW672" s="313"/>
      <c r="AX672" s="313"/>
      <c r="AY672" s="313"/>
      <c r="AZ672" s="313"/>
      <c r="BA672" s="313"/>
      <c r="BB672" s="313"/>
      <c r="BC672" s="313"/>
      <c r="BD672" s="313"/>
      <c r="BE672" s="314"/>
      <c r="BW672" s="314"/>
      <c r="BX672" s="314"/>
      <c r="BY672" s="314"/>
      <c r="BZ672" s="314"/>
      <c r="CA672" s="314"/>
      <c r="CB672" s="314"/>
      <c r="CC672" s="314"/>
      <c r="CD672" s="314"/>
    </row>
    <row r="673" ht="28.5" customHeight="1">
      <c r="A673" s="767"/>
      <c r="B673" s="768"/>
      <c r="C673" s="768"/>
      <c r="D673" s="769"/>
      <c r="E673" s="769"/>
      <c r="F673" s="769"/>
      <c r="G673" s="336"/>
      <c r="H673" s="771"/>
      <c r="I673" s="769"/>
      <c r="J673" s="769"/>
      <c r="K673" s="314"/>
      <c r="L673" s="314"/>
      <c r="M673" s="314"/>
      <c r="N673" s="769"/>
      <c r="O673" s="769"/>
      <c r="P673" s="773"/>
      <c r="Q673" s="774"/>
      <c r="R673" s="774"/>
      <c r="S673" s="775"/>
      <c r="AH673" s="776"/>
      <c r="AI673" s="776"/>
      <c r="AJ673" s="732"/>
      <c r="AK673" s="732"/>
      <c r="AL673" s="776"/>
      <c r="AM673" s="776"/>
      <c r="AN673" s="17"/>
      <c r="AO673" s="17"/>
      <c r="AP673" s="17"/>
      <c r="AQ673" s="17"/>
      <c r="AR673" s="17"/>
      <c r="AS673" s="17"/>
      <c r="AT673" s="17"/>
      <c r="AU673" s="732"/>
      <c r="AV673" s="313"/>
      <c r="AW673" s="313"/>
      <c r="AX673" s="313"/>
      <c r="AY673" s="313"/>
      <c r="AZ673" s="313"/>
      <c r="BA673" s="313"/>
      <c r="BB673" s="313"/>
      <c r="BC673" s="313"/>
      <c r="BD673" s="313"/>
      <c r="BE673" s="314"/>
      <c r="BW673" s="314"/>
      <c r="BX673" s="314"/>
      <c r="BY673" s="314"/>
      <c r="BZ673" s="314"/>
      <c r="CA673" s="314"/>
      <c r="CB673" s="314"/>
      <c r="CC673" s="314"/>
      <c r="CD673" s="314"/>
    </row>
    <row r="674" ht="28.5" customHeight="1">
      <c r="A674" s="767"/>
      <c r="B674" s="768"/>
      <c r="C674" s="768"/>
      <c r="D674" s="769"/>
      <c r="E674" s="769"/>
      <c r="F674" s="769"/>
      <c r="G674" s="336"/>
      <c r="H674" s="771"/>
      <c r="I674" s="769"/>
      <c r="J674" s="769"/>
      <c r="K674" s="314"/>
      <c r="L674" s="314"/>
      <c r="M674" s="314"/>
      <c r="N674" s="769"/>
      <c r="O674" s="769"/>
      <c r="P674" s="773"/>
      <c r="Q674" s="774"/>
      <c r="R674" s="774"/>
      <c r="S674" s="775"/>
      <c r="AH674" s="776"/>
      <c r="AI674" s="776"/>
      <c r="AJ674" s="732"/>
      <c r="AK674" s="732"/>
      <c r="AL674" s="776"/>
      <c r="AM674" s="776"/>
      <c r="AN674" s="17"/>
      <c r="AO674" s="17"/>
      <c r="AP674" s="17"/>
      <c r="AQ674" s="17"/>
      <c r="AR674" s="17"/>
      <c r="AS674" s="17"/>
      <c r="AT674" s="17"/>
      <c r="AU674" s="732"/>
      <c r="AV674" s="313"/>
      <c r="AW674" s="313"/>
      <c r="AX674" s="313"/>
      <c r="AY674" s="313"/>
      <c r="AZ674" s="313"/>
      <c r="BA674" s="313"/>
      <c r="BB674" s="313"/>
      <c r="BC674" s="313"/>
      <c r="BD674" s="313"/>
      <c r="BE674" s="314"/>
      <c r="BW674" s="314"/>
      <c r="BX674" s="314"/>
      <c r="BY674" s="314"/>
      <c r="BZ674" s="314"/>
      <c r="CA674" s="314"/>
      <c r="CB674" s="314"/>
      <c r="CC674" s="314"/>
      <c r="CD674" s="314"/>
    </row>
    <row r="675" ht="28.5" customHeight="1">
      <c r="A675" s="767"/>
      <c r="B675" s="768"/>
      <c r="C675" s="768"/>
      <c r="D675" s="769"/>
      <c r="E675" s="769"/>
      <c r="F675" s="769"/>
      <c r="G675" s="336"/>
      <c r="H675" s="771"/>
      <c r="I675" s="769"/>
      <c r="J675" s="769"/>
      <c r="K675" s="314"/>
      <c r="L675" s="314"/>
      <c r="M675" s="314"/>
      <c r="N675" s="769"/>
      <c r="O675" s="769"/>
      <c r="P675" s="773"/>
      <c r="Q675" s="774"/>
      <c r="R675" s="774"/>
      <c r="S675" s="775"/>
      <c r="AH675" s="776"/>
      <c r="AI675" s="776"/>
      <c r="AJ675" s="732"/>
      <c r="AK675" s="732"/>
      <c r="AL675" s="776"/>
      <c r="AM675" s="776"/>
      <c r="AN675" s="17"/>
      <c r="AO675" s="17"/>
      <c r="AP675" s="17"/>
      <c r="AQ675" s="17"/>
      <c r="AR675" s="17"/>
      <c r="AS675" s="17"/>
      <c r="AT675" s="17"/>
      <c r="AU675" s="732"/>
      <c r="AV675" s="313"/>
      <c r="AW675" s="313"/>
      <c r="AX675" s="313"/>
      <c r="AY675" s="313"/>
      <c r="AZ675" s="313"/>
      <c r="BA675" s="313"/>
      <c r="BB675" s="313"/>
      <c r="BC675" s="313"/>
      <c r="BD675" s="313"/>
      <c r="BE675" s="314"/>
      <c r="BW675" s="314"/>
      <c r="BX675" s="314"/>
      <c r="BY675" s="314"/>
      <c r="BZ675" s="314"/>
      <c r="CA675" s="314"/>
      <c r="CB675" s="314"/>
      <c r="CC675" s="314"/>
      <c r="CD675" s="314"/>
    </row>
    <row r="676" ht="28.5" customHeight="1">
      <c r="A676" s="767"/>
      <c r="B676" s="768"/>
      <c r="C676" s="768"/>
      <c r="D676" s="769"/>
      <c r="E676" s="769"/>
      <c r="F676" s="769"/>
      <c r="G676" s="336"/>
      <c r="H676" s="771"/>
      <c r="I676" s="769"/>
      <c r="J676" s="769"/>
      <c r="K676" s="314"/>
      <c r="L676" s="314"/>
      <c r="M676" s="314"/>
      <c r="N676" s="769"/>
      <c r="O676" s="769"/>
      <c r="P676" s="773"/>
      <c r="Q676" s="774"/>
      <c r="R676" s="774"/>
      <c r="S676" s="775"/>
      <c r="AH676" s="776"/>
      <c r="AI676" s="776"/>
      <c r="AJ676" s="732"/>
      <c r="AK676" s="732"/>
      <c r="AL676" s="776"/>
      <c r="AM676" s="776"/>
      <c r="AN676" s="17"/>
      <c r="AO676" s="17"/>
      <c r="AP676" s="17"/>
      <c r="AQ676" s="17"/>
      <c r="AR676" s="17"/>
      <c r="AS676" s="17"/>
      <c r="AT676" s="17"/>
      <c r="AU676" s="732"/>
      <c r="AV676" s="313"/>
      <c r="AW676" s="313"/>
      <c r="AX676" s="313"/>
      <c r="AY676" s="313"/>
      <c r="AZ676" s="313"/>
      <c r="BA676" s="313"/>
      <c r="BB676" s="313"/>
      <c r="BC676" s="313"/>
      <c r="BD676" s="313"/>
      <c r="BE676" s="314"/>
      <c r="BW676" s="314"/>
      <c r="BX676" s="314"/>
      <c r="BY676" s="314"/>
      <c r="BZ676" s="314"/>
      <c r="CA676" s="314"/>
      <c r="CB676" s="314"/>
      <c r="CC676" s="314"/>
      <c r="CD676" s="314"/>
    </row>
    <row r="677" ht="28.5" customHeight="1">
      <c r="A677" s="767"/>
      <c r="B677" s="768"/>
      <c r="C677" s="768"/>
      <c r="D677" s="769"/>
      <c r="E677" s="769"/>
      <c r="F677" s="769"/>
      <c r="G677" s="336"/>
      <c r="H677" s="771"/>
      <c r="I677" s="769"/>
      <c r="J677" s="769"/>
      <c r="K677" s="314"/>
      <c r="L677" s="314"/>
      <c r="M677" s="314"/>
      <c r="N677" s="769"/>
      <c r="O677" s="769"/>
      <c r="P677" s="773"/>
      <c r="Q677" s="774"/>
      <c r="R677" s="774"/>
      <c r="S677" s="775"/>
      <c r="AH677" s="776"/>
      <c r="AI677" s="776"/>
      <c r="AJ677" s="732"/>
      <c r="AK677" s="732"/>
      <c r="AL677" s="776"/>
      <c r="AM677" s="776"/>
      <c r="AN677" s="17"/>
      <c r="AO677" s="17"/>
      <c r="AP677" s="17"/>
      <c r="AQ677" s="17"/>
      <c r="AR677" s="17"/>
      <c r="AS677" s="17"/>
      <c r="AT677" s="17"/>
      <c r="AU677" s="732"/>
      <c r="AV677" s="313"/>
      <c r="AW677" s="313"/>
      <c r="AX677" s="313"/>
      <c r="AY677" s="313"/>
      <c r="AZ677" s="313"/>
      <c r="BA677" s="313"/>
      <c r="BB677" s="313"/>
      <c r="BC677" s="313"/>
      <c r="BD677" s="313"/>
      <c r="BE677" s="314"/>
      <c r="BW677" s="314"/>
      <c r="BX677" s="314"/>
      <c r="BY677" s="314"/>
      <c r="BZ677" s="314"/>
      <c r="CA677" s="314"/>
      <c r="CB677" s="314"/>
      <c r="CC677" s="314"/>
      <c r="CD677" s="314"/>
    </row>
    <row r="678" ht="28.5" customHeight="1">
      <c r="A678" s="767"/>
      <c r="B678" s="768"/>
      <c r="C678" s="768"/>
      <c r="D678" s="769"/>
      <c r="E678" s="769"/>
      <c r="F678" s="769"/>
      <c r="G678" s="336"/>
      <c r="H678" s="771"/>
      <c r="I678" s="769"/>
      <c r="J678" s="769"/>
      <c r="K678" s="314"/>
      <c r="L678" s="314"/>
      <c r="M678" s="314"/>
      <c r="N678" s="769"/>
      <c r="O678" s="769"/>
      <c r="P678" s="773"/>
      <c r="Q678" s="774"/>
      <c r="R678" s="774"/>
      <c r="S678" s="775"/>
      <c r="AH678" s="776"/>
      <c r="AI678" s="776"/>
      <c r="AJ678" s="732"/>
      <c r="AK678" s="732"/>
      <c r="AL678" s="776"/>
      <c r="AM678" s="776"/>
      <c r="AN678" s="17"/>
      <c r="AO678" s="17"/>
      <c r="AP678" s="17"/>
      <c r="AQ678" s="17"/>
      <c r="AR678" s="17"/>
      <c r="AS678" s="17"/>
      <c r="AT678" s="17"/>
      <c r="AU678" s="732"/>
      <c r="AV678" s="313"/>
      <c r="AW678" s="313"/>
      <c r="AX678" s="313"/>
      <c r="AY678" s="313"/>
      <c r="AZ678" s="313"/>
      <c r="BA678" s="313"/>
      <c r="BB678" s="313"/>
      <c r="BC678" s="313"/>
      <c r="BD678" s="313"/>
      <c r="BE678" s="314"/>
      <c r="BW678" s="314"/>
      <c r="BX678" s="314"/>
      <c r="BY678" s="314"/>
      <c r="BZ678" s="314"/>
      <c r="CA678" s="314"/>
      <c r="CB678" s="314"/>
      <c r="CC678" s="314"/>
      <c r="CD678" s="314"/>
    </row>
    <row r="679" ht="28.5" customHeight="1">
      <c r="A679" s="767"/>
      <c r="B679" s="768"/>
      <c r="C679" s="768"/>
      <c r="D679" s="769"/>
      <c r="E679" s="769"/>
      <c r="F679" s="769"/>
      <c r="G679" s="336"/>
      <c r="H679" s="771"/>
      <c r="I679" s="769"/>
      <c r="J679" s="769"/>
      <c r="K679" s="314"/>
      <c r="L679" s="314"/>
      <c r="M679" s="314"/>
      <c r="N679" s="769"/>
      <c r="O679" s="769"/>
      <c r="P679" s="773"/>
      <c r="Q679" s="774"/>
      <c r="R679" s="774"/>
      <c r="S679" s="775"/>
      <c r="AH679" s="776"/>
      <c r="AI679" s="776"/>
      <c r="AJ679" s="732"/>
      <c r="AK679" s="732"/>
      <c r="AL679" s="776"/>
      <c r="AM679" s="776"/>
      <c r="AN679" s="17"/>
      <c r="AO679" s="17"/>
      <c r="AP679" s="17"/>
      <c r="AQ679" s="17"/>
      <c r="AR679" s="17"/>
      <c r="AS679" s="17"/>
      <c r="AT679" s="17"/>
      <c r="AU679" s="732"/>
      <c r="AV679" s="313"/>
      <c r="AW679" s="313"/>
      <c r="AX679" s="313"/>
      <c r="AY679" s="313"/>
      <c r="AZ679" s="313"/>
      <c r="BA679" s="313"/>
      <c r="BB679" s="313"/>
      <c r="BC679" s="313"/>
      <c r="BD679" s="313"/>
      <c r="BE679" s="314"/>
      <c r="BW679" s="314"/>
      <c r="BX679" s="314"/>
      <c r="BY679" s="314"/>
      <c r="BZ679" s="314"/>
      <c r="CA679" s="314"/>
      <c r="CB679" s="314"/>
      <c r="CC679" s="314"/>
      <c r="CD679" s="314"/>
    </row>
    <row r="680" ht="28.5" customHeight="1">
      <c r="A680" s="767"/>
      <c r="B680" s="768"/>
      <c r="C680" s="768"/>
      <c r="D680" s="769"/>
      <c r="E680" s="769"/>
      <c r="F680" s="769"/>
      <c r="G680" s="336"/>
      <c r="H680" s="771"/>
      <c r="I680" s="769"/>
      <c r="J680" s="769"/>
      <c r="K680" s="314"/>
      <c r="L680" s="314"/>
      <c r="M680" s="314"/>
      <c r="N680" s="769"/>
      <c r="O680" s="769"/>
      <c r="P680" s="773"/>
      <c r="Q680" s="774"/>
      <c r="R680" s="774"/>
      <c r="S680" s="775"/>
      <c r="AH680" s="776"/>
      <c r="AI680" s="776"/>
      <c r="AJ680" s="732"/>
      <c r="AK680" s="732"/>
      <c r="AL680" s="776"/>
      <c r="AM680" s="776"/>
      <c r="AN680" s="17"/>
      <c r="AO680" s="17"/>
      <c r="AP680" s="17"/>
      <c r="AQ680" s="17"/>
      <c r="AR680" s="17"/>
      <c r="AS680" s="17"/>
      <c r="AT680" s="17"/>
      <c r="AU680" s="732"/>
      <c r="AV680" s="313"/>
      <c r="AW680" s="313"/>
      <c r="AX680" s="313"/>
      <c r="AY680" s="313"/>
      <c r="AZ680" s="313"/>
      <c r="BA680" s="313"/>
      <c r="BB680" s="313"/>
      <c r="BC680" s="313"/>
      <c r="BD680" s="313"/>
      <c r="BE680" s="314"/>
      <c r="BW680" s="314"/>
      <c r="BX680" s="314"/>
      <c r="BY680" s="314"/>
      <c r="BZ680" s="314"/>
      <c r="CA680" s="314"/>
      <c r="CB680" s="314"/>
      <c r="CC680" s="314"/>
      <c r="CD680" s="314"/>
    </row>
    <row r="681" ht="28.5" customHeight="1">
      <c r="A681" s="767"/>
      <c r="B681" s="768"/>
      <c r="C681" s="768"/>
      <c r="D681" s="769"/>
      <c r="E681" s="769"/>
      <c r="F681" s="769"/>
      <c r="G681" s="336"/>
      <c r="H681" s="771"/>
      <c r="I681" s="769"/>
      <c r="J681" s="769"/>
      <c r="K681" s="314"/>
      <c r="L681" s="314"/>
      <c r="M681" s="314"/>
      <c r="N681" s="769"/>
      <c r="O681" s="769"/>
      <c r="P681" s="773"/>
      <c r="Q681" s="774"/>
      <c r="R681" s="774"/>
      <c r="S681" s="775"/>
      <c r="AH681" s="776"/>
      <c r="AI681" s="776"/>
      <c r="AJ681" s="732"/>
      <c r="AK681" s="732"/>
      <c r="AL681" s="776"/>
      <c r="AM681" s="776"/>
      <c r="AN681" s="17"/>
      <c r="AO681" s="17"/>
      <c r="AP681" s="17"/>
      <c r="AQ681" s="17"/>
      <c r="AR681" s="17"/>
      <c r="AS681" s="17"/>
      <c r="AT681" s="17"/>
      <c r="AU681" s="732"/>
      <c r="AV681" s="313"/>
      <c r="AW681" s="313"/>
      <c r="AX681" s="313"/>
      <c r="AY681" s="313"/>
      <c r="AZ681" s="313"/>
      <c r="BA681" s="313"/>
      <c r="BB681" s="313"/>
      <c r="BC681" s="313"/>
      <c r="BD681" s="313"/>
      <c r="BE681" s="314"/>
      <c r="BW681" s="314"/>
      <c r="BX681" s="314"/>
      <c r="BY681" s="314"/>
      <c r="BZ681" s="314"/>
      <c r="CA681" s="314"/>
      <c r="CB681" s="314"/>
      <c r="CC681" s="314"/>
      <c r="CD681" s="314"/>
    </row>
    <row r="682" ht="28.5" customHeight="1">
      <c r="A682" s="767"/>
      <c r="B682" s="768"/>
      <c r="C682" s="768"/>
      <c r="D682" s="769"/>
      <c r="E682" s="769"/>
      <c r="F682" s="769"/>
      <c r="G682" s="336"/>
      <c r="H682" s="771"/>
      <c r="I682" s="769"/>
      <c r="J682" s="769"/>
      <c r="K682" s="314"/>
      <c r="L682" s="314"/>
      <c r="M682" s="314"/>
      <c r="N682" s="769"/>
      <c r="O682" s="769"/>
      <c r="P682" s="773"/>
      <c r="Q682" s="774"/>
      <c r="R682" s="774"/>
      <c r="S682" s="775"/>
      <c r="AH682" s="776"/>
      <c r="AI682" s="776"/>
      <c r="AJ682" s="732"/>
      <c r="AK682" s="732"/>
      <c r="AL682" s="776"/>
      <c r="AM682" s="776"/>
      <c r="AN682" s="17"/>
      <c r="AO682" s="17"/>
      <c r="AP682" s="17"/>
      <c r="AQ682" s="17"/>
      <c r="AR682" s="17"/>
      <c r="AS682" s="17"/>
      <c r="AT682" s="17"/>
      <c r="AU682" s="732"/>
      <c r="AV682" s="313"/>
      <c r="AW682" s="313"/>
      <c r="AX682" s="313"/>
      <c r="AY682" s="313"/>
      <c r="AZ682" s="313"/>
      <c r="BA682" s="313"/>
      <c r="BB682" s="313"/>
      <c r="BC682" s="313"/>
      <c r="BD682" s="313"/>
      <c r="BE682" s="314"/>
      <c r="BW682" s="314"/>
      <c r="BX682" s="314"/>
      <c r="BY682" s="314"/>
      <c r="BZ682" s="314"/>
      <c r="CA682" s="314"/>
      <c r="CB682" s="314"/>
      <c r="CC682" s="314"/>
      <c r="CD682" s="314"/>
    </row>
    <row r="683" ht="28.5" customHeight="1">
      <c r="A683" s="767"/>
      <c r="B683" s="768"/>
      <c r="C683" s="768"/>
      <c r="D683" s="769"/>
      <c r="E683" s="769"/>
      <c r="F683" s="769"/>
      <c r="G683" s="336"/>
      <c r="H683" s="771"/>
      <c r="I683" s="769"/>
      <c r="J683" s="769"/>
      <c r="K683" s="314"/>
      <c r="L683" s="314"/>
      <c r="M683" s="314"/>
      <c r="N683" s="769"/>
      <c r="O683" s="769"/>
      <c r="P683" s="773"/>
      <c r="Q683" s="774"/>
      <c r="R683" s="774"/>
      <c r="S683" s="775"/>
      <c r="AH683" s="776"/>
      <c r="AI683" s="776"/>
      <c r="AJ683" s="732"/>
      <c r="AK683" s="732"/>
      <c r="AL683" s="776"/>
      <c r="AM683" s="776"/>
      <c r="AN683" s="17"/>
      <c r="AO683" s="17"/>
      <c r="AP683" s="17"/>
      <c r="AQ683" s="17"/>
      <c r="AR683" s="17"/>
      <c r="AS683" s="17"/>
      <c r="AT683" s="17"/>
      <c r="AU683" s="732"/>
      <c r="AV683" s="313"/>
      <c r="AW683" s="313"/>
      <c r="AX683" s="313"/>
      <c r="AY683" s="313"/>
      <c r="AZ683" s="313"/>
      <c r="BA683" s="313"/>
      <c r="BB683" s="313"/>
      <c r="BC683" s="313"/>
      <c r="BD683" s="313"/>
      <c r="BE683" s="314"/>
      <c r="BW683" s="314"/>
      <c r="BX683" s="314"/>
      <c r="BY683" s="314"/>
      <c r="BZ683" s="314"/>
      <c r="CA683" s="314"/>
      <c r="CB683" s="314"/>
      <c r="CC683" s="314"/>
      <c r="CD683" s="314"/>
    </row>
    <row r="684" ht="28.5" customHeight="1">
      <c r="A684" s="767"/>
      <c r="B684" s="768"/>
      <c r="C684" s="768"/>
      <c r="D684" s="769"/>
      <c r="E684" s="769"/>
      <c r="F684" s="769"/>
      <c r="G684" s="336"/>
      <c r="H684" s="771"/>
      <c r="I684" s="769"/>
      <c r="J684" s="769"/>
      <c r="K684" s="314"/>
      <c r="L684" s="314"/>
      <c r="M684" s="314"/>
      <c r="N684" s="769"/>
      <c r="O684" s="769"/>
      <c r="P684" s="773"/>
      <c r="Q684" s="774"/>
      <c r="R684" s="774"/>
      <c r="S684" s="775"/>
      <c r="AH684" s="776"/>
      <c r="AI684" s="776"/>
      <c r="AJ684" s="732"/>
      <c r="AK684" s="732"/>
      <c r="AL684" s="776"/>
      <c r="AM684" s="776"/>
      <c r="AN684" s="17"/>
      <c r="AO684" s="17"/>
      <c r="AP684" s="17"/>
      <c r="AQ684" s="17"/>
      <c r="AR684" s="17"/>
      <c r="AS684" s="17"/>
      <c r="AT684" s="17"/>
      <c r="AU684" s="732"/>
      <c r="AV684" s="313"/>
      <c r="AW684" s="313"/>
      <c r="AX684" s="313"/>
      <c r="AY684" s="313"/>
      <c r="AZ684" s="313"/>
      <c r="BA684" s="313"/>
      <c r="BB684" s="313"/>
      <c r="BC684" s="313"/>
      <c r="BD684" s="313"/>
      <c r="BE684" s="314"/>
      <c r="BW684" s="314"/>
      <c r="BX684" s="314"/>
      <c r="BY684" s="314"/>
      <c r="BZ684" s="314"/>
      <c r="CA684" s="314"/>
      <c r="CB684" s="314"/>
      <c r="CC684" s="314"/>
      <c r="CD684" s="314"/>
    </row>
    <row r="685" ht="28.5" customHeight="1">
      <c r="A685" s="767"/>
      <c r="B685" s="768"/>
      <c r="C685" s="768"/>
      <c r="D685" s="769"/>
      <c r="E685" s="769"/>
      <c r="F685" s="769"/>
      <c r="G685" s="336"/>
      <c r="H685" s="771"/>
      <c r="I685" s="769"/>
      <c r="J685" s="769"/>
      <c r="K685" s="314"/>
      <c r="L685" s="314"/>
      <c r="M685" s="314"/>
      <c r="N685" s="769"/>
      <c r="O685" s="769"/>
      <c r="P685" s="773"/>
      <c r="Q685" s="774"/>
      <c r="R685" s="774"/>
      <c r="S685" s="775"/>
      <c r="AH685" s="776"/>
      <c r="AI685" s="776"/>
      <c r="AJ685" s="732"/>
      <c r="AK685" s="732"/>
      <c r="AL685" s="776"/>
      <c r="AM685" s="776"/>
      <c r="AN685" s="17"/>
      <c r="AO685" s="17"/>
      <c r="AP685" s="17"/>
      <c r="AQ685" s="17"/>
      <c r="AR685" s="17"/>
      <c r="AS685" s="17"/>
      <c r="AT685" s="17"/>
      <c r="AU685" s="732"/>
      <c r="AV685" s="313"/>
      <c r="AW685" s="313"/>
      <c r="AX685" s="313"/>
      <c r="AY685" s="313"/>
      <c r="AZ685" s="313"/>
      <c r="BA685" s="313"/>
      <c r="BB685" s="313"/>
      <c r="BC685" s="313"/>
      <c r="BD685" s="313"/>
      <c r="BE685" s="314"/>
      <c r="BW685" s="314"/>
      <c r="BX685" s="314"/>
      <c r="BY685" s="314"/>
      <c r="BZ685" s="314"/>
      <c r="CA685" s="314"/>
      <c r="CB685" s="314"/>
      <c r="CC685" s="314"/>
      <c r="CD685" s="314"/>
    </row>
    <row r="686" ht="28.5" customHeight="1">
      <c r="A686" s="767"/>
      <c r="B686" s="768"/>
      <c r="C686" s="768"/>
      <c r="D686" s="769"/>
      <c r="E686" s="769"/>
      <c r="F686" s="769"/>
      <c r="G686" s="336"/>
      <c r="H686" s="771"/>
      <c r="I686" s="769"/>
      <c r="J686" s="769"/>
      <c r="K686" s="314"/>
      <c r="L686" s="314"/>
      <c r="M686" s="314"/>
      <c r="N686" s="769"/>
      <c r="O686" s="769"/>
      <c r="P686" s="773"/>
      <c r="Q686" s="774"/>
      <c r="R686" s="774"/>
      <c r="S686" s="775"/>
      <c r="AH686" s="776"/>
      <c r="AI686" s="776"/>
      <c r="AJ686" s="732"/>
      <c r="AK686" s="732"/>
      <c r="AL686" s="776"/>
      <c r="AM686" s="776"/>
      <c r="AN686" s="17"/>
      <c r="AO686" s="17"/>
      <c r="AP686" s="17"/>
      <c r="AQ686" s="17"/>
      <c r="AR686" s="17"/>
      <c r="AS686" s="17"/>
      <c r="AT686" s="17"/>
      <c r="AU686" s="732"/>
      <c r="AV686" s="313"/>
      <c r="AW686" s="313"/>
      <c r="AX686" s="313"/>
      <c r="AY686" s="313"/>
      <c r="AZ686" s="313"/>
      <c r="BA686" s="313"/>
      <c r="BB686" s="313"/>
      <c r="BC686" s="313"/>
      <c r="BD686" s="313"/>
      <c r="BE686" s="314"/>
      <c r="BW686" s="314"/>
      <c r="BX686" s="314"/>
      <c r="BY686" s="314"/>
      <c r="BZ686" s="314"/>
      <c r="CA686" s="314"/>
      <c r="CB686" s="314"/>
      <c r="CC686" s="314"/>
      <c r="CD686" s="314"/>
    </row>
    <row r="687" ht="28.5" customHeight="1">
      <c r="A687" s="767"/>
      <c r="B687" s="768"/>
      <c r="C687" s="768"/>
      <c r="D687" s="769"/>
      <c r="E687" s="769"/>
      <c r="F687" s="769"/>
      <c r="G687" s="336"/>
      <c r="H687" s="771"/>
      <c r="I687" s="769"/>
      <c r="J687" s="769"/>
      <c r="K687" s="314"/>
      <c r="L687" s="314"/>
      <c r="M687" s="314"/>
      <c r="N687" s="769"/>
      <c r="O687" s="769"/>
      <c r="P687" s="773"/>
      <c r="Q687" s="774"/>
      <c r="R687" s="774"/>
      <c r="S687" s="775"/>
      <c r="AH687" s="776"/>
      <c r="AI687" s="776"/>
      <c r="AJ687" s="732"/>
      <c r="AK687" s="732"/>
      <c r="AL687" s="776"/>
      <c r="AM687" s="776"/>
      <c r="AN687" s="17"/>
      <c r="AO687" s="17"/>
      <c r="AP687" s="17"/>
      <c r="AQ687" s="17"/>
      <c r="AR687" s="17"/>
      <c r="AS687" s="17"/>
      <c r="AT687" s="17"/>
      <c r="AU687" s="732"/>
      <c r="AV687" s="313"/>
      <c r="AW687" s="313"/>
      <c r="AX687" s="313"/>
      <c r="AY687" s="313"/>
      <c r="AZ687" s="313"/>
      <c r="BA687" s="313"/>
      <c r="BB687" s="313"/>
      <c r="BC687" s="313"/>
      <c r="BD687" s="313"/>
      <c r="BE687" s="314"/>
      <c r="BW687" s="314"/>
      <c r="BX687" s="314"/>
      <c r="BY687" s="314"/>
      <c r="BZ687" s="314"/>
      <c r="CA687" s="314"/>
      <c r="CB687" s="314"/>
      <c r="CC687" s="314"/>
      <c r="CD687" s="314"/>
    </row>
    <row r="688" ht="28.5" customHeight="1">
      <c r="A688" s="767"/>
      <c r="B688" s="768"/>
      <c r="C688" s="768"/>
      <c r="D688" s="769"/>
      <c r="E688" s="769"/>
      <c r="F688" s="769"/>
      <c r="G688" s="336"/>
      <c r="H688" s="771"/>
      <c r="I688" s="769"/>
      <c r="J688" s="769"/>
      <c r="K688" s="314"/>
      <c r="L688" s="314"/>
      <c r="M688" s="314"/>
      <c r="N688" s="769"/>
      <c r="O688" s="769"/>
      <c r="P688" s="773"/>
      <c r="Q688" s="774"/>
      <c r="R688" s="774"/>
      <c r="S688" s="775"/>
      <c r="AH688" s="776"/>
      <c r="AI688" s="776"/>
      <c r="AJ688" s="732"/>
      <c r="AK688" s="732"/>
      <c r="AL688" s="776"/>
      <c r="AM688" s="776"/>
      <c r="AN688" s="17"/>
      <c r="AO688" s="17"/>
      <c r="AP688" s="17"/>
      <c r="AQ688" s="17"/>
      <c r="AR688" s="17"/>
      <c r="AS688" s="17"/>
      <c r="AT688" s="17"/>
      <c r="AU688" s="732"/>
      <c r="AV688" s="313"/>
      <c r="AW688" s="313"/>
      <c r="AX688" s="313"/>
      <c r="AY688" s="313"/>
      <c r="AZ688" s="313"/>
      <c r="BA688" s="313"/>
      <c r="BB688" s="313"/>
      <c r="BC688" s="313"/>
      <c r="BD688" s="313"/>
      <c r="BE688" s="314"/>
      <c r="BW688" s="314"/>
      <c r="BX688" s="314"/>
      <c r="BY688" s="314"/>
      <c r="BZ688" s="314"/>
      <c r="CA688" s="314"/>
      <c r="CB688" s="314"/>
      <c r="CC688" s="314"/>
      <c r="CD688" s="314"/>
    </row>
    <row r="689" ht="28.5" customHeight="1">
      <c r="A689" s="767"/>
      <c r="B689" s="768"/>
      <c r="C689" s="768"/>
      <c r="D689" s="769"/>
      <c r="E689" s="769"/>
      <c r="F689" s="769"/>
      <c r="G689" s="336"/>
      <c r="H689" s="771"/>
      <c r="I689" s="769"/>
      <c r="J689" s="769"/>
      <c r="K689" s="314"/>
      <c r="L689" s="314"/>
      <c r="M689" s="314"/>
      <c r="N689" s="769"/>
      <c r="O689" s="769"/>
      <c r="P689" s="773"/>
      <c r="Q689" s="774"/>
      <c r="R689" s="774"/>
      <c r="S689" s="775"/>
      <c r="AH689" s="776"/>
      <c r="AI689" s="776"/>
      <c r="AJ689" s="732"/>
      <c r="AK689" s="732"/>
      <c r="AL689" s="776"/>
      <c r="AM689" s="776"/>
      <c r="AN689" s="17"/>
      <c r="AO689" s="17"/>
      <c r="AP689" s="17"/>
      <c r="AQ689" s="17"/>
      <c r="AR689" s="17"/>
      <c r="AS689" s="17"/>
      <c r="AT689" s="17"/>
      <c r="AU689" s="732"/>
      <c r="AV689" s="313"/>
      <c r="AW689" s="313"/>
      <c r="AX689" s="313"/>
      <c r="AY689" s="313"/>
      <c r="AZ689" s="313"/>
      <c r="BA689" s="313"/>
      <c r="BB689" s="313"/>
      <c r="BC689" s="313"/>
      <c r="BD689" s="313"/>
      <c r="BE689" s="314"/>
      <c r="BW689" s="314"/>
      <c r="BX689" s="314"/>
      <c r="BY689" s="314"/>
      <c r="BZ689" s="314"/>
      <c r="CA689" s="314"/>
      <c r="CB689" s="314"/>
      <c r="CC689" s="314"/>
      <c r="CD689" s="314"/>
    </row>
    <row r="690" ht="28.5" customHeight="1">
      <c r="A690" s="767"/>
      <c r="B690" s="768"/>
      <c r="C690" s="768"/>
      <c r="D690" s="769"/>
      <c r="E690" s="769"/>
      <c r="F690" s="769"/>
      <c r="G690" s="336"/>
      <c r="H690" s="771"/>
      <c r="I690" s="769"/>
      <c r="J690" s="769"/>
      <c r="K690" s="314"/>
      <c r="L690" s="314"/>
      <c r="M690" s="314"/>
      <c r="N690" s="769"/>
      <c r="O690" s="769"/>
      <c r="P690" s="773"/>
      <c r="Q690" s="774"/>
      <c r="R690" s="774"/>
      <c r="S690" s="775"/>
      <c r="AH690" s="776"/>
      <c r="AI690" s="776"/>
      <c r="AJ690" s="732"/>
      <c r="AK690" s="732"/>
      <c r="AL690" s="776"/>
      <c r="AM690" s="776"/>
      <c r="AN690" s="17"/>
      <c r="AO690" s="17"/>
      <c r="AP690" s="17"/>
      <c r="AQ690" s="17"/>
      <c r="AR690" s="17"/>
      <c r="AS690" s="17"/>
      <c r="AT690" s="17"/>
      <c r="AU690" s="732"/>
      <c r="AV690" s="313"/>
      <c r="AW690" s="313"/>
      <c r="AX690" s="313"/>
      <c r="AY690" s="313"/>
      <c r="AZ690" s="313"/>
      <c r="BA690" s="313"/>
      <c r="BB690" s="313"/>
      <c r="BC690" s="313"/>
      <c r="BD690" s="313"/>
      <c r="BE690" s="314"/>
      <c r="BW690" s="314"/>
      <c r="BX690" s="314"/>
      <c r="BY690" s="314"/>
      <c r="BZ690" s="314"/>
      <c r="CA690" s="314"/>
      <c r="CB690" s="314"/>
      <c r="CC690" s="314"/>
      <c r="CD690" s="314"/>
    </row>
    <row r="691" ht="28.5" customHeight="1">
      <c r="A691" s="767"/>
      <c r="B691" s="768"/>
      <c r="C691" s="768"/>
      <c r="D691" s="769"/>
      <c r="E691" s="769"/>
      <c r="F691" s="769"/>
      <c r="G691" s="336"/>
      <c r="H691" s="771"/>
      <c r="I691" s="769"/>
      <c r="J691" s="769"/>
      <c r="K691" s="314"/>
      <c r="L691" s="314"/>
      <c r="M691" s="314"/>
      <c r="N691" s="769"/>
      <c r="O691" s="769"/>
      <c r="P691" s="773"/>
      <c r="Q691" s="774"/>
      <c r="R691" s="774"/>
      <c r="S691" s="775"/>
      <c r="AH691" s="776"/>
      <c r="AI691" s="776"/>
      <c r="AJ691" s="732"/>
      <c r="AK691" s="732"/>
      <c r="AL691" s="776"/>
      <c r="AM691" s="776"/>
      <c r="AN691" s="17"/>
      <c r="AO691" s="17"/>
      <c r="AP691" s="17"/>
      <c r="AQ691" s="17"/>
      <c r="AR691" s="17"/>
      <c r="AS691" s="17"/>
      <c r="AT691" s="17"/>
      <c r="AU691" s="732"/>
      <c r="AV691" s="313"/>
      <c r="AW691" s="313"/>
      <c r="AX691" s="313"/>
      <c r="AY691" s="313"/>
      <c r="AZ691" s="313"/>
      <c r="BA691" s="313"/>
      <c r="BB691" s="313"/>
      <c r="BC691" s="313"/>
      <c r="BD691" s="313"/>
      <c r="BE691" s="314"/>
      <c r="BW691" s="314"/>
      <c r="BX691" s="314"/>
      <c r="BY691" s="314"/>
      <c r="BZ691" s="314"/>
      <c r="CA691" s="314"/>
      <c r="CB691" s="314"/>
      <c r="CC691" s="314"/>
      <c r="CD691" s="314"/>
    </row>
    <row r="692" ht="28.5" customHeight="1">
      <c r="A692" s="767"/>
      <c r="B692" s="768"/>
      <c r="C692" s="768"/>
      <c r="D692" s="769"/>
      <c r="E692" s="769"/>
      <c r="F692" s="769"/>
      <c r="G692" s="336"/>
      <c r="H692" s="771"/>
      <c r="I692" s="769"/>
      <c r="J692" s="769"/>
      <c r="K692" s="314"/>
      <c r="L692" s="314"/>
      <c r="M692" s="314"/>
      <c r="N692" s="769"/>
      <c r="O692" s="769"/>
      <c r="P692" s="773"/>
      <c r="Q692" s="774"/>
      <c r="R692" s="774"/>
      <c r="S692" s="775"/>
      <c r="AH692" s="776"/>
      <c r="AI692" s="776"/>
      <c r="AJ692" s="732"/>
      <c r="AK692" s="732"/>
      <c r="AL692" s="776"/>
      <c r="AM692" s="776"/>
      <c r="AN692" s="17"/>
      <c r="AO692" s="17"/>
      <c r="AP692" s="17"/>
      <c r="AQ692" s="17"/>
      <c r="AR692" s="17"/>
      <c r="AS692" s="17"/>
      <c r="AT692" s="17"/>
      <c r="AU692" s="732"/>
      <c r="AV692" s="313"/>
      <c r="AW692" s="313"/>
      <c r="AX692" s="313"/>
      <c r="AY692" s="313"/>
      <c r="AZ692" s="313"/>
      <c r="BA692" s="313"/>
      <c r="BB692" s="313"/>
      <c r="BC692" s="313"/>
      <c r="BD692" s="313"/>
      <c r="BE692" s="314"/>
      <c r="BW692" s="314"/>
      <c r="BX692" s="314"/>
      <c r="BY692" s="314"/>
      <c r="BZ692" s="314"/>
      <c r="CA692" s="314"/>
      <c r="CB692" s="314"/>
      <c r="CC692" s="314"/>
      <c r="CD692" s="314"/>
    </row>
    <row r="693" ht="28.5" customHeight="1">
      <c r="A693" s="767"/>
      <c r="B693" s="768"/>
      <c r="C693" s="768"/>
      <c r="D693" s="769"/>
      <c r="E693" s="769"/>
      <c r="F693" s="769"/>
      <c r="G693" s="336"/>
      <c r="H693" s="771"/>
      <c r="I693" s="769"/>
      <c r="J693" s="769"/>
      <c r="K693" s="314"/>
      <c r="L693" s="314"/>
      <c r="M693" s="314"/>
      <c r="N693" s="769"/>
      <c r="O693" s="769"/>
      <c r="P693" s="773"/>
      <c r="Q693" s="774"/>
      <c r="R693" s="774"/>
      <c r="S693" s="775"/>
      <c r="AH693" s="776"/>
      <c r="AI693" s="776"/>
      <c r="AJ693" s="732"/>
      <c r="AK693" s="732"/>
      <c r="AL693" s="776"/>
      <c r="AM693" s="776"/>
      <c r="AN693" s="17"/>
      <c r="AO693" s="17"/>
      <c r="AP693" s="17"/>
      <c r="AQ693" s="17"/>
      <c r="AR693" s="17"/>
      <c r="AS693" s="17"/>
      <c r="AT693" s="17"/>
      <c r="AU693" s="732"/>
      <c r="AV693" s="313"/>
      <c r="AW693" s="313"/>
      <c r="AX693" s="313"/>
      <c r="AY693" s="313"/>
      <c r="AZ693" s="313"/>
      <c r="BA693" s="313"/>
      <c r="BB693" s="313"/>
      <c r="BC693" s="313"/>
      <c r="BD693" s="313"/>
      <c r="BE693" s="314"/>
      <c r="BW693" s="314"/>
      <c r="BX693" s="314"/>
      <c r="BY693" s="314"/>
      <c r="BZ693" s="314"/>
      <c r="CA693" s="314"/>
      <c r="CB693" s="314"/>
      <c r="CC693" s="314"/>
      <c r="CD693" s="314"/>
    </row>
    <row r="694" ht="28.5" customHeight="1">
      <c r="A694" s="767"/>
      <c r="B694" s="768"/>
      <c r="C694" s="768"/>
      <c r="D694" s="769"/>
      <c r="E694" s="769"/>
      <c r="F694" s="769"/>
      <c r="G694" s="336"/>
      <c r="H694" s="771"/>
      <c r="I694" s="769"/>
      <c r="J694" s="769"/>
      <c r="K694" s="314"/>
      <c r="L694" s="314"/>
      <c r="M694" s="314"/>
      <c r="N694" s="769"/>
      <c r="O694" s="769"/>
      <c r="P694" s="773"/>
      <c r="Q694" s="774"/>
      <c r="R694" s="774"/>
      <c r="S694" s="775"/>
      <c r="AH694" s="776"/>
      <c r="AI694" s="776"/>
      <c r="AJ694" s="732"/>
      <c r="AK694" s="732"/>
      <c r="AL694" s="776"/>
      <c r="AM694" s="776"/>
      <c r="AN694" s="17"/>
      <c r="AO694" s="17"/>
      <c r="AP694" s="17"/>
      <c r="AQ694" s="17"/>
      <c r="AR694" s="17"/>
      <c r="AS694" s="17"/>
      <c r="AT694" s="17"/>
      <c r="AU694" s="732"/>
      <c r="AV694" s="313"/>
      <c r="AW694" s="313"/>
      <c r="AX694" s="313"/>
      <c r="AY694" s="313"/>
      <c r="AZ694" s="313"/>
      <c r="BA694" s="313"/>
      <c r="BB694" s="313"/>
      <c r="BC694" s="313"/>
      <c r="BD694" s="313"/>
      <c r="BE694" s="314"/>
      <c r="BW694" s="314"/>
      <c r="BX694" s="314"/>
      <c r="BY694" s="314"/>
      <c r="BZ694" s="314"/>
      <c r="CA694" s="314"/>
      <c r="CB694" s="314"/>
      <c r="CC694" s="314"/>
      <c r="CD694" s="314"/>
    </row>
    <row r="695" ht="28.5" customHeight="1">
      <c r="A695" s="767"/>
      <c r="B695" s="768"/>
      <c r="C695" s="768"/>
      <c r="D695" s="769"/>
      <c r="E695" s="769"/>
      <c r="F695" s="769"/>
      <c r="G695" s="336"/>
      <c r="H695" s="771"/>
      <c r="I695" s="769"/>
      <c r="J695" s="769"/>
      <c r="K695" s="314"/>
      <c r="L695" s="314"/>
      <c r="M695" s="314"/>
      <c r="N695" s="769"/>
      <c r="O695" s="769"/>
      <c r="P695" s="773"/>
      <c r="Q695" s="774"/>
      <c r="R695" s="774"/>
      <c r="S695" s="775"/>
      <c r="AH695" s="776"/>
      <c r="AI695" s="776"/>
      <c r="AJ695" s="732"/>
      <c r="AK695" s="732"/>
      <c r="AL695" s="776"/>
      <c r="AM695" s="776"/>
      <c r="AN695" s="17"/>
      <c r="AO695" s="17"/>
      <c r="AP695" s="17"/>
      <c r="AQ695" s="17"/>
      <c r="AR695" s="17"/>
      <c r="AS695" s="17"/>
      <c r="AT695" s="17"/>
      <c r="AU695" s="732"/>
      <c r="AV695" s="313"/>
      <c r="AW695" s="313"/>
      <c r="AX695" s="313"/>
      <c r="AY695" s="313"/>
      <c r="AZ695" s="313"/>
      <c r="BA695" s="313"/>
      <c r="BB695" s="313"/>
      <c r="BC695" s="313"/>
      <c r="BD695" s="313"/>
      <c r="BE695" s="314"/>
      <c r="BW695" s="314"/>
      <c r="BX695" s="314"/>
      <c r="BY695" s="314"/>
      <c r="BZ695" s="314"/>
      <c r="CA695" s="314"/>
      <c r="CB695" s="314"/>
      <c r="CC695" s="314"/>
      <c r="CD695" s="314"/>
    </row>
    <row r="696" ht="28.5" customHeight="1">
      <c r="A696" s="767"/>
      <c r="B696" s="768"/>
      <c r="C696" s="768"/>
      <c r="D696" s="769"/>
      <c r="E696" s="769"/>
      <c r="F696" s="769"/>
      <c r="G696" s="336"/>
      <c r="H696" s="771"/>
      <c r="I696" s="769"/>
      <c r="J696" s="769"/>
      <c r="K696" s="314"/>
      <c r="L696" s="314"/>
      <c r="M696" s="314"/>
      <c r="N696" s="769"/>
      <c r="O696" s="769"/>
      <c r="P696" s="773"/>
      <c r="Q696" s="774"/>
      <c r="R696" s="774"/>
      <c r="S696" s="775"/>
      <c r="AH696" s="776"/>
      <c r="AI696" s="776"/>
      <c r="AJ696" s="732"/>
      <c r="AK696" s="732"/>
      <c r="AL696" s="776"/>
      <c r="AM696" s="776"/>
      <c r="AN696" s="17"/>
      <c r="AO696" s="17"/>
      <c r="AP696" s="17"/>
      <c r="AQ696" s="17"/>
      <c r="AR696" s="17"/>
      <c r="AS696" s="17"/>
      <c r="AT696" s="17"/>
      <c r="AU696" s="732"/>
      <c r="AV696" s="313"/>
      <c r="AW696" s="313"/>
      <c r="AX696" s="313"/>
      <c r="AY696" s="313"/>
      <c r="AZ696" s="313"/>
      <c r="BA696" s="313"/>
      <c r="BB696" s="313"/>
      <c r="BC696" s="313"/>
      <c r="BD696" s="313"/>
      <c r="BE696" s="314"/>
      <c r="BW696" s="314"/>
      <c r="BX696" s="314"/>
      <c r="BY696" s="314"/>
      <c r="BZ696" s="314"/>
      <c r="CA696" s="314"/>
      <c r="CB696" s="314"/>
      <c r="CC696" s="314"/>
      <c r="CD696" s="314"/>
    </row>
    <row r="697" ht="28.5" customHeight="1">
      <c r="A697" s="767"/>
      <c r="B697" s="768"/>
      <c r="C697" s="768"/>
      <c r="D697" s="769"/>
      <c r="E697" s="769"/>
      <c r="F697" s="769"/>
      <c r="G697" s="336"/>
      <c r="H697" s="771"/>
      <c r="I697" s="769"/>
      <c r="J697" s="769"/>
      <c r="K697" s="314"/>
      <c r="L697" s="314"/>
      <c r="M697" s="314"/>
      <c r="N697" s="769"/>
      <c r="O697" s="769"/>
      <c r="P697" s="773"/>
      <c r="Q697" s="774"/>
      <c r="R697" s="774"/>
      <c r="S697" s="775"/>
      <c r="AH697" s="776"/>
      <c r="AI697" s="776"/>
      <c r="AJ697" s="732"/>
      <c r="AK697" s="732"/>
      <c r="AL697" s="776"/>
      <c r="AM697" s="776"/>
      <c r="AN697" s="17"/>
      <c r="AO697" s="17"/>
      <c r="AP697" s="17"/>
      <c r="AQ697" s="17"/>
      <c r="AR697" s="17"/>
      <c r="AS697" s="17"/>
      <c r="AT697" s="17"/>
      <c r="AU697" s="732"/>
      <c r="AV697" s="313"/>
      <c r="AW697" s="313"/>
      <c r="AX697" s="313"/>
      <c r="AY697" s="313"/>
      <c r="AZ697" s="313"/>
      <c r="BA697" s="313"/>
      <c r="BB697" s="313"/>
      <c r="BC697" s="313"/>
      <c r="BD697" s="313"/>
      <c r="BE697" s="314"/>
      <c r="BW697" s="314"/>
      <c r="BX697" s="314"/>
      <c r="BY697" s="314"/>
      <c r="BZ697" s="314"/>
      <c r="CA697" s="314"/>
      <c r="CB697" s="314"/>
      <c r="CC697" s="314"/>
      <c r="CD697" s="314"/>
    </row>
    <row r="698" ht="28.5" customHeight="1">
      <c r="A698" s="767"/>
      <c r="B698" s="768"/>
      <c r="C698" s="768"/>
      <c r="D698" s="769"/>
      <c r="E698" s="769"/>
      <c r="F698" s="769"/>
      <c r="G698" s="336"/>
      <c r="H698" s="771"/>
      <c r="I698" s="769"/>
      <c r="J698" s="769"/>
      <c r="K698" s="314"/>
      <c r="L698" s="314"/>
      <c r="M698" s="314"/>
      <c r="N698" s="769"/>
      <c r="O698" s="769"/>
      <c r="P698" s="773"/>
      <c r="Q698" s="774"/>
      <c r="R698" s="774"/>
      <c r="S698" s="775"/>
      <c r="AH698" s="776"/>
      <c r="AI698" s="776"/>
      <c r="AJ698" s="732"/>
      <c r="AK698" s="732"/>
      <c r="AL698" s="776"/>
      <c r="AM698" s="776"/>
      <c r="AN698" s="17"/>
      <c r="AO698" s="17"/>
      <c r="AP698" s="17"/>
      <c r="AQ698" s="17"/>
      <c r="AR698" s="17"/>
      <c r="AS698" s="17"/>
      <c r="AT698" s="17"/>
      <c r="AU698" s="732"/>
      <c r="AV698" s="313"/>
      <c r="AW698" s="313"/>
      <c r="AX698" s="313"/>
      <c r="AY698" s="313"/>
      <c r="AZ698" s="313"/>
      <c r="BA698" s="313"/>
      <c r="BB698" s="313"/>
      <c r="BC698" s="313"/>
      <c r="BD698" s="313"/>
      <c r="BE698" s="314"/>
      <c r="BW698" s="314"/>
      <c r="BX698" s="314"/>
      <c r="BY698" s="314"/>
      <c r="BZ698" s="314"/>
      <c r="CA698" s="314"/>
      <c r="CB698" s="314"/>
      <c r="CC698" s="314"/>
      <c r="CD698" s="314"/>
    </row>
    <row r="699" ht="28.5" customHeight="1">
      <c r="A699" s="767"/>
      <c r="B699" s="768"/>
      <c r="C699" s="768"/>
      <c r="D699" s="769"/>
      <c r="E699" s="769"/>
      <c r="F699" s="769"/>
      <c r="G699" s="336"/>
      <c r="H699" s="771"/>
      <c r="I699" s="769"/>
      <c r="J699" s="769"/>
      <c r="K699" s="314"/>
      <c r="L699" s="314"/>
      <c r="M699" s="314"/>
      <c r="N699" s="769"/>
      <c r="O699" s="769"/>
      <c r="P699" s="773"/>
      <c r="Q699" s="774"/>
      <c r="R699" s="774"/>
      <c r="S699" s="775"/>
      <c r="AH699" s="776"/>
      <c r="AI699" s="776"/>
      <c r="AJ699" s="732"/>
      <c r="AK699" s="732"/>
      <c r="AL699" s="776"/>
      <c r="AM699" s="776"/>
      <c r="AN699" s="17"/>
      <c r="AO699" s="17"/>
      <c r="AP699" s="17"/>
      <c r="AQ699" s="17"/>
      <c r="AR699" s="17"/>
      <c r="AS699" s="17"/>
      <c r="AT699" s="17"/>
      <c r="AU699" s="732"/>
      <c r="AV699" s="313"/>
      <c r="AW699" s="313"/>
      <c r="AX699" s="313"/>
      <c r="AY699" s="313"/>
      <c r="AZ699" s="313"/>
      <c r="BA699" s="313"/>
      <c r="BB699" s="313"/>
      <c r="BC699" s="313"/>
      <c r="BD699" s="313"/>
      <c r="BE699" s="314"/>
      <c r="BW699" s="314"/>
      <c r="BX699" s="314"/>
      <c r="BY699" s="314"/>
      <c r="BZ699" s="314"/>
      <c r="CA699" s="314"/>
      <c r="CB699" s="314"/>
      <c r="CC699" s="314"/>
      <c r="CD699" s="314"/>
    </row>
    <row r="700" ht="28.5" customHeight="1">
      <c r="A700" s="767"/>
      <c r="B700" s="768"/>
      <c r="C700" s="768"/>
      <c r="D700" s="769"/>
      <c r="E700" s="769"/>
      <c r="F700" s="769"/>
      <c r="G700" s="336"/>
      <c r="H700" s="771"/>
      <c r="I700" s="769"/>
      <c r="J700" s="769"/>
      <c r="K700" s="314"/>
      <c r="L700" s="314"/>
      <c r="M700" s="314"/>
      <c r="N700" s="769"/>
      <c r="O700" s="769"/>
      <c r="P700" s="773"/>
      <c r="Q700" s="774"/>
      <c r="R700" s="774"/>
      <c r="S700" s="775"/>
      <c r="AH700" s="776"/>
      <c r="AI700" s="776"/>
      <c r="AJ700" s="732"/>
      <c r="AK700" s="732"/>
      <c r="AL700" s="776"/>
      <c r="AM700" s="776"/>
      <c r="AN700" s="17"/>
      <c r="AO700" s="17"/>
      <c r="AP700" s="17"/>
      <c r="AQ700" s="17"/>
      <c r="AR700" s="17"/>
      <c r="AS700" s="17"/>
      <c r="AT700" s="17"/>
      <c r="AU700" s="732"/>
      <c r="AV700" s="313"/>
      <c r="AW700" s="313"/>
      <c r="AX700" s="313"/>
      <c r="AY700" s="313"/>
      <c r="AZ700" s="313"/>
      <c r="BA700" s="313"/>
      <c r="BB700" s="313"/>
      <c r="BC700" s="313"/>
      <c r="BD700" s="313"/>
      <c r="BE700" s="314"/>
      <c r="BW700" s="314"/>
      <c r="BX700" s="314"/>
      <c r="BY700" s="314"/>
      <c r="BZ700" s="314"/>
      <c r="CA700" s="314"/>
      <c r="CB700" s="314"/>
      <c r="CC700" s="314"/>
      <c r="CD700" s="314"/>
    </row>
    <row r="701" ht="28.5" customHeight="1">
      <c r="A701" s="767"/>
      <c r="B701" s="768"/>
      <c r="C701" s="768"/>
      <c r="D701" s="769"/>
      <c r="E701" s="769"/>
      <c r="F701" s="769"/>
      <c r="G701" s="336"/>
      <c r="H701" s="771"/>
      <c r="I701" s="769"/>
      <c r="J701" s="769"/>
      <c r="K701" s="314"/>
      <c r="L701" s="314"/>
      <c r="M701" s="314"/>
      <c r="N701" s="769"/>
      <c r="O701" s="769"/>
      <c r="P701" s="773"/>
      <c r="Q701" s="774"/>
      <c r="R701" s="774"/>
      <c r="S701" s="775"/>
      <c r="AH701" s="776"/>
      <c r="AI701" s="776"/>
      <c r="AJ701" s="732"/>
      <c r="AK701" s="732"/>
      <c r="AL701" s="776"/>
      <c r="AM701" s="776"/>
      <c r="AN701" s="17"/>
      <c r="AO701" s="17"/>
      <c r="AP701" s="17"/>
      <c r="AQ701" s="17"/>
      <c r="AR701" s="17"/>
      <c r="AS701" s="17"/>
      <c r="AT701" s="17"/>
      <c r="AU701" s="732"/>
      <c r="AV701" s="313"/>
      <c r="AW701" s="313"/>
      <c r="AX701" s="313"/>
      <c r="AY701" s="313"/>
      <c r="AZ701" s="313"/>
      <c r="BA701" s="313"/>
      <c r="BB701" s="313"/>
      <c r="BC701" s="313"/>
      <c r="BD701" s="313"/>
      <c r="BE701" s="314"/>
      <c r="BW701" s="314"/>
      <c r="BX701" s="314"/>
      <c r="BY701" s="314"/>
      <c r="BZ701" s="314"/>
      <c r="CA701" s="314"/>
      <c r="CB701" s="314"/>
      <c r="CC701" s="314"/>
      <c r="CD701" s="314"/>
    </row>
    <row r="702" ht="28.5" customHeight="1">
      <c r="A702" s="767"/>
      <c r="B702" s="768"/>
      <c r="C702" s="768"/>
      <c r="D702" s="769"/>
      <c r="E702" s="769"/>
      <c r="F702" s="769"/>
      <c r="G702" s="336"/>
      <c r="H702" s="771"/>
      <c r="I702" s="769"/>
      <c r="J702" s="769"/>
      <c r="K702" s="314"/>
      <c r="L702" s="314"/>
      <c r="M702" s="314"/>
      <c r="N702" s="769"/>
      <c r="O702" s="769"/>
      <c r="P702" s="773"/>
      <c r="Q702" s="774"/>
      <c r="R702" s="774"/>
      <c r="S702" s="775"/>
      <c r="AH702" s="776"/>
      <c r="AI702" s="776"/>
      <c r="AJ702" s="732"/>
      <c r="AK702" s="732"/>
      <c r="AL702" s="776"/>
      <c r="AM702" s="776"/>
      <c r="AN702" s="17"/>
      <c r="AO702" s="17"/>
      <c r="AP702" s="17"/>
      <c r="AQ702" s="17"/>
      <c r="AR702" s="17"/>
      <c r="AS702" s="17"/>
      <c r="AT702" s="17"/>
      <c r="AU702" s="732"/>
      <c r="AV702" s="313"/>
      <c r="AW702" s="313"/>
      <c r="AX702" s="313"/>
      <c r="AY702" s="313"/>
      <c r="AZ702" s="313"/>
      <c r="BA702" s="313"/>
      <c r="BB702" s="313"/>
      <c r="BC702" s="313"/>
      <c r="BD702" s="313"/>
      <c r="BE702" s="314"/>
      <c r="BW702" s="314"/>
      <c r="BX702" s="314"/>
      <c r="BY702" s="314"/>
      <c r="BZ702" s="314"/>
      <c r="CA702" s="314"/>
      <c r="CB702" s="314"/>
      <c r="CC702" s="314"/>
      <c r="CD702" s="314"/>
    </row>
    <row r="703" ht="28.5" customHeight="1">
      <c r="A703" s="767"/>
      <c r="B703" s="768"/>
      <c r="C703" s="768"/>
      <c r="D703" s="769"/>
      <c r="E703" s="769"/>
      <c r="F703" s="769"/>
      <c r="G703" s="336"/>
      <c r="H703" s="771"/>
      <c r="I703" s="769"/>
      <c r="J703" s="769"/>
      <c r="K703" s="314"/>
      <c r="L703" s="314"/>
      <c r="M703" s="314"/>
      <c r="N703" s="769"/>
      <c r="O703" s="769"/>
      <c r="P703" s="773"/>
      <c r="Q703" s="774"/>
      <c r="R703" s="774"/>
      <c r="S703" s="775"/>
      <c r="AH703" s="776"/>
      <c r="AI703" s="776"/>
      <c r="AJ703" s="732"/>
      <c r="AK703" s="732"/>
      <c r="AL703" s="776"/>
      <c r="AM703" s="776"/>
      <c r="AN703" s="17"/>
      <c r="AO703" s="17"/>
      <c r="AP703" s="17"/>
      <c r="AQ703" s="17"/>
      <c r="AR703" s="17"/>
      <c r="AS703" s="17"/>
      <c r="AT703" s="17"/>
      <c r="AU703" s="732"/>
      <c r="AV703" s="313"/>
      <c r="AW703" s="313"/>
      <c r="AX703" s="313"/>
      <c r="AY703" s="313"/>
      <c r="AZ703" s="313"/>
      <c r="BA703" s="313"/>
      <c r="BB703" s="313"/>
      <c r="BC703" s="313"/>
      <c r="BD703" s="313"/>
      <c r="BE703" s="314"/>
      <c r="BW703" s="314"/>
      <c r="BX703" s="314"/>
      <c r="BY703" s="314"/>
      <c r="BZ703" s="314"/>
      <c r="CA703" s="314"/>
      <c r="CB703" s="314"/>
      <c r="CC703" s="314"/>
      <c r="CD703" s="314"/>
    </row>
    <row r="704" ht="28.5" customHeight="1">
      <c r="A704" s="767"/>
      <c r="B704" s="768"/>
      <c r="C704" s="768"/>
      <c r="D704" s="769"/>
      <c r="E704" s="769"/>
      <c r="F704" s="769"/>
      <c r="G704" s="336"/>
      <c r="H704" s="771"/>
      <c r="I704" s="769"/>
      <c r="J704" s="769"/>
      <c r="K704" s="314"/>
      <c r="L704" s="314"/>
      <c r="M704" s="314"/>
      <c r="N704" s="769"/>
      <c r="O704" s="769"/>
      <c r="P704" s="773"/>
      <c r="Q704" s="774"/>
      <c r="R704" s="774"/>
      <c r="S704" s="775"/>
      <c r="AH704" s="776"/>
      <c r="AI704" s="776"/>
      <c r="AJ704" s="732"/>
      <c r="AK704" s="732"/>
      <c r="AL704" s="776"/>
      <c r="AM704" s="776"/>
      <c r="AN704" s="17"/>
      <c r="AO704" s="17"/>
      <c r="AP704" s="17"/>
      <c r="AQ704" s="17"/>
      <c r="AR704" s="17"/>
      <c r="AS704" s="17"/>
      <c r="AT704" s="17"/>
      <c r="AU704" s="732"/>
      <c r="AV704" s="313"/>
      <c r="AW704" s="313"/>
      <c r="AX704" s="313"/>
      <c r="AY704" s="313"/>
      <c r="AZ704" s="313"/>
      <c r="BA704" s="313"/>
      <c r="BB704" s="313"/>
      <c r="BC704" s="313"/>
      <c r="BD704" s="313"/>
      <c r="BE704" s="314"/>
      <c r="BW704" s="314"/>
      <c r="BX704" s="314"/>
      <c r="BY704" s="314"/>
      <c r="BZ704" s="314"/>
      <c r="CA704" s="314"/>
      <c r="CB704" s="314"/>
      <c r="CC704" s="314"/>
      <c r="CD704" s="314"/>
    </row>
    <row r="705" ht="28.5" customHeight="1">
      <c r="A705" s="767"/>
      <c r="B705" s="768"/>
      <c r="C705" s="768"/>
      <c r="D705" s="769"/>
      <c r="E705" s="769"/>
      <c r="F705" s="769"/>
      <c r="G705" s="336"/>
      <c r="H705" s="771"/>
      <c r="I705" s="769"/>
      <c r="J705" s="769"/>
      <c r="K705" s="314"/>
      <c r="L705" s="314"/>
      <c r="M705" s="314"/>
      <c r="N705" s="769"/>
      <c r="O705" s="769"/>
      <c r="P705" s="773"/>
      <c r="Q705" s="774"/>
      <c r="R705" s="774"/>
      <c r="S705" s="775"/>
      <c r="AH705" s="776"/>
      <c r="AI705" s="776"/>
      <c r="AJ705" s="732"/>
      <c r="AK705" s="732"/>
      <c r="AL705" s="776"/>
      <c r="AM705" s="776"/>
      <c r="AN705" s="17"/>
      <c r="AO705" s="17"/>
      <c r="AP705" s="17"/>
      <c r="AQ705" s="17"/>
      <c r="AR705" s="17"/>
      <c r="AS705" s="17"/>
      <c r="AT705" s="17"/>
      <c r="AU705" s="732"/>
      <c r="AV705" s="313"/>
      <c r="AW705" s="313"/>
      <c r="AX705" s="313"/>
      <c r="AY705" s="313"/>
      <c r="AZ705" s="313"/>
      <c r="BA705" s="313"/>
      <c r="BB705" s="313"/>
      <c r="BC705" s="313"/>
      <c r="BD705" s="313"/>
      <c r="BE705" s="314"/>
      <c r="BW705" s="314"/>
      <c r="BX705" s="314"/>
      <c r="BY705" s="314"/>
      <c r="BZ705" s="314"/>
      <c r="CA705" s="314"/>
      <c r="CB705" s="314"/>
      <c r="CC705" s="314"/>
      <c r="CD705" s="314"/>
    </row>
    <row r="706" ht="28.5" customHeight="1">
      <c r="A706" s="767"/>
      <c r="B706" s="768"/>
      <c r="C706" s="768"/>
      <c r="D706" s="769"/>
      <c r="E706" s="769"/>
      <c r="F706" s="769"/>
      <c r="G706" s="336"/>
      <c r="H706" s="771"/>
      <c r="I706" s="769"/>
      <c r="J706" s="769"/>
      <c r="K706" s="314"/>
      <c r="L706" s="314"/>
      <c r="M706" s="314"/>
      <c r="N706" s="769"/>
      <c r="O706" s="769"/>
      <c r="P706" s="773"/>
      <c r="Q706" s="774"/>
      <c r="R706" s="774"/>
      <c r="S706" s="775"/>
      <c r="AH706" s="776"/>
      <c r="AI706" s="776"/>
      <c r="AJ706" s="732"/>
      <c r="AK706" s="732"/>
      <c r="AL706" s="776"/>
      <c r="AM706" s="776"/>
      <c r="AN706" s="17"/>
      <c r="AO706" s="17"/>
      <c r="AP706" s="17"/>
      <c r="AQ706" s="17"/>
      <c r="AR706" s="17"/>
      <c r="AS706" s="17"/>
      <c r="AT706" s="17"/>
      <c r="AU706" s="732"/>
      <c r="AV706" s="313"/>
      <c r="AW706" s="313"/>
      <c r="AX706" s="313"/>
      <c r="AY706" s="313"/>
      <c r="AZ706" s="313"/>
      <c r="BA706" s="313"/>
      <c r="BB706" s="313"/>
      <c r="BC706" s="313"/>
      <c r="BD706" s="313"/>
      <c r="BE706" s="314"/>
      <c r="BW706" s="314"/>
      <c r="BX706" s="314"/>
      <c r="BY706" s="314"/>
      <c r="BZ706" s="314"/>
      <c r="CA706" s="314"/>
      <c r="CB706" s="314"/>
      <c r="CC706" s="314"/>
      <c r="CD706" s="314"/>
    </row>
    <row r="707" ht="28.5" customHeight="1">
      <c r="A707" s="767"/>
      <c r="B707" s="768"/>
      <c r="C707" s="768"/>
      <c r="D707" s="769"/>
      <c r="E707" s="769"/>
      <c r="F707" s="769"/>
      <c r="G707" s="336"/>
      <c r="H707" s="771"/>
      <c r="I707" s="769"/>
      <c r="J707" s="769"/>
      <c r="K707" s="314"/>
      <c r="L707" s="314"/>
      <c r="M707" s="314"/>
      <c r="N707" s="769"/>
      <c r="O707" s="769"/>
      <c r="P707" s="773"/>
      <c r="Q707" s="774"/>
      <c r="R707" s="774"/>
      <c r="S707" s="775"/>
      <c r="AH707" s="776"/>
      <c r="AI707" s="776"/>
      <c r="AJ707" s="732"/>
      <c r="AK707" s="732"/>
      <c r="AL707" s="776"/>
      <c r="AM707" s="776"/>
      <c r="AN707" s="17"/>
      <c r="AO707" s="17"/>
      <c r="AP707" s="17"/>
      <c r="AQ707" s="17"/>
      <c r="AR707" s="17"/>
      <c r="AS707" s="17"/>
      <c r="AT707" s="17"/>
      <c r="AU707" s="732"/>
      <c r="AV707" s="313"/>
      <c r="AW707" s="313"/>
      <c r="AX707" s="313"/>
      <c r="AY707" s="313"/>
      <c r="AZ707" s="313"/>
      <c r="BA707" s="313"/>
      <c r="BB707" s="313"/>
      <c r="BC707" s="313"/>
      <c r="BD707" s="313"/>
      <c r="BE707" s="314"/>
      <c r="BW707" s="314"/>
      <c r="BX707" s="314"/>
      <c r="BY707" s="314"/>
      <c r="BZ707" s="314"/>
      <c r="CA707" s="314"/>
      <c r="CB707" s="314"/>
      <c r="CC707" s="314"/>
      <c r="CD707" s="314"/>
    </row>
    <row r="708" ht="28.5" customHeight="1">
      <c r="A708" s="767"/>
      <c r="B708" s="768"/>
      <c r="C708" s="768"/>
      <c r="D708" s="769"/>
      <c r="E708" s="769"/>
      <c r="F708" s="769"/>
      <c r="G708" s="336"/>
      <c r="H708" s="771"/>
      <c r="I708" s="769"/>
      <c r="J708" s="769"/>
      <c r="K708" s="314"/>
      <c r="L708" s="314"/>
      <c r="M708" s="314"/>
      <c r="N708" s="769"/>
      <c r="O708" s="769"/>
      <c r="P708" s="773"/>
      <c r="Q708" s="774"/>
      <c r="R708" s="774"/>
      <c r="S708" s="775"/>
      <c r="AH708" s="776"/>
      <c r="AI708" s="776"/>
      <c r="AJ708" s="732"/>
      <c r="AK708" s="732"/>
      <c r="AL708" s="776"/>
      <c r="AM708" s="776"/>
      <c r="AN708" s="17"/>
      <c r="AO708" s="17"/>
      <c r="AP708" s="17"/>
      <c r="AQ708" s="17"/>
      <c r="AR708" s="17"/>
      <c r="AS708" s="17"/>
      <c r="AT708" s="17"/>
      <c r="AU708" s="732"/>
      <c r="AV708" s="313"/>
      <c r="AW708" s="313"/>
      <c r="AX708" s="313"/>
      <c r="AY708" s="313"/>
      <c r="AZ708" s="313"/>
      <c r="BA708" s="313"/>
      <c r="BB708" s="313"/>
      <c r="BC708" s="313"/>
      <c r="BD708" s="313"/>
      <c r="BE708" s="314"/>
      <c r="BW708" s="314"/>
      <c r="BX708" s="314"/>
      <c r="BY708" s="314"/>
      <c r="BZ708" s="314"/>
      <c r="CA708" s="314"/>
      <c r="CB708" s="314"/>
      <c r="CC708" s="314"/>
      <c r="CD708" s="314"/>
    </row>
    <row r="709" ht="28.5" customHeight="1">
      <c r="A709" s="767"/>
      <c r="B709" s="768"/>
      <c r="C709" s="768"/>
      <c r="D709" s="769"/>
      <c r="E709" s="769"/>
      <c r="F709" s="769"/>
      <c r="G709" s="336"/>
      <c r="H709" s="771"/>
      <c r="I709" s="769"/>
      <c r="J709" s="769"/>
      <c r="K709" s="314"/>
      <c r="L709" s="314"/>
      <c r="M709" s="314"/>
      <c r="N709" s="769"/>
      <c r="O709" s="769"/>
      <c r="P709" s="773"/>
      <c r="Q709" s="774"/>
      <c r="R709" s="774"/>
      <c r="S709" s="775"/>
      <c r="AH709" s="776"/>
      <c r="AI709" s="776"/>
      <c r="AJ709" s="732"/>
      <c r="AK709" s="732"/>
      <c r="AL709" s="776"/>
      <c r="AM709" s="776"/>
      <c r="AN709" s="17"/>
      <c r="AO709" s="17"/>
      <c r="AP709" s="17"/>
      <c r="AQ709" s="17"/>
      <c r="AR709" s="17"/>
      <c r="AS709" s="17"/>
      <c r="AT709" s="17"/>
      <c r="AU709" s="732"/>
      <c r="AV709" s="313"/>
      <c r="AW709" s="313"/>
      <c r="AX709" s="313"/>
      <c r="AY709" s="313"/>
      <c r="AZ709" s="313"/>
      <c r="BA709" s="313"/>
      <c r="BB709" s="313"/>
      <c r="BC709" s="313"/>
      <c r="BD709" s="313"/>
      <c r="BE709" s="314"/>
      <c r="BW709" s="314"/>
      <c r="BX709" s="314"/>
      <c r="BY709" s="314"/>
      <c r="BZ709" s="314"/>
      <c r="CA709" s="314"/>
      <c r="CB709" s="314"/>
      <c r="CC709" s="314"/>
      <c r="CD709" s="314"/>
    </row>
    <row r="710" ht="28.5" customHeight="1">
      <c r="A710" s="767"/>
      <c r="B710" s="768"/>
      <c r="C710" s="768"/>
      <c r="D710" s="769"/>
      <c r="E710" s="769"/>
      <c r="F710" s="769"/>
      <c r="G710" s="336"/>
      <c r="H710" s="771"/>
      <c r="I710" s="769"/>
      <c r="J710" s="769"/>
      <c r="K710" s="314"/>
      <c r="L710" s="314"/>
      <c r="M710" s="314"/>
      <c r="N710" s="769"/>
      <c r="O710" s="769"/>
      <c r="P710" s="773"/>
      <c r="Q710" s="774"/>
      <c r="R710" s="774"/>
      <c r="S710" s="775"/>
      <c r="AH710" s="776"/>
      <c r="AI710" s="776"/>
      <c r="AJ710" s="732"/>
      <c r="AK710" s="732"/>
      <c r="AL710" s="776"/>
      <c r="AM710" s="776"/>
      <c r="AN710" s="17"/>
      <c r="AO710" s="17"/>
      <c r="AP710" s="17"/>
      <c r="AQ710" s="17"/>
      <c r="AR710" s="17"/>
      <c r="AS710" s="17"/>
      <c r="AT710" s="17"/>
      <c r="AU710" s="732"/>
      <c r="AV710" s="313"/>
      <c r="AW710" s="313"/>
      <c r="AX710" s="313"/>
      <c r="AY710" s="313"/>
      <c r="AZ710" s="313"/>
      <c r="BA710" s="313"/>
      <c r="BB710" s="313"/>
      <c r="BC710" s="313"/>
      <c r="BD710" s="313"/>
      <c r="BE710" s="314"/>
      <c r="BW710" s="314"/>
      <c r="BX710" s="314"/>
      <c r="BY710" s="314"/>
      <c r="BZ710" s="314"/>
      <c r="CA710" s="314"/>
      <c r="CB710" s="314"/>
      <c r="CC710" s="314"/>
      <c r="CD710" s="314"/>
    </row>
    <row r="711" ht="28.5" customHeight="1">
      <c r="A711" s="767"/>
      <c r="B711" s="768"/>
      <c r="C711" s="768"/>
      <c r="D711" s="769"/>
      <c r="E711" s="769"/>
      <c r="F711" s="769"/>
      <c r="G711" s="336"/>
      <c r="H711" s="771"/>
      <c r="I711" s="769"/>
      <c r="J711" s="769"/>
      <c r="K711" s="314"/>
      <c r="L711" s="314"/>
      <c r="M711" s="314"/>
      <c r="N711" s="769"/>
      <c r="O711" s="769"/>
      <c r="P711" s="773"/>
      <c r="Q711" s="774"/>
      <c r="R711" s="774"/>
      <c r="S711" s="775"/>
      <c r="AH711" s="776"/>
      <c r="AI711" s="776"/>
      <c r="AJ711" s="732"/>
      <c r="AK711" s="732"/>
      <c r="AL711" s="776"/>
      <c r="AM711" s="776"/>
      <c r="AN711" s="17"/>
      <c r="AO711" s="17"/>
      <c r="AP711" s="17"/>
      <c r="AQ711" s="17"/>
      <c r="AR711" s="17"/>
      <c r="AS711" s="17"/>
      <c r="AT711" s="17"/>
      <c r="AU711" s="732"/>
      <c r="AV711" s="313"/>
      <c r="AW711" s="313"/>
      <c r="AX711" s="313"/>
      <c r="AY711" s="313"/>
      <c r="AZ711" s="313"/>
      <c r="BA711" s="313"/>
      <c r="BB711" s="313"/>
      <c r="BC711" s="313"/>
      <c r="BD711" s="313"/>
      <c r="BE711" s="314"/>
      <c r="BW711" s="314"/>
      <c r="BX711" s="314"/>
      <c r="BY711" s="314"/>
      <c r="BZ711" s="314"/>
      <c r="CA711" s="314"/>
      <c r="CB711" s="314"/>
      <c r="CC711" s="314"/>
      <c r="CD711" s="314"/>
    </row>
    <row r="712" ht="28.5" customHeight="1">
      <c r="A712" s="767"/>
      <c r="B712" s="768"/>
      <c r="C712" s="768"/>
      <c r="D712" s="769"/>
      <c r="E712" s="769"/>
      <c r="F712" s="769"/>
      <c r="G712" s="336"/>
      <c r="H712" s="771"/>
      <c r="I712" s="769"/>
      <c r="J712" s="769"/>
      <c r="K712" s="314"/>
      <c r="L712" s="314"/>
      <c r="M712" s="314"/>
      <c r="N712" s="769"/>
      <c r="O712" s="769"/>
      <c r="P712" s="773"/>
      <c r="Q712" s="774"/>
      <c r="R712" s="774"/>
      <c r="S712" s="775"/>
      <c r="AH712" s="776"/>
      <c r="AI712" s="776"/>
      <c r="AJ712" s="732"/>
      <c r="AK712" s="732"/>
      <c r="AL712" s="776"/>
      <c r="AM712" s="776"/>
      <c r="AN712" s="17"/>
      <c r="AO712" s="17"/>
      <c r="AP712" s="17"/>
      <c r="AQ712" s="17"/>
      <c r="AR712" s="17"/>
      <c r="AS712" s="17"/>
      <c r="AT712" s="17"/>
      <c r="AU712" s="732"/>
      <c r="AV712" s="313"/>
      <c r="AW712" s="313"/>
      <c r="AX712" s="313"/>
      <c r="AY712" s="313"/>
      <c r="AZ712" s="313"/>
      <c r="BA712" s="313"/>
      <c r="BB712" s="313"/>
      <c r="BC712" s="313"/>
      <c r="BD712" s="313"/>
      <c r="BE712" s="314"/>
      <c r="BW712" s="314"/>
      <c r="BX712" s="314"/>
      <c r="BY712" s="314"/>
      <c r="BZ712" s="314"/>
      <c r="CA712" s="314"/>
      <c r="CB712" s="314"/>
      <c r="CC712" s="314"/>
      <c r="CD712" s="314"/>
    </row>
    <row r="713" ht="28.5" customHeight="1">
      <c r="A713" s="767"/>
      <c r="B713" s="768"/>
      <c r="C713" s="768"/>
      <c r="D713" s="769"/>
      <c r="E713" s="769"/>
      <c r="F713" s="769"/>
      <c r="G713" s="336"/>
      <c r="H713" s="771"/>
      <c r="I713" s="769"/>
      <c r="J713" s="769"/>
      <c r="K713" s="314"/>
      <c r="L713" s="314"/>
      <c r="M713" s="314"/>
      <c r="N713" s="769"/>
      <c r="O713" s="769"/>
      <c r="P713" s="773"/>
      <c r="Q713" s="774"/>
      <c r="R713" s="774"/>
      <c r="S713" s="775"/>
      <c r="AH713" s="776"/>
      <c r="AI713" s="776"/>
      <c r="AJ713" s="732"/>
      <c r="AK713" s="732"/>
      <c r="AL713" s="776"/>
      <c r="AM713" s="776"/>
      <c r="AN713" s="17"/>
      <c r="AO713" s="17"/>
      <c r="AP713" s="17"/>
      <c r="AQ713" s="17"/>
      <c r="AR713" s="17"/>
      <c r="AS713" s="17"/>
      <c r="AT713" s="17"/>
      <c r="AU713" s="732"/>
      <c r="AV713" s="313"/>
      <c r="AW713" s="313"/>
      <c r="AX713" s="313"/>
      <c r="AY713" s="313"/>
      <c r="AZ713" s="313"/>
      <c r="BA713" s="313"/>
      <c r="BB713" s="313"/>
      <c r="BC713" s="313"/>
      <c r="BD713" s="313"/>
      <c r="BE713" s="314"/>
      <c r="BW713" s="314"/>
      <c r="BX713" s="314"/>
      <c r="BY713" s="314"/>
      <c r="BZ713" s="314"/>
      <c r="CA713" s="314"/>
      <c r="CB713" s="314"/>
      <c r="CC713" s="314"/>
      <c r="CD713" s="314"/>
    </row>
    <row r="714" ht="28.5" customHeight="1">
      <c r="A714" s="767"/>
      <c r="B714" s="768"/>
      <c r="C714" s="768"/>
      <c r="D714" s="769"/>
      <c r="E714" s="769"/>
      <c r="F714" s="769"/>
      <c r="G714" s="336"/>
      <c r="H714" s="771"/>
      <c r="I714" s="769"/>
      <c r="J714" s="769"/>
      <c r="K714" s="314"/>
      <c r="L714" s="314"/>
      <c r="M714" s="314"/>
      <c r="N714" s="769"/>
      <c r="O714" s="769"/>
      <c r="P714" s="773"/>
      <c r="Q714" s="774"/>
      <c r="R714" s="774"/>
      <c r="S714" s="775"/>
      <c r="AH714" s="776"/>
      <c r="AI714" s="776"/>
      <c r="AJ714" s="732"/>
      <c r="AK714" s="732"/>
      <c r="AL714" s="776"/>
      <c r="AM714" s="776"/>
      <c r="AN714" s="17"/>
      <c r="AO714" s="17"/>
      <c r="AP714" s="17"/>
      <c r="AQ714" s="17"/>
      <c r="AR714" s="17"/>
      <c r="AS714" s="17"/>
      <c r="AT714" s="17"/>
      <c r="AU714" s="732"/>
      <c r="AV714" s="313"/>
      <c r="AW714" s="313"/>
      <c r="AX714" s="313"/>
      <c r="AY714" s="313"/>
      <c r="AZ714" s="313"/>
      <c r="BA714" s="313"/>
      <c r="BB714" s="313"/>
      <c r="BC714" s="313"/>
      <c r="BD714" s="313"/>
      <c r="BE714" s="314"/>
      <c r="BW714" s="314"/>
      <c r="BX714" s="314"/>
      <c r="BY714" s="314"/>
      <c r="BZ714" s="314"/>
      <c r="CA714" s="314"/>
      <c r="CB714" s="314"/>
      <c r="CC714" s="314"/>
      <c r="CD714" s="314"/>
    </row>
    <row r="715" ht="28.5" customHeight="1">
      <c r="A715" s="767"/>
      <c r="B715" s="768"/>
      <c r="C715" s="768"/>
      <c r="D715" s="769"/>
      <c r="E715" s="769"/>
      <c r="F715" s="769"/>
      <c r="G715" s="336"/>
      <c r="H715" s="771"/>
      <c r="I715" s="769"/>
      <c r="J715" s="769"/>
      <c r="K715" s="314"/>
      <c r="L715" s="314"/>
      <c r="M715" s="314"/>
      <c r="N715" s="769"/>
      <c r="O715" s="769"/>
      <c r="P715" s="773"/>
      <c r="Q715" s="774"/>
      <c r="R715" s="774"/>
      <c r="S715" s="775"/>
      <c r="AH715" s="776"/>
      <c r="AI715" s="776"/>
      <c r="AJ715" s="732"/>
      <c r="AK715" s="732"/>
      <c r="AL715" s="776"/>
      <c r="AM715" s="776"/>
      <c r="AN715" s="17"/>
      <c r="AO715" s="17"/>
      <c r="AP715" s="17"/>
      <c r="AQ715" s="17"/>
      <c r="AR715" s="17"/>
      <c r="AS715" s="17"/>
      <c r="AT715" s="17"/>
      <c r="AU715" s="732"/>
      <c r="AV715" s="313"/>
      <c r="AW715" s="313"/>
      <c r="AX715" s="313"/>
      <c r="AY715" s="313"/>
      <c r="AZ715" s="313"/>
      <c r="BA715" s="313"/>
      <c r="BB715" s="313"/>
      <c r="BC715" s="313"/>
      <c r="BD715" s="313"/>
      <c r="BE715" s="314"/>
      <c r="BW715" s="314"/>
      <c r="BX715" s="314"/>
      <c r="BY715" s="314"/>
      <c r="BZ715" s="314"/>
      <c r="CA715" s="314"/>
      <c r="CB715" s="314"/>
      <c r="CC715" s="314"/>
      <c r="CD715" s="314"/>
    </row>
    <row r="716" ht="28.5" customHeight="1">
      <c r="A716" s="767"/>
      <c r="B716" s="768"/>
      <c r="C716" s="768"/>
      <c r="D716" s="769"/>
      <c r="E716" s="769"/>
      <c r="F716" s="769"/>
      <c r="G716" s="336"/>
      <c r="H716" s="771"/>
      <c r="I716" s="769"/>
      <c r="J716" s="769"/>
      <c r="K716" s="314"/>
      <c r="L716" s="314"/>
      <c r="M716" s="314"/>
      <c r="N716" s="769"/>
      <c r="O716" s="769"/>
      <c r="P716" s="773"/>
      <c r="Q716" s="774"/>
      <c r="R716" s="774"/>
      <c r="S716" s="775"/>
      <c r="AH716" s="776"/>
      <c r="AI716" s="776"/>
      <c r="AJ716" s="732"/>
      <c r="AK716" s="732"/>
      <c r="AL716" s="776"/>
      <c r="AM716" s="776"/>
      <c r="AN716" s="17"/>
      <c r="AO716" s="17"/>
      <c r="AP716" s="17"/>
      <c r="AQ716" s="17"/>
      <c r="AR716" s="17"/>
      <c r="AS716" s="17"/>
      <c r="AT716" s="17"/>
      <c r="AU716" s="732"/>
      <c r="AV716" s="313"/>
      <c r="AW716" s="313"/>
      <c r="AX716" s="313"/>
      <c r="AY716" s="313"/>
      <c r="AZ716" s="313"/>
      <c r="BA716" s="313"/>
      <c r="BB716" s="313"/>
      <c r="BC716" s="313"/>
      <c r="BD716" s="313"/>
      <c r="BE716" s="314"/>
      <c r="BW716" s="314"/>
      <c r="BX716" s="314"/>
      <c r="BY716" s="314"/>
      <c r="BZ716" s="314"/>
      <c r="CA716" s="314"/>
      <c r="CB716" s="314"/>
      <c r="CC716" s="314"/>
      <c r="CD716" s="314"/>
    </row>
    <row r="717" ht="28.5" customHeight="1">
      <c r="A717" s="767"/>
      <c r="B717" s="768"/>
      <c r="C717" s="768"/>
      <c r="D717" s="769"/>
      <c r="E717" s="769"/>
      <c r="F717" s="769"/>
      <c r="G717" s="336"/>
      <c r="H717" s="771"/>
      <c r="I717" s="769"/>
      <c r="J717" s="769"/>
      <c r="K717" s="314"/>
      <c r="L717" s="314"/>
      <c r="M717" s="314"/>
      <c r="N717" s="769"/>
      <c r="O717" s="769"/>
      <c r="P717" s="773"/>
      <c r="Q717" s="774"/>
      <c r="R717" s="774"/>
      <c r="S717" s="775"/>
      <c r="AH717" s="776"/>
      <c r="AI717" s="776"/>
      <c r="AJ717" s="732"/>
      <c r="AK717" s="732"/>
      <c r="AL717" s="776"/>
      <c r="AM717" s="776"/>
      <c r="AN717" s="17"/>
      <c r="AO717" s="17"/>
      <c r="AP717" s="17"/>
      <c r="AQ717" s="17"/>
      <c r="AR717" s="17"/>
      <c r="AS717" s="17"/>
      <c r="AT717" s="17"/>
      <c r="AU717" s="732"/>
      <c r="AV717" s="313"/>
      <c r="AW717" s="313"/>
      <c r="AX717" s="313"/>
      <c r="AY717" s="313"/>
      <c r="AZ717" s="313"/>
      <c r="BA717" s="313"/>
      <c r="BB717" s="313"/>
      <c r="BC717" s="313"/>
      <c r="BD717" s="313"/>
      <c r="BE717" s="314"/>
      <c r="BW717" s="314"/>
      <c r="BX717" s="314"/>
      <c r="BY717" s="314"/>
      <c r="BZ717" s="314"/>
      <c r="CA717" s="314"/>
      <c r="CB717" s="314"/>
      <c r="CC717" s="314"/>
      <c r="CD717" s="314"/>
    </row>
    <row r="718" ht="28.5" customHeight="1">
      <c r="A718" s="767"/>
      <c r="B718" s="768"/>
      <c r="C718" s="768"/>
      <c r="D718" s="769"/>
      <c r="E718" s="769"/>
      <c r="F718" s="769"/>
      <c r="G718" s="336"/>
      <c r="H718" s="771"/>
      <c r="I718" s="769"/>
      <c r="J718" s="769"/>
      <c r="K718" s="314"/>
      <c r="L718" s="314"/>
      <c r="M718" s="314"/>
      <c r="N718" s="769"/>
      <c r="O718" s="769"/>
      <c r="P718" s="773"/>
      <c r="Q718" s="774"/>
      <c r="R718" s="774"/>
      <c r="S718" s="775"/>
      <c r="AH718" s="776"/>
      <c r="AI718" s="776"/>
      <c r="AJ718" s="732"/>
      <c r="AK718" s="732"/>
      <c r="AL718" s="776"/>
      <c r="AM718" s="776"/>
      <c r="AN718" s="17"/>
      <c r="AO718" s="17"/>
      <c r="AP718" s="17"/>
      <c r="AQ718" s="17"/>
      <c r="AR718" s="17"/>
      <c r="AS718" s="17"/>
      <c r="AT718" s="17"/>
      <c r="AU718" s="732"/>
      <c r="AV718" s="313"/>
      <c r="AW718" s="313"/>
      <c r="AX718" s="313"/>
      <c r="AY718" s="313"/>
      <c r="AZ718" s="313"/>
      <c r="BA718" s="313"/>
      <c r="BB718" s="313"/>
      <c r="BC718" s="313"/>
      <c r="BD718" s="313"/>
      <c r="BE718" s="314"/>
      <c r="BW718" s="314"/>
      <c r="BX718" s="314"/>
      <c r="BY718" s="314"/>
      <c r="BZ718" s="314"/>
      <c r="CA718" s="314"/>
      <c r="CB718" s="314"/>
      <c r="CC718" s="314"/>
      <c r="CD718" s="314"/>
    </row>
    <row r="719" ht="28.5" customHeight="1">
      <c r="A719" s="767"/>
      <c r="B719" s="768"/>
      <c r="C719" s="768"/>
      <c r="D719" s="769"/>
      <c r="E719" s="769"/>
      <c r="F719" s="769"/>
      <c r="G719" s="336"/>
      <c r="H719" s="771"/>
      <c r="I719" s="769"/>
      <c r="J719" s="769"/>
      <c r="K719" s="314"/>
      <c r="L719" s="314"/>
      <c r="M719" s="314"/>
      <c r="N719" s="769"/>
      <c r="O719" s="769"/>
      <c r="P719" s="773"/>
      <c r="Q719" s="774"/>
      <c r="R719" s="774"/>
      <c r="S719" s="775"/>
      <c r="AH719" s="776"/>
      <c r="AI719" s="776"/>
      <c r="AJ719" s="732"/>
      <c r="AK719" s="732"/>
      <c r="AL719" s="776"/>
      <c r="AM719" s="776"/>
      <c r="AN719" s="17"/>
      <c r="AO719" s="17"/>
      <c r="AP719" s="17"/>
      <c r="AQ719" s="17"/>
      <c r="AR719" s="17"/>
      <c r="AS719" s="17"/>
      <c r="AT719" s="17"/>
      <c r="AU719" s="732"/>
      <c r="AV719" s="313"/>
      <c r="AW719" s="313"/>
      <c r="AX719" s="313"/>
      <c r="AY719" s="313"/>
      <c r="AZ719" s="313"/>
      <c r="BA719" s="313"/>
      <c r="BB719" s="313"/>
      <c r="BC719" s="313"/>
      <c r="BD719" s="313"/>
      <c r="BE719" s="314"/>
      <c r="BW719" s="314"/>
      <c r="BX719" s="314"/>
      <c r="BY719" s="314"/>
      <c r="BZ719" s="314"/>
      <c r="CA719" s="314"/>
      <c r="CB719" s="314"/>
      <c r="CC719" s="314"/>
      <c r="CD719" s="314"/>
    </row>
    <row r="720" ht="28.5" customHeight="1">
      <c r="A720" s="767"/>
      <c r="B720" s="768"/>
      <c r="C720" s="768"/>
      <c r="D720" s="769"/>
      <c r="E720" s="769"/>
      <c r="F720" s="769"/>
      <c r="G720" s="336"/>
      <c r="H720" s="771"/>
      <c r="I720" s="769"/>
      <c r="J720" s="769"/>
      <c r="K720" s="314"/>
      <c r="L720" s="314"/>
      <c r="M720" s="314"/>
      <c r="N720" s="769"/>
      <c r="O720" s="769"/>
      <c r="P720" s="773"/>
      <c r="Q720" s="774"/>
      <c r="R720" s="774"/>
      <c r="S720" s="775"/>
      <c r="AH720" s="776"/>
      <c r="AI720" s="776"/>
      <c r="AJ720" s="732"/>
      <c r="AK720" s="732"/>
      <c r="AL720" s="776"/>
      <c r="AM720" s="776"/>
      <c r="AN720" s="17"/>
      <c r="AO720" s="17"/>
      <c r="AP720" s="17"/>
      <c r="AQ720" s="17"/>
      <c r="AR720" s="17"/>
      <c r="AS720" s="17"/>
      <c r="AT720" s="17"/>
      <c r="AU720" s="732"/>
      <c r="AV720" s="313"/>
      <c r="AW720" s="313"/>
      <c r="AX720" s="313"/>
      <c r="AY720" s="313"/>
      <c r="AZ720" s="313"/>
      <c r="BA720" s="313"/>
      <c r="BB720" s="313"/>
      <c r="BC720" s="313"/>
      <c r="BD720" s="313"/>
      <c r="BE720" s="314"/>
      <c r="BW720" s="314"/>
      <c r="BX720" s="314"/>
      <c r="BY720" s="314"/>
      <c r="BZ720" s="314"/>
      <c r="CA720" s="314"/>
      <c r="CB720" s="314"/>
      <c r="CC720" s="314"/>
      <c r="CD720" s="314"/>
    </row>
    <row r="721" ht="28.5" customHeight="1">
      <c r="A721" s="767"/>
      <c r="B721" s="768"/>
      <c r="C721" s="768"/>
      <c r="D721" s="769"/>
      <c r="E721" s="769"/>
      <c r="F721" s="769"/>
      <c r="G721" s="336"/>
      <c r="H721" s="771"/>
      <c r="I721" s="769"/>
      <c r="J721" s="769"/>
      <c r="K721" s="314"/>
      <c r="L721" s="314"/>
      <c r="M721" s="314"/>
      <c r="N721" s="769"/>
      <c r="O721" s="769"/>
      <c r="P721" s="773"/>
      <c r="Q721" s="774"/>
      <c r="R721" s="774"/>
      <c r="S721" s="775"/>
      <c r="AH721" s="776"/>
      <c r="AI721" s="776"/>
      <c r="AJ721" s="732"/>
      <c r="AK721" s="732"/>
      <c r="AL721" s="776"/>
      <c r="AM721" s="776"/>
      <c r="AN721" s="17"/>
      <c r="AO721" s="17"/>
      <c r="AP721" s="17"/>
      <c r="AQ721" s="17"/>
      <c r="AR721" s="17"/>
      <c r="AS721" s="17"/>
      <c r="AT721" s="17"/>
      <c r="AU721" s="732"/>
      <c r="AV721" s="313"/>
      <c r="AW721" s="313"/>
      <c r="AX721" s="313"/>
      <c r="AY721" s="313"/>
      <c r="AZ721" s="313"/>
      <c r="BA721" s="313"/>
      <c r="BB721" s="313"/>
      <c r="BC721" s="313"/>
      <c r="BD721" s="313"/>
      <c r="BE721" s="314"/>
      <c r="BW721" s="314"/>
      <c r="BX721" s="314"/>
      <c r="BY721" s="314"/>
      <c r="BZ721" s="314"/>
      <c r="CA721" s="314"/>
      <c r="CB721" s="314"/>
      <c r="CC721" s="314"/>
      <c r="CD721" s="314"/>
    </row>
    <row r="722" ht="28.5" customHeight="1">
      <c r="A722" s="767"/>
      <c r="B722" s="768"/>
      <c r="C722" s="768"/>
      <c r="D722" s="769"/>
      <c r="E722" s="769"/>
      <c r="F722" s="769"/>
      <c r="G722" s="336"/>
      <c r="H722" s="771"/>
      <c r="I722" s="769"/>
      <c r="J722" s="769"/>
      <c r="K722" s="314"/>
      <c r="L722" s="314"/>
      <c r="M722" s="314"/>
      <c r="N722" s="769"/>
      <c r="O722" s="769"/>
      <c r="P722" s="773"/>
      <c r="Q722" s="774"/>
      <c r="R722" s="774"/>
      <c r="S722" s="775"/>
      <c r="AH722" s="776"/>
      <c r="AI722" s="776"/>
      <c r="AJ722" s="732"/>
      <c r="AK722" s="732"/>
      <c r="AL722" s="776"/>
      <c r="AM722" s="776"/>
      <c r="AN722" s="17"/>
      <c r="AO722" s="17"/>
      <c r="AP722" s="17"/>
      <c r="AQ722" s="17"/>
      <c r="AR722" s="17"/>
      <c r="AS722" s="17"/>
      <c r="AT722" s="17"/>
      <c r="AU722" s="732"/>
      <c r="AV722" s="313"/>
      <c r="AW722" s="313"/>
      <c r="AX722" s="313"/>
      <c r="AY722" s="313"/>
      <c r="AZ722" s="313"/>
      <c r="BA722" s="313"/>
      <c r="BB722" s="313"/>
      <c r="BC722" s="313"/>
      <c r="BD722" s="313"/>
      <c r="BE722" s="314"/>
      <c r="BW722" s="314"/>
      <c r="BX722" s="314"/>
      <c r="BY722" s="314"/>
      <c r="BZ722" s="314"/>
      <c r="CA722" s="314"/>
      <c r="CB722" s="314"/>
      <c r="CC722" s="314"/>
      <c r="CD722" s="314"/>
    </row>
    <row r="723" ht="28.5" customHeight="1">
      <c r="A723" s="767"/>
      <c r="B723" s="768"/>
      <c r="C723" s="768"/>
      <c r="D723" s="769"/>
      <c r="E723" s="769"/>
      <c r="F723" s="769"/>
      <c r="G723" s="336"/>
      <c r="H723" s="771"/>
      <c r="I723" s="769"/>
      <c r="J723" s="769"/>
      <c r="K723" s="314"/>
      <c r="L723" s="314"/>
      <c r="M723" s="314"/>
      <c r="N723" s="769"/>
      <c r="O723" s="769"/>
      <c r="P723" s="773"/>
      <c r="Q723" s="774"/>
      <c r="R723" s="774"/>
      <c r="S723" s="775"/>
      <c r="AH723" s="776"/>
      <c r="AI723" s="776"/>
      <c r="AJ723" s="732"/>
      <c r="AK723" s="732"/>
      <c r="AL723" s="776"/>
      <c r="AM723" s="776"/>
      <c r="AN723" s="17"/>
      <c r="AO723" s="17"/>
      <c r="AP723" s="17"/>
      <c r="AQ723" s="17"/>
      <c r="AR723" s="17"/>
      <c r="AS723" s="17"/>
      <c r="AT723" s="17"/>
      <c r="AU723" s="732"/>
      <c r="AV723" s="313"/>
      <c r="AW723" s="313"/>
      <c r="AX723" s="313"/>
      <c r="AY723" s="313"/>
      <c r="AZ723" s="313"/>
      <c r="BA723" s="313"/>
      <c r="BB723" s="313"/>
      <c r="BC723" s="313"/>
      <c r="BD723" s="313"/>
      <c r="BE723" s="314"/>
      <c r="BW723" s="314"/>
      <c r="BX723" s="314"/>
      <c r="BY723" s="314"/>
      <c r="BZ723" s="314"/>
      <c r="CA723" s="314"/>
      <c r="CB723" s="314"/>
      <c r="CC723" s="314"/>
      <c r="CD723" s="314"/>
    </row>
    <row r="724" ht="28.5" customHeight="1">
      <c r="A724" s="767"/>
      <c r="B724" s="768"/>
      <c r="C724" s="768"/>
      <c r="D724" s="769"/>
      <c r="E724" s="769"/>
      <c r="F724" s="769"/>
      <c r="G724" s="336"/>
      <c r="H724" s="771"/>
      <c r="I724" s="769"/>
      <c r="J724" s="769"/>
      <c r="K724" s="314"/>
      <c r="L724" s="314"/>
      <c r="M724" s="314"/>
      <c r="N724" s="769"/>
      <c r="O724" s="769"/>
      <c r="P724" s="773"/>
      <c r="Q724" s="774"/>
      <c r="R724" s="774"/>
      <c r="S724" s="775"/>
      <c r="AH724" s="776"/>
      <c r="AI724" s="776"/>
      <c r="AJ724" s="732"/>
      <c r="AK724" s="732"/>
      <c r="AL724" s="776"/>
      <c r="AM724" s="776"/>
      <c r="AN724" s="17"/>
      <c r="AO724" s="17"/>
      <c r="AP724" s="17"/>
      <c r="AQ724" s="17"/>
      <c r="AR724" s="17"/>
      <c r="AS724" s="17"/>
      <c r="AT724" s="17"/>
      <c r="AU724" s="732"/>
      <c r="AV724" s="313"/>
      <c r="AW724" s="313"/>
      <c r="AX724" s="313"/>
      <c r="AY724" s="313"/>
      <c r="AZ724" s="313"/>
      <c r="BA724" s="313"/>
      <c r="BB724" s="313"/>
      <c r="BC724" s="313"/>
      <c r="BD724" s="313"/>
      <c r="BE724" s="314"/>
      <c r="BW724" s="314"/>
      <c r="BX724" s="314"/>
      <c r="BY724" s="314"/>
      <c r="BZ724" s="314"/>
      <c r="CA724" s="314"/>
      <c r="CB724" s="314"/>
      <c r="CC724" s="314"/>
      <c r="CD724" s="314"/>
    </row>
    <row r="725" ht="28.5" customHeight="1">
      <c r="A725" s="767"/>
      <c r="B725" s="768"/>
      <c r="C725" s="768"/>
      <c r="D725" s="769"/>
      <c r="E725" s="769"/>
      <c r="F725" s="769"/>
      <c r="G725" s="336"/>
      <c r="H725" s="771"/>
      <c r="I725" s="769"/>
      <c r="J725" s="769"/>
      <c r="K725" s="314"/>
      <c r="L725" s="314"/>
      <c r="M725" s="314"/>
      <c r="N725" s="769"/>
      <c r="O725" s="769"/>
      <c r="P725" s="773"/>
      <c r="Q725" s="774"/>
      <c r="R725" s="774"/>
      <c r="S725" s="775"/>
      <c r="AH725" s="776"/>
      <c r="AI725" s="776"/>
      <c r="AJ725" s="732"/>
      <c r="AK725" s="732"/>
      <c r="AL725" s="776"/>
      <c r="AM725" s="776"/>
      <c r="AN725" s="17"/>
      <c r="AO725" s="17"/>
      <c r="AP725" s="17"/>
      <c r="AQ725" s="17"/>
      <c r="AR725" s="17"/>
      <c r="AS725" s="17"/>
      <c r="AT725" s="17"/>
      <c r="AU725" s="732"/>
      <c r="AV725" s="313"/>
      <c r="AW725" s="313"/>
      <c r="AX725" s="313"/>
      <c r="AY725" s="313"/>
      <c r="AZ725" s="313"/>
      <c r="BA725" s="313"/>
      <c r="BB725" s="313"/>
      <c r="BC725" s="313"/>
      <c r="BD725" s="313"/>
      <c r="BE725" s="314"/>
      <c r="BW725" s="314"/>
      <c r="BX725" s="314"/>
      <c r="BY725" s="314"/>
      <c r="BZ725" s="314"/>
      <c r="CA725" s="314"/>
      <c r="CB725" s="314"/>
      <c r="CC725" s="314"/>
      <c r="CD725" s="314"/>
    </row>
    <row r="726" ht="28.5" customHeight="1">
      <c r="A726" s="767"/>
      <c r="B726" s="768"/>
      <c r="C726" s="768"/>
      <c r="D726" s="769"/>
      <c r="E726" s="769"/>
      <c r="F726" s="769"/>
      <c r="G726" s="336"/>
      <c r="H726" s="771"/>
      <c r="I726" s="769"/>
      <c r="J726" s="769"/>
      <c r="K726" s="314"/>
      <c r="L726" s="314"/>
      <c r="M726" s="314"/>
      <c r="N726" s="769"/>
      <c r="O726" s="769"/>
      <c r="P726" s="773"/>
      <c r="Q726" s="774"/>
      <c r="R726" s="774"/>
      <c r="S726" s="775"/>
      <c r="AH726" s="776"/>
      <c r="AI726" s="776"/>
      <c r="AJ726" s="732"/>
      <c r="AK726" s="732"/>
      <c r="AL726" s="776"/>
      <c r="AM726" s="776"/>
      <c r="AN726" s="17"/>
      <c r="AO726" s="17"/>
      <c r="AP726" s="17"/>
      <c r="AQ726" s="17"/>
      <c r="AR726" s="17"/>
      <c r="AS726" s="17"/>
      <c r="AT726" s="17"/>
      <c r="AU726" s="732"/>
      <c r="AV726" s="313"/>
      <c r="AW726" s="313"/>
      <c r="AX726" s="313"/>
      <c r="AY726" s="313"/>
      <c r="AZ726" s="313"/>
      <c r="BA726" s="313"/>
      <c r="BB726" s="313"/>
      <c r="BC726" s="313"/>
      <c r="BD726" s="313"/>
      <c r="BE726" s="314"/>
      <c r="BW726" s="314"/>
      <c r="BX726" s="314"/>
      <c r="BY726" s="314"/>
      <c r="BZ726" s="314"/>
      <c r="CA726" s="314"/>
      <c r="CB726" s="314"/>
      <c r="CC726" s="314"/>
      <c r="CD726" s="314"/>
    </row>
    <row r="727" ht="28.5" customHeight="1">
      <c r="A727" s="767"/>
      <c r="B727" s="768"/>
      <c r="C727" s="768"/>
      <c r="D727" s="769"/>
      <c r="E727" s="769"/>
      <c r="F727" s="769"/>
      <c r="G727" s="336"/>
      <c r="H727" s="771"/>
      <c r="I727" s="769"/>
      <c r="J727" s="769"/>
      <c r="K727" s="314"/>
      <c r="L727" s="314"/>
      <c r="M727" s="314"/>
      <c r="N727" s="769"/>
      <c r="O727" s="769"/>
      <c r="P727" s="773"/>
      <c r="Q727" s="774"/>
      <c r="R727" s="774"/>
      <c r="S727" s="775"/>
      <c r="AH727" s="776"/>
      <c r="AI727" s="776"/>
      <c r="AJ727" s="732"/>
      <c r="AK727" s="732"/>
      <c r="AL727" s="776"/>
      <c r="AM727" s="776"/>
      <c r="AN727" s="17"/>
      <c r="AO727" s="17"/>
      <c r="AP727" s="17"/>
      <c r="AQ727" s="17"/>
      <c r="AR727" s="17"/>
      <c r="AS727" s="17"/>
      <c r="AT727" s="17"/>
      <c r="AU727" s="732"/>
      <c r="AV727" s="313"/>
      <c r="AW727" s="313"/>
      <c r="AX727" s="313"/>
      <c r="AY727" s="313"/>
      <c r="AZ727" s="313"/>
      <c r="BA727" s="313"/>
      <c r="BB727" s="313"/>
      <c r="BC727" s="313"/>
      <c r="BD727" s="313"/>
      <c r="BE727" s="314"/>
      <c r="BW727" s="314"/>
      <c r="BX727" s="314"/>
      <c r="BY727" s="314"/>
      <c r="BZ727" s="314"/>
      <c r="CA727" s="314"/>
      <c r="CB727" s="314"/>
      <c r="CC727" s="314"/>
      <c r="CD727" s="314"/>
    </row>
    <row r="728" ht="28.5" customHeight="1">
      <c r="A728" s="767"/>
      <c r="B728" s="768"/>
      <c r="C728" s="768"/>
      <c r="D728" s="769"/>
      <c r="E728" s="769"/>
      <c r="F728" s="769"/>
      <c r="G728" s="336"/>
      <c r="H728" s="771"/>
      <c r="I728" s="769"/>
      <c r="J728" s="769"/>
      <c r="K728" s="314"/>
      <c r="L728" s="314"/>
      <c r="M728" s="314"/>
      <c r="N728" s="769"/>
      <c r="O728" s="769"/>
      <c r="P728" s="773"/>
      <c r="Q728" s="774"/>
      <c r="R728" s="774"/>
      <c r="S728" s="775"/>
      <c r="AH728" s="776"/>
      <c r="AI728" s="776"/>
      <c r="AJ728" s="732"/>
      <c r="AK728" s="732"/>
      <c r="AL728" s="776"/>
      <c r="AM728" s="776"/>
      <c r="AN728" s="17"/>
      <c r="AO728" s="17"/>
      <c r="AP728" s="17"/>
      <c r="AQ728" s="17"/>
      <c r="AR728" s="17"/>
      <c r="AS728" s="17"/>
      <c r="AT728" s="17"/>
      <c r="AU728" s="732"/>
      <c r="AV728" s="313"/>
      <c r="AW728" s="313"/>
      <c r="AX728" s="313"/>
      <c r="AY728" s="313"/>
      <c r="AZ728" s="313"/>
      <c r="BA728" s="313"/>
      <c r="BB728" s="313"/>
      <c r="BC728" s="313"/>
      <c r="BD728" s="313"/>
      <c r="BE728" s="314"/>
      <c r="BW728" s="314"/>
      <c r="BX728" s="314"/>
      <c r="BY728" s="314"/>
      <c r="BZ728" s="314"/>
      <c r="CA728" s="314"/>
      <c r="CB728" s="314"/>
      <c r="CC728" s="314"/>
      <c r="CD728" s="314"/>
    </row>
    <row r="729" ht="28.5" customHeight="1">
      <c r="A729" s="767"/>
      <c r="B729" s="768"/>
      <c r="C729" s="768"/>
      <c r="D729" s="769"/>
      <c r="E729" s="769"/>
      <c r="F729" s="769"/>
      <c r="G729" s="336"/>
      <c r="H729" s="771"/>
      <c r="I729" s="769"/>
      <c r="J729" s="769"/>
      <c r="K729" s="314"/>
      <c r="L729" s="314"/>
      <c r="M729" s="314"/>
      <c r="N729" s="769"/>
      <c r="O729" s="769"/>
      <c r="P729" s="773"/>
      <c r="Q729" s="774"/>
      <c r="R729" s="774"/>
      <c r="S729" s="775"/>
      <c r="AH729" s="776"/>
      <c r="AI729" s="776"/>
      <c r="AJ729" s="732"/>
      <c r="AK729" s="732"/>
      <c r="AL729" s="776"/>
      <c r="AM729" s="776"/>
      <c r="AN729" s="17"/>
      <c r="AO729" s="17"/>
      <c r="AP729" s="17"/>
      <c r="AQ729" s="17"/>
      <c r="AR729" s="17"/>
      <c r="AS729" s="17"/>
      <c r="AT729" s="17"/>
      <c r="AU729" s="732"/>
      <c r="AV729" s="313"/>
      <c r="AW729" s="313"/>
      <c r="AX729" s="313"/>
      <c r="AY729" s="313"/>
      <c r="AZ729" s="313"/>
      <c r="BA729" s="313"/>
      <c r="BB729" s="313"/>
      <c r="BC729" s="313"/>
      <c r="BD729" s="313"/>
      <c r="BE729" s="314"/>
      <c r="BW729" s="314"/>
      <c r="BX729" s="314"/>
      <c r="BY729" s="314"/>
      <c r="BZ729" s="314"/>
      <c r="CA729" s="314"/>
      <c r="CB729" s="314"/>
      <c r="CC729" s="314"/>
      <c r="CD729" s="314"/>
    </row>
    <row r="730" ht="28.5" customHeight="1">
      <c r="A730" s="767"/>
      <c r="B730" s="768"/>
      <c r="C730" s="768"/>
      <c r="D730" s="769"/>
      <c r="E730" s="769"/>
      <c r="F730" s="769"/>
      <c r="G730" s="336"/>
      <c r="H730" s="771"/>
      <c r="I730" s="769"/>
      <c r="J730" s="769"/>
      <c r="K730" s="314"/>
      <c r="L730" s="314"/>
      <c r="M730" s="314"/>
      <c r="N730" s="769"/>
      <c r="O730" s="769"/>
      <c r="P730" s="773"/>
      <c r="Q730" s="774"/>
      <c r="R730" s="774"/>
      <c r="S730" s="775"/>
      <c r="AH730" s="776"/>
      <c r="AI730" s="776"/>
      <c r="AJ730" s="732"/>
      <c r="AK730" s="732"/>
      <c r="AL730" s="776"/>
      <c r="AM730" s="776"/>
      <c r="AN730" s="17"/>
      <c r="AO730" s="17"/>
      <c r="AP730" s="17"/>
      <c r="AQ730" s="17"/>
      <c r="AR730" s="17"/>
      <c r="AS730" s="17"/>
      <c r="AT730" s="17"/>
      <c r="AU730" s="732"/>
      <c r="AV730" s="313"/>
      <c r="AW730" s="313"/>
      <c r="AX730" s="313"/>
      <c r="AY730" s="313"/>
      <c r="AZ730" s="313"/>
      <c r="BA730" s="313"/>
      <c r="BB730" s="313"/>
      <c r="BC730" s="313"/>
      <c r="BD730" s="313"/>
      <c r="BE730" s="314"/>
      <c r="BW730" s="314"/>
      <c r="BX730" s="314"/>
      <c r="BY730" s="314"/>
      <c r="BZ730" s="314"/>
      <c r="CA730" s="314"/>
      <c r="CB730" s="314"/>
      <c r="CC730" s="314"/>
      <c r="CD730" s="314"/>
    </row>
    <row r="731" ht="28.5" customHeight="1">
      <c r="A731" s="767"/>
      <c r="B731" s="768"/>
      <c r="C731" s="768"/>
      <c r="D731" s="769"/>
      <c r="E731" s="769"/>
      <c r="F731" s="769"/>
      <c r="G731" s="336"/>
      <c r="H731" s="771"/>
      <c r="I731" s="769"/>
      <c r="J731" s="769"/>
      <c r="K731" s="314"/>
      <c r="L731" s="314"/>
      <c r="M731" s="314"/>
      <c r="N731" s="769"/>
      <c r="O731" s="769"/>
      <c r="P731" s="773"/>
      <c r="Q731" s="774"/>
      <c r="R731" s="774"/>
      <c r="S731" s="775"/>
      <c r="AH731" s="776"/>
      <c r="AI731" s="776"/>
      <c r="AJ731" s="732"/>
      <c r="AK731" s="732"/>
      <c r="AL731" s="776"/>
      <c r="AM731" s="776"/>
      <c r="AN731" s="17"/>
      <c r="AO731" s="17"/>
      <c r="AP731" s="17"/>
      <c r="AQ731" s="17"/>
      <c r="AR731" s="17"/>
      <c r="AS731" s="17"/>
      <c r="AT731" s="17"/>
      <c r="AU731" s="732"/>
      <c r="AV731" s="313"/>
      <c r="AW731" s="313"/>
      <c r="AX731" s="313"/>
      <c r="AY731" s="313"/>
      <c r="AZ731" s="313"/>
      <c r="BA731" s="313"/>
      <c r="BB731" s="313"/>
      <c r="BC731" s="313"/>
      <c r="BD731" s="313"/>
      <c r="BE731" s="314"/>
      <c r="BW731" s="314"/>
      <c r="BX731" s="314"/>
      <c r="BY731" s="314"/>
      <c r="BZ731" s="314"/>
      <c r="CA731" s="314"/>
      <c r="CB731" s="314"/>
      <c r="CC731" s="314"/>
      <c r="CD731" s="314"/>
    </row>
    <row r="732" ht="28.5" customHeight="1">
      <c r="A732" s="767"/>
      <c r="B732" s="768"/>
      <c r="C732" s="768"/>
      <c r="D732" s="769"/>
      <c r="E732" s="769"/>
      <c r="F732" s="769"/>
      <c r="G732" s="336"/>
      <c r="H732" s="771"/>
      <c r="I732" s="769"/>
      <c r="J732" s="769"/>
      <c r="K732" s="314"/>
      <c r="L732" s="314"/>
      <c r="M732" s="314"/>
      <c r="N732" s="769"/>
      <c r="O732" s="769"/>
      <c r="P732" s="773"/>
      <c r="Q732" s="774"/>
      <c r="R732" s="774"/>
      <c r="S732" s="775"/>
      <c r="AH732" s="776"/>
      <c r="AI732" s="776"/>
      <c r="AJ732" s="732"/>
      <c r="AK732" s="732"/>
      <c r="AL732" s="776"/>
      <c r="AM732" s="776"/>
      <c r="AN732" s="17"/>
      <c r="AO732" s="17"/>
      <c r="AP732" s="17"/>
      <c r="AQ732" s="17"/>
      <c r="AR732" s="17"/>
      <c r="AS732" s="17"/>
      <c r="AT732" s="17"/>
      <c r="AU732" s="732"/>
      <c r="AV732" s="313"/>
      <c r="AW732" s="313"/>
      <c r="AX732" s="313"/>
      <c r="AY732" s="313"/>
      <c r="AZ732" s="313"/>
      <c r="BA732" s="313"/>
      <c r="BB732" s="313"/>
      <c r="BC732" s="313"/>
      <c r="BD732" s="313"/>
      <c r="BE732" s="314"/>
      <c r="BW732" s="314"/>
      <c r="BX732" s="314"/>
      <c r="BY732" s="314"/>
      <c r="BZ732" s="314"/>
      <c r="CA732" s="314"/>
      <c r="CB732" s="314"/>
      <c r="CC732" s="314"/>
      <c r="CD732" s="314"/>
    </row>
    <row r="733" ht="28.5" customHeight="1">
      <c r="A733" s="767"/>
      <c r="B733" s="768"/>
      <c r="C733" s="768"/>
      <c r="D733" s="769"/>
      <c r="E733" s="769"/>
      <c r="F733" s="769"/>
      <c r="G733" s="336"/>
      <c r="H733" s="771"/>
      <c r="I733" s="769"/>
      <c r="J733" s="769"/>
      <c r="K733" s="314"/>
      <c r="L733" s="314"/>
      <c r="M733" s="314"/>
      <c r="N733" s="769"/>
      <c r="O733" s="769"/>
      <c r="P733" s="773"/>
      <c r="Q733" s="774"/>
      <c r="R733" s="774"/>
      <c r="S733" s="775"/>
      <c r="AH733" s="776"/>
      <c r="AI733" s="776"/>
      <c r="AJ733" s="732"/>
      <c r="AK733" s="732"/>
      <c r="AL733" s="776"/>
      <c r="AM733" s="776"/>
      <c r="AN733" s="17"/>
      <c r="AO733" s="17"/>
      <c r="AP733" s="17"/>
      <c r="AQ733" s="17"/>
      <c r="AR733" s="17"/>
      <c r="AS733" s="17"/>
      <c r="AT733" s="17"/>
      <c r="AU733" s="732"/>
      <c r="AV733" s="313"/>
      <c r="AW733" s="313"/>
      <c r="AX733" s="313"/>
      <c r="AY733" s="313"/>
      <c r="AZ733" s="313"/>
      <c r="BA733" s="313"/>
      <c r="BB733" s="313"/>
      <c r="BC733" s="313"/>
      <c r="BD733" s="313"/>
      <c r="BE733" s="314"/>
      <c r="BW733" s="314"/>
      <c r="BX733" s="314"/>
      <c r="BY733" s="314"/>
      <c r="BZ733" s="314"/>
      <c r="CA733" s="314"/>
      <c r="CB733" s="314"/>
      <c r="CC733" s="314"/>
      <c r="CD733" s="314"/>
    </row>
    <row r="734" ht="28.5" customHeight="1">
      <c r="A734" s="767"/>
      <c r="B734" s="768"/>
      <c r="C734" s="768"/>
      <c r="D734" s="769"/>
      <c r="E734" s="769"/>
      <c r="F734" s="769"/>
      <c r="G734" s="336"/>
      <c r="H734" s="771"/>
      <c r="I734" s="769"/>
      <c r="J734" s="769"/>
      <c r="K734" s="314"/>
      <c r="L734" s="314"/>
      <c r="M734" s="314"/>
      <c r="N734" s="769"/>
      <c r="O734" s="769"/>
      <c r="P734" s="773"/>
      <c r="Q734" s="774"/>
      <c r="R734" s="774"/>
      <c r="S734" s="775"/>
      <c r="AH734" s="776"/>
      <c r="AI734" s="776"/>
      <c r="AJ734" s="732"/>
      <c r="AK734" s="732"/>
      <c r="AL734" s="776"/>
      <c r="AM734" s="776"/>
      <c r="AN734" s="17"/>
      <c r="AO734" s="17"/>
      <c r="AP734" s="17"/>
      <c r="AQ734" s="17"/>
      <c r="AR734" s="17"/>
      <c r="AS734" s="17"/>
      <c r="AT734" s="17"/>
      <c r="AU734" s="732"/>
      <c r="AV734" s="313"/>
      <c r="AW734" s="313"/>
      <c r="AX734" s="313"/>
      <c r="AY734" s="313"/>
      <c r="AZ734" s="313"/>
      <c r="BA734" s="313"/>
      <c r="BB734" s="313"/>
      <c r="BC734" s="313"/>
      <c r="BD734" s="313"/>
      <c r="BE734" s="314"/>
      <c r="BW734" s="314"/>
      <c r="BX734" s="314"/>
      <c r="BY734" s="314"/>
      <c r="BZ734" s="314"/>
      <c r="CA734" s="314"/>
      <c r="CB734" s="314"/>
      <c r="CC734" s="314"/>
      <c r="CD734" s="314"/>
    </row>
    <row r="735" ht="28.5" customHeight="1">
      <c r="A735" s="767"/>
      <c r="B735" s="768"/>
      <c r="C735" s="768"/>
      <c r="D735" s="769"/>
      <c r="E735" s="769"/>
      <c r="F735" s="769"/>
      <c r="G735" s="336"/>
      <c r="H735" s="771"/>
      <c r="I735" s="769"/>
      <c r="J735" s="769"/>
      <c r="K735" s="314"/>
      <c r="L735" s="314"/>
      <c r="M735" s="314"/>
      <c r="N735" s="769"/>
      <c r="O735" s="769"/>
      <c r="P735" s="773"/>
      <c r="Q735" s="774"/>
      <c r="R735" s="774"/>
      <c r="S735" s="775"/>
      <c r="AH735" s="776"/>
      <c r="AI735" s="776"/>
      <c r="AJ735" s="732"/>
      <c r="AK735" s="732"/>
      <c r="AL735" s="776"/>
      <c r="AM735" s="776"/>
      <c r="AN735" s="17"/>
      <c r="AO735" s="17"/>
      <c r="AP735" s="17"/>
      <c r="AQ735" s="17"/>
      <c r="AR735" s="17"/>
      <c r="AS735" s="17"/>
      <c r="AT735" s="17"/>
      <c r="AU735" s="732"/>
      <c r="AV735" s="313"/>
      <c r="AW735" s="313"/>
      <c r="AX735" s="313"/>
      <c r="AY735" s="313"/>
      <c r="AZ735" s="313"/>
      <c r="BA735" s="313"/>
      <c r="BB735" s="313"/>
      <c r="BC735" s="313"/>
      <c r="BD735" s="313"/>
      <c r="BE735" s="314"/>
      <c r="BW735" s="314"/>
      <c r="BX735" s="314"/>
      <c r="BY735" s="314"/>
      <c r="BZ735" s="314"/>
      <c r="CA735" s="314"/>
      <c r="CB735" s="314"/>
      <c r="CC735" s="314"/>
      <c r="CD735" s="314"/>
    </row>
    <row r="736" ht="28.5" customHeight="1">
      <c r="A736" s="767"/>
      <c r="B736" s="768"/>
      <c r="C736" s="768"/>
      <c r="D736" s="769"/>
      <c r="E736" s="769"/>
      <c r="F736" s="769"/>
      <c r="G736" s="336"/>
      <c r="H736" s="771"/>
      <c r="I736" s="769"/>
      <c r="J736" s="769"/>
      <c r="K736" s="314"/>
      <c r="L736" s="314"/>
      <c r="M736" s="314"/>
      <c r="N736" s="769"/>
      <c r="O736" s="769"/>
      <c r="P736" s="773"/>
      <c r="Q736" s="774"/>
      <c r="R736" s="774"/>
      <c r="S736" s="775"/>
      <c r="AH736" s="776"/>
      <c r="AI736" s="776"/>
      <c r="AJ736" s="732"/>
      <c r="AK736" s="732"/>
      <c r="AL736" s="776"/>
      <c r="AM736" s="776"/>
      <c r="AN736" s="17"/>
      <c r="AO736" s="17"/>
      <c r="AP736" s="17"/>
      <c r="AQ736" s="17"/>
      <c r="AR736" s="17"/>
      <c r="AS736" s="17"/>
      <c r="AT736" s="17"/>
      <c r="AU736" s="732"/>
      <c r="AV736" s="313"/>
      <c r="AW736" s="313"/>
      <c r="AX736" s="313"/>
      <c r="AY736" s="313"/>
      <c r="AZ736" s="313"/>
      <c r="BA736" s="313"/>
      <c r="BB736" s="313"/>
      <c r="BC736" s="313"/>
      <c r="BD736" s="313"/>
      <c r="BE736" s="314"/>
      <c r="BW736" s="314"/>
      <c r="BX736" s="314"/>
      <c r="BY736" s="314"/>
      <c r="BZ736" s="314"/>
      <c r="CA736" s="314"/>
      <c r="CB736" s="314"/>
      <c r="CC736" s="314"/>
      <c r="CD736" s="314"/>
    </row>
    <row r="737" ht="28.5" customHeight="1">
      <c r="A737" s="767"/>
      <c r="B737" s="768"/>
      <c r="C737" s="768"/>
      <c r="D737" s="769"/>
      <c r="E737" s="769"/>
      <c r="F737" s="769"/>
      <c r="G737" s="336"/>
      <c r="H737" s="771"/>
      <c r="I737" s="769"/>
      <c r="J737" s="769"/>
      <c r="K737" s="314"/>
      <c r="L737" s="314"/>
      <c r="M737" s="314"/>
      <c r="N737" s="769"/>
      <c r="O737" s="769"/>
      <c r="P737" s="773"/>
      <c r="Q737" s="774"/>
      <c r="R737" s="774"/>
      <c r="S737" s="775"/>
      <c r="AH737" s="776"/>
      <c r="AI737" s="776"/>
      <c r="AJ737" s="732"/>
      <c r="AK737" s="732"/>
      <c r="AL737" s="776"/>
      <c r="AM737" s="776"/>
      <c r="AN737" s="17"/>
      <c r="AO737" s="17"/>
      <c r="AP737" s="17"/>
      <c r="AQ737" s="17"/>
      <c r="AR737" s="17"/>
      <c r="AS737" s="17"/>
      <c r="AT737" s="17"/>
      <c r="AU737" s="732"/>
      <c r="AV737" s="313"/>
      <c r="AW737" s="313"/>
      <c r="AX737" s="313"/>
      <c r="AY737" s="313"/>
      <c r="AZ737" s="313"/>
      <c r="BA737" s="313"/>
      <c r="BB737" s="313"/>
      <c r="BC737" s="313"/>
      <c r="BD737" s="313"/>
      <c r="BE737" s="314"/>
      <c r="BW737" s="314"/>
      <c r="BX737" s="314"/>
      <c r="BY737" s="314"/>
      <c r="BZ737" s="314"/>
      <c r="CA737" s="314"/>
      <c r="CB737" s="314"/>
      <c r="CC737" s="314"/>
      <c r="CD737" s="314"/>
    </row>
    <row r="738" ht="28.5" customHeight="1">
      <c r="A738" s="767"/>
      <c r="B738" s="768"/>
      <c r="C738" s="768"/>
      <c r="D738" s="769"/>
      <c r="E738" s="769"/>
      <c r="F738" s="769"/>
      <c r="G738" s="336"/>
      <c r="H738" s="771"/>
      <c r="I738" s="769"/>
      <c r="J738" s="769"/>
      <c r="K738" s="314"/>
      <c r="L738" s="314"/>
      <c r="M738" s="314"/>
      <c r="N738" s="769"/>
      <c r="O738" s="769"/>
      <c r="P738" s="773"/>
      <c r="Q738" s="774"/>
      <c r="R738" s="774"/>
      <c r="S738" s="775"/>
      <c r="AH738" s="776"/>
      <c r="AI738" s="776"/>
      <c r="AJ738" s="732"/>
      <c r="AK738" s="732"/>
      <c r="AL738" s="776"/>
      <c r="AM738" s="776"/>
      <c r="AN738" s="17"/>
      <c r="AO738" s="17"/>
      <c r="AP738" s="17"/>
      <c r="AQ738" s="17"/>
      <c r="AR738" s="17"/>
      <c r="AS738" s="17"/>
      <c r="AT738" s="17"/>
      <c r="AU738" s="732"/>
      <c r="AV738" s="313"/>
      <c r="AW738" s="313"/>
      <c r="AX738" s="313"/>
      <c r="AY738" s="313"/>
      <c r="AZ738" s="313"/>
      <c r="BA738" s="313"/>
      <c r="BB738" s="313"/>
      <c r="BC738" s="313"/>
      <c r="BD738" s="313"/>
      <c r="BE738" s="314"/>
      <c r="BW738" s="314"/>
      <c r="BX738" s="314"/>
      <c r="BY738" s="314"/>
      <c r="BZ738" s="314"/>
      <c r="CA738" s="314"/>
      <c r="CB738" s="314"/>
      <c r="CC738" s="314"/>
      <c r="CD738" s="314"/>
    </row>
    <row r="739" ht="28.5" customHeight="1">
      <c r="A739" s="767"/>
      <c r="B739" s="768"/>
      <c r="C739" s="768"/>
      <c r="D739" s="769"/>
      <c r="E739" s="769"/>
      <c r="F739" s="769"/>
      <c r="G739" s="336"/>
      <c r="H739" s="771"/>
      <c r="I739" s="769"/>
      <c r="J739" s="769"/>
      <c r="K739" s="314"/>
      <c r="L739" s="314"/>
      <c r="M739" s="314"/>
      <c r="N739" s="769"/>
      <c r="O739" s="769"/>
      <c r="P739" s="773"/>
      <c r="Q739" s="774"/>
      <c r="R739" s="774"/>
      <c r="S739" s="775"/>
      <c r="AH739" s="776"/>
      <c r="AI739" s="776"/>
      <c r="AJ739" s="732"/>
      <c r="AK739" s="732"/>
      <c r="AL739" s="776"/>
      <c r="AM739" s="776"/>
      <c r="AN739" s="17"/>
      <c r="AO739" s="17"/>
      <c r="AP739" s="17"/>
      <c r="AQ739" s="17"/>
      <c r="AR739" s="17"/>
      <c r="AS739" s="17"/>
      <c r="AT739" s="17"/>
      <c r="AU739" s="732"/>
      <c r="AV739" s="313"/>
      <c r="AW739" s="313"/>
      <c r="AX739" s="313"/>
      <c r="AY739" s="313"/>
      <c r="AZ739" s="313"/>
      <c r="BA739" s="313"/>
      <c r="BB739" s="313"/>
      <c r="BC739" s="313"/>
      <c r="BD739" s="313"/>
      <c r="BE739" s="314"/>
      <c r="BW739" s="314"/>
      <c r="BX739" s="314"/>
      <c r="BY739" s="314"/>
      <c r="BZ739" s="314"/>
      <c r="CA739" s="314"/>
      <c r="CB739" s="314"/>
      <c r="CC739" s="314"/>
      <c r="CD739" s="314"/>
    </row>
    <row r="740" ht="28.5" customHeight="1">
      <c r="A740" s="767"/>
      <c r="B740" s="768"/>
      <c r="C740" s="768"/>
      <c r="D740" s="769"/>
      <c r="E740" s="769"/>
      <c r="F740" s="769"/>
      <c r="G740" s="336"/>
      <c r="H740" s="771"/>
      <c r="I740" s="769"/>
      <c r="J740" s="769"/>
      <c r="K740" s="314"/>
      <c r="L740" s="314"/>
      <c r="M740" s="314"/>
      <c r="N740" s="769"/>
      <c r="O740" s="769"/>
      <c r="P740" s="773"/>
      <c r="Q740" s="774"/>
      <c r="R740" s="774"/>
      <c r="S740" s="775"/>
      <c r="AH740" s="776"/>
      <c r="AI740" s="776"/>
      <c r="AJ740" s="732"/>
      <c r="AK740" s="732"/>
      <c r="AL740" s="776"/>
      <c r="AM740" s="776"/>
      <c r="AN740" s="17"/>
      <c r="AO740" s="17"/>
      <c r="AP740" s="17"/>
      <c r="AQ740" s="17"/>
      <c r="AR740" s="17"/>
      <c r="AS740" s="17"/>
      <c r="AT740" s="17"/>
      <c r="AU740" s="732"/>
      <c r="AV740" s="313"/>
      <c r="AW740" s="313"/>
      <c r="AX740" s="313"/>
      <c r="AY740" s="313"/>
      <c r="AZ740" s="313"/>
      <c r="BA740" s="313"/>
      <c r="BB740" s="313"/>
      <c r="BC740" s="313"/>
      <c r="BD740" s="313"/>
      <c r="BE740" s="314"/>
      <c r="BW740" s="314"/>
      <c r="BX740" s="314"/>
      <c r="BY740" s="314"/>
      <c r="BZ740" s="314"/>
      <c r="CA740" s="314"/>
      <c r="CB740" s="314"/>
      <c r="CC740" s="314"/>
      <c r="CD740" s="314"/>
    </row>
    <row r="741" ht="28.5" customHeight="1">
      <c r="A741" s="767"/>
      <c r="B741" s="768"/>
      <c r="C741" s="768"/>
      <c r="D741" s="769"/>
      <c r="E741" s="769"/>
      <c r="F741" s="769"/>
      <c r="G741" s="336"/>
      <c r="H741" s="771"/>
      <c r="I741" s="769"/>
      <c r="J741" s="769"/>
      <c r="K741" s="314"/>
      <c r="L741" s="314"/>
      <c r="M741" s="314"/>
      <c r="N741" s="769"/>
      <c r="O741" s="769"/>
      <c r="P741" s="773"/>
      <c r="Q741" s="774"/>
      <c r="R741" s="774"/>
      <c r="S741" s="775"/>
      <c r="AH741" s="776"/>
      <c r="AI741" s="776"/>
      <c r="AJ741" s="732"/>
      <c r="AK741" s="732"/>
      <c r="AL741" s="776"/>
      <c r="AM741" s="776"/>
      <c r="AN741" s="17"/>
      <c r="AO741" s="17"/>
      <c r="AP741" s="17"/>
      <c r="AQ741" s="17"/>
      <c r="AR741" s="17"/>
      <c r="AS741" s="17"/>
      <c r="AT741" s="17"/>
      <c r="AU741" s="732"/>
      <c r="AV741" s="313"/>
      <c r="AW741" s="313"/>
      <c r="AX741" s="313"/>
      <c r="AY741" s="313"/>
      <c r="AZ741" s="313"/>
      <c r="BA741" s="313"/>
      <c r="BB741" s="313"/>
      <c r="BC741" s="313"/>
      <c r="BD741" s="313"/>
      <c r="BE741" s="314"/>
      <c r="BW741" s="314"/>
      <c r="BX741" s="314"/>
      <c r="BY741" s="314"/>
      <c r="BZ741" s="314"/>
      <c r="CA741" s="314"/>
      <c r="CB741" s="314"/>
      <c r="CC741" s="314"/>
      <c r="CD741" s="314"/>
    </row>
    <row r="742" ht="28.5" customHeight="1">
      <c r="A742" s="767"/>
      <c r="B742" s="768"/>
      <c r="C742" s="768"/>
      <c r="D742" s="769"/>
      <c r="E742" s="769"/>
      <c r="F742" s="769"/>
      <c r="G742" s="336"/>
      <c r="H742" s="771"/>
      <c r="I742" s="769"/>
      <c r="J742" s="769"/>
      <c r="K742" s="314"/>
      <c r="L742" s="314"/>
      <c r="M742" s="314"/>
      <c r="N742" s="769"/>
      <c r="O742" s="769"/>
      <c r="P742" s="773"/>
      <c r="Q742" s="774"/>
      <c r="R742" s="774"/>
      <c r="S742" s="775"/>
      <c r="AH742" s="776"/>
      <c r="AI742" s="776"/>
      <c r="AJ742" s="732"/>
      <c r="AK742" s="732"/>
      <c r="AL742" s="776"/>
      <c r="AM742" s="776"/>
      <c r="AN742" s="17"/>
      <c r="AO742" s="17"/>
      <c r="AP742" s="17"/>
      <c r="AQ742" s="17"/>
      <c r="AR742" s="17"/>
      <c r="AS742" s="17"/>
      <c r="AT742" s="17"/>
      <c r="AU742" s="732"/>
      <c r="AV742" s="313"/>
      <c r="AW742" s="313"/>
      <c r="AX742" s="313"/>
      <c r="AY742" s="313"/>
      <c r="AZ742" s="313"/>
      <c r="BA742" s="313"/>
      <c r="BB742" s="313"/>
      <c r="BC742" s="313"/>
      <c r="BD742" s="313"/>
      <c r="BE742" s="314"/>
      <c r="BW742" s="314"/>
      <c r="BX742" s="314"/>
      <c r="BY742" s="314"/>
      <c r="BZ742" s="314"/>
      <c r="CA742" s="314"/>
      <c r="CB742" s="314"/>
      <c r="CC742" s="314"/>
      <c r="CD742" s="314"/>
    </row>
    <row r="743" ht="28.5" customHeight="1">
      <c r="A743" s="767"/>
      <c r="B743" s="768"/>
      <c r="C743" s="768"/>
      <c r="D743" s="769"/>
      <c r="E743" s="769"/>
      <c r="F743" s="769"/>
      <c r="G743" s="336"/>
      <c r="H743" s="771"/>
      <c r="I743" s="769"/>
      <c r="J743" s="769"/>
      <c r="K743" s="314"/>
      <c r="L743" s="314"/>
      <c r="M743" s="314"/>
      <c r="N743" s="769"/>
      <c r="O743" s="769"/>
      <c r="P743" s="773"/>
      <c r="Q743" s="774"/>
      <c r="R743" s="774"/>
      <c r="S743" s="775"/>
      <c r="AH743" s="776"/>
      <c r="AI743" s="776"/>
      <c r="AJ743" s="732"/>
      <c r="AK743" s="732"/>
      <c r="AL743" s="776"/>
      <c r="AM743" s="776"/>
      <c r="AN743" s="17"/>
      <c r="AO743" s="17"/>
      <c r="AP743" s="17"/>
      <c r="AQ743" s="17"/>
      <c r="AR743" s="17"/>
      <c r="AS743" s="17"/>
      <c r="AT743" s="17"/>
      <c r="AU743" s="732"/>
      <c r="AV743" s="313"/>
      <c r="AW743" s="313"/>
      <c r="AX743" s="313"/>
      <c r="AY743" s="313"/>
      <c r="AZ743" s="313"/>
      <c r="BA743" s="313"/>
      <c r="BB743" s="313"/>
      <c r="BC743" s="313"/>
      <c r="BD743" s="313"/>
      <c r="BE743" s="314"/>
      <c r="BW743" s="314"/>
      <c r="BX743" s="314"/>
      <c r="BY743" s="314"/>
      <c r="BZ743" s="314"/>
      <c r="CA743" s="314"/>
      <c r="CB743" s="314"/>
      <c r="CC743" s="314"/>
      <c r="CD743" s="314"/>
    </row>
    <row r="744" ht="28.5" customHeight="1">
      <c r="A744" s="767"/>
      <c r="B744" s="768"/>
      <c r="C744" s="768"/>
      <c r="D744" s="769"/>
      <c r="E744" s="769"/>
      <c r="F744" s="769"/>
      <c r="G744" s="336"/>
      <c r="H744" s="771"/>
      <c r="I744" s="769"/>
      <c r="J744" s="769"/>
      <c r="K744" s="314"/>
      <c r="L744" s="314"/>
      <c r="M744" s="314"/>
      <c r="N744" s="769"/>
      <c r="O744" s="769"/>
      <c r="P744" s="773"/>
      <c r="Q744" s="774"/>
      <c r="R744" s="774"/>
      <c r="S744" s="775"/>
      <c r="AH744" s="776"/>
      <c r="AI744" s="776"/>
      <c r="AJ744" s="732"/>
      <c r="AK744" s="732"/>
      <c r="AL744" s="776"/>
      <c r="AM744" s="776"/>
      <c r="AN744" s="17"/>
      <c r="AO744" s="17"/>
      <c r="AP744" s="17"/>
      <c r="AQ744" s="17"/>
      <c r="AR744" s="17"/>
      <c r="AS744" s="17"/>
      <c r="AT744" s="17"/>
      <c r="AU744" s="732"/>
      <c r="AV744" s="313"/>
      <c r="AW744" s="313"/>
      <c r="AX744" s="313"/>
      <c r="AY744" s="313"/>
      <c r="AZ744" s="313"/>
      <c r="BA744" s="313"/>
      <c r="BB744" s="313"/>
      <c r="BC744" s="313"/>
      <c r="BD744" s="313"/>
      <c r="BE744" s="314"/>
      <c r="BW744" s="314"/>
      <c r="BX744" s="314"/>
      <c r="BY744" s="314"/>
      <c r="BZ744" s="314"/>
      <c r="CA744" s="314"/>
      <c r="CB744" s="314"/>
      <c r="CC744" s="314"/>
      <c r="CD744" s="314"/>
    </row>
    <row r="745" ht="28.5" customHeight="1">
      <c r="A745" s="767"/>
      <c r="B745" s="768"/>
      <c r="C745" s="768"/>
      <c r="D745" s="769"/>
      <c r="E745" s="769"/>
      <c r="F745" s="769"/>
      <c r="G745" s="336"/>
      <c r="H745" s="771"/>
      <c r="I745" s="769"/>
      <c r="J745" s="769"/>
      <c r="K745" s="314"/>
      <c r="L745" s="314"/>
      <c r="M745" s="314"/>
      <c r="N745" s="769"/>
      <c r="O745" s="769"/>
      <c r="P745" s="773"/>
      <c r="Q745" s="774"/>
      <c r="R745" s="774"/>
      <c r="S745" s="775"/>
      <c r="AH745" s="776"/>
      <c r="AI745" s="776"/>
      <c r="AJ745" s="732"/>
      <c r="AK745" s="732"/>
      <c r="AL745" s="776"/>
      <c r="AM745" s="776"/>
      <c r="AN745" s="17"/>
      <c r="AO745" s="17"/>
      <c r="AP745" s="17"/>
      <c r="AQ745" s="17"/>
      <c r="AR745" s="17"/>
      <c r="AS745" s="17"/>
      <c r="AT745" s="17"/>
      <c r="AU745" s="732"/>
      <c r="AV745" s="313"/>
      <c r="AW745" s="313"/>
      <c r="AX745" s="313"/>
      <c r="AY745" s="313"/>
      <c r="AZ745" s="313"/>
      <c r="BA745" s="313"/>
      <c r="BB745" s="313"/>
      <c r="BC745" s="313"/>
      <c r="BD745" s="313"/>
      <c r="BE745" s="314"/>
      <c r="BW745" s="314"/>
      <c r="BX745" s="314"/>
      <c r="BY745" s="314"/>
      <c r="BZ745" s="314"/>
      <c r="CA745" s="314"/>
      <c r="CB745" s="314"/>
      <c r="CC745" s="314"/>
      <c r="CD745" s="314"/>
    </row>
    <row r="746" ht="28.5" customHeight="1">
      <c r="A746" s="767"/>
      <c r="B746" s="768"/>
      <c r="C746" s="768"/>
      <c r="D746" s="769"/>
      <c r="E746" s="769"/>
      <c r="F746" s="769"/>
      <c r="G746" s="336"/>
      <c r="H746" s="771"/>
      <c r="I746" s="769"/>
      <c r="J746" s="769"/>
      <c r="K746" s="314"/>
      <c r="L746" s="314"/>
      <c r="M746" s="314"/>
      <c r="N746" s="769"/>
      <c r="O746" s="769"/>
      <c r="P746" s="773"/>
      <c r="Q746" s="774"/>
      <c r="R746" s="774"/>
      <c r="S746" s="775"/>
      <c r="AH746" s="776"/>
      <c r="AI746" s="776"/>
      <c r="AJ746" s="732"/>
      <c r="AK746" s="732"/>
      <c r="AL746" s="776"/>
      <c r="AM746" s="776"/>
      <c r="AN746" s="17"/>
      <c r="AO746" s="17"/>
      <c r="AP746" s="17"/>
      <c r="AQ746" s="17"/>
      <c r="AR746" s="17"/>
      <c r="AS746" s="17"/>
      <c r="AT746" s="17"/>
      <c r="AU746" s="732"/>
      <c r="AV746" s="313"/>
      <c r="AW746" s="313"/>
      <c r="AX746" s="313"/>
      <c r="AY746" s="313"/>
      <c r="AZ746" s="313"/>
      <c r="BA746" s="313"/>
      <c r="BB746" s="313"/>
      <c r="BC746" s="313"/>
      <c r="BD746" s="313"/>
      <c r="BE746" s="314"/>
      <c r="BW746" s="314"/>
      <c r="BX746" s="314"/>
      <c r="BY746" s="314"/>
      <c r="BZ746" s="314"/>
      <c r="CA746" s="314"/>
      <c r="CB746" s="314"/>
      <c r="CC746" s="314"/>
      <c r="CD746" s="314"/>
    </row>
    <row r="747" ht="28.5" customHeight="1">
      <c r="A747" s="767"/>
      <c r="B747" s="768"/>
      <c r="C747" s="768"/>
      <c r="D747" s="769"/>
      <c r="E747" s="769"/>
      <c r="F747" s="769"/>
      <c r="G747" s="336"/>
      <c r="H747" s="771"/>
      <c r="I747" s="769"/>
      <c r="J747" s="769"/>
      <c r="K747" s="314"/>
      <c r="L747" s="314"/>
      <c r="M747" s="314"/>
      <c r="N747" s="769"/>
      <c r="O747" s="769"/>
      <c r="P747" s="773"/>
      <c r="Q747" s="774"/>
      <c r="R747" s="774"/>
      <c r="S747" s="775"/>
      <c r="AH747" s="776"/>
      <c r="AI747" s="776"/>
      <c r="AJ747" s="732"/>
      <c r="AK747" s="732"/>
      <c r="AL747" s="776"/>
      <c r="AM747" s="776"/>
      <c r="AN747" s="17"/>
      <c r="AO747" s="17"/>
      <c r="AP747" s="17"/>
      <c r="AQ747" s="17"/>
      <c r="AR747" s="17"/>
      <c r="AS747" s="17"/>
      <c r="AT747" s="17"/>
      <c r="AU747" s="732"/>
      <c r="AV747" s="313"/>
      <c r="AW747" s="313"/>
      <c r="AX747" s="313"/>
      <c r="AY747" s="313"/>
      <c r="AZ747" s="313"/>
      <c r="BA747" s="313"/>
      <c r="BB747" s="313"/>
      <c r="BC747" s="313"/>
      <c r="BD747" s="313"/>
      <c r="BE747" s="314"/>
      <c r="BW747" s="314"/>
      <c r="BX747" s="314"/>
      <c r="BY747" s="314"/>
      <c r="BZ747" s="314"/>
      <c r="CA747" s="314"/>
      <c r="CB747" s="314"/>
      <c r="CC747" s="314"/>
      <c r="CD747" s="314"/>
    </row>
    <row r="748" ht="28.5" customHeight="1">
      <c r="A748" s="767"/>
      <c r="B748" s="768"/>
      <c r="C748" s="768"/>
      <c r="D748" s="769"/>
      <c r="E748" s="769"/>
      <c r="F748" s="769"/>
      <c r="G748" s="336"/>
      <c r="H748" s="771"/>
      <c r="I748" s="769"/>
      <c r="J748" s="769"/>
      <c r="K748" s="314"/>
      <c r="L748" s="314"/>
      <c r="M748" s="314"/>
      <c r="N748" s="769"/>
      <c r="O748" s="769"/>
      <c r="P748" s="773"/>
      <c r="Q748" s="774"/>
      <c r="R748" s="774"/>
      <c r="S748" s="775"/>
      <c r="AH748" s="776"/>
      <c r="AI748" s="776"/>
      <c r="AJ748" s="732"/>
      <c r="AK748" s="732"/>
      <c r="AL748" s="776"/>
      <c r="AM748" s="776"/>
      <c r="AN748" s="17"/>
      <c r="AO748" s="17"/>
      <c r="AP748" s="17"/>
      <c r="AQ748" s="17"/>
      <c r="AR748" s="17"/>
      <c r="AS748" s="17"/>
      <c r="AT748" s="17"/>
      <c r="AU748" s="732"/>
      <c r="AV748" s="313"/>
      <c r="AW748" s="313"/>
      <c r="AX748" s="313"/>
      <c r="AY748" s="313"/>
      <c r="AZ748" s="313"/>
      <c r="BA748" s="313"/>
      <c r="BB748" s="313"/>
      <c r="BC748" s="313"/>
      <c r="BD748" s="313"/>
      <c r="BE748" s="314"/>
      <c r="BW748" s="314"/>
      <c r="BX748" s="314"/>
      <c r="BY748" s="314"/>
      <c r="BZ748" s="314"/>
      <c r="CA748" s="314"/>
      <c r="CB748" s="314"/>
      <c r="CC748" s="314"/>
      <c r="CD748" s="314"/>
    </row>
    <row r="749" ht="28.5" customHeight="1">
      <c r="A749" s="767"/>
      <c r="B749" s="768"/>
      <c r="C749" s="768"/>
      <c r="D749" s="769"/>
      <c r="E749" s="769"/>
      <c r="F749" s="769"/>
      <c r="G749" s="336"/>
      <c r="H749" s="771"/>
      <c r="I749" s="769"/>
      <c r="J749" s="769"/>
      <c r="K749" s="314"/>
      <c r="L749" s="314"/>
      <c r="M749" s="314"/>
      <c r="N749" s="769"/>
      <c r="O749" s="769"/>
      <c r="P749" s="773"/>
      <c r="Q749" s="774"/>
      <c r="R749" s="774"/>
      <c r="S749" s="775"/>
      <c r="AH749" s="776"/>
      <c r="AI749" s="776"/>
      <c r="AJ749" s="732"/>
      <c r="AK749" s="732"/>
      <c r="AL749" s="776"/>
      <c r="AM749" s="776"/>
      <c r="AN749" s="17"/>
      <c r="AO749" s="17"/>
      <c r="AP749" s="17"/>
      <c r="AQ749" s="17"/>
      <c r="AR749" s="17"/>
      <c r="AS749" s="17"/>
      <c r="AT749" s="17"/>
      <c r="AU749" s="732"/>
      <c r="AV749" s="313"/>
      <c r="AW749" s="313"/>
      <c r="AX749" s="313"/>
      <c r="AY749" s="313"/>
      <c r="AZ749" s="313"/>
      <c r="BA749" s="313"/>
      <c r="BB749" s="313"/>
      <c r="BC749" s="313"/>
      <c r="BD749" s="313"/>
      <c r="BE749" s="314"/>
      <c r="BW749" s="314"/>
      <c r="BX749" s="314"/>
      <c r="BY749" s="314"/>
      <c r="BZ749" s="314"/>
      <c r="CA749" s="314"/>
      <c r="CB749" s="314"/>
      <c r="CC749" s="314"/>
      <c r="CD749" s="314"/>
    </row>
    <row r="750" ht="28.5" customHeight="1">
      <c r="A750" s="767"/>
      <c r="B750" s="768"/>
      <c r="C750" s="768"/>
      <c r="D750" s="769"/>
      <c r="E750" s="769"/>
      <c r="F750" s="769"/>
      <c r="G750" s="336"/>
      <c r="H750" s="771"/>
      <c r="I750" s="769"/>
      <c r="J750" s="769"/>
      <c r="K750" s="314"/>
      <c r="L750" s="314"/>
      <c r="M750" s="314"/>
      <c r="N750" s="769"/>
      <c r="O750" s="769"/>
      <c r="P750" s="773"/>
      <c r="Q750" s="774"/>
      <c r="R750" s="774"/>
      <c r="S750" s="775"/>
      <c r="AH750" s="776"/>
      <c r="AI750" s="776"/>
      <c r="AJ750" s="732"/>
      <c r="AK750" s="732"/>
      <c r="AL750" s="776"/>
      <c r="AM750" s="776"/>
      <c r="AN750" s="17"/>
      <c r="AO750" s="17"/>
      <c r="AP750" s="17"/>
      <c r="AQ750" s="17"/>
      <c r="AR750" s="17"/>
      <c r="AS750" s="17"/>
      <c r="AT750" s="17"/>
      <c r="AU750" s="732"/>
      <c r="AV750" s="313"/>
      <c r="AW750" s="313"/>
      <c r="AX750" s="313"/>
      <c r="AY750" s="313"/>
      <c r="AZ750" s="313"/>
      <c r="BA750" s="313"/>
      <c r="BB750" s="313"/>
      <c r="BC750" s="313"/>
      <c r="BD750" s="313"/>
      <c r="BE750" s="314"/>
      <c r="BW750" s="314"/>
      <c r="BX750" s="314"/>
      <c r="BY750" s="314"/>
      <c r="BZ750" s="314"/>
      <c r="CA750" s="314"/>
      <c r="CB750" s="314"/>
      <c r="CC750" s="314"/>
      <c r="CD750" s="314"/>
    </row>
    <row r="751" ht="28.5" customHeight="1">
      <c r="A751" s="767"/>
      <c r="B751" s="768"/>
      <c r="C751" s="768"/>
      <c r="D751" s="769"/>
      <c r="E751" s="769"/>
      <c r="F751" s="769"/>
      <c r="G751" s="336"/>
      <c r="H751" s="771"/>
      <c r="I751" s="769"/>
      <c r="J751" s="769"/>
      <c r="K751" s="314"/>
      <c r="L751" s="314"/>
      <c r="M751" s="314"/>
      <c r="N751" s="769"/>
      <c r="O751" s="769"/>
      <c r="P751" s="773"/>
      <c r="Q751" s="774"/>
      <c r="R751" s="774"/>
      <c r="S751" s="775"/>
      <c r="AH751" s="776"/>
      <c r="AI751" s="776"/>
      <c r="AJ751" s="732"/>
      <c r="AK751" s="732"/>
      <c r="AL751" s="776"/>
      <c r="AM751" s="776"/>
      <c r="AN751" s="17"/>
      <c r="AO751" s="17"/>
      <c r="AP751" s="17"/>
      <c r="AQ751" s="17"/>
      <c r="AR751" s="17"/>
      <c r="AS751" s="17"/>
      <c r="AT751" s="17"/>
      <c r="AU751" s="732"/>
      <c r="AV751" s="313"/>
      <c r="AW751" s="313"/>
      <c r="AX751" s="313"/>
      <c r="AY751" s="313"/>
      <c r="AZ751" s="313"/>
      <c r="BA751" s="313"/>
      <c r="BB751" s="313"/>
      <c r="BC751" s="313"/>
      <c r="BD751" s="313"/>
      <c r="BE751" s="314"/>
      <c r="BW751" s="314"/>
      <c r="BX751" s="314"/>
      <c r="BY751" s="314"/>
      <c r="BZ751" s="314"/>
      <c r="CA751" s="314"/>
      <c r="CB751" s="314"/>
      <c r="CC751" s="314"/>
      <c r="CD751" s="314"/>
    </row>
    <row r="752" ht="28.5" customHeight="1">
      <c r="A752" s="767"/>
      <c r="B752" s="768"/>
      <c r="C752" s="768"/>
      <c r="D752" s="769"/>
      <c r="E752" s="769"/>
      <c r="F752" s="769"/>
      <c r="G752" s="336"/>
      <c r="H752" s="771"/>
      <c r="I752" s="769"/>
      <c r="J752" s="769"/>
      <c r="K752" s="314"/>
      <c r="L752" s="314"/>
      <c r="M752" s="314"/>
      <c r="N752" s="769"/>
      <c r="O752" s="769"/>
      <c r="P752" s="773"/>
      <c r="Q752" s="774"/>
      <c r="R752" s="774"/>
      <c r="S752" s="775"/>
      <c r="AH752" s="776"/>
      <c r="AI752" s="776"/>
      <c r="AJ752" s="732"/>
      <c r="AK752" s="732"/>
      <c r="AL752" s="776"/>
      <c r="AM752" s="776"/>
      <c r="AN752" s="17"/>
      <c r="AO752" s="17"/>
      <c r="AP752" s="17"/>
      <c r="AQ752" s="17"/>
      <c r="AR752" s="17"/>
      <c r="AS752" s="17"/>
      <c r="AT752" s="17"/>
      <c r="AU752" s="732"/>
      <c r="AV752" s="313"/>
      <c r="AW752" s="313"/>
      <c r="AX752" s="313"/>
      <c r="AY752" s="313"/>
      <c r="AZ752" s="313"/>
      <c r="BA752" s="313"/>
      <c r="BB752" s="313"/>
      <c r="BC752" s="313"/>
      <c r="BD752" s="313"/>
      <c r="BE752" s="314"/>
      <c r="BW752" s="314"/>
      <c r="BX752" s="314"/>
      <c r="BY752" s="314"/>
      <c r="BZ752" s="314"/>
      <c r="CA752" s="314"/>
      <c r="CB752" s="314"/>
      <c r="CC752" s="314"/>
      <c r="CD752" s="314"/>
    </row>
    <row r="753" ht="28.5" customHeight="1">
      <c r="A753" s="767"/>
      <c r="B753" s="768"/>
      <c r="C753" s="768"/>
      <c r="D753" s="769"/>
      <c r="E753" s="769"/>
      <c r="F753" s="769"/>
      <c r="G753" s="336"/>
      <c r="H753" s="771"/>
      <c r="I753" s="769"/>
      <c r="J753" s="769"/>
      <c r="K753" s="314"/>
      <c r="L753" s="314"/>
      <c r="M753" s="314"/>
      <c r="N753" s="769"/>
      <c r="O753" s="769"/>
      <c r="P753" s="773"/>
      <c r="Q753" s="774"/>
      <c r="R753" s="774"/>
      <c r="S753" s="775"/>
      <c r="AH753" s="776"/>
      <c r="AI753" s="776"/>
      <c r="AJ753" s="732"/>
      <c r="AK753" s="732"/>
      <c r="AL753" s="776"/>
      <c r="AM753" s="776"/>
      <c r="AN753" s="17"/>
      <c r="AO753" s="17"/>
      <c r="AP753" s="17"/>
      <c r="AQ753" s="17"/>
      <c r="AR753" s="17"/>
      <c r="AS753" s="17"/>
      <c r="AT753" s="17"/>
      <c r="AU753" s="732"/>
      <c r="AV753" s="313"/>
      <c r="AW753" s="313"/>
      <c r="AX753" s="313"/>
      <c r="AY753" s="313"/>
      <c r="AZ753" s="313"/>
      <c r="BA753" s="313"/>
      <c r="BB753" s="313"/>
      <c r="BC753" s="313"/>
      <c r="BD753" s="313"/>
      <c r="BE753" s="314"/>
      <c r="BW753" s="314"/>
      <c r="BX753" s="314"/>
      <c r="BY753" s="314"/>
      <c r="BZ753" s="314"/>
      <c r="CA753" s="314"/>
      <c r="CB753" s="314"/>
      <c r="CC753" s="314"/>
      <c r="CD753" s="314"/>
    </row>
    <row r="754" ht="28.5" customHeight="1">
      <c r="A754" s="767"/>
      <c r="B754" s="768"/>
      <c r="C754" s="768"/>
      <c r="D754" s="769"/>
      <c r="E754" s="769"/>
      <c r="F754" s="769"/>
      <c r="G754" s="336"/>
      <c r="H754" s="771"/>
      <c r="I754" s="769"/>
      <c r="J754" s="769"/>
      <c r="K754" s="314"/>
      <c r="L754" s="314"/>
      <c r="M754" s="314"/>
      <c r="N754" s="769"/>
      <c r="O754" s="769"/>
      <c r="P754" s="773"/>
      <c r="Q754" s="774"/>
      <c r="R754" s="774"/>
      <c r="S754" s="775"/>
      <c r="AH754" s="776"/>
      <c r="AI754" s="776"/>
      <c r="AJ754" s="732"/>
      <c r="AK754" s="732"/>
      <c r="AL754" s="776"/>
      <c r="AM754" s="776"/>
      <c r="AN754" s="17"/>
      <c r="AO754" s="17"/>
      <c r="AP754" s="17"/>
      <c r="AQ754" s="17"/>
      <c r="AR754" s="17"/>
      <c r="AS754" s="17"/>
      <c r="AT754" s="17"/>
      <c r="AU754" s="732"/>
      <c r="AV754" s="313"/>
      <c r="AW754" s="313"/>
      <c r="AX754" s="313"/>
      <c r="AY754" s="313"/>
      <c r="AZ754" s="313"/>
      <c r="BA754" s="313"/>
      <c r="BB754" s="313"/>
      <c r="BC754" s="313"/>
      <c r="BD754" s="313"/>
      <c r="BE754" s="314"/>
      <c r="BW754" s="314"/>
      <c r="BX754" s="314"/>
      <c r="BY754" s="314"/>
      <c r="BZ754" s="314"/>
      <c r="CA754" s="314"/>
      <c r="CB754" s="314"/>
      <c r="CC754" s="314"/>
      <c r="CD754" s="314"/>
    </row>
    <row r="755" ht="28.5" customHeight="1">
      <c r="A755" s="767"/>
      <c r="B755" s="768"/>
      <c r="C755" s="768"/>
      <c r="D755" s="769"/>
      <c r="E755" s="769"/>
      <c r="F755" s="769"/>
      <c r="G755" s="336"/>
      <c r="H755" s="771"/>
      <c r="I755" s="769"/>
      <c r="J755" s="769"/>
      <c r="K755" s="314"/>
      <c r="L755" s="314"/>
      <c r="M755" s="314"/>
      <c r="N755" s="769"/>
      <c r="O755" s="769"/>
      <c r="P755" s="773"/>
      <c r="Q755" s="774"/>
      <c r="R755" s="774"/>
      <c r="S755" s="775"/>
      <c r="AH755" s="776"/>
      <c r="AI755" s="776"/>
      <c r="AJ755" s="732"/>
      <c r="AK755" s="732"/>
      <c r="AL755" s="776"/>
      <c r="AM755" s="776"/>
      <c r="AN755" s="17"/>
      <c r="AO755" s="17"/>
      <c r="AP755" s="17"/>
      <c r="AQ755" s="17"/>
      <c r="AR755" s="17"/>
      <c r="AS755" s="17"/>
      <c r="AT755" s="17"/>
      <c r="AU755" s="732"/>
      <c r="AV755" s="313"/>
      <c r="AW755" s="313"/>
      <c r="AX755" s="313"/>
      <c r="AY755" s="313"/>
      <c r="AZ755" s="313"/>
      <c r="BA755" s="313"/>
      <c r="BB755" s="313"/>
      <c r="BC755" s="313"/>
      <c r="BD755" s="313"/>
      <c r="BE755" s="314"/>
      <c r="BW755" s="314"/>
      <c r="BX755" s="314"/>
      <c r="BY755" s="314"/>
      <c r="BZ755" s="314"/>
      <c r="CA755" s="314"/>
      <c r="CB755" s="314"/>
      <c r="CC755" s="314"/>
      <c r="CD755" s="314"/>
    </row>
    <row r="756" ht="28.5" customHeight="1">
      <c r="A756" s="767"/>
      <c r="B756" s="768"/>
      <c r="C756" s="768"/>
      <c r="D756" s="769"/>
      <c r="E756" s="769"/>
      <c r="F756" s="769"/>
      <c r="G756" s="336"/>
      <c r="H756" s="771"/>
      <c r="I756" s="769"/>
      <c r="J756" s="769"/>
      <c r="K756" s="314"/>
      <c r="L756" s="314"/>
      <c r="M756" s="314"/>
      <c r="N756" s="769"/>
      <c r="O756" s="769"/>
      <c r="P756" s="773"/>
      <c r="Q756" s="774"/>
      <c r="R756" s="774"/>
      <c r="S756" s="775"/>
      <c r="AH756" s="776"/>
      <c r="AI756" s="776"/>
      <c r="AJ756" s="732"/>
      <c r="AK756" s="732"/>
      <c r="AL756" s="776"/>
      <c r="AM756" s="776"/>
      <c r="AN756" s="17"/>
      <c r="AO756" s="17"/>
      <c r="AP756" s="17"/>
      <c r="AQ756" s="17"/>
      <c r="AR756" s="17"/>
      <c r="AS756" s="17"/>
      <c r="AT756" s="17"/>
      <c r="AU756" s="732"/>
      <c r="AV756" s="313"/>
      <c r="AW756" s="313"/>
      <c r="AX756" s="313"/>
      <c r="AY756" s="313"/>
      <c r="AZ756" s="313"/>
      <c r="BA756" s="313"/>
      <c r="BB756" s="313"/>
      <c r="BC756" s="313"/>
      <c r="BD756" s="313"/>
      <c r="BE756" s="314"/>
      <c r="BW756" s="314"/>
      <c r="BX756" s="314"/>
      <c r="BY756" s="314"/>
      <c r="BZ756" s="314"/>
      <c r="CA756" s="314"/>
      <c r="CB756" s="314"/>
      <c r="CC756" s="314"/>
      <c r="CD756" s="314"/>
    </row>
    <row r="757" ht="28.5" customHeight="1">
      <c r="A757" s="767"/>
      <c r="B757" s="768"/>
      <c r="C757" s="768"/>
      <c r="D757" s="769"/>
      <c r="E757" s="769"/>
      <c r="F757" s="769"/>
      <c r="G757" s="336"/>
      <c r="H757" s="771"/>
      <c r="I757" s="769"/>
      <c r="J757" s="769"/>
      <c r="K757" s="314"/>
      <c r="L757" s="314"/>
      <c r="M757" s="314"/>
      <c r="N757" s="769"/>
      <c r="O757" s="769"/>
      <c r="P757" s="773"/>
      <c r="Q757" s="774"/>
      <c r="R757" s="774"/>
      <c r="S757" s="775"/>
      <c r="AH757" s="776"/>
      <c r="AI757" s="776"/>
      <c r="AJ757" s="732"/>
      <c r="AK757" s="732"/>
      <c r="AL757" s="776"/>
      <c r="AM757" s="776"/>
      <c r="AN757" s="17"/>
      <c r="AO757" s="17"/>
      <c r="AP757" s="17"/>
      <c r="AQ757" s="17"/>
      <c r="AR757" s="17"/>
      <c r="AS757" s="17"/>
      <c r="AT757" s="17"/>
      <c r="AU757" s="732"/>
      <c r="AV757" s="313"/>
      <c r="AW757" s="313"/>
      <c r="AX757" s="313"/>
      <c r="AY757" s="313"/>
      <c r="AZ757" s="313"/>
      <c r="BA757" s="313"/>
      <c r="BB757" s="313"/>
      <c r="BC757" s="313"/>
      <c r="BD757" s="313"/>
      <c r="BE757" s="314"/>
      <c r="BW757" s="314"/>
      <c r="BX757" s="314"/>
      <c r="BY757" s="314"/>
      <c r="BZ757" s="314"/>
      <c r="CA757" s="314"/>
      <c r="CB757" s="314"/>
      <c r="CC757" s="314"/>
      <c r="CD757" s="314"/>
    </row>
    <row r="758" ht="28.5" customHeight="1">
      <c r="A758" s="767"/>
      <c r="B758" s="768"/>
      <c r="C758" s="768"/>
      <c r="D758" s="769"/>
      <c r="E758" s="769"/>
      <c r="F758" s="769"/>
      <c r="G758" s="336"/>
      <c r="H758" s="771"/>
      <c r="I758" s="769"/>
      <c r="J758" s="769"/>
      <c r="K758" s="314"/>
      <c r="L758" s="314"/>
      <c r="M758" s="314"/>
      <c r="N758" s="769"/>
      <c r="O758" s="769"/>
      <c r="P758" s="773"/>
      <c r="Q758" s="774"/>
      <c r="R758" s="774"/>
      <c r="S758" s="775"/>
      <c r="AH758" s="776"/>
      <c r="AI758" s="776"/>
      <c r="AJ758" s="732"/>
      <c r="AK758" s="732"/>
      <c r="AL758" s="776"/>
      <c r="AM758" s="776"/>
      <c r="AN758" s="17"/>
      <c r="AO758" s="17"/>
      <c r="AP758" s="17"/>
      <c r="AQ758" s="17"/>
      <c r="AR758" s="17"/>
      <c r="AS758" s="17"/>
      <c r="AT758" s="17"/>
      <c r="AU758" s="732"/>
      <c r="AV758" s="313"/>
      <c r="AW758" s="313"/>
      <c r="AX758" s="313"/>
      <c r="AY758" s="313"/>
      <c r="AZ758" s="313"/>
      <c r="BA758" s="313"/>
      <c r="BB758" s="313"/>
      <c r="BC758" s="313"/>
      <c r="BD758" s="313"/>
      <c r="BE758" s="314"/>
      <c r="BW758" s="314"/>
      <c r="BX758" s="314"/>
      <c r="BY758" s="314"/>
      <c r="BZ758" s="314"/>
      <c r="CA758" s="314"/>
      <c r="CB758" s="314"/>
      <c r="CC758" s="314"/>
      <c r="CD758" s="314"/>
    </row>
    <row r="759" ht="28.5" customHeight="1">
      <c r="A759" s="767"/>
      <c r="B759" s="768"/>
      <c r="C759" s="768"/>
      <c r="D759" s="769"/>
      <c r="E759" s="769"/>
      <c r="F759" s="769"/>
      <c r="G759" s="336"/>
      <c r="H759" s="771"/>
      <c r="I759" s="769"/>
      <c r="J759" s="769"/>
      <c r="K759" s="314"/>
      <c r="L759" s="314"/>
      <c r="M759" s="314"/>
      <c r="N759" s="769"/>
      <c r="O759" s="769"/>
      <c r="P759" s="773"/>
      <c r="Q759" s="774"/>
      <c r="R759" s="774"/>
      <c r="S759" s="775"/>
      <c r="AH759" s="776"/>
      <c r="AI759" s="776"/>
      <c r="AJ759" s="732"/>
      <c r="AK759" s="732"/>
      <c r="AL759" s="776"/>
      <c r="AM759" s="776"/>
      <c r="AN759" s="17"/>
      <c r="AO759" s="17"/>
      <c r="AP759" s="17"/>
      <c r="AQ759" s="17"/>
      <c r="AR759" s="17"/>
      <c r="AS759" s="17"/>
      <c r="AT759" s="17"/>
      <c r="AU759" s="732"/>
      <c r="AV759" s="313"/>
      <c r="AW759" s="313"/>
      <c r="AX759" s="313"/>
      <c r="AY759" s="313"/>
      <c r="AZ759" s="313"/>
      <c r="BA759" s="313"/>
      <c r="BB759" s="313"/>
      <c r="BC759" s="313"/>
      <c r="BD759" s="313"/>
      <c r="BE759" s="314"/>
      <c r="BW759" s="314"/>
      <c r="BX759" s="314"/>
      <c r="BY759" s="314"/>
      <c r="BZ759" s="314"/>
      <c r="CA759" s="314"/>
      <c r="CB759" s="314"/>
      <c r="CC759" s="314"/>
      <c r="CD759" s="314"/>
    </row>
    <row r="760" ht="28.5" customHeight="1">
      <c r="A760" s="767"/>
      <c r="B760" s="768"/>
      <c r="C760" s="768"/>
      <c r="D760" s="769"/>
      <c r="E760" s="769"/>
      <c r="F760" s="769"/>
      <c r="G760" s="336"/>
      <c r="H760" s="771"/>
      <c r="I760" s="769"/>
      <c r="J760" s="769"/>
      <c r="K760" s="314"/>
      <c r="L760" s="314"/>
      <c r="M760" s="314"/>
      <c r="N760" s="769"/>
      <c r="O760" s="769"/>
      <c r="P760" s="773"/>
      <c r="Q760" s="774"/>
      <c r="R760" s="774"/>
      <c r="S760" s="775"/>
      <c r="AH760" s="776"/>
      <c r="AI760" s="776"/>
      <c r="AJ760" s="732"/>
      <c r="AK760" s="732"/>
      <c r="AL760" s="776"/>
      <c r="AM760" s="776"/>
      <c r="AN760" s="17"/>
      <c r="AO760" s="17"/>
      <c r="AP760" s="17"/>
      <c r="AQ760" s="17"/>
      <c r="AR760" s="17"/>
      <c r="AS760" s="17"/>
      <c r="AT760" s="17"/>
      <c r="AU760" s="732"/>
      <c r="AV760" s="313"/>
      <c r="AW760" s="313"/>
      <c r="AX760" s="313"/>
      <c r="AY760" s="313"/>
      <c r="AZ760" s="313"/>
      <c r="BA760" s="313"/>
      <c r="BB760" s="313"/>
      <c r="BC760" s="313"/>
      <c r="BD760" s="313"/>
      <c r="BE760" s="314"/>
      <c r="BW760" s="314"/>
      <c r="BX760" s="314"/>
      <c r="BY760" s="314"/>
      <c r="BZ760" s="314"/>
      <c r="CA760" s="314"/>
      <c r="CB760" s="314"/>
      <c r="CC760" s="314"/>
      <c r="CD760" s="314"/>
    </row>
    <row r="761" ht="28.5" customHeight="1">
      <c r="A761" s="767"/>
      <c r="B761" s="768"/>
      <c r="C761" s="768"/>
      <c r="D761" s="769"/>
      <c r="E761" s="769"/>
      <c r="F761" s="769"/>
      <c r="G761" s="336"/>
      <c r="H761" s="771"/>
      <c r="I761" s="769"/>
      <c r="J761" s="769"/>
      <c r="K761" s="314"/>
      <c r="L761" s="314"/>
      <c r="M761" s="314"/>
      <c r="N761" s="769"/>
      <c r="O761" s="769"/>
      <c r="P761" s="773"/>
      <c r="Q761" s="774"/>
      <c r="R761" s="774"/>
      <c r="S761" s="775"/>
      <c r="AH761" s="776"/>
      <c r="AI761" s="776"/>
      <c r="AJ761" s="732"/>
      <c r="AK761" s="732"/>
      <c r="AL761" s="776"/>
      <c r="AM761" s="776"/>
      <c r="AN761" s="17"/>
      <c r="AO761" s="17"/>
      <c r="AP761" s="17"/>
      <c r="AQ761" s="17"/>
      <c r="AR761" s="17"/>
      <c r="AS761" s="17"/>
      <c r="AT761" s="17"/>
      <c r="AU761" s="732"/>
      <c r="AV761" s="313"/>
      <c r="AW761" s="313"/>
      <c r="AX761" s="313"/>
      <c r="AY761" s="313"/>
      <c r="AZ761" s="313"/>
      <c r="BA761" s="313"/>
      <c r="BB761" s="313"/>
      <c r="BC761" s="313"/>
      <c r="BD761" s="313"/>
      <c r="BE761" s="314"/>
      <c r="BW761" s="314"/>
      <c r="BX761" s="314"/>
      <c r="BY761" s="314"/>
      <c r="BZ761" s="314"/>
      <c r="CA761" s="314"/>
      <c r="CB761" s="314"/>
      <c r="CC761" s="314"/>
      <c r="CD761" s="314"/>
    </row>
    <row r="762" ht="28.5" customHeight="1">
      <c r="A762" s="767"/>
      <c r="B762" s="768"/>
      <c r="C762" s="768"/>
      <c r="D762" s="769"/>
      <c r="E762" s="769"/>
      <c r="F762" s="769"/>
      <c r="G762" s="336"/>
      <c r="H762" s="771"/>
      <c r="I762" s="769"/>
      <c r="J762" s="769"/>
      <c r="K762" s="314"/>
      <c r="L762" s="314"/>
      <c r="M762" s="314"/>
      <c r="N762" s="769"/>
      <c r="O762" s="769"/>
      <c r="P762" s="773"/>
      <c r="Q762" s="774"/>
      <c r="R762" s="774"/>
      <c r="S762" s="775"/>
      <c r="AH762" s="776"/>
      <c r="AI762" s="776"/>
      <c r="AJ762" s="732"/>
      <c r="AK762" s="732"/>
      <c r="AL762" s="776"/>
      <c r="AM762" s="776"/>
      <c r="AN762" s="17"/>
      <c r="AO762" s="17"/>
      <c r="AP762" s="17"/>
      <c r="AQ762" s="17"/>
      <c r="AR762" s="17"/>
      <c r="AS762" s="17"/>
      <c r="AT762" s="17"/>
      <c r="AU762" s="732"/>
      <c r="AV762" s="313"/>
      <c r="AW762" s="313"/>
      <c r="AX762" s="313"/>
      <c r="AY762" s="313"/>
      <c r="AZ762" s="313"/>
      <c r="BA762" s="313"/>
      <c r="BB762" s="313"/>
      <c r="BC762" s="313"/>
      <c r="BD762" s="313"/>
      <c r="BE762" s="314"/>
      <c r="BW762" s="314"/>
      <c r="BX762" s="314"/>
      <c r="BY762" s="314"/>
      <c r="BZ762" s="314"/>
      <c r="CA762" s="314"/>
      <c r="CB762" s="314"/>
      <c r="CC762" s="314"/>
      <c r="CD762" s="314"/>
    </row>
    <row r="763" ht="28.5" customHeight="1">
      <c r="A763" s="767"/>
      <c r="B763" s="768"/>
      <c r="C763" s="768"/>
      <c r="D763" s="769"/>
      <c r="E763" s="769"/>
      <c r="F763" s="769"/>
      <c r="G763" s="336"/>
      <c r="H763" s="771"/>
      <c r="I763" s="769"/>
      <c r="J763" s="769"/>
      <c r="K763" s="314"/>
      <c r="L763" s="314"/>
      <c r="M763" s="314"/>
      <c r="N763" s="769"/>
      <c r="O763" s="769"/>
      <c r="P763" s="773"/>
      <c r="Q763" s="774"/>
      <c r="R763" s="774"/>
      <c r="S763" s="775"/>
      <c r="AH763" s="776"/>
      <c r="AI763" s="776"/>
      <c r="AJ763" s="732"/>
      <c r="AK763" s="732"/>
      <c r="AL763" s="776"/>
      <c r="AM763" s="776"/>
      <c r="AN763" s="17"/>
      <c r="AO763" s="17"/>
      <c r="AP763" s="17"/>
      <c r="AQ763" s="17"/>
      <c r="AR763" s="17"/>
      <c r="AS763" s="17"/>
      <c r="AT763" s="17"/>
      <c r="AU763" s="732"/>
      <c r="AV763" s="313"/>
      <c r="AW763" s="313"/>
      <c r="AX763" s="313"/>
      <c r="AY763" s="313"/>
      <c r="AZ763" s="313"/>
      <c r="BA763" s="313"/>
      <c r="BB763" s="313"/>
      <c r="BC763" s="313"/>
      <c r="BD763" s="313"/>
      <c r="BE763" s="314"/>
      <c r="BW763" s="314"/>
      <c r="BX763" s="314"/>
      <c r="BY763" s="314"/>
      <c r="BZ763" s="314"/>
      <c r="CA763" s="314"/>
      <c r="CB763" s="314"/>
      <c r="CC763" s="314"/>
      <c r="CD763" s="314"/>
    </row>
    <row r="764" ht="28.5" customHeight="1">
      <c r="A764" s="767"/>
      <c r="B764" s="768"/>
      <c r="C764" s="768"/>
      <c r="D764" s="769"/>
      <c r="E764" s="769"/>
      <c r="F764" s="769"/>
      <c r="G764" s="336"/>
      <c r="H764" s="771"/>
      <c r="I764" s="769"/>
      <c r="J764" s="769"/>
      <c r="K764" s="314"/>
      <c r="L764" s="314"/>
      <c r="M764" s="314"/>
      <c r="N764" s="769"/>
      <c r="O764" s="769"/>
      <c r="P764" s="773"/>
      <c r="Q764" s="774"/>
      <c r="R764" s="774"/>
      <c r="S764" s="775"/>
      <c r="AH764" s="776"/>
      <c r="AI764" s="776"/>
      <c r="AJ764" s="732"/>
      <c r="AK764" s="732"/>
      <c r="AL764" s="776"/>
      <c r="AM764" s="776"/>
      <c r="AN764" s="17"/>
      <c r="AO764" s="17"/>
      <c r="AP764" s="17"/>
      <c r="AQ764" s="17"/>
      <c r="AR764" s="17"/>
      <c r="AS764" s="17"/>
      <c r="AT764" s="17"/>
      <c r="AU764" s="732"/>
      <c r="AV764" s="313"/>
      <c r="AW764" s="313"/>
      <c r="AX764" s="313"/>
      <c r="AY764" s="313"/>
      <c r="AZ764" s="313"/>
      <c r="BA764" s="313"/>
      <c r="BB764" s="313"/>
      <c r="BC764" s="313"/>
      <c r="BD764" s="313"/>
      <c r="BE764" s="314"/>
      <c r="BW764" s="314"/>
      <c r="BX764" s="314"/>
      <c r="BY764" s="314"/>
      <c r="BZ764" s="314"/>
      <c r="CA764" s="314"/>
      <c r="CB764" s="314"/>
      <c r="CC764" s="314"/>
      <c r="CD764" s="314"/>
    </row>
    <row r="765" ht="28.5" customHeight="1">
      <c r="A765" s="767"/>
      <c r="B765" s="768"/>
      <c r="C765" s="768"/>
      <c r="D765" s="769"/>
      <c r="E765" s="769"/>
      <c r="F765" s="769"/>
      <c r="G765" s="336"/>
      <c r="H765" s="771"/>
      <c r="I765" s="769"/>
      <c r="J765" s="769"/>
      <c r="K765" s="314"/>
      <c r="L765" s="314"/>
      <c r="M765" s="314"/>
      <c r="N765" s="769"/>
      <c r="O765" s="769"/>
      <c r="P765" s="773"/>
      <c r="Q765" s="774"/>
      <c r="R765" s="774"/>
      <c r="S765" s="775"/>
      <c r="AH765" s="776"/>
      <c r="AI765" s="776"/>
      <c r="AJ765" s="732"/>
      <c r="AK765" s="732"/>
      <c r="AL765" s="776"/>
      <c r="AM765" s="776"/>
      <c r="AN765" s="17"/>
      <c r="AO765" s="17"/>
      <c r="AP765" s="17"/>
      <c r="AQ765" s="17"/>
      <c r="AR765" s="17"/>
      <c r="AS765" s="17"/>
      <c r="AT765" s="17"/>
      <c r="AU765" s="732"/>
      <c r="AV765" s="313"/>
      <c r="AW765" s="313"/>
      <c r="AX765" s="313"/>
      <c r="AY765" s="313"/>
      <c r="AZ765" s="313"/>
      <c r="BA765" s="313"/>
      <c r="BB765" s="313"/>
      <c r="BC765" s="313"/>
      <c r="BD765" s="313"/>
      <c r="BE765" s="314"/>
      <c r="BW765" s="314"/>
      <c r="BX765" s="314"/>
      <c r="BY765" s="314"/>
      <c r="BZ765" s="314"/>
      <c r="CA765" s="314"/>
      <c r="CB765" s="314"/>
      <c r="CC765" s="314"/>
      <c r="CD765" s="314"/>
    </row>
    <row r="766" ht="28.5" customHeight="1">
      <c r="A766" s="767"/>
      <c r="B766" s="768"/>
      <c r="C766" s="768"/>
      <c r="D766" s="769"/>
      <c r="E766" s="769"/>
      <c r="F766" s="769"/>
      <c r="G766" s="336"/>
      <c r="H766" s="771"/>
      <c r="I766" s="769"/>
      <c r="J766" s="769"/>
      <c r="K766" s="314"/>
      <c r="L766" s="314"/>
      <c r="M766" s="314"/>
      <c r="N766" s="769"/>
      <c r="O766" s="769"/>
      <c r="P766" s="773"/>
      <c r="Q766" s="774"/>
      <c r="R766" s="774"/>
      <c r="S766" s="775"/>
      <c r="AH766" s="776"/>
      <c r="AI766" s="776"/>
      <c r="AJ766" s="732"/>
      <c r="AK766" s="732"/>
      <c r="AL766" s="776"/>
      <c r="AM766" s="776"/>
      <c r="AN766" s="17"/>
      <c r="AO766" s="17"/>
      <c r="AP766" s="17"/>
      <c r="AQ766" s="17"/>
      <c r="AR766" s="17"/>
      <c r="AS766" s="17"/>
      <c r="AT766" s="17"/>
      <c r="AU766" s="732"/>
      <c r="AV766" s="313"/>
      <c r="AW766" s="313"/>
      <c r="AX766" s="313"/>
      <c r="AY766" s="313"/>
      <c r="AZ766" s="313"/>
      <c r="BA766" s="313"/>
      <c r="BB766" s="313"/>
      <c r="BC766" s="313"/>
      <c r="BD766" s="313"/>
      <c r="BE766" s="314"/>
      <c r="BW766" s="314"/>
      <c r="BX766" s="314"/>
      <c r="BY766" s="314"/>
      <c r="BZ766" s="314"/>
      <c r="CA766" s="314"/>
      <c r="CB766" s="314"/>
      <c r="CC766" s="314"/>
      <c r="CD766" s="314"/>
    </row>
    <row r="767" ht="28.5" customHeight="1">
      <c r="A767" s="767"/>
      <c r="B767" s="768"/>
      <c r="C767" s="768"/>
      <c r="D767" s="769"/>
      <c r="E767" s="769"/>
      <c r="F767" s="769"/>
      <c r="G767" s="336"/>
      <c r="H767" s="771"/>
      <c r="I767" s="769"/>
      <c r="J767" s="769"/>
      <c r="K767" s="314"/>
      <c r="L767" s="314"/>
      <c r="M767" s="314"/>
      <c r="N767" s="769"/>
      <c r="O767" s="769"/>
      <c r="P767" s="773"/>
      <c r="Q767" s="774"/>
      <c r="R767" s="774"/>
      <c r="S767" s="775"/>
      <c r="AH767" s="776"/>
      <c r="AI767" s="776"/>
      <c r="AJ767" s="732"/>
      <c r="AK767" s="732"/>
      <c r="AL767" s="776"/>
      <c r="AM767" s="776"/>
      <c r="AN767" s="17"/>
      <c r="AO767" s="17"/>
      <c r="AP767" s="17"/>
      <c r="AQ767" s="17"/>
      <c r="AR767" s="17"/>
      <c r="AS767" s="17"/>
      <c r="AT767" s="17"/>
      <c r="AU767" s="732"/>
      <c r="AV767" s="313"/>
      <c r="AW767" s="313"/>
      <c r="AX767" s="313"/>
      <c r="AY767" s="313"/>
      <c r="AZ767" s="313"/>
      <c r="BA767" s="313"/>
      <c r="BB767" s="313"/>
      <c r="BC767" s="313"/>
      <c r="BD767" s="313"/>
      <c r="BE767" s="314"/>
      <c r="BW767" s="314"/>
      <c r="BX767" s="314"/>
      <c r="BY767" s="314"/>
      <c r="BZ767" s="314"/>
      <c r="CA767" s="314"/>
      <c r="CB767" s="314"/>
      <c r="CC767" s="314"/>
      <c r="CD767" s="314"/>
    </row>
    <row r="768" ht="28.5" customHeight="1">
      <c r="A768" s="767"/>
      <c r="B768" s="768"/>
      <c r="C768" s="768"/>
      <c r="D768" s="769"/>
      <c r="E768" s="769"/>
      <c r="F768" s="769"/>
      <c r="G768" s="336"/>
      <c r="H768" s="771"/>
      <c r="I768" s="769"/>
      <c r="J768" s="769"/>
      <c r="K768" s="314"/>
      <c r="L768" s="314"/>
      <c r="M768" s="314"/>
      <c r="N768" s="769"/>
      <c r="O768" s="769"/>
      <c r="P768" s="773"/>
      <c r="Q768" s="774"/>
      <c r="R768" s="774"/>
      <c r="S768" s="775"/>
      <c r="AH768" s="776"/>
      <c r="AI768" s="776"/>
      <c r="AJ768" s="732"/>
      <c r="AK768" s="732"/>
      <c r="AL768" s="776"/>
      <c r="AM768" s="776"/>
      <c r="AN768" s="17"/>
      <c r="AO768" s="17"/>
      <c r="AP768" s="17"/>
      <c r="AQ768" s="17"/>
      <c r="AR768" s="17"/>
      <c r="AS768" s="17"/>
      <c r="AT768" s="17"/>
      <c r="AU768" s="732"/>
      <c r="AV768" s="313"/>
      <c r="AW768" s="313"/>
      <c r="AX768" s="313"/>
      <c r="AY768" s="313"/>
      <c r="AZ768" s="313"/>
      <c r="BA768" s="313"/>
      <c r="BB768" s="313"/>
      <c r="BC768" s="313"/>
      <c r="BD768" s="313"/>
      <c r="BE768" s="314"/>
      <c r="BW768" s="314"/>
      <c r="BX768" s="314"/>
      <c r="BY768" s="314"/>
      <c r="BZ768" s="314"/>
      <c r="CA768" s="314"/>
      <c r="CB768" s="314"/>
      <c r="CC768" s="314"/>
      <c r="CD768" s="314"/>
    </row>
    <row r="769" ht="28.5" customHeight="1">
      <c r="A769" s="767"/>
      <c r="B769" s="768"/>
      <c r="C769" s="768"/>
      <c r="D769" s="769"/>
      <c r="E769" s="769"/>
      <c r="F769" s="769"/>
      <c r="G769" s="336"/>
      <c r="H769" s="771"/>
      <c r="I769" s="769"/>
      <c r="J769" s="769"/>
      <c r="K769" s="314"/>
      <c r="L769" s="314"/>
      <c r="M769" s="314"/>
      <c r="N769" s="769"/>
      <c r="O769" s="769"/>
      <c r="P769" s="773"/>
      <c r="Q769" s="774"/>
      <c r="R769" s="774"/>
      <c r="S769" s="775"/>
      <c r="AH769" s="776"/>
      <c r="AI769" s="776"/>
      <c r="AJ769" s="732"/>
      <c r="AK769" s="732"/>
      <c r="AL769" s="776"/>
      <c r="AM769" s="776"/>
      <c r="AN769" s="17"/>
      <c r="AO769" s="17"/>
      <c r="AP769" s="17"/>
      <c r="AQ769" s="17"/>
      <c r="AR769" s="17"/>
      <c r="AS769" s="17"/>
      <c r="AT769" s="17"/>
      <c r="AU769" s="732"/>
      <c r="AV769" s="313"/>
      <c r="AW769" s="313"/>
      <c r="AX769" s="313"/>
      <c r="AY769" s="313"/>
      <c r="AZ769" s="313"/>
      <c r="BA769" s="313"/>
      <c r="BB769" s="313"/>
      <c r="BC769" s="313"/>
      <c r="BD769" s="313"/>
      <c r="BE769" s="314"/>
      <c r="BW769" s="314"/>
      <c r="BX769" s="314"/>
      <c r="BY769" s="314"/>
      <c r="BZ769" s="314"/>
      <c r="CA769" s="314"/>
      <c r="CB769" s="314"/>
      <c r="CC769" s="314"/>
      <c r="CD769" s="314"/>
    </row>
    <row r="770" ht="28.5" customHeight="1">
      <c r="A770" s="767"/>
      <c r="B770" s="768"/>
      <c r="C770" s="768"/>
      <c r="D770" s="769"/>
      <c r="E770" s="769"/>
      <c r="F770" s="769"/>
      <c r="G770" s="336"/>
      <c r="H770" s="771"/>
      <c r="I770" s="769"/>
      <c r="J770" s="769"/>
      <c r="K770" s="314"/>
      <c r="L770" s="314"/>
      <c r="M770" s="314"/>
      <c r="N770" s="769"/>
      <c r="O770" s="769"/>
      <c r="P770" s="773"/>
      <c r="Q770" s="774"/>
      <c r="R770" s="774"/>
      <c r="S770" s="775"/>
      <c r="AH770" s="776"/>
      <c r="AI770" s="776"/>
      <c r="AJ770" s="732"/>
      <c r="AK770" s="732"/>
      <c r="AL770" s="776"/>
      <c r="AM770" s="776"/>
      <c r="AN770" s="17"/>
      <c r="AO770" s="17"/>
      <c r="AP770" s="17"/>
      <c r="AQ770" s="17"/>
      <c r="AR770" s="17"/>
      <c r="AS770" s="17"/>
      <c r="AT770" s="17"/>
      <c r="AU770" s="732"/>
      <c r="AV770" s="313"/>
      <c r="AW770" s="313"/>
      <c r="AX770" s="313"/>
      <c r="AY770" s="313"/>
      <c r="AZ770" s="313"/>
      <c r="BA770" s="313"/>
      <c r="BB770" s="313"/>
      <c r="BC770" s="313"/>
      <c r="BD770" s="313"/>
      <c r="BE770" s="314"/>
      <c r="BW770" s="314"/>
      <c r="BX770" s="314"/>
      <c r="BY770" s="314"/>
      <c r="BZ770" s="314"/>
      <c r="CA770" s="314"/>
      <c r="CB770" s="314"/>
      <c r="CC770" s="314"/>
      <c r="CD770" s="314"/>
    </row>
    <row r="771" ht="28.5" customHeight="1">
      <c r="A771" s="767"/>
      <c r="B771" s="768"/>
      <c r="C771" s="768"/>
      <c r="D771" s="769"/>
      <c r="E771" s="769"/>
      <c r="F771" s="769"/>
      <c r="G771" s="336"/>
      <c r="H771" s="771"/>
      <c r="I771" s="769"/>
      <c r="J771" s="769"/>
      <c r="K771" s="314"/>
      <c r="L771" s="314"/>
      <c r="M771" s="314"/>
      <c r="N771" s="769"/>
      <c r="O771" s="769"/>
      <c r="P771" s="773"/>
      <c r="Q771" s="774"/>
      <c r="R771" s="774"/>
      <c r="S771" s="775"/>
      <c r="AH771" s="776"/>
      <c r="AI771" s="776"/>
      <c r="AJ771" s="732"/>
      <c r="AK771" s="732"/>
      <c r="AL771" s="776"/>
      <c r="AM771" s="776"/>
      <c r="AN771" s="17"/>
      <c r="AO771" s="17"/>
      <c r="AP771" s="17"/>
      <c r="AQ771" s="17"/>
      <c r="AR771" s="17"/>
      <c r="AS771" s="17"/>
      <c r="AT771" s="17"/>
      <c r="AU771" s="732"/>
      <c r="AV771" s="313"/>
      <c r="AW771" s="313"/>
      <c r="AX771" s="313"/>
      <c r="AY771" s="313"/>
      <c r="AZ771" s="313"/>
      <c r="BA771" s="313"/>
      <c r="BB771" s="313"/>
      <c r="BC771" s="313"/>
      <c r="BD771" s="313"/>
      <c r="BE771" s="314"/>
      <c r="BW771" s="314"/>
      <c r="BX771" s="314"/>
      <c r="BY771" s="314"/>
      <c r="BZ771" s="314"/>
      <c r="CA771" s="314"/>
      <c r="CB771" s="314"/>
      <c r="CC771" s="314"/>
      <c r="CD771" s="314"/>
    </row>
    <row r="772" ht="28.5" customHeight="1">
      <c r="A772" s="767"/>
      <c r="B772" s="768"/>
      <c r="C772" s="768"/>
      <c r="D772" s="769"/>
      <c r="E772" s="769"/>
      <c r="F772" s="769"/>
      <c r="G772" s="336"/>
      <c r="H772" s="771"/>
      <c r="I772" s="769"/>
      <c r="J772" s="769"/>
      <c r="K772" s="314"/>
      <c r="L772" s="314"/>
      <c r="M772" s="314"/>
      <c r="N772" s="769"/>
      <c r="O772" s="769"/>
      <c r="P772" s="773"/>
      <c r="Q772" s="774"/>
      <c r="R772" s="774"/>
      <c r="S772" s="775"/>
      <c r="AH772" s="776"/>
      <c r="AI772" s="776"/>
      <c r="AJ772" s="732"/>
      <c r="AK772" s="732"/>
      <c r="AL772" s="776"/>
      <c r="AM772" s="776"/>
      <c r="AN772" s="17"/>
      <c r="AO772" s="17"/>
      <c r="AP772" s="17"/>
      <c r="AQ772" s="17"/>
      <c r="AR772" s="17"/>
      <c r="AS772" s="17"/>
      <c r="AT772" s="17"/>
      <c r="AU772" s="732"/>
      <c r="AV772" s="313"/>
      <c r="AW772" s="313"/>
      <c r="AX772" s="313"/>
      <c r="AY772" s="313"/>
      <c r="AZ772" s="313"/>
      <c r="BA772" s="313"/>
      <c r="BB772" s="313"/>
      <c r="BC772" s="313"/>
      <c r="BD772" s="313"/>
      <c r="BE772" s="314"/>
      <c r="BW772" s="314"/>
      <c r="BX772" s="314"/>
      <c r="BY772" s="314"/>
      <c r="BZ772" s="314"/>
      <c r="CA772" s="314"/>
      <c r="CB772" s="314"/>
      <c r="CC772" s="314"/>
      <c r="CD772" s="314"/>
    </row>
    <row r="773" ht="28.5" customHeight="1">
      <c r="A773" s="767"/>
      <c r="B773" s="768"/>
      <c r="C773" s="768"/>
      <c r="D773" s="769"/>
      <c r="E773" s="769"/>
      <c r="F773" s="769"/>
      <c r="G773" s="336"/>
      <c r="H773" s="771"/>
      <c r="I773" s="769"/>
      <c r="J773" s="769"/>
      <c r="K773" s="314"/>
      <c r="L773" s="314"/>
      <c r="M773" s="314"/>
      <c r="N773" s="769"/>
      <c r="O773" s="769"/>
      <c r="P773" s="773"/>
      <c r="Q773" s="774"/>
      <c r="R773" s="774"/>
      <c r="S773" s="775"/>
      <c r="AH773" s="776"/>
      <c r="AI773" s="776"/>
      <c r="AJ773" s="732"/>
      <c r="AK773" s="732"/>
      <c r="AL773" s="776"/>
      <c r="AM773" s="776"/>
      <c r="AN773" s="17"/>
      <c r="AO773" s="17"/>
      <c r="AP773" s="17"/>
      <c r="AQ773" s="17"/>
      <c r="AR773" s="17"/>
      <c r="AS773" s="17"/>
      <c r="AT773" s="17"/>
      <c r="AU773" s="732"/>
      <c r="AV773" s="313"/>
      <c r="AW773" s="313"/>
      <c r="AX773" s="313"/>
      <c r="AY773" s="313"/>
      <c r="AZ773" s="313"/>
      <c r="BA773" s="313"/>
      <c r="BB773" s="313"/>
      <c r="BC773" s="313"/>
      <c r="BD773" s="313"/>
      <c r="BE773" s="314"/>
      <c r="BW773" s="314"/>
      <c r="BX773" s="314"/>
      <c r="BY773" s="314"/>
      <c r="BZ773" s="314"/>
      <c r="CA773" s="314"/>
      <c r="CB773" s="314"/>
      <c r="CC773" s="314"/>
      <c r="CD773" s="314"/>
    </row>
    <row r="774" ht="28.5" customHeight="1">
      <c r="A774" s="767"/>
      <c r="B774" s="768"/>
      <c r="C774" s="768"/>
      <c r="D774" s="769"/>
      <c r="E774" s="769"/>
      <c r="F774" s="769"/>
      <c r="G774" s="336"/>
      <c r="H774" s="771"/>
      <c r="I774" s="769"/>
      <c r="J774" s="769"/>
      <c r="K774" s="314"/>
      <c r="L774" s="314"/>
      <c r="M774" s="314"/>
      <c r="N774" s="769"/>
      <c r="O774" s="769"/>
      <c r="P774" s="773"/>
      <c r="Q774" s="774"/>
      <c r="R774" s="774"/>
      <c r="S774" s="775"/>
      <c r="AH774" s="776"/>
      <c r="AI774" s="776"/>
      <c r="AJ774" s="732"/>
      <c r="AK774" s="732"/>
      <c r="AL774" s="776"/>
      <c r="AM774" s="776"/>
      <c r="AN774" s="17"/>
      <c r="AO774" s="17"/>
      <c r="AP774" s="17"/>
      <c r="AQ774" s="17"/>
      <c r="AR774" s="17"/>
      <c r="AS774" s="17"/>
      <c r="AT774" s="17"/>
      <c r="AU774" s="732"/>
      <c r="AV774" s="313"/>
      <c r="AW774" s="313"/>
      <c r="AX774" s="313"/>
      <c r="AY774" s="313"/>
      <c r="AZ774" s="313"/>
      <c r="BA774" s="313"/>
      <c r="BB774" s="313"/>
      <c r="BC774" s="313"/>
      <c r="BD774" s="313"/>
      <c r="BE774" s="314"/>
      <c r="BW774" s="314"/>
      <c r="BX774" s="314"/>
      <c r="BY774" s="314"/>
      <c r="BZ774" s="314"/>
      <c r="CA774" s="314"/>
      <c r="CB774" s="314"/>
      <c r="CC774" s="314"/>
      <c r="CD774" s="314"/>
    </row>
    <row r="775" ht="28.5" customHeight="1">
      <c r="A775" s="767"/>
      <c r="B775" s="768"/>
      <c r="C775" s="768"/>
      <c r="D775" s="769"/>
      <c r="E775" s="769"/>
      <c r="F775" s="769"/>
      <c r="G775" s="336"/>
      <c r="H775" s="771"/>
      <c r="I775" s="769"/>
      <c r="J775" s="769"/>
      <c r="K775" s="314"/>
      <c r="L775" s="314"/>
      <c r="M775" s="314"/>
      <c r="N775" s="769"/>
      <c r="O775" s="769"/>
      <c r="P775" s="773"/>
      <c r="Q775" s="774"/>
      <c r="R775" s="774"/>
      <c r="S775" s="775"/>
      <c r="AH775" s="776"/>
      <c r="AI775" s="776"/>
      <c r="AJ775" s="732"/>
      <c r="AK775" s="732"/>
      <c r="AL775" s="776"/>
      <c r="AM775" s="776"/>
      <c r="AN775" s="17"/>
      <c r="AO775" s="17"/>
      <c r="AP775" s="17"/>
      <c r="AQ775" s="17"/>
      <c r="AR775" s="17"/>
      <c r="AS775" s="17"/>
      <c r="AT775" s="17"/>
      <c r="AU775" s="732"/>
      <c r="AV775" s="313"/>
      <c r="AW775" s="313"/>
      <c r="AX775" s="313"/>
      <c r="AY775" s="313"/>
      <c r="AZ775" s="313"/>
      <c r="BA775" s="313"/>
      <c r="BB775" s="313"/>
      <c r="BC775" s="313"/>
      <c r="BD775" s="313"/>
      <c r="BE775" s="314"/>
      <c r="BW775" s="314"/>
      <c r="BX775" s="314"/>
      <c r="BY775" s="314"/>
      <c r="BZ775" s="314"/>
      <c r="CA775" s="314"/>
      <c r="CB775" s="314"/>
      <c r="CC775" s="314"/>
      <c r="CD775" s="314"/>
    </row>
    <row r="776" ht="28.5" customHeight="1">
      <c r="A776" s="767"/>
      <c r="B776" s="768"/>
      <c r="C776" s="768"/>
      <c r="D776" s="769"/>
      <c r="E776" s="769"/>
      <c r="F776" s="769"/>
      <c r="G776" s="336"/>
      <c r="H776" s="771"/>
      <c r="I776" s="769"/>
      <c r="J776" s="769"/>
      <c r="K776" s="314"/>
      <c r="L776" s="314"/>
      <c r="M776" s="314"/>
      <c r="N776" s="769"/>
      <c r="O776" s="769"/>
      <c r="P776" s="773"/>
      <c r="Q776" s="774"/>
      <c r="R776" s="774"/>
      <c r="S776" s="775"/>
      <c r="AH776" s="776"/>
      <c r="AI776" s="776"/>
      <c r="AJ776" s="732"/>
      <c r="AK776" s="732"/>
      <c r="AL776" s="776"/>
      <c r="AM776" s="776"/>
      <c r="AN776" s="17"/>
      <c r="AO776" s="17"/>
      <c r="AP776" s="17"/>
      <c r="AQ776" s="17"/>
      <c r="AR776" s="17"/>
      <c r="AS776" s="17"/>
      <c r="AT776" s="17"/>
      <c r="AU776" s="732"/>
      <c r="AV776" s="313"/>
      <c r="AW776" s="313"/>
      <c r="AX776" s="313"/>
      <c r="AY776" s="313"/>
      <c r="AZ776" s="313"/>
      <c r="BA776" s="313"/>
      <c r="BB776" s="313"/>
      <c r="BC776" s="313"/>
      <c r="BD776" s="313"/>
      <c r="BE776" s="314"/>
      <c r="BW776" s="314"/>
      <c r="BX776" s="314"/>
      <c r="BY776" s="314"/>
      <c r="BZ776" s="314"/>
      <c r="CA776" s="314"/>
      <c r="CB776" s="314"/>
      <c r="CC776" s="314"/>
      <c r="CD776" s="314"/>
    </row>
    <row r="777" ht="28.5" customHeight="1">
      <c r="A777" s="767"/>
      <c r="B777" s="768"/>
      <c r="C777" s="768"/>
      <c r="D777" s="769"/>
      <c r="E777" s="769"/>
      <c r="F777" s="769"/>
      <c r="G777" s="336"/>
      <c r="H777" s="771"/>
      <c r="I777" s="769"/>
      <c r="J777" s="769"/>
      <c r="K777" s="314"/>
      <c r="L777" s="314"/>
      <c r="M777" s="314"/>
      <c r="N777" s="769"/>
      <c r="O777" s="769"/>
      <c r="P777" s="773"/>
      <c r="Q777" s="774"/>
      <c r="R777" s="774"/>
      <c r="S777" s="775"/>
      <c r="AH777" s="776"/>
      <c r="AI777" s="776"/>
      <c r="AJ777" s="732"/>
      <c r="AK777" s="732"/>
      <c r="AL777" s="776"/>
      <c r="AM777" s="776"/>
      <c r="AN777" s="17"/>
      <c r="AO777" s="17"/>
      <c r="AP777" s="17"/>
      <c r="AQ777" s="17"/>
      <c r="AR777" s="17"/>
      <c r="AS777" s="17"/>
      <c r="AT777" s="17"/>
      <c r="AU777" s="732"/>
      <c r="AV777" s="313"/>
      <c r="AW777" s="313"/>
      <c r="AX777" s="313"/>
      <c r="AY777" s="313"/>
      <c r="AZ777" s="313"/>
      <c r="BA777" s="313"/>
      <c r="BB777" s="313"/>
      <c r="BC777" s="313"/>
      <c r="BD777" s="313"/>
      <c r="BE777" s="314"/>
      <c r="BW777" s="314"/>
      <c r="BX777" s="314"/>
      <c r="BY777" s="314"/>
      <c r="BZ777" s="314"/>
      <c r="CA777" s="314"/>
      <c r="CB777" s="314"/>
      <c r="CC777" s="314"/>
      <c r="CD777" s="314"/>
    </row>
    <row r="778" ht="28.5" customHeight="1">
      <c r="A778" s="767"/>
      <c r="B778" s="768"/>
      <c r="C778" s="768"/>
      <c r="D778" s="769"/>
      <c r="E778" s="769"/>
      <c r="F778" s="769"/>
      <c r="G778" s="336"/>
      <c r="H778" s="771"/>
      <c r="I778" s="769"/>
      <c r="J778" s="769"/>
      <c r="K778" s="314"/>
      <c r="L778" s="314"/>
      <c r="M778" s="314"/>
      <c r="N778" s="769"/>
      <c r="O778" s="769"/>
      <c r="P778" s="773"/>
      <c r="Q778" s="774"/>
      <c r="R778" s="774"/>
      <c r="S778" s="775"/>
      <c r="AH778" s="776"/>
      <c r="AI778" s="776"/>
      <c r="AJ778" s="732"/>
      <c r="AK778" s="732"/>
      <c r="AL778" s="776"/>
      <c r="AM778" s="776"/>
      <c r="AN778" s="17"/>
      <c r="AO778" s="17"/>
      <c r="AP778" s="17"/>
      <c r="AQ778" s="17"/>
      <c r="AR778" s="17"/>
      <c r="AS778" s="17"/>
      <c r="AT778" s="17"/>
      <c r="AU778" s="732"/>
      <c r="AV778" s="313"/>
      <c r="AW778" s="313"/>
      <c r="AX778" s="313"/>
      <c r="AY778" s="313"/>
      <c r="AZ778" s="313"/>
      <c r="BA778" s="313"/>
      <c r="BB778" s="313"/>
      <c r="BC778" s="313"/>
      <c r="BD778" s="313"/>
      <c r="BE778" s="314"/>
      <c r="BW778" s="314"/>
      <c r="BX778" s="314"/>
      <c r="BY778" s="314"/>
      <c r="BZ778" s="314"/>
      <c r="CA778" s="314"/>
      <c r="CB778" s="314"/>
      <c r="CC778" s="314"/>
      <c r="CD778" s="314"/>
    </row>
    <row r="779" ht="28.5" customHeight="1">
      <c r="A779" s="767"/>
      <c r="B779" s="768"/>
      <c r="C779" s="768"/>
      <c r="D779" s="769"/>
      <c r="E779" s="769"/>
      <c r="F779" s="769"/>
      <c r="G779" s="336"/>
      <c r="H779" s="771"/>
      <c r="I779" s="769"/>
      <c r="J779" s="769"/>
      <c r="K779" s="314"/>
      <c r="L779" s="314"/>
      <c r="M779" s="314"/>
      <c r="N779" s="769"/>
      <c r="O779" s="769"/>
      <c r="P779" s="773"/>
      <c r="Q779" s="774"/>
      <c r="R779" s="774"/>
      <c r="S779" s="775"/>
      <c r="AH779" s="776"/>
      <c r="AI779" s="776"/>
      <c r="AJ779" s="732"/>
      <c r="AK779" s="732"/>
      <c r="AL779" s="776"/>
      <c r="AM779" s="776"/>
      <c r="AN779" s="17"/>
      <c r="AO779" s="17"/>
      <c r="AP779" s="17"/>
      <c r="AQ779" s="17"/>
      <c r="AR779" s="17"/>
      <c r="AS779" s="17"/>
      <c r="AT779" s="17"/>
      <c r="AU779" s="732"/>
      <c r="AV779" s="313"/>
      <c r="AW779" s="313"/>
      <c r="AX779" s="313"/>
      <c r="AY779" s="313"/>
      <c r="AZ779" s="313"/>
      <c r="BA779" s="313"/>
      <c r="BB779" s="313"/>
      <c r="BC779" s="313"/>
      <c r="BD779" s="313"/>
      <c r="BE779" s="314"/>
      <c r="BW779" s="314"/>
      <c r="BX779" s="314"/>
      <c r="BY779" s="314"/>
      <c r="BZ779" s="314"/>
      <c r="CA779" s="314"/>
      <c r="CB779" s="314"/>
      <c r="CC779" s="314"/>
      <c r="CD779" s="314"/>
    </row>
    <row r="780" ht="28.5" customHeight="1">
      <c r="A780" s="767"/>
      <c r="B780" s="768"/>
      <c r="C780" s="768"/>
      <c r="D780" s="769"/>
      <c r="E780" s="769"/>
      <c r="F780" s="769"/>
      <c r="G780" s="336"/>
      <c r="H780" s="771"/>
      <c r="I780" s="769"/>
      <c r="J780" s="769"/>
      <c r="K780" s="314"/>
      <c r="L780" s="314"/>
      <c r="M780" s="314"/>
      <c r="N780" s="769"/>
      <c r="O780" s="769"/>
      <c r="P780" s="773"/>
      <c r="Q780" s="774"/>
      <c r="R780" s="774"/>
      <c r="S780" s="775"/>
      <c r="AH780" s="776"/>
      <c r="AI780" s="776"/>
      <c r="AJ780" s="732"/>
      <c r="AK780" s="732"/>
      <c r="AL780" s="776"/>
      <c r="AM780" s="776"/>
      <c r="AN780" s="17"/>
      <c r="AO780" s="17"/>
      <c r="AP780" s="17"/>
      <c r="AQ780" s="17"/>
      <c r="AR780" s="17"/>
      <c r="AS780" s="17"/>
      <c r="AT780" s="17"/>
      <c r="AU780" s="732"/>
      <c r="AV780" s="313"/>
      <c r="AW780" s="313"/>
      <c r="AX780" s="313"/>
      <c r="AY780" s="313"/>
      <c r="AZ780" s="313"/>
      <c r="BA780" s="313"/>
      <c r="BB780" s="313"/>
      <c r="BC780" s="313"/>
      <c r="BD780" s="313"/>
      <c r="BE780" s="314"/>
      <c r="BW780" s="314"/>
      <c r="BX780" s="314"/>
      <c r="BY780" s="314"/>
      <c r="BZ780" s="314"/>
      <c r="CA780" s="314"/>
      <c r="CB780" s="314"/>
      <c r="CC780" s="314"/>
      <c r="CD780" s="314"/>
    </row>
    <row r="781" ht="28.5" customHeight="1">
      <c r="A781" s="767"/>
      <c r="B781" s="768"/>
      <c r="C781" s="768"/>
      <c r="D781" s="769"/>
      <c r="E781" s="769"/>
      <c r="F781" s="769"/>
      <c r="G781" s="336"/>
      <c r="H781" s="771"/>
      <c r="I781" s="769"/>
      <c r="J781" s="769"/>
      <c r="K781" s="314"/>
      <c r="L781" s="314"/>
      <c r="M781" s="314"/>
      <c r="N781" s="769"/>
      <c r="O781" s="769"/>
      <c r="P781" s="773"/>
      <c r="Q781" s="774"/>
      <c r="R781" s="774"/>
      <c r="S781" s="775"/>
      <c r="AH781" s="776"/>
      <c r="AI781" s="776"/>
      <c r="AJ781" s="732"/>
      <c r="AK781" s="732"/>
      <c r="AL781" s="776"/>
      <c r="AM781" s="776"/>
      <c r="AN781" s="17"/>
      <c r="AO781" s="17"/>
      <c r="AP781" s="17"/>
      <c r="AQ781" s="17"/>
      <c r="AR781" s="17"/>
      <c r="AS781" s="17"/>
      <c r="AT781" s="17"/>
      <c r="AU781" s="732"/>
      <c r="AV781" s="313"/>
      <c r="AW781" s="313"/>
      <c r="AX781" s="313"/>
      <c r="AY781" s="313"/>
      <c r="AZ781" s="313"/>
      <c r="BA781" s="313"/>
      <c r="BB781" s="313"/>
      <c r="BC781" s="313"/>
      <c r="BD781" s="313"/>
      <c r="BE781" s="314"/>
      <c r="BW781" s="314"/>
      <c r="BX781" s="314"/>
      <c r="BY781" s="314"/>
      <c r="BZ781" s="314"/>
      <c r="CA781" s="314"/>
      <c r="CB781" s="314"/>
      <c r="CC781" s="314"/>
      <c r="CD781" s="314"/>
    </row>
    <row r="782" ht="28.5" customHeight="1">
      <c r="A782" s="767"/>
      <c r="B782" s="768"/>
      <c r="C782" s="768"/>
      <c r="D782" s="769"/>
      <c r="E782" s="769"/>
      <c r="F782" s="769"/>
      <c r="G782" s="336"/>
      <c r="H782" s="771"/>
      <c r="I782" s="769"/>
      <c r="J782" s="769"/>
      <c r="K782" s="314"/>
      <c r="L782" s="314"/>
      <c r="M782" s="314"/>
      <c r="N782" s="769"/>
      <c r="O782" s="769"/>
      <c r="P782" s="773"/>
      <c r="Q782" s="774"/>
      <c r="R782" s="774"/>
      <c r="S782" s="775"/>
      <c r="AH782" s="776"/>
      <c r="AI782" s="776"/>
      <c r="AJ782" s="732"/>
      <c r="AK782" s="732"/>
      <c r="AL782" s="776"/>
      <c r="AM782" s="776"/>
      <c r="AN782" s="17"/>
      <c r="AO782" s="17"/>
      <c r="AP782" s="17"/>
      <c r="AQ782" s="17"/>
      <c r="AR782" s="17"/>
      <c r="AS782" s="17"/>
      <c r="AT782" s="17"/>
      <c r="AU782" s="732"/>
      <c r="AV782" s="313"/>
      <c r="AW782" s="313"/>
      <c r="AX782" s="313"/>
      <c r="AY782" s="313"/>
      <c r="AZ782" s="313"/>
      <c r="BA782" s="313"/>
      <c r="BB782" s="313"/>
      <c r="BC782" s="313"/>
      <c r="BD782" s="313"/>
      <c r="BE782" s="314"/>
      <c r="BW782" s="314"/>
      <c r="BX782" s="314"/>
      <c r="BY782" s="314"/>
      <c r="BZ782" s="314"/>
      <c r="CA782" s="314"/>
      <c r="CB782" s="314"/>
      <c r="CC782" s="314"/>
      <c r="CD782" s="314"/>
    </row>
    <row r="783" ht="28.5" customHeight="1">
      <c r="A783" s="767"/>
      <c r="B783" s="768"/>
      <c r="C783" s="768"/>
      <c r="D783" s="769"/>
      <c r="E783" s="769"/>
      <c r="F783" s="769"/>
      <c r="G783" s="336"/>
      <c r="H783" s="771"/>
      <c r="I783" s="769"/>
      <c r="J783" s="769"/>
      <c r="K783" s="314"/>
      <c r="L783" s="314"/>
      <c r="M783" s="314"/>
      <c r="N783" s="769"/>
      <c r="O783" s="769"/>
      <c r="P783" s="773"/>
      <c r="Q783" s="774"/>
      <c r="R783" s="774"/>
      <c r="S783" s="775"/>
      <c r="AH783" s="776"/>
      <c r="AI783" s="776"/>
      <c r="AJ783" s="732"/>
      <c r="AK783" s="732"/>
      <c r="AL783" s="776"/>
      <c r="AM783" s="776"/>
      <c r="AN783" s="17"/>
      <c r="AO783" s="17"/>
      <c r="AP783" s="17"/>
      <c r="AQ783" s="17"/>
      <c r="AR783" s="17"/>
      <c r="AS783" s="17"/>
      <c r="AT783" s="17"/>
      <c r="AU783" s="732"/>
      <c r="AV783" s="313"/>
      <c r="AW783" s="313"/>
      <c r="AX783" s="313"/>
      <c r="AY783" s="313"/>
      <c r="AZ783" s="313"/>
      <c r="BA783" s="313"/>
      <c r="BB783" s="313"/>
      <c r="BC783" s="313"/>
      <c r="BD783" s="313"/>
      <c r="BE783" s="314"/>
      <c r="BW783" s="314"/>
      <c r="BX783" s="314"/>
      <c r="BY783" s="314"/>
      <c r="BZ783" s="314"/>
      <c r="CA783" s="314"/>
      <c r="CB783" s="314"/>
      <c r="CC783" s="314"/>
      <c r="CD783" s="314"/>
    </row>
    <row r="784" ht="28.5" customHeight="1">
      <c r="A784" s="767"/>
      <c r="B784" s="768"/>
      <c r="C784" s="768"/>
      <c r="D784" s="769"/>
      <c r="E784" s="769"/>
      <c r="F784" s="769"/>
      <c r="G784" s="336"/>
      <c r="H784" s="771"/>
      <c r="I784" s="769"/>
      <c r="J784" s="769"/>
      <c r="K784" s="314"/>
      <c r="L784" s="314"/>
      <c r="M784" s="314"/>
      <c r="N784" s="769"/>
      <c r="O784" s="769"/>
      <c r="P784" s="773"/>
      <c r="Q784" s="774"/>
      <c r="R784" s="774"/>
      <c r="S784" s="775"/>
      <c r="AH784" s="776"/>
      <c r="AI784" s="776"/>
      <c r="AJ784" s="732"/>
      <c r="AK784" s="732"/>
      <c r="AL784" s="776"/>
      <c r="AM784" s="776"/>
      <c r="AN784" s="17"/>
      <c r="AO784" s="17"/>
      <c r="AP784" s="17"/>
      <c r="AQ784" s="17"/>
      <c r="AR784" s="17"/>
      <c r="AS784" s="17"/>
      <c r="AT784" s="17"/>
      <c r="AU784" s="732"/>
      <c r="AV784" s="313"/>
      <c r="AW784" s="313"/>
      <c r="AX784" s="313"/>
      <c r="AY784" s="313"/>
      <c r="AZ784" s="313"/>
      <c r="BA784" s="313"/>
      <c r="BB784" s="313"/>
      <c r="BC784" s="313"/>
      <c r="BD784" s="313"/>
      <c r="BE784" s="314"/>
      <c r="BW784" s="314"/>
      <c r="BX784" s="314"/>
      <c r="BY784" s="314"/>
      <c r="BZ784" s="314"/>
      <c r="CA784" s="314"/>
      <c r="CB784" s="314"/>
      <c r="CC784" s="314"/>
      <c r="CD784" s="314"/>
    </row>
    <row r="785" ht="28.5" customHeight="1">
      <c r="A785" s="767"/>
      <c r="B785" s="768"/>
      <c r="C785" s="768"/>
      <c r="D785" s="769"/>
      <c r="E785" s="769"/>
      <c r="F785" s="769"/>
      <c r="G785" s="336"/>
      <c r="H785" s="771"/>
      <c r="I785" s="769"/>
      <c r="J785" s="769"/>
      <c r="K785" s="314"/>
      <c r="L785" s="314"/>
      <c r="M785" s="314"/>
      <c r="N785" s="769"/>
      <c r="O785" s="769"/>
      <c r="P785" s="773"/>
      <c r="Q785" s="774"/>
      <c r="R785" s="774"/>
      <c r="S785" s="775"/>
      <c r="AH785" s="776"/>
      <c r="AI785" s="776"/>
      <c r="AJ785" s="732"/>
      <c r="AK785" s="732"/>
      <c r="AL785" s="776"/>
      <c r="AM785" s="776"/>
      <c r="AN785" s="17"/>
      <c r="AO785" s="17"/>
      <c r="AP785" s="17"/>
      <c r="AQ785" s="17"/>
      <c r="AR785" s="17"/>
      <c r="AS785" s="17"/>
      <c r="AT785" s="17"/>
      <c r="AU785" s="732"/>
      <c r="AV785" s="313"/>
      <c r="AW785" s="313"/>
      <c r="AX785" s="313"/>
      <c r="AY785" s="313"/>
      <c r="AZ785" s="313"/>
      <c r="BA785" s="313"/>
      <c r="BB785" s="313"/>
      <c r="BC785" s="313"/>
      <c r="BD785" s="313"/>
      <c r="BE785" s="314"/>
      <c r="BW785" s="314"/>
      <c r="BX785" s="314"/>
      <c r="BY785" s="314"/>
      <c r="BZ785" s="314"/>
      <c r="CA785" s="314"/>
      <c r="CB785" s="314"/>
      <c r="CC785" s="314"/>
      <c r="CD785" s="314"/>
    </row>
    <row r="786" ht="28.5" customHeight="1">
      <c r="A786" s="767"/>
      <c r="B786" s="768"/>
      <c r="C786" s="768"/>
      <c r="D786" s="769"/>
      <c r="E786" s="769"/>
      <c r="F786" s="769"/>
      <c r="G786" s="336"/>
      <c r="H786" s="771"/>
      <c r="I786" s="769"/>
      <c r="J786" s="769"/>
      <c r="K786" s="314"/>
      <c r="L786" s="314"/>
      <c r="M786" s="314"/>
      <c r="N786" s="769"/>
      <c r="O786" s="769"/>
      <c r="P786" s="773"/>
      <c r="Q786" s="774"/>
      <c r="R786" s="774"/>
      <c r="S786" s="775"/>
      <c r="AH786" s="776"/>
      <c r="AI786" s="776"/>
      <c r="AJ786" s="732"/>
      <c r="AK786" s="732"/>
      <c r="AL786" s="776"/>
      <c r="AM786" s="776"/>
      <c r="AN786" s="17"/>
      <c r="AO786" s="17"/>
      <c r="AP786" s="17"/>
      <c r="AQ786" s="17"/>
      <c r="AR786" s="17"/>
      <c r="AS786" s="17"/>
      <c r="AT786" s="17"/>
      <c r="AU786" s="732"/>
      <c r="AV786" s="313"/>
      <c r="AW786" s="313"/>
      <c r="AX786" s="313"/>
      <c r="AY786" s="313"/>
      <c r="AZ786" s="313"/>
      <c r="BA786" s="313"/>
      <c r="BB786" s="313"/>
      <c r="BC786" s="313"/>
      <c r="BD786" s="313"/>
      <c r="BE786" s="314"/>
      <c r="BW786" s="314"/>
      <c r="BX786" s="314"/>
      <c r="BY786" s="314"/>
      <c r="BZ786" s="314"/>
      <c r="CA786" s="314"/>
      <c r="CB786" s="314"/>
      <c r="CC786" s="314"/>
      <c r="CD786" s="314"/>
    </row>
    <row r="787" ht="28.5" customHeight="1">
      <c r="A787" s="767"/>
      <c r="B787" s="768"/>
      <c r="C787" s="768"/>
      <c r="D787" s="769"/>
      <c r="E787" s="769"/>
      <c r="F787" s="769"/>
      <c r="G787" s="336"/>
      <c r="H787" s="771"/>
      <c r="I787" s="769"/>
      <c r="J787" s="769"/>
      <c r="K787" s="314"/>
      <c r="L787" s="314"/>
      <c r="M787" s="314"/>
      <c r="N787" s="769"/>
      <c r="O787" s="769"/>
      <c r="P787" s="773"/>
      <c r="Q787" s="774"/>
      <c r="R787" s="774"/>
      <c r="S787" s="775"/>
      <c r="AH787" s="776"/>
      <c r="AI787" s="776"/>
      <c r="AJ787" s="732"/>
      <c r="AK787" s="732"/>
      <c r="AL787" s="776"/>
      <c r="AM787" s="776"/>
      <c r="AN787" s="17"/>
      <c r="AO787" s="17"/>
      <c r="AP787" s="17"/>
      <c r="AQ787" s="17"/>
      <c r="AR787" s="17"/>
      <c r="AS787" s="17"/>
      <c r="AT787" s="17"/>
      <c r="AU787" s="732"/>
      <c r="AV787" s="313"/>
      <c r="AW787" s="313"/>
      <c r="AX787" s="313"/>
      <c r="AY787" s="313"/>
      <c r="AZ787" s="313"/>
      <c r="BA787" s="313"/>
      <c r="BB787" s="313"/>
      <c r="BC787" s="313"/>
      <c r="BD787" s="313"/>
      <c r="BE787" s="314"/>
      <c r="BW787" s="314"/>
      <c r="BX787" s="314"/>
      <c r="BY787" s="314"/>
      <c r="BZ787" s="314"/>
      <c r="CA787" s="314"/>
      <c r="CB787" s="314"/>
      <c r="CC787" s="314"/>
      <c r="CD787" s="314"/>
    </row>
    <row r="788" ht="28.5" customHeight="1">
      <c r="A788" s="767"/>
      <c r="B788" s="768"/>
      <c r="C788" s="768"/>
      <c r="D788" s="769"/>
      <c r="E788" s="769"/>
      <c r="F788" s="769"/>
      <c r="G788" s="336"/>
      <c r="H788" s="771"/>
      <c r="I788" s="769"/>
      <c r="J788" s="769"/>
      <c r="K788" s="314"/>
      <c r="L788" s="314"/>
      <c r="M788" s="314"/>
      <c r="N788" s="769"/>
      <c r="O788" s="769"/>
      <c r="P788" s="773"/>
      <c r="Q788" s="774"/>
      <c r="R788" s="774"/>
      <c r="S788" s="775"/>
      <c r="AH788" s="776"/>
      <c r="AI788" s="776"/>
      <c r="AJ788" s="732"/>
      <c r="AK788" s="732"/>
      <c r="AL788" s="776"/>
      <c r="AM788" s="776"/>
      <c r="AN788" s="17"/>
      <c r="AO788" s="17"/>
      <c r="AP788" s="17"/>
      <c r="AQ788" s="17"/>
      <c r="AR788" s="17"/>
      <c r="AS788" s="17"/>
      <c r="AT788" s="17"/>
      <c r="AU788" s="732"/>
      <c r="AV788" s="313"/>
      <c r="AW788" s="313"/>
      <c r="AX788" s="313"/>
      <c r="AY788" s="313"/>
      <c r="AZ788" s="313"/>
      <c r="BA788" s="313"/>
      <c r="BB788" s="313"/>
      <c r="BC788" s="313"/>
      <c r="BD788" s="313"/>
      <c r="BE788" s="314"/>
      <c r="BW788" s="314"/>
      <c r="BX788" s="314"/>
      <c r="BY788" s="314"/>
      <c r="BZ788" s="314"/>
      <c r="CA788" s="314"/>
      <c r="CB788" s="314"/>
      <c r="CC788" s="314"/>
      <c r="CD788" s="314"/>
    </row>
    <row r="789" ht="28.5" customHeight="1">
      <c r="A789" s="767"/>
      <c r="B789" s="768"/>
      <c r="C789" s="768"/>
      <c r="D789" s="769"/>
      <c r="E789" s="769"/>
      <c r="F789" s="769"/>
      <c r="G789" s="336"/>
      <c r="H789" s="771"/>
      <c r="I789" s="769"/>
      <c r="J789" s="769"/>
      <c r="K789" s="314"/>
      <c r="L789" s="314"/>
      <c r="M789" s="314"/>
      <c r="N789" s="769"/>
      <c r="O789" s="769"/>
      <c r="P789" s="773"/>
      <c r="Q789" s="774"/>
      <c r="R789" s="774"/>
      <c r="S789" s="775"/>
      <c r="AH789" s="776"/>
      <c r="AI789" s="776"/>
      <c r="AJ789" s="732"/>
      <c r="AK789" s="732"/>
      <c r="AL789" s="776"/>
      <c r="AM789" s="776"/>
      <c r="AN789" s="17"/>
      <c r="AO789" s="17"/>
      <c r="AP789" s="17"/>
      <c r="AQ789" s="17"/>
      <c r="AR789" s="17"/>
      <c r="AS789" s="17"/>
      <c r="AT789" s="17"/>
      <c r="AU789" s="732"/>
      <c r="AV789" s="313"/>
      <c r="AW789" s="313"/>
      <c r="AX789" s="313"/>
      <c r="AY789" s="313"/>
      <c r="AZ789" s="313"/>
      <c r="BA789" s="313"/>
      <c r="BB789" s="313"/>
      <c r="BC789" s="313"/>
      <c r="BD789" s="313"/>
      <c r="BE789" s="314"/>
      <c r="BW789" s="314"/>
      <c r="BX789" s="314"/>
      <c r="BY789" s="314"/>
      <c r="BZ789" s="314"/>
      <c r="CA789" s="314"/>
      <c r="CB789" s="314"/>
      <c r="CC789" s="314"/>
      <c r="CD789" s="314"/>
    </row>
    <row r="790" ht="28.5" customHeight="1">
      <c r="A790" s="767"/>
      <c r="B790" s="768"/>
      <c r="C790" s="768"/>
      <c r="D790" s="769"/>
      <c r="E790" s="769"/>
      <c r="F790" s="769"/>
      <c r="G790" s="336"/>
      <c r="H790" s="771"/>
      <c r="I790" s="769"/>
      <c r="J790" s="769"/>
      <c r="K790" s="314"/>
      <c r="L790" s="314"/>
      <c r="M790" s="314"/>
      <c r="N790" s="769"/>
      <c r="O790" s="769"/>
      <c r="P790" s="773"/>
      <c r="Q790" s="774"/>
      <c r="R790" s="774"/>
      <c r="S790" s="775"/>
      <c r="AH790" s="776"/>
      <c r="AI790" s="776"/>
      <c r="AJ790" s="732"/>
      <c r="AK790" s="732"/>
      <c r="AL790" s="776"/>
      <c r="AM790" s="776"/>
      <c r="AN790" s="17"/>
      <c r="AO790" s="17"/>
      <c r="AP790" s="17"/>
      <c r="AQ790" s="17"/>
      <c r="AR790" s="17"/>
      <c r="AS790" s="17"/>
      <c r="AT790" s="17"/>
      <c r="AU790" s="732"/>
      <c r="AV790" s="313"/>
      <c r="AW790" s="313"/>
      <c r="AX790" s="313"/>
      <c r="AY790" s="313"/>
      <c r="AZ790" s="313"/>
      <c r="BA790" s="313"/>
      <c r="BB790" s="313"/>
      <c r="BC790" s="313"/>
      <c r="BD790" s="313"/>
      <c r="BE790" s="314"/>
      <c r="BW790" s="314"/>
      <c r="BX790" s="314"/>
      <c r="BY790" s="314"/>
      <c r="BZ790" s="314"/>
      <c r="CA790" s="314"/>
      <c r="CB790" s="314"/>
      <c r="CC790" s="314"/>
      <c r="CD790" s="314"/>
    </row>
    <row r="791" ht="28.5" customHeight="1">
      <c r="A791" s="767"/>
      <c r="B791" s="768"/>
      <c r="C791" s="768"/>
      <c r="D791" s="769"/>
      <c r="E791" s="769"/>
      <c r="F791" s="769"/>
      <c r="G791" s="336"/>
      <c r="H791" s="771"/>
      <c r="I791" s="769"/>
      <c r="J791" s="769"/>
      <c r="K791" s="314"/>
      <c r="L791" s="314"/>
      <c r="M791" s="314"/>
      <c r="N791" s="769"/>
      <c r="O791" s="769"/>
      <c r="P791" s="773"/>
      <c r="Q791" s="774"/>
      <c r="R791" s="774"/>
      <c r="S791" s="775"/>
      <c r="AH791" s="776"/>
      <c r="AI791" s="776"/>
      <c r="AJ791" s="732"/>
      <c r="AK791" s="732"/>
      <c r="AL791" s="776"/>
      <c r="AM791" s="776"/>
      <c r="AN791" s="17"/>
      <c r="AO791" s="17"/>
      <c r="AP791" s="17"/>
      <c r="AQ791" s="17"/>
      <c r="AR791" s="17"/>
      <c r="AS791" s="17"/>
      <c r="AT791" s="17"/>
      <c r="AU791" s="732"/>
      <c r="AV791" s="313"/>
      <c r="AW791" s="313"/>
      <c r="AX791" s="313"/>
      <c r="AY791" s="313"/>
      <c r="AZ791" s="313"/>
      <c r="BA791" s="313"/>
      <c r="BB791" s="313"/>
      <c r="BC791" s="313"/>
      <c r="BD791" s="313"/>
      <c r="BE791" s="314"/>
      <c r="BW791" s="314"/>
      <c r="BX791" s="314"/>
      <c r="BY791" s="314"/>
      <c r="BZ791" s="314"/>
      <c r="CA791" s="314"/>
      <c r="CB791" s="314"/>
      <c r="CC791" s="314"/>
      <c r="CD791" s="314"/>
    </row>
    <row r="792" ht="28.5" customHeight="1">
      <c r="A792" s="767"/>
      <c r="B792" s="768"/>
      <c r="C792" s="768"/>
      <c r="D792" s="769"/>
      <c r="E792" s="769"/>
      <c r="F792" s="769"/>
      <c r="G792" s="336"/>
      <c r="H792" s="771"/>
      <c r="I792" s="769"/>
      <c r="J792" s="769"/>
      <c r="K792" s="314"/>
      <c r="L792" s="314"/>
      <c r="M792" s="314"/>
      <c r="N792" s="769"/>
      <c r="O792" s="769"/>
      <c r="P792" s="773"/>
      <c r="Q792" s="774"/>
      <c r="R792" s="774"/>
      <c r="S792" s="775"/>
      <c r="AH792" s="776"/>
      <c r="AI792" s="776"/>
      <c r="AJ792" s="732"/>
      <c r="AK792" s="732"/>
      <c r="AL792" s="776"/>
      <c r="AM792" s="776"/>
      <c r="AN792" s="17"/>
      <c r="AO792" s="17"/>
      <c r="AP792" s="17"/>
      <c r="AQ792" s="17"/>
      <c r="AR792" s="17"/>
      <c r="AS792" s="17"/>
      <c r="AT792" s="17"/>
      <c r="AU792" s="732"/>
      <c r="AV792" s="313"/>
      <c r="AW792" s="313"/>
      <c r="AX792" s="313"/>
      <c r="AY792" s="313"/>
      <c r="AZ792" s="313"/>
      <c r="BA792" s="313"/>
      <c r="BB792" s="313"/>
      <c r="BC792" s="313"/>
      <c r="BD792" s="313"/>
      <c r="BE792" s="314"/>
      <c r="BW792" s="314"/>
      <c r="BX792" s="314"/>
      <c r="BY792" s="314"/>
      <c r="BZ792" s="314"/>
      <c r="CA792" s="314"/>
      <c r="CB792" s="314"/>
      <c r="CC792" s="314"/>
      <c r="CD792" s="314"/>
    </row>
    <row r="793" ht="28.5" customHeight="1">
      <c r="A793" s="767"/>
      <c r="B793" s="768"/>
      <c r="C793" s="768"/>
      <c r="D793" s="769"/>
      <c r="E793" s="769"/>
      <c r="F793" s="769"/>
      <c r="G793" s="336"/>
      <c r="H793" s="771"/>
      <c r="I793" s="769"/>
      <c r="J793" s="769"/>
      <c r="K793" s="314"/>
      <c r="L793" s="314"/>
      <c r="M793" s="314"/>
      <c r="N793" s="769"/>
      <c r="O793" s="769"/>
      <c r="P793" s="773"/>
      <c r="Q793" s="774"/>
      <c r="R793" s="774"/>
      <c r="S793" s="775"/>
      <c r="AH793" s="776"/>
      <c r="AI793" s="776"/>
      <c r="AJ793" s="732"/>
      <c r="AK793" s="732"/>
      <c r="AL793" s="776"/>
      <c r="AM793" s="776"/>
      <c r="AN793" s="17"/>
      <c r="AO793" s="17"/>
      <c r="AP793" s="17"/>
      <c r="AQ793" s="17"/>
      <c r="AR793" s="17"/>
      <c r="AS793" s="17"/>
      <c r="AT793" s="17"/>
      <c r="AU793" s="732"/>
      <c r="AV793" s="313"/>
      <c r="AW793" s="313"/>
      <c r="AX793" s="313"/>
      <c r="AY793" s="313"/>
      <c r="AZ793" s="313"/>
      <c r="BA793" s="313"/>
      <c r="BB793" s="313"/>
      <c r="BC793" s="313"/>
      <c r="BD793" s="313"/>
      <c r="BE793" s="314"/>
      <c r="BW793" s="314"/>
      <c r="BX793" s="314"/>
      <c r="BY793" s="314"/>
      <c r="BZ793" s="314"/>
      <c r="CA793" s="314"/>
      <c r="CB793" s="314"/>
      <c r="CC793" s="314"/>
      <c r="CD793" s="314"/>
    </row>
    <row r="794" ht="28.5" customHeight="1">
      <c r="A794" s="767"/>
      <c r="B794" s="768"/>
      <c r="C794" s="768"/>
      <c r="D794" s="769"/>
      <c r="E794" s="769"/>
      <c r="F794" s="769"/>
      <c r="G794" s="336"/>
      <c r="H794" s="771"/>
      <c r="I794" s="769"/>
      <c r="J794" s="769"/>
      <c r="K794" s="314"/>
      <c r="L794" s="314"/>
      <c r="M794" s="314"/>
      <c r="N794" s="769"/>
      <c r="O794" s="769"/>
      <c r="P794" s="773"/>
      <c r="Q794" s="774"/>
      <c r="R794" s="774"/>
      <c r="S794" s="775"/>
      <c r="AH794" s="776"/>
      <c r="AI794" s="776"/>
      <c r="AJ794" s="732"/>
      <c r="AK794" s="732"/>
      <c r="AL794" s="776"/>
      <c r="AM794" s="776"/>
      <c r="AN794" s="17"/>
      <c r="AO794" s="17"/>
      <c r="AP794" s="17"/>
      <c r="AQ794" s="17"/>
      <c r="AR794" s="17"/>
      <c r="AS794" s="17"/>
      <c r="AT794" s="17"/>
      <c r="AU794" s="732"/>
      <c r="AV794" s="313"/>
      <c r="AW794" s="313"/>
      <c r="AX794" s="313"/>
      <c r="AY794" s="313"/>
      <c r="AZ794" s="313"/>
      <c r="BA794" s="313"/>
      <c r="BB794" s="313"/>
      <c r="BC794" s="313"/>
      <c r="BD794" s="313"/>
      <c r="BE794" s="314"/>
      <c r="BW794" s="314"/>
      <c r="BX794" s="314"/>
      <c r="BY794" s="314"/>
      <c r="BZ794" s="314"/>
      <c r="CA794" s="314"/>
      <c r="CB794" s="314"/>
      <c r="CC794" s="314"/>
      <c r="CD794" s="314"/>
    </row>
    <row r="795" ht="28.5" customHeight="1">
      <c r="A795" s="767"/>
      <c r="B795" s="768"/>
      <c r="C795" s="768"/>
      <c r="D795" s="769"/>
      <c r="E795" s="769"/>
      <c r="F795" s="769"/>
      <c r="G795" s="336"/>
      <c r="H795" s="771"/>
      <c r="I795" s="769"/>
      <c r="J795" s="769"/>
      <c r="K795" s="314"/>
      <c r="L795" s="314"/>
      <c r="M795" s="314"/>
      <c r="N795" s="769"/>
      <c r="O795" s="769"/>
      <c r="P795" s="773"/>
      <c r="Q795" s="774"/>
      <c r="R795" s="774"/>
      <c r="S795" s="775"/>
      <c r="AH795" s="776"/>
      <c r="AI795" s="776"/>
      <c r="AJ795" s="732"/>
      <c r="AK795" s="732"/>
      <c r="AL795" s="776"/>
      <c r="AM795" s="776"/>
      <c r="AN795" s="17"/>
      <c r="AO795" s="17"/>
      <c r="AP795" s="17"/>
      <c r="AQ795" s="17"/>
      <c r="AR795" s="17"/>
      <c r="AS795" s="17"/>
      <c r="AT795" s="17"/>
      <c r="AU795" s="732"/>
      <c r="AV795" s="313"/>
      <c r="AW795" s="313"/>
      <c r="AX795" s="313"/>
      <c r="AY795" s="313"/>
      <c r="AZ795" s="313"/>
      <c r="BA795" s="313"/>
      <c r="BB795" s="313"/>
      <c r="BC795" s="313"/>
      <c r="BD795" s="313"/>
      <c r="BE795" s="314"/>
      <c r="BW795" s="314"/>
      <c r="BX795" s="314"/>
      <c r="BY795" s="314"/>
      <c r="BZ795" s="314"/>
      <c r="CA795" s="314"/>
      <c r="CB795" s="314"/>
      <c r="CC795" s="314"/>
      <c r="CD795" s="314"/>
    </row>
    <row r="796" ht="28.5" customHeight="1">
      <c r="A796" s="767"/>
      <c r="B796" s="768"/>
      <c r="C796" s="768"/>
      <c r="D796" s="769"/>
      <c r="E796" s="769"/>
      <c r="F796" s="769"/>
      <c r="G796" s="336"/>
      <c r="H796" s="771"/>
      <c r="I796" s="769"/>
      <c r="J796" s="769"/>
      <c r="K796" s="314"/>
      <c r="L796" s="314"/>
      <c r="M796" s="314"/>
      <c r="N796" s="769"/>
      <c r="O796" s="769"/>
      <c r="P796" s="773"/>
      <c r="Q796" s="774"/>
      <c r="R796" s="774"/>
      <c r="S796" s="775"/>
      <c r="AH796" s="776"/>
      <c r="AI796" s="776"/>
      <c r="AJ796" s="732"/>
      <c r="AK796" s="732"/>
      <c r="AL796" s="776"/>
      <c r="AM796" s="776"/>
      <c r="AN796" s="17"/>
      <c r="AO796" s="17"/>
      <c r="AP796" s="17"/>
      <c r="AQ796" s="17"/>
      <c r="AR796" s="17"/>
      <c r="AS796" s="17"/>
      <c r="AT796" s="17"/>
      <c r="AU796" s="732"/>
      <c r="AV796" s="313"/>
      <c r="AW796" s="313"/>
      <c r="AX796" s="313"/>
      <c r="AY796" s="313"/>
      <c r="AZ796" s="313"/>
      <c r="BA796" s="313"/>
      <c r="BB796" s="313"/>
      <c r="BC796" s="313"/>
      <c r="BD796" s="313"/>
      <c r="BE796" s="314"/>
      <c r="BW796" s="314"/>
      <c r="BX796" s="314"/>
      <c r="BY796" s="314"/>
      <c r="BZ796" s="314"/>
      <c r="CA796" s="314"/>
      <c r="CB796" s="314"/>
      <c r="CC796" s="314"/>
      <c r="CD796" s="314"/>
    </row>
    <row r="797" ht="28.5" customHeight="1">
      <c r="A797" s="767"/>
      <c r="B797" s="768"/>
      <c r="C797" s="768"/>
      <c r="D797" s="769"/>
      <c r="E797" s="769"/>
      <c r="F797" s="769"/>
      <c r="G797" s="336"/>
      <c r="H797" s="771"/>
      <c r="I797" s="769"/>
      <c r="J797" s="769"/>
      <c r="K797" s="314"/>
      <c r="L797" s="314"/>
      <c r="M797" s="314"/>
      <c r="N797" s="769"/>
      <c r="O797" s="769"/>
      <c r="P797" s="773"/>
      <c r="Q797" s="774"/>
      <c r="R797" s="774"/>
      <c r="S797" s="775"/>
      <c r="AH797" s="776"/>
      <c r="AI797" s="776"/>
      <c r="AJ797" s="732"/>
      <c r="AK797" s="732"/>
      <c r="AL797" s="776"/>
      <c r="AM797" s="776"/>
      <c r="AN797" s="17"/>
      <c r="AO797" s="17"/>
      <c r="AP797" s="17"/>
      <c r="AQ797" s="17"/>
      <c r="AR797" s="17"/>
      <c r="AS797" s="17"/>
      <c r="AT797" s="17"/>
      <c r="AU797" s="732"/>
      <c r="AV797" s="313"/>
      <c r="AW797" s="313"/>
      <c r="AX797" s="313"/>
      <c r="AY797" s="313"/>
      <c r="AZ797" s="313"/>
      <c r="BA797" s="313"/>
      <c r="BB797" s="313"/>
      <c r="BC797" s="313"/>
      <c r="BD797" s="313"/>
      <c r="BE797" s="314"/>
      <c r="BW797" s="314"/>
      <c r="BX797" s="314"/>
      <c r="BY797" s="314"/>
      <c r="BZ797" s="314"/>
      <c r="CA797" s="314"/>
      <c r="CB797" s="314"/>
      <c r="CC797" s="314"/>
      <c r="CD797" s="314"/>
    </row>
    <row r="798" ht="28.5" customHeight="1">
      <c r="A798" s="767"/>
      <c r="B798" s="768"/>
      <c r="C798" s="768"/>
      <c r="D798" s="769"/>
      <c r="E798" s="769"/>
      <c r="F798" s="769"/>
      <c r="G798" s="336"/>
      <c r="H798" s="771"/>
      <c r="I798" s="769"/>
      <c r="J798" s="769"/>
      <c r="K798" s="314"/>
      <c r="L798" s="314"/>
      <c r="M798" s="314"/>
      <c r="N798" s="769"/>
      <c r="O798" s="769"/>
      <c r="P798" s="773"/>
      <c r="Q798" s="774"/>
      <c r="R798" s="774"/>
      <c r="S798" s="775"/>
      <c r="AH798" s="776"/>
      <c r="AI798" s="776"/>
      <c r="AJ798" s="732"/>
      <c r="AK798" s="732"/>
      <c r="AL798" s="776"/>
      <c r="AM798" s="776"/>
      <c r="AN798" s="17"/>
      <c r="AO798" s="17"/>
      <c r="AP798" s="17"/>
      <c r="AQ798" s="17"/>
      <c r="AR798" s="17"/>
      <c r="AS798" s="17"/>
      <c r="AT798" s="17"/>
      <c r="AU798" s="732"/>
      <c r="AV798" s="313"/>
      <c r="AW798" s="313"/>
      <c r="AX798" s="313"/>
      <c r="AY798" s="313"/>
      <c r="AZ798" s="313"/>
      <c r="BA798" s="313"/>
      <c r="BB798" s="313"/>
      <c r="BC798" s="313"/>
      <c r="BD798" s="313"/>
      <c r="BE798" s="314"/>
      <c r="BW798" s="314"/>
      <c r="BX798" s="314"/>
      <c r="BY798" s="314"/>
      <c r="BZ798" s="314"/>
      <c r="CA798" s="314"/>
      <c r="CB798" s="314"/>
      <c r="CC798" s="314"/>
      <c r="CD798" s="314"/>
    </row>
    <row r="799" ht="28.5" customHeight="1">
      <c r="A799" s="767"/>
      <c r="B799" s="768"/>
      <c r="C799" s="768"/>
      <c r="D799" s="769"/>
      <c r="E799" s="769"/>
      <c r="F799" s="769"/>
      <c r="G799" s="336"/>
      <c r="H799" s="771"/>
      <c r="I799" s="769"/>
      <c r="J799" s="769"/>
      <c r="K799" s="314"/>
      <c r="L799" s="314"/>
      <c r="M799" s="314"/>
      <c r="N799" s="769"/>
      <c r="O799" s="769"/>
      <c r="P799" s="773"/>
      <c r="Q799" s="774"/>
      <c r="R799" s="774"/>
      <c r="S799" s="775"/>
      <c r="AH799" s="776"/>
      <c r="AI799" s="776"/>
      <c r="AJ799" s="732"/>
      <c r="AK799" s="732"/>
      <c r="AL799" s="776"/>
      <c r="AM799" s="776"/>
      <c r="AN799" s="17"/>
      <c r="AO799" s="17"/>
      <c r="AP799" s="17"/>
      <c r="AQ799" s="17"/>
      <c r="AR799" s="17"/>
      <c r="AS799" s="17"/>
      <c r="AT799" s="17"/>
      <c r="AU799" s="732"/>
      <c r="AV799" s="313"/>
      <c r="AW799" s="313"/>
      <c r="AX799" s="313"/>
      <c r="AY799" s="313"/>
      <c r="AZ799" s="313"/>
      <c r="BA799" s="313"/>
      <c r="BB799" s="313"/>
      <c r="BC799" s="313"/>
      <c r="BD799" s="313"/>
      <c r="BE799" s="314"/>
      <c r="BW799" s="314"/>
      <c r="BX799" s="314"/>
      <c r="BY799" s="314"/>
      <c r="BZ799" s="314"/>
      <c r="CA799" s="314"/>
      <c r="CB799" s="314"/>
      <c r="CC799" s="314"/>
      <c r="CD799" s="314"/>
    </row>
    <row r="800" ht="28.5" customHeight="1">
      <c r="A800" s="767"/>
      <c r="B800" s="768"/>
      <c r="C800" s="768"/>
      <c r="D800" s="769"/>
      <c r="E800" s="769"/>
      <c r="F800" s="769"/>
      <c r="G800" s="336"/>
      <c r="H800" s="771"/>
      <c r="I800" s="769"/>
      <c r="J800" s="769"/>
      <c r="K800" s="314"/>
      <c r="L800" s="314"/>
      <c r="M800" s="314"/>
      <c r="N800" s="769"/>
      <c r="O800" s="769"/>
      <c r="P800" s="773"/>
      <c r="Q800" s="774"/>
      <c r="R800" s="774"/>
      <c r="S800" s="775"/>
      <c r="AH800" s="776"/>
      <c r="AI800" s="776"/>
      <c r="AJ800" s="732"/>
      <c r="AK800" s="732"/>
      <c r="AL800" s="776"/>
      <c r="AM800" s="776"/>
      <c r="AN800" s="17"/>
      <c r="AO800" s="17"/>
      <c r="AP800" s="17"/>
      <c r="AQ800" s="17"/>
      <c r="AR800" s="17"/>
      <c r="AS800" s="17"/>
      <c r="AT800" s="17"/>
      <c r="AU800" s="732"/>
      <c r="AV800" s="313"/>
      <c r="AW800" s="313"/>
      <c r="AX800" s="313"/>
      <c r="AY800" s="313"/>
      <c r="AZ800" s="313"/>
      <c r="BA800" s="313"/>
      <c r="BB800" s="313"/>
      <c r="BC800" s="313"/>
      <c r="BD800" s="313"/>
      <c r="BE800" s="314"/>
      <c r="BW800" s="314"/>
      <c r="BX800" s="314"/>
      <c r="BY800" s="314"/>
      <c r="BZ800" s="314"/>
      <c r="CA800" s="314"/>
      <c r="CB800" s="314"/>
      <c r="CC800" s="314"/>
      <c r="CD800" s="314"/>
    </row>
    <row r="801" ht="28.5" customHeight="1">
      <c r="A801" s="767"/>
      <c r="B801" s="768"/>
      <c r="C801" s="768"/>
      <c r="D801" s="769"/>
      <c r="E801" s="769"/>
      <c r="F801" s="769"/>
      <c r="G801" s="336"/>
      <c r="H801" s="771"/>
      <c r="I801" s="769"/>
      <c r="J801" s="769"/>
      <c r="K801" s="314"/>
      <c r="L801" s="314"/>
      <c r="M801" s="314"/>
      <c r="N801" s="769"/>
      <c r="O801" s="769"/>
      <c r="P801" s="773"/>
      <c r="Q801" s="774"/>
      <c r="R801" s="774"/>
      <c r="S801" s="775"/>
      <c r="AH801" s="776"/>
      <c r="AI801" s="776"/>
      <c r="AJ801" s="732"/>
      <c r="AK801" s="732"/>
      <c r="AL801" s="776"/>
      <c r="AM801" s="776"/>
      <c r="AN801" s="17"/>
      <c r="AO801" s="17"/>
      <c r="AP801" s="17"/>
      <c r="AQ801" s="17"/>
      <c r="AR801" s="17"/>
      <c r="AS801" s="17"/>
      <c r="AT801" s="17"/>
      <c r="AU801" s="732"/>
      <c r="AV801" s="313"/>
      <c r="AW801" s="313"/>
      <c r="AX801" s="313"/>
      <c r="AY801" s="313"/>
      <c r="AZ801" s="313"/>
      <c r="BA801" s="313"/>
      <c r="BB801" s="313"/>
      <c r="BC801" s="313"/>
      <c r="BD801" s="313"/>
      <c r="BE801" s="314"/>
      <c r="BW801" s="314"/>
      <c r="BX801" s="314"/>
      <c r="BY801" s="314"/>
      <c r="BZ801" s="314"/>
      <c r="CA801" s="314"/>
      <c r="CB801" s="314"/>
      <c r="CC801" s="314"/>
      <c r="CD801" s="314"/>
    </row>
    <row r="802" ht="28.5" customHeight="1">
      <c r="A802" s="767"/>
      <c r="B802" s="768"/>
      <c r="C802" s="768"/>
      <c r="D802" s="769"/>
      <c r="E802" s="769"/>
      <c r="F802" s="769"/>
      <c r="G802" s="336"/>
      <c r="H802" s="771"/>
      <c r="I802" s="769"/>
      <c r="J802" s="769"/>
      <c r="K802" s="314"/>
      <c r="L802" s="314"/>
      <c r="M802" s="314"/>
      <c r="N802" s="769"/>
      <c r="O802" s="769"/>
      <c r="P802" s="773"/>
      <c r="Q802" s="774"/>
      <c r="R802" s="774"/>
      <c r="S802" s="775"/>
      <c r="AH802" s="776"/>
      <c r="AI802" s="776"/>
      <c r="AJ802" s="732"/>
      <c r="AK802" s="732"/>
      <c r="AL802" s="776"/>
      <c r="AM802" s="776"/>
      <c r="AN802" s="17"/>
      <c r="AO802" s="17"/>
      <c r="AP802" s="17"/>
      <c r="AQ802" s="17"/>
      <c r="AR802" s="17"/>
      <c r="AS802" s="17"/>
      <c r="AT802" s="17"/>
      <c r="AU802" s="732"/>
      <c r="AV802" s="313"/>
      <c r="AW802" s="313"/>
      <c r="AX802" s="313"/>
      <c r="AY802" s="313"/>
      <c r="AZ802" s="313"/>
      <c r="BA802" s="313"/>
      <c r="BB802" s="313"/>
      <c r="BC802" s="313"/>
      <c r="BD802" s="313"/>
      <c r="BE802" s="314"/>
      <c r="BW802" s="314"/>
      <c r="BX802" s="314"/>
      <c r="BY802" s="314"/>
      <c r="BZ802" s="314"/>
      <c r="CA802" s="314"/>
      <c r="CB802" s="314"/>
      <c r="CC802" s="314"/>
      <c r="CD802" s="314"/>
    </row>
    <row r="803" ht="28.5" customHeight="1">
      <c r="A803" s="767"/>
      <c r="B803" s="768"/>
      <c r="C803" s="768"/>
      <c r="D803" s="769"/>
      <c r="E803" s="769"/>
      <c r="F803" s="769"/>
      <c r="G803" s="336"/>
      <c r="H803" s="771"/>
      <c r="I803" s="769"/>
      <c r="J803" s="769"/>
      <c r="K803" s="314"/>
      <c r="L803" s="314"/>
      <c r="M803" s="314"/>
      <c r="N803" s="769"/>
      <c r="O803" s="769"/>
      <c r="P803" s="773"/>
      <c r="Q803" s="774"/>
      <c r="R803" s="774"/>
      <c r="S803" s="775"/>
      <c r="AH803" s="776"/>
      <c r="AI803" s="776"/>
      <c r="AJ803" s="732"/>
      <c r="AK803" s="732"/>
      <c r="AL803" s="776"/>
      <c r="AM803" s="776"/>
      <c r="AN803" s="17"/>
      <c r="AO803" s="17"/>
      <c r="AP803" s="17"/>
      <c r="AQ803" s="17"/>
      <c r="AR803" s="17"/>
      <c r="AS803" s="17"/>
      <c r="AT803" s="17"/>
      <c r="AU803" s="732"/>
      <c r="AV803" s="313"/>
      <c r="AW803" s="313"/>
      <c r="AX803" s="313"/>
      <c r="AY803" s="313"/>
      <c r="AZ803" s="313"/>
      <c r="BA803" s="313"/>
      <c r="BB803" s="313"/>
      <c r="BC803" s="313"/>
      <c r="BD803" s="313"/>
      <c r="BE803" s="314"/>
      <c r="BW803" s="314"/>
      <c r="BX803" s="314"/>
      <c r="BY803" s="314"/>
      <c r="BZ803" s="314"/>
      <c r="CA803" s="314"/>
      <c r="CB803" s="314"/>
      <c r="CC803" s="314"/>
      <c r="CD803" s="314"/>
    </row>
    <row r="804" ht="28.5" customHeight="1">
      <c r="A804" s="767"/>
      <c r="B804" s="768"/>
      <c r="C804" s="768"/>
      <c r="D804" s="769"/>
      <c r="E804" s="769"/>
      <c r="F804" s="769"/>
      <c r="G804" s="336"/>
      <c r="H804" s="771"/>
      <c r="I804" s="769"/>
      <c r="J804" s="769"/>
      <c r="K804" s="314"/>
      <c r="L804" s="314"/>
      <c r="M804" s="314"/>
      <c r="N804" s="769"/>
      <c r="O804" s="769"/>
      <c r="P804" s="773"/>
      <c r="Q804" s="774"/>
      <c r="R804" s="774"/>
      <c r="S804" s="775"/>
      <c r="AH804" s="776"/>
      <c r="AI804" s="776"/>
      <c r="AJ804" s="732"/>
      <c r="AK804" s="732"/>
      <c r="AL804" s="776"/>
      <c r="AM804" s="776"/>
      <c r="AN804" s="17"/>
      <c r="AO804" s="17"/>
      <c r="AP804" s="17"/>
      <c r="AQ804" s="17"/>
      <c r="AR804" s="17"/>
      <c r="AS804" s="17"/>
      <c r="AT804" s="17"/>
      <c r="AU804" s="732"/>
      <c r="AV804" s="313"/>
      <c r="AW804" s="313"/>
      <c r="AX804" s="313"/>
      <c r="AY804" s="313"/>
      <c r="AZ804" s="313"/>
      <c r="BA804" s="313"/>
      <c r="BB804" s="313"/>
      <c r="BC804" s="313"/>
      <c r="BD804" s="313"/>
      <c r="BE804" s="314"/>
      <c r="BW804" s="314"/>
      <c r="BX804" s="314"/>
      <c r="BY804" s="314"/>
      <c r="BZ804" s="314"/>
      <c r="CA804" s="314"/>
      <c r="CB804" s="314"/>
      <c r="CC804" s="314"/>
      <c r="CD804" s="314"/>
    </row>
    <row r="805" ht="28.5" customHeight="1">
      <c r="A805" s="767"/>
      <c r="B805" s="768"/>
      <c r="C805" s="768"/>
      <c r="D805" s="769"/>
      <c r="E805" s="769"/>
      <c r="F805" s="769"/>
      <c r="G805" s="336"/>
      <c r="H805" s="771"/>
      <c r="I805" s="769"/>
      <c r="J805" s="769"/>
      <c r="K805" s="314"/>
      <c r="L805" s="314"/>
      <c r="M805" s="314"/>
      <c r="N805" s="769"/>
      <c r="O805" s="769"/>
      <c r="P805" s="773"/>
      <c r="Q805" s="774"/>
      <c r="R805" s="774"/>
      <c r="S805" s="775"/>
      <c r="AH805" s="776"/>
      <c r="AI805" s="776"/>
      <c r="AJ805" s="732"/>
      <c r="AK805" s="732"/>
      <c r="AL805" s="776"/>
      <c r="AM805" s="776"/>
      <c r="AN805" s="17"/>
      <c r="AO805" s="17"/>
      <c r="AP805" s="17"/>
      <c r="AQ805" s="17"/>
      <c r="AR805" s="17"/>
      <c r="AS805" s="17"/>
      <c r="AT805" s="17"/>
      <c r="AU805" s="732"/>
      <c r="AV805" s="313"/>
      <c r="AW805" s="313"/>
      <c r="AX805" s="313"/>
      <c r="AY805" s="313"/>
      <c r="AZ805" s="313"/>
      <c r="BA805" s="313"/>
      <c r="BB805" s="313"/>
      <c r="BC805" s="313"/>
      <c r="BD805" s="313"/>
      <c r="BE805" s="314"/>
      <c r="BW805" s="314"/>
      <c r="BX805" s="314"/>
      <c r="BY805" s="314"/>
      <c r="BZ805" s="314"/>
      <c r="CA805" s="314"/>
      <c r="CB805" s="314"/>
      <c r="CC805" s="314"/>
      <c r="CD805" s="314"/>
    </row>
    <row r="806" ht="28.5" customHeight="1">
      <c r="A806" s="767"/>
      <c r="B806" s="768"/>
      <c r="C806" s="768"/>
      <c r="D806" s="769"/>
      <c r="E806" s="769"/>
      <c r="F806" s="769"/>
      <c r="G806" s="336"/>
      <c r="H806" s="771"/>
      <c r="I806" s="769"/>
      <c r="J806" s="769"/>
      <c r="K806" s="314"/>
      <c r="L806" s="314"/>
      <c r="M806" s="314"/>
      <c r="N806" s="769"/>
      <c r="O806" s="769"/>
      <c r="P806" s="773"/>
      <c r="Q806" s="774"/>
      <c r="R806" s="774"/>
      <c r="S806" s="775"/>
      <c r="AH806" s="776"/>
      <c r="AI806" s="776"/>
      <c r="AJ806" s="732"/>
      <c r="AK806" s="732"/>
      <c r="AL806" s="776"/>
      <c r="AM806" s="776"/>
      <c r="AN806" s="17"/>
      <c r="AO806" s="17"/>
      <c r="AP806" s="17"/>
      <c r="AQ806" s="17"/>
      <c r="AR806" s="17"/>
      <c r="AS806" s="17"/>
      <c r="AT806" s="17"/>
      <c r="AU806" s="732"/>
      <c r="AV806" s="313"/>
      <c r="AW806" s="313"/>
      <c r="AX806" s="313"/>
      <c r="AY806" s="313"/>
      <c r="AZ806" s="313"/>
      <c r="BA806" s="313"/>
      <c r="BB806" s="313"/>
      <c r="BC806" s="313"/>
      <c r="BD806" s="313"/>
      <c r="BE806" s="314"/>
      <c r="BW806" s="314"/>
      <c r="BX806" s="314"/>
      <c r="BY806" s="314"/>
      <c r="BZ806" s="314"/>
      <c r="CA806" s="314"/>
      <c r="CB806" s="314"/>
      <c r="CC806" s="314"/>
      <c r="CD806" s="314"/>
    </row>
    <row r="807" ht="28.5" customHeight="1">
      <c r="A807" s="767"/>
      <c r="B807" s="768"/>
      <c r="C807" s="768"/>
      <c r="D807" s="769"/>
      <c r="E807" s="769"/>
      <c r="F807" s="769"/>
      <c r="G807" s="336"/>
      <c r="H807" s="771"/>
      <c r="I807" s="769"/>
      <c r="J807" s="769"/>
      <c r="K807" s="314"/>
      <c r="L807" s="314"/>
      <c r="M807" s="314"/>
      <c r="N807" s="769"/>
      <c r="O807" s="769"/>
      <c r="P807" s="773"/>
      <c r="Q807" s="774"/>
      <c r="R807" s="774"/>
      <c r="S807" s="775"/>
      <c r="AH807" s="776"/>
      <c r="AI807" s="776"/>
      <c r="AJ807" s="732"/>
      <c r="AK807" s="732"/>
      <c r="AL807" s="776"/>
      <c r="AM807" s="776"/>
      <c r="AN807" s="17"/>
      <c r="AO807" s="17"/>
      <c r="AP807" s="17"/>
      <c r="AQ807" s="17"/>
      <c r="AR807" s="17"/>
      <c r="AS807" s="17"/>
      <c r="AT807" s="17"/>
      <c r="AU807" s="732"/>
      <c r="AV807" s="313"/>
      <c r="AW807" s="313"/>
      <c r="AX807" s="313"/>
      <c r="AY807" s="313"/>
      <c r="AZ807" s="313"/>
      <c r="BA807" s="313"/>
      <c r="BB807" s="313"/>
      <c r="BC807" s="313"/>
      <c r="BD807" s="313"/>
      <c r="BE807" s="314"/>
      <c r="BW807" s="314"/>
      <c r="BX807" s="314"/>
      <c r="BY807" s="314"/>
      <c r="BZ807" s="314"/>
      <c r="CA807" s="314"/>
      <c r="CB807" s="314"/>
      <c r="CC807" s="314"/>
      <c r="CD807" s="314"/>
    </row>
    <row r="808" ht="28.5" customHeight="1">
      <c r="A808" s="767"/>
      <c r="B808" s="768"/>
      <c r="C808" s="768"/>
      <c r="D808" s="769"/>
      <c r="E808" s="769"/>
      <c r="F808" s="769"/>
      <c r="G808" s="336"/>
      <c r="H808" s="771"/>
      <c r="I808" s="769"/>
      <c r="J808" s="769"/>
      <c r="K808" s="314"/>
      <c r="L808" s="314"/>
      <c r="M808" s="314"/>
      <c r="N808" s="769"/>
      <c r="O808" s="769"/>
      <c r="P808" s="773"/>
      <c r="Q808" s="774"/>
      <c r="R808" s="774"/>
      <c r="S808" s="775"/>
      <c r="AH808" s="776"/>
      <c r="AI808" s="776"/>
      <c r="AJ808" s="732"/>
      <c r="AK808" s="732"/>
      <c r="AL808" s="776"/>
      <c r="AM808" s="776"/>
      <c r="AN808" s="17"/>
      <c r="AO808" s="17"/>
      <c r="AP808" s="17"/>
      <c r="AQ808" s="17"/>
      <c r="AR808" s="17"/>
      <c r="AS808" s="17"/>
      <c r="AT808" s="17"/>
      <c r="AU808" s="732"/>
      <c r="AV808" s="313"/>
      <c r="AW808" s="313"/>
      <c r="AX808" s="313"/>
      <c r="AY808" s="313"/>
      <c r="AZ808" s="313"/>
      <c r="BA808" s="313"/>
      <c r="BB808" s="313"/>
      <c r="BC808" s="313"/>
      <c r="BD808" s="313"/>
      <c r="BE808" s="314"/>
      <c r="BW808" s="314"/>
      <c r="BX808" s="314"/>
      <c r="BY808" s="314"/>
      <c r="BZ808" s="314"/>
      <c r="CA808" s="314"/>
      <c r="CB808" s="314"/>
      <c r="CC808" s="314"/>
      <c r="CD808" s="314"/>
    </row>
    <row r="809" ht="28.5" customHeight="1">
      <c r="A809" s="767"/>
      <c r="B809" s="768"/>
      <c r="C809" s="768"/>
      <c r="D809" s="769"/>
      <c r="E809" s="769"/>
      <c r="F809" s="769"/>
      <c r="G809" s="336"/>
      <c r="H809" s="771"/>
      <c r="I809" s="769"/>
      <c r="J809" s="769"/>
      <c r="K809" s="314"/>
      <c r="L809" s="314"/>
      <c r="M809" s="314"/>
      <c r="N809" s="769"/>
      <c r="O809" s="769"/>
      <c r="P809" s="773"/>
      <c r="Q809" s="774"/>
      <c r="R809" s="774"/>
      <c r="S809" s="775"/>
      <c r="AH809" s="776"/>
      <c r="AI809" s="776"/>
      <c r="AJ809" s="732"/>
      <c r="AK809" s="732"/>
      <c r="AL809" s="776"/>
      <c r="AM809" s="776"/>
      <c r="AN809" s="17"/>
      <c r="AO809" s="17"/>
      <c r="AP809" s="17"/>
      <c r="AQ809" s="17"/>
      <c r="AR809" s="17"/>
      <c r="AS809" s="17"/>
      <c r="AT809" s="17"/>
      <c r="AU809" s="732"/>
      <c r="AV809" s="313"/>
      <c r="AW809" s="313"/>
      <c r="AX809" s="313"/>
      <c r="AY809" s="313"/>
      <c r="AZ809" s="313"/>
      <c r="BA809" s="313"/>
      <c r="BB809" s="313"/>
      <c r="BC809" s="313"/>
      <c r="BD809" s="313"/>
      <c r="BE809" s="314"/>
      <c r="BW809" s="314"/>
      <c r="BX809" s="314"/>
      <c r="BY809" s="314"/>
      <c r="BZ809" s="314"/>
      <c r="CA809" s="314"/>
      <c r="CB809" s="314"/>
      <c r="CC809" s="314"/>
      <c r="CD809" s="314"/>
    </row>
    <row r="810" ht="28.5" customHeight="1">
      <c r="A810" s="767"/>
      <c r="B810" s="768"/>
      <c r="C810" s="768"/>
      <c r="D810" s="769"/>
      <c r="E810" s="769"/>
      <c r="F810" s="769"/>
      <c r="G810" s="336"/>
      <c r="H810" s="771"/>
      <c r="I810" s="769"/>
      <c r="J810" s="769"/>
      <c r="K810" s="314"/>
      <c r="L810" s="314"/>
      <c r="M810" s="314"/>
      <c r="N810" s="769"/>
      <c r="O810" s="769"/>
      <c r="P810" s="773"/>
      <c r="Q810" s="774"/>
      <c r="R810" s="774"/>
      <c r="S810" s="775"/>
      <c r="AH810" s="776"/>
      <c r="AI810" s="776"/>
      <c r="AJ810" s="732"/>
      <c r="AK810" s="732"/>
      <c r="AL810" s="776"/>
      <c r="AM810" s="776"/>
      <c r="AN810" s="17"/>
      <c r="AO810" s="17"/>
      <c r="AP810" s="17"/>
      <c r="AQ810" s="17"/>
      <c r="AR810" s="17"/>
      <c r="AS810" s="17"/>
      <c r="AT810" s="17"/>
      <c r="AU810" s="732"/>
      <c r="AV810" s="313"/>
      <c r="AW810" s="313"/>
      <c r="AX810" s="313"/>
      <c r="AY810" s="313"/>
      <c r="AZ810" s="313"/>
      <c r="BA810" s="313"/>
      <c r="BB810" s="313"/>
      <c r="BC810" s="313"/>
      <c r="BD810" s="313"/>
      <c r="BE810" s="314"/>
      <c r="BW810" s="314"/>
      <c r="BX810" s="314"/>
      <c r="BY810" s="314"/>
      <c r="BZ810" s="314"/>
      <c r="CA810" s="314"/>
      <c r="CB810" s="314"/>
      <c r="CC810" s="314"/>
      <c r="CD810" s="314"/>
    </row>
    <row r="811" ht="28.5" customHeight="1">
      <c r="A811" s="767"/>
      <c r="B811" s="768"/>
      <c r="C811" s="768"/>
      <c r="D811" s="769"/>
      <c r="E811" s="769"/>
      <c r="F811" s="769"/>
      <c r="G811" s="336"/>
      <c r="H811" s="771"/>
      <c r="I811" s="769"/>
      <c r="J811" s="769"/>
      <c r="K811" s="314"/>
      <c r="L811" s="314"/>
      <c r="M811" s="314"/>
      <c r="N811" s="769"/>
      <c r="O811" s="769"/>
      <c r="P811" s="773"/>
      <c r="Q811" s="774"/>
      <c r="R811" s="774"/>
      <c r="S811" s="775"/>
      <c r="AH811" s="776"/>
      <c r="AI811" s="776"/>
      <c r="AJ811" s="732"/>
      <c r="AK811" s="732"/>
      <c r="AL811" s="776"/>
      <c r="AM811" s="776"/>
      <c r="AN811" s="17"/>
      <c r="AO811" s="17"/>
      <c r="AP811" s="17"/>
      <c r="AQ811" s="17"/>
      <c r="AR811" s="17"/>
      <c r="AS811" s="17"/>
      <c r="AT811" s="17"/>
      <c r="AU811" s="732"/>
      <c r="AV811" s="313"/>
      <c r="AW811" s="313"/>
      <c r="AX811" s="313"/>
      <c r="AY811" s="313"/>
      <c r="AZ811" s="313"/>
      <c r="BA811" s="313"/>
      <c r="BB811" s="313"/>
      <c r="BC811" s="313"/>
      <c r="BD811" s="313"/>
      <c r="BE811" s="314"/>
      <c r="BW811" s="314"/>
      <c r="BX811" s="314"/>
      <c r="BY811" s="314"/>
      <c r="BZ811" s="314"/>
      <c r="CA811" s="314"/>
      <c r="CB811" s="314"/>
      <c r="CC811" s="314"/>
      <c r="CD811" s="314"/>
    </row>
    <row r="812" ht="28.5" customHeight="1">
      <c r="A812" s="767"/>
      <c r="B812" s="768"/>
      <c r="C812" s="768"/>
      <c r="D812" s="769"/>
      <c r="E812" s="769"/>
      <c r="F812" s="769"/>
      <c r="G812" s="336"/>
      <c r="H812" s="771"/>
      <c r="I812" s="769"/>
      <c r="J812" s="769"/>
      <c r="K812" s="314"/>
      <c r="L812" s="314"/>
      <c r="M812" s="314"/>
      <c r="N812" s="769"/>
      <c r="O812" s="769"/>
      <c r="P812" s="773"/>
      <c r="Q812" s="774"/>
      <c r="R812" s="774"/>
      <c r="S812" s="775"/>
      <c r="AH812" s="776"/>
      <c r="AI812" s="776"/>
      <c r="AJ812" s="732"/>
      <c r="AK812" s="732"/>
      <c r="AL812" s="776"/>
      <c r="AM812" s="776"/>
      <c r="AN812" s="17"/>
      <c r="AO812" s="17"/>
      <c r="AP812" s="17"/>
      <c r="AQ812" s="17"/>
      <c r="AR812" s="17"/>
      <c r="AS812" s="17"/>
      <c r="AT812" s="17"/>
      <c r="AU812" s="732"/>
      <c r="AV812" s="313"/>
      <c r="AW812" s="313"/>
      <c r="AX812" s="313"/>
      <c r="AY812" s="313"/>
      <c r="AZ812" s="313"/>
      <c r="BA812" s="313"/>
      <c r="BB812" s="313"/>
      <c r="BC812" s="313"/>
      <c r="BD812" s="313"/>
      <c r="BE812" s="314"/>
      <c r="BW812" s="314"/>
      <c r="BX812" s="314"/>
      <c r="BY812" s="314"/>
      <c r="BZ812" s="314"/>
      <c r="CA812" s="314"/>
      <c r="CB812" s="314"/>
      <c r="CC812" s="314"/>
      <c r="CD812" s="314"/>
    </row>
    <row r="813" ht="28.5" customHeight="1">
      <c r="A813" s="767"/>
      <c r="B813" s="768"/>
      <c r="C813" s="768"/>
      <c r="D813" s="769"/>
      <c r="E813" s="769"/>
      <c r="F813" s="769"/>
      <c r="G813" s="336"/>
      <c r="H813" s="771"/>
      <c r="I813" s="769"/>
      <c r="J813" s="769"/>
      <c r="K813" s="314"/>
      <c r="L813" s="314"/>
      <c r="M813" s="314"/>
      <c r="N813" s="769"/>
      <c r="O813" s="769"/>
      <c r="P813" s="773"/>
      <c r="Q813" s="774"/>
      <c r="R813" s="774"/>
      <c r="S813" s="775"/>
      <c r="AH813" s="776"/>
      <c r="AI813" s="776"/>
      <c r="AJ813" s="732"/>
      <c r="AK813" s="732"/>
      <c r="AL813" s="776"/>
      <c r="AM813" s="776"/>
      <c r="AN813" s="17"/>
      <c r="AO813" s="17"/>
      <c r="AP813" s="17"/>
      <c r="AQ813" s="17"/>
      <c r="AR813" s="17"/>
      <c r="AS813" s="17"/>
      <c r="AT813" s="17"/>
      <c r="AU813" s="732"/>
      <c r="AV813" s="313"/>
      <c r="AW813" s="313"/>
      <c r="AX813" s="313"/>
      <c r="AY813" s="313"/>
      <c r="AZ813" s="313"/>
      <c r="BA813" s="313"/>
      <c r="BB813" s="313"/>
      <c r="BC813" s="313"/>
      <c r="BD813" s="313"/>
      <c r="BE813" s="314"/>
      <c r="BW813" s="314"/>
      <c r="BX813" s="314"/>
      <c r="BY813" s="314"/>
      <c r="BZ813" s="314"/>
      <c r="CA813" s="314"/>
      <c r="CB813" s="314"/>
      <c r="CC813" s="314"/>
      <c r="CD813" s="314"/>
    </row>
    <row r="814" ht="28.5" customHeight="1">
      <c r="A814" s="767"/>
      <c r="B814" s="768"/>
      <c r="C814" s="768"/>
      <c r="D814" s="769"/>
      <c r="E814" s="769"/>
      <c r="F814" s="769"/>
      <c r="G814" s="336"/>
      <c r="H814" s="771"/>
      <c r="I814" s="769"/>
      <c r="J814" s="769"/>
      <c r="K814" s="314"/>
      <c r="L814" s="314"/>
      <c r="M814" s="314"/>
      <c r="N814" s="769"/>
      <c r="O814" s="769"/>
      <c r="P814" s="773"/>
      <c r="Q814" s="774"/>
      <c r="R814" s="774"/>
      <c r="S814" s="775"/>
      <c r="AH814" s="776"/>
      <c r="AI814" s="776"/>
      <c r="AJ814" s="732"/>
      <c r="AK814" s="732"/>
      <c r="AL814" s="776"/>
      <c r="AM814" s="776"/>
      <c r="AN814" s="17"/>
      <c r="AO814" s="17"/>
      <c r="AP814" s="17"/>
      <c r="AQ814" s="17"/>
      <c r="AR814" s="17"/>
      <c r="AS814" s="17"/>
      <c r="AT814" s="17"/>
      <c r="AU814" s="732"/>
      <c r="AV814" s="313"/>
      <c r="AW814" s="313"/>
      <c r="AX814" s="313"/>
      <c r="AY814" s="313"/>
      <c r="AZ814" s="313"/>
      <c r="BA814" s="313"/>
      <c r="BB814" s="313"/>
      <c r="BC814" s="313"/>
      <c r="BD814" s="313"/>
      <c r="BE814" s="314"/>
      <c r="BW814" s="314"/>
      <c r="BX814" s="314"/>
      <c r="BY814" s="314"/>
      <c r="BZ814" s="314"/>
      <c r="CA814" s="314"/>
      <c r="CB814" s="314"/>
      <c r="CC814" s="314"/>
      <c r="CD814" s="314"/>
    </row>
    <row r="815" ht="28.5" customHeight="1">
      <c r="A815" s="767"/>
      <c r="B815" s="768"/>
      <c r="C815" s="768"/>
      <c r="D815" s="769"/>
      <c r="E815" s="769"/>
      <c r="F815" s="769"/>
      <c r="G815" s="336"/>
      <c r="H815" s="771"/>
      <c r="I815" s="769"/>
      <c r="J815" s="769"/>
      <c r="K815" s="314"/>
      <c r="L815" s="314"/>
      <c r="M815" s="314"/>
      <c r="N815" s="769"/>
      <c r="O815" s="769"/>
      <c r="P815" s="773"/>
      <c r="Q815" s="774"/>
      <c r="R815" s="774"/>
      <c r="S815" s="775"/>
      <c r="AH815" s="776"/>
      <c r="AI815" s="776"/>
      <c r="AJ815" s="732"/>
      <c r="AK815" s="732"/>
      <c r="AL815" s="776"/>
      <c r="AM815" s="776"/>
      <c r="AN815" s="17"/>
      <c r="AO815" s="17"/>
      <c r="AP815" s="17"/>
      <c r="AQ815" s="17"/>
      <c r="AR815" s="17"/>
      <c r="AS815" s="17"/>
      <c r="AT815" s="17"/>
      <c r="AU815" s="732"/>
      <c r="AV815" s="313"/>
      <c r="AW815" s="313"/>
      <c r="AX815" s="313"/>
      <c r="AY815" s="313"/>
      <c r="AZ815" s="313"/>
      <c r="BA815" s="313"/>
      <c r="BB815" s="313"/>
      <c r="BC815" s="313"/>
      <c r="BD815" s="313"/>
      <c r="BE815" s="314"/>
      <c r="BW815" s="314"/>
      <c r="BX815" s="314"/>
      <c r="BY815" s="314"/>
      <c r="BZ815" s="314"/>
      <c r="CA815" s="314"/>
      <c r="CB815" s="314"/>
      <c r="CC815" s="314"/>
      <c r="CD815" s="314"/>
    </row>
    <row r="816" ht="28.5" customHeight="1">
      <c r="A816" s="767"/>
      <c r="B816" s="768"/>
      <c r="C816" s="768"/>
      <c r="D816" s="769"/>
      <c r="E816" s="769"/>
      <c r="F816" s="769"/>
      <c r="G816" s="336"/>
      <c r="H816" s="771"/>
      <c r="I816" s="769"/>
      <c r="J816" s="769"/>
      <c r="K816" s="314"/>
      <c r="L816" s="314"/>
      <c r="M816" s="314"/>
      <c r="N816" s="769"/>
      <c r="O816" s="769"/>
      <c r="P816" s="773"/>
      <c r="Q816" s="774"/>
      <c r="R816" s="774"/>
      <c r="S816" s="775"/>
      <c r="AH816" s="776"/>
      <c r="AI816" s="776"/>
      <c r="AJ816" s="732"/>
      <c r="AK816" s="732"/>
      <c r="AL816" s="776"/>
      <c r="AM816" s="776"/>
      <c r="AN816" s="17"/>
      <c r="AO816" s="17"/>
      <c r="AP816" s="17"/>
      <c r="AQ816" s="17"/>
      <c r="AR816" s="17"/>
      <c r="AS816" s="17"/>
      <c r="AT816" s="17"/>
      <c r="AU816" s="732"/>
      <c r="AV816" s="313"/>
      <c r="AW816" s="313"/>
      <c r="AX816" s="313"/>
      <c r="AY816" s="313"/>
      <c r="AZ816" s="313"/>
      <c r="BA816" s="313"/>
      <c r="BB816" s="313"/>
      <c r="BC816" s="313"/>
      <c r="BD816" s="313"/>
      <c r="BE816" s="314"/>
      <c r="BW816" s="314"/>
      <c r="BX816" s="314"/>
      <c r="BY816" s="314"/>
      <c r="BZ816" s="314"/>
      <c r="CA816" s="314"/>
      <c r="CB816" s="314"/>
      <c r="CC816" s="314"/>
      <c r="CD816" s="314"/>
    </row>
    <row r="817" ht="28.5" customHeight="1">
      <c r="A817" s="767"/>
      <c r="B817" s="768"/>
      <c r="C817" s="768"/>
      <c r="D817" s="769"/>
      <c r="E817" s="769"/>
      <c r="F817" s="769"/>
      <c r="G817" s="336"/>
      <c r="H817" s="771"/>
      <c r="I817" s="769"/>
      <c r="J817" s="769"/>
      <c r="K817" s="314"/>
      <c r="L817" s="314"/>
      <c r="M817" s="314"/>
      <c r="N817" s="769"/>
      <c r="O817" s="769"/>
      <c r="P817" s="773"/>
      <c r="Q817" s="774"/>
      <c r="R817" s="774"/>
      <c r="S817" s="775"/>
      <c r="AH817" s="776"/>
      <c r="AI817" s="776"/>
      <c r="AJ817" s="732"/>
      <c r="AK817" s="732"/>
      <c r="AL817" s="776"/>
      <c r="AM817" s="776"/>
      <c r="AN817" s="17"/>
      <c r="AO817" s="17"/>
      <c r="AP817" s="17"/>
      <c r="AQ817" s="17"/>
      <c r="AR817" s="17"/>
      <c r="AS817" s="17"/>
      <c r="AT817" s="17"/>
      <c r="AU817" s="732"/>
      <c r="AV817" s="313"/>
      <c r="AW817" s="313"/>
      <c r="AX817" s="313"/>
      <c r="AY817" s="313"/>
      <c r="AZ817" s="313"/>
      <c r="BA817" s="313"/>
      <c r="BB817" s="313"/>
      <c r="BC817" s="313"/>
      <c r="BD817" s="313"/>
      <c r="BE817" s="314"/>
      <c r="BW817" s="314"/>
      <c r="BX817" s="314"/>
      <c r="BY817" s="314"/>
      <c r="BZ817" s="314"/>
      <c r="CA817" s="314"/>
      <c r="CB817" s="314"/>
      <c r="CC817" s="314"/>
      <c r="CD817" s="314"/>
    </row>
    <row r="818" ht="28.5" customHeight="1">
      <c r="A818" s="767"/>
      <c r="B818" s="768"/>
      <c r="C818" s="768"/>
      <c r="D818" s="769"/>
      <c r="E818" s="769"/>
      <c r="F818" s="769"/>
      <c r="G818" s="336"/>
      <c r="H818" s="771"/>
      <c r="I818" s="769"/>
      <c r="J818" s="769"/>
      <c r="K818" s="314"/>
      <c r="L818" s="314"/>
      <c r="M818" s="314"/>
      <c r="N818" s="769"/>
      <c r="O818" s="769"/>
      <c r="P818" s="773"/>
      <c r="Q818" s="774"/>
      <c r="R818" s="774"/>
      <c r="S818" s="775"/>
      <c r="AH818" s="776"/>
      <c r="AI818" s="776"/>
      <c r="AJ818" s="732"/>
      <c r="AK818" s="732"/>
      <c r="AL818" s="776"/>
      <c r="AM818" s="776"/>
      <c r="AN818" s="17"/>
      <c r="AO818" s="17"/>
      <c r="AP818" s="17"/>
      <c r="AQ818" s="17"/>
      <c r="AR818" s="17"/>
      <c r="AS818" s="17"/>
      <c r="AT818" s="17"/>
      <c r="AU818" s="732"/>
      <c r="AV818" s="313"/>
      <c r="AW818" s="313"/>
      <c r="AX818" s="313"/>
      <c r="AY818" s="313"/>
      <c r="AZ818" s="313"/>
      <c r="BA818" s="313"/>
      <c r="BB818" s="313"/>
      <c r="BC818" s="313"/>
      <c r="BD818" s="313"/>
      <c r="BE818" s="314"/>
      <c r="BW818" s="314"/>
      <c r="BX818" s="314"/>
      <c r="BY818" s="314"/>
      <c r="BZ818" s="314"/>
      <c r="CA818" s="314"/>
      <c r="CB818" s="314"/>
      <c r="CC818" s="314"/>
      <c r="CD818" s="314"/>
    </row>
    <row r="819" ht="28.5" customHeight="1">
      <c r="A819" s="767"/>
      <c r="B819" s="768"/>
      <c r="C819" s="768"/>
      <c r="D819" s="769"/>
      <c r="E819" s="769"/>
      <c r="F819" s="769"/>
      <c r="G819" s="336"/>
      <c r="H819" s="771"/>
      <c r="I819" s="769"/>
      <c r="J819" s="769"/>
      <c r="K819" s="314"/>
      <c r="L819" s="314"/>
      <c r="M819" s="314"/>
      <c r="N819" s="769"/>
      <c r="O819" s="769"/>
      <c r="P819" s="773"/>
      <c r="Q819" s="774"/>
      <c r="R819" s="774"/>
      <c r="S819" s="775"/>
      <c r="AH819" s="776"/>
      <c r="AI819" s="776"/>
      <c r="AJ819" s="732"/>
      <c r="AK819" s="732"/>
      <c r="AL819" s="776"/>
      <c r="AM819" s="776"/>
      <c r="AN819" s="17"/>
      <c r="AO819" s="17"/>
      <c r="AP819" s="17"/>
      <c r="AQ819" s="17"/>
      <c r="AR819" s="17"/>
      <c r="AS819" s="17"/>
      <c r="AT819" s="17"/>
      <c r="AU819" s="732"/>
      <c r="AV819" s="313"/>
      <c r="AW819" s="313"/>
      <c r="AX819" s="313"/>
      <c r="AY819" s="313"/>
      <c r="AZ819" s="313"/>
      <c r="BA819" s="313"/>
      <c r="BB819" s="313"/>
      <c r="BC819" s="313"/>
      <c r="BD819" s="313"/>
      <c r="BE819" s="314"/>
      <c r="BW819" s="314"/>
      <c r="BX819" s="314"/>
      <c r="BY819" s="314"/>
      <c r="BZ819" s="314"/>
      <c r="CA819" s="314"/>
      <c r="CB819" s="314"/>
      <c r="CC819" s="314"/>
      <c r="CD819" s="314"/>
    </row>
    <row r="820" ht="28.5" customHeight="1">
      <c r="A820" s="767"/>
      <c r="B820" s="768"/>
      <c r="C820" s="768"/>
      <c r="D820" s="769"/>
      <c r="E820" s="769"/>
      <c r="F820" s="769"/>
      <c r="G820" s="336"/>
      <c r="H820" s="771"/>
      <c r="I820" s="769"/>
      <c r="J820" s="769"/>
      <c r="K820" s="314"/>
      <c r="L820" s="314"/>
      <c r="M820" s="314"/>
      <c r="N820" s="769"/>
      <c r="O820" s="769"/>
      <c r="P820" s="773"/>
      <c r="Q820" s="774"/>
      <c r="R820" s="774"/>
      <c r="S820" s="775"/>
      <c r="AH820" s="776"/>
      <c r="AI820" s="776"/>
      <c r="AJ820" s="732"/>
      <c r="AK820" s="732"/>
      <c r="AL820" s="776"/>
      <c r="AM820" s="776"/>
      <c r="AN820" s="17"/>
      <c r="AO820" s="17"/>
      <c r="AP820" s="17"/>
      <c r="AQ820" s="17"/>
      <c r="AR820" s="17"/>
      <c r="AS820" s="17"/>
      <c r="AT820" s="17"/>
      <c r="AU820" s="732"/>
      <c r="AV820" s="313"/>
      <c r="AW820" s="313"/>
      <c r="AX820" s="313"/>
      <c r="AY820" s="313"/>
      <c r="AZ820" s="313"/>
      <c r="BA820" s="313"/>
      <c r="BB820" s="313"/>
      <c r="BC820" s="313"/>
      <c r="BD820" s="313"/>
      <c r="BE820" s="314"/>
      <c r="BW820" s="314"/>
      <c r="BX820" s="314"/>
      <c r="BY820" s="314"/>
      <c r="BZ820" s="314"/>
      <c r="CA820" s="314"/>
      <c r="CB820" s="314"/>
      <c r="CC820" s="314"/>
      <c r="CD820" s="314"/>
    </row>
    <row r="821" ht="28.5" customHeight="1">
      <c r="A821" s="767"/>
      <c r="B821" s="768"/>
      <c r="C821" s="768"/>
      <c r="D821" s="769"/>
      <c r="E821" s="769"/>
      <c r="F821" s="769"/>
      <c r="G821" s="336"/>
      <c r="H821" s="771"/>
      <c r="I821" s="769"/>
      <c r="J821" s="769"/>
      <c r="K821" s="314"/>
      <c r="L821" s="314"/>
      <c r="M821" s="314"/>
      <c r="N821" s="769"/>
      <c r="O821" s="769"/>
      <c r="P821" s="773"/>
      <c r="Q821" s="774"/>
      <c r="R821" s="774"/>
      <c r="S821" s="775"/>
      <c r="AH821" s="776"/>
      <c r="AI821" s="776"/>
      <c r="AJ821" s="732"/>
      <c r="AK821" s="732"/>
      <c r="AL821" s="776"/>
      <c r="AM821" s="776"/>
      <c r="AN821" s="17"/>
      <c r="AO821" s="17"/>
      <c r="AP821" s="17"/>
      <c r="AQ821" s="17"/>
      <c r="AR821" s="17"/>
      <c r="AS821" s="17"/>
      <c r="AT821" s="17"/>
      <c r="AU821" s="732"/>
      <c r="AV821" s="313"/>
      <c r="AW821" s="313"/>
      <c r="AX821" s="313"/>
      <c r="AY821" s="313"/>
      <c r="AZ821" s="313"/>
      <c r="BA821" s="313"/>
      <c r="BB821" s="313"/>
      <c r="BC821" s="313"/>
      <c r="BD821" s="313"/>
      <c r="BE821" s="314"/>
      <c r="BW821" s="314"/>
      <c r="BX821" s="314"/>
      <c r="BY821" s="314"/>
      <c r="BZ821" s="314"/>
      <c r="CA821" s="314"/>
      <c r="CB821" s="314"/>
      <c r="CC821" s="314"/>
      <c r="CD821" s="314"/>
    </row>
    <row r="822" ht="28.5" customHeight="1">
      <c r="A822" s="767"/>
      <c r="B822" s="768"/>
      <c r="C822" s="768"/>
      <c r="D822" s="769"/>
      <c r="E822" s="769"/>
      <c r="F822" s="769"/>
      <c r="G822" s="336"/>
      <c r="H822" s="771"/>
      <c r="I822" s="769"/>
      <c r="J822" s="769"/>
      <c r="K822" s="314"/>
      <c r="L822" s="314"/>
      <c r="M822" s="314"/>
      <c r="N822" s="769"/>
      <c r="O822" s="769"/>
      <c r="P822" s="773"/>
      <c r="Q822" s="774"/>
      <c r="R822" s="774"/>
      <c r="S822" s="775"/>
      <c r="AH822" s="776"/>
      <c r="AI822" s="776"/>
      <c r="AJ822" s="732"/>
      <c r="AK822" s="732"/>
      <c r="AL822" s="776"/>
      <c r="AM822" s="776"/>
      <c r="AN822" s="17"/>
      <c r="AO822" s="17"/>
      <c r="AP822" s="17"/>
      <c r="AQ822" s="17"/>
      <c r="AR822" s="17"/>
      <c r="AS822" s="17"/>
      <c r="AT822" s="17"/>
      <c r="AU822" s="732"/>
      <c r="AV822" s="313"/>
      <c r="AW822" s="313"/>
      <c r="AX822" s="313"/>
      <c r="AY822" s="313"/>
      <c r="AZ822" s="313"/>
      <c r="BA822" s="313"/>
      <c r="BB822" s="313"/>
      <c r="BC822" s="313"/>
      <c r="BD822" s="313"/>
      <c r="BE822" s="314"/>
      <c r="BW822" s="314"/>
      <c r="BX822" s="314"/>
      <c r="BY822" s="314"/>
      <c r="BZ822" s="314"/>
      <c r="CA822" s="314"/>
      <c r="CB822" s="314"/>
      <c r="CC822" s="314"/>
      <c r="CD822" s="314"/>
    </row>
    <row r="823" ht="28.5" customHeight="1">
      <c r="A823" s="767"/>
      <c r="B823" s="768"/>
      <c r="C823" s="768"/>
      <c r="D823" s="769"/>
      <c r="E823" s="769"/>
      <c r="F823" s="769"/>
      <c r="G823" s="336"/>
      <c r="H823" s="771"/>
      <c r="I823" s="769"/>
      <c r="J823" s="769"/>
      <c r="K823" s="314"/>
      <c r="L823" s="314"/>
      <c r="M823" s="314"/>
      <c r="N823" s="769"/>
      <c r="O823" s="769"/>
      <c r="P823" s="773"/>
      <c r="Q823" s="774"/>
      <c r="R823" s="774"/>
      <c r="S823" s="775"/>
      <c r="AH823" s="776"/>
      <c r="AI823" s="776"/>
      <c r="AJ823" s="732"/>
      <c r="AK823" s="732"/>
      <c r="AL823" s="776"/>
      <c r="AM823" s="776"/>
      <c r="AN823" s="17"/>
      <c r="AO823" s="17"/>
      <c r="AP823" s="17"/>
      <c r="AQ823" s="17"/>
      <c r="AR823" s="17"/>
      <c r="AS823" s="17"/>
      <c r="AT823" s="17"/>
      <c r="AU823" s="732"/>
      <c r="AV823" s="313"/>
      <c r="AW823" s="313"/>
      <c r="AX823" s="313"/>
      <c r="AY823" s="313"/>
      <c r="AZ823" s="313"/>
      <c r="BA823" s="313"/>
      <c r="BB823" s="313"/>
      <c r="BC823" s="313"/>
      <c r="BD823" s="313"/>
      <c r="BE823" s="314"/>
      <c r="BW823" s="314"/>
      <c r="BX823" s="314"/>
      <c r="BY823" s="314"/>
      <c r="BZ823" s="314"/>
      <c r="CA823" s="314"/>
      <c r="CB823" s="314"/>
      <c r="CC823" s="314"/>
      <c r="CD823" s="314"/>
    </row>
    <row r="824" ht="28.5" customHeight="1">
      <c r="A824" s="767"/>
      <c r="B824" s="768"/>
      <c r="C824" s="768"/>
      <c r="D824" s="769"/>
      <c r="E824" s="769"/>
      <c r="F824" s="769"/>
      <c r="G824" s="336"/>
      <c r="H824" s="771"/>
      <c r="I824" s="769"/>
      <c r="J824" s="769"/>
      <c r="K824" s="314"/>
      <c r="L824" s="314"/>
      <c r="M824" s="314"/>
      <c r="N824" s="769"/>
      <c r="O824" s="769"/>
      <c r="P824" s="773"/>
      <c r="Q824" s="774"/>
      <c r="R824" s="774"/>
      <c r="S824" s="775"/>
      <c r="AH824" s="776"/>
      <c r="AI824" s="776"/>
      <c r="AJ824" s="732"/>
      <c r="AK824" s="732"/>
      <c r="AL824" s="776"/>
      <c r="AM824" s="776"/>
      <c r="AN824" s="17"/>
      <c r="AO824" s="17"/>
      <c r="AP824" s="17"/>
      <c r="AQ824" s="17"/>
      <c r="AR824" s="17"/>
      <c r="AS824" s="17"/>
      <c r="AT824" s="17"/>
      <c r="AU824" s="732"/>
      <c r="AV824" s="313"/>
      <c r="AW824" s="313"/>
      <c r="AX824" s="313"/>
      <c r="AY824" s="313"/>
      <c r="AZ824" s="313"/>
      <c r="BA824" s="313"/>
      <c r="BB824" s="313"/>
      <c r="BC824" s="313"/>
      <c r="BD824" s="313"/>
      <c r="BE824" s="314"/>
      <c r="BW824" s="314"/>
      <c r="BX824" s="314"/>
      <c r="BY824" s="314"/>
      <c r="BZ824" s="314"/>
      <c r="CA824" s="314"/>
      <c r="CB824" s="314"/>
      <c r="CC824" s="314"/>
      <c r="CD824" s="314"/>
    </row>
    <row r="825" ht="28.5" customHeight="1">
      <c r="A825" s="767"/>
      <c r="B825" s="768"/>
      <c r="C825" s="768"/>
      <c r="D825" s="769"/>
      <c r="E825" s="769"/>
      <c r="F825" s="769"/>
      <c r="G825" s="336"/>
      <c r="H825" s="771"/>
      <c r="I825" s="769"/>
      <c r="J825" s="769"/>
      <c r="K825" s="314"/>
      <c r="L825" s="314"/>
      <c r="M825" s="314"/>
      <c r="N825" s="769"/>
      <c r="O825" s="769"/>
      <c r="P825" s="773"/>
      <c r="Q825" s="774"/>
      <c r="R825" s="774"/>
      <c r="S825" s="775"/>
      <c r="AH825" s="776"/>
      <c r="AI825" s="776"/>
      <c r="AJ825" s="732"/>
      <c r="AK825" s="732"/>
      <c r="AL825" s="776"/>
      <c r="AM825" s="776"/>
      <c r="AN825" s="17"/>
      <c r="AO825" s="17"/>
      <c r="AP825" s="17"/>
      <c r="AQ825" s="17"/>
      <c r="AR825" s="17"/>
      <c r="AS825" s="17"/>
      <c r="AT825" s="17"/>
      <c r="AU825" s="732"/>
      <c r="AV825" s="313"/>
      <c r="AW825" s="313"/>
      <c r="AX825" s="313"/>
      <c r="AY825" s="313"/>
      <c r="AZ825" s="313"/>
      <c r="BA825" s="313"/>
      <c r="BB825" s="313"/>
      <c r="BC825" s="313"/>
      <c r="BD825" s="313"/>
      <c r="BE825" s="314"/>
      <c r="BW825" s="314"/>
      <c r="BX825" s="314"/>
      <c r="BY825" s="314"/>
      <c r="BZ825" s="314"/>
      <c r="CA825" s="314"/>
      <c r="CB825" s="314"/>
      <c r="CC825" s="314"/>
      <c r="CD825" s="314"/>
    </row>
    <row r="826" ht="28.5" customHeight="1">
      <c r="A826" s="767"/>
      <c r="B826" s="768"/>
      <c r="C826" s="768"/>
      <c r="D826" s="769"/>
      <c r="E826" s="769"/>
      <c r="F826" s="769"/>
      <c r="G826" s="336"/>
      <c r="H826" s="771"/>
      <c r="I826" s="769"/>
      <c r="J826" s="769"/>
      <c r="K826" s="314"/>
      <c r="L826" s="314"/>
      <c r="M826" s="314"/>
      <c r="N826" s="769"/>
      <c r="O826" s="769"/>
      <c r="P826" s="773"/>
      <c r="Q826" s="774"/>
      <c r="R826" s="774"/>
      <c r="S826" s="775"/>
      <c r="AH826" s="776"/>
      <c r="AI826" s="776"/>
      <c r="AJ826" s="732"/>
      <c r="AK826" s="732"/>
      <c r="AL826" s="776"/>
      <c r="AM826" s="776"/>
      <c r="AN826" s="17"/>
      <c r="AO826" s="17"/>
      <c r="AP826" s="17"/>
      <c r="AQ826" s="17"/>
      <c r="AR826" s="17"/>
      <c r="AS826" s="17"/>
      <c r="AT826" s="17"/>
      <c r="AU826" s="732"/>
      <c r="AV826" s="313"/>
      <c r="AW826" s="313"/>
      <c r="AX826" s="313"/>
      <c r="AY826" s="313"/>
      <c r="AZ826" s="313"/>
      <c r="BA826" s="313"/>
      <c r="BB826" s="313"/>
      <c r="BC826" s="313"/>
      <c r="BD826" s="313"/>
      <c r="BE826" s="314"/>
      <c r="BW826" s="314"/>
      <c r="BX826" s="314"/>
      <c r="BY826" s="314"/>
      <c r="BZ826" s="314"/>
      <c r="CA826" s="314"/>
      <c r="CB826" s="314"/>
      <c r="CC826" s="314"/>
      <c r="CD826" s="314"/>
    </row>
    <row r="827" ht="28.5" customHeight="1">
      <c r="A827" s="767"/>
      <c r="B827" s="768"/>
      <c r="C827" s="768"/>
      <c r="D827" s="769"/>
      <c r="E827" s="769"/>
      <c r="F827" s="769"/>
      <c r="G827" s="336"/>
      <c r="H827" s="771"/>
      <c r="I827" s="769"/>
      <c r="J827" s="769"/>
      <c r="K827" s="314"/>
      <c r="L827" s="314"/>
      <c r="M827" s="314"/>
      <c r="N827" s="769"/>
      <c r="O827" s="769"/>
      <c r="P827" s="773"/>
      <c r="Q827" s="774"/>
      <c r="R827" s="774"/>
      <c r="S827" s="775"/>
      <c r="AH827" s="776"/>
      <c r="AI827" s="776"/>
      <c r="AJ827" s="732"/>
      <c r="AK827" s="732"/>
      <c r="AL827" s="776"/>
      <c r="AM827" s="776"/>
      <c r="AN827" s="17"/>
      <c r="AO827" s="17"/>
      <c r="AP827" s="17"/>
      <c r="AQ827" s="17"/>
      <c r="AR827" s="17"/>
      <c r="AS827" s="17"/>
      <c r="AT827" s="17"/>
      <c r="AU827" s="732"/>
      <c r="AV827" s="313"/>
      <c r="AW827" s="313"/>
      <c r="AX827" s="313"/>
      <c r="AY827" s="313"/>
      <c r="AZ827" s="313"/>
      <c r="BA827" s="313"/>
      <c r="BB827" s="313"/>
      <c r="BC827" s="313"/>
      <c r="BD827" s="313"/>
      <c r="BE827" s="314"/>
      <c r="BW827" s="314"/>
      <c r="BX827" s="314"/>
      <c r="BY827" s="314"/>
      <c r="BZ827" s="314"/>
      <c r="CA827" s="314"/>
      <c r="CB827" s="314"/>
      <c r="CC827" s="314"/>
      <c r="CD827" s="314"/>
    </row>
    <row r="828" ht="28.5" customHeight="1">
      <c r="A828" s="767"/>
      <c r="B828" s="768"/>
      <c r="C828" s="768"/>
      <c r="D828" s="769"/>
      <c r="E828" s="769"/>
      <c r="F828" s="769"/>
      <c r="G828" s="336"/>
      <c r="H828" s="771"/>
      <c r="I828" s="769"/>
      <c r="J828" s="769"/>
      <c r="K828" s="314"/>
      <c r="L828" s="314"/>
      <c r="M828" s="314"/>
      <c r="N828" s="769"/>
      <c r="O828" s="769"/>
      <c r="P828" s="773"/>
      <c r="Q828" s="774"/>
      <c r="R828" s="774"/>
      <c r="S828" s="775"/>
      <c r="AH828" s="776"/>
      <c r="AI828" s="776"/>
      <c r="AJ828" s="732"/>
      <c r="AK828" s="732"/>
      <c r="AL828" s="776"/>
      <c r="AM828" s="776"/>
      <c r="AN828" s="17"/>
      <c r="AO828" s="17"/>
      <c r="AP828" s="17"/>
      <c r="AQ828" s="17"/>
      <c r="AR828" s="17"/>
      <c r="AS828" s="17"/>
      <c r="AT828" s="17"/>
      <c r="AU828" s="732"/>
      <c r="AV828" s="313"/>
      <c r="AW828" s="313"/>
      <c r="AX828" s="313"/>
      <c r="AY828" s="313"/>
      <c r="AZ828" s="313"/>
      <c r="BA828" s="313"/>
      <c r="BB828" s="313"/>
      <c r="BC828" s="313"/>
      <c r="BD828" s="313"/>
      <c r="BE828" s="314"/>
      <c r="BW828" s="314"/>
      <c r="BX828" s="314"/>
      <c r="BY828" s="314"/>
      <c r="BZ828" s="314"/>
      <c r="CA828" s="314"/>
      <c r="CB828" s="314"/>
      <c r="CC828" s="314"/>
      <c r="CD828" s="314"/>
    </row>
    <row r="829" ht="28.5" customHeight="1">
      <c r="A829" s="767"/>
      <c r="B829" s="768"/>
      <c r="C829" s="768"/>
      <c r="D829" s="769"/>
      <c r="E829" s="769"/>
      <c r="F829" s="769"/>
      <c r="G829" s="336"/>
      <c r="H829" s="771"/>
      <c r="I829" s="769"/>
      <c r="J829" s="769"/>
      <c r="K829" s="314"/>
      <c r="L829" s="314"/>
      <c r="M829" s="314"/>
      <c r="N829" s="769"/>
      <c r="O829" s="769"/>
      <c r="P829" s="773"/>
      <c r="Q829" s="774"/>
      <c r="R829" s="774"/>
      <c r="S829" s="775"/>
      <c r="AH829" s="776"/>
      <c r="AI829" s="776"/>
      <c r="AJ829" s="732"/>
      <c r="AK829" s="732"/>
      <c r="AL829" s="776"/>
      <c r="AM829" s="776"/>
      <c r="AN829" s="17"/>
      <c r="AO829" s="17"/>
      <c r="AP829" s="17"/>
      <c r="AQ829" s="17"/>
      <c r="AR829" s="17"/>
      <c r="AS829" s="17"/>
      <c r="AT829" s="17"/>
      <c r="AU829" s="732"/>
      <c r="AV829" s="313"/>
      <c r="AW829" s="313"/>
      <c r="AX829" s="313"/>
      <c r="AY829" s="313"/>
      <c r="AZ829" s="313"/>
      <c r="BA829" s="313"/>
      <c r="BB829" s="313"/>
      <c r="BC829" s="313"/>
      <c r="BD829" s="313"/>
      <c r="BE829" s="314"/>
      <c r="BW829" s="314"/>
      <c r="BX829" s="314"/>
      <c r="BY829" s="314"/>
      <c r="BZ829" s="314"/>
      <c r="CA829" s="314"/>
      <c r="CB829" s="314"/>
      <c r="CC829" s="314"/>
      <c r="CD829" s="314"/>
    </row>
    <row r="830" ht="28.5" customHeight="1">
      <c r="A830" s="767"/>
      <c r="B830" s="768"/>
      <c r="C830" s="768"/>
      <c r="D830" s="769"/>
      <c r="E830" s="769"/>
      <c r="F830" s="769"/>
      <c r="G830" s="336"/>
      <c r="H830" s="771"/>
      <c r="I830" s="769"/>
      <c r="J830" s="769"/>
      <c r="K830" s="314"/>
      <c r="L830" s="314"/>
      <c r="M830" s="314"/>
      <c r="N830" s="769"/>
      <c r="O830" s="769"/>
      <c r="P830" s="773"/>
      <c r="Q830" s="774"/>
      <c r="R830" s="774"/>
      <c r="S830" s="775"/>
      <c r="AH830" s="776"/>
      <c r="AI830" s="776"/>
      <c r="AJ830" s="732"/>
      <c r="AK830" s="732"/>
      <c r="AL830" s="776"/>
      <c r="AM830" s="776"/>
      <c r="AN830" s="17"/>
      <c r="AO830" s="17"/>
      <c r="AP830" s="17"/>
      <c r="AQ830" s="17"/>
      <c r="AR830" s="17"/>
      <c r="AS830" s="17"/>
      <c r="AT830" s="17"/>
      <c r="AU830" s="732"/>
      <c r="AV830" s="313"/>
      <c r="AW830" s="313"/>
      <c r="AX830" s="313"/>
      <c r="AY830" s="313"/>
      <c r="AZ830" s="313"/>
      <c r="BA830" s="313"/>
      <c r="BB830" s="313"/>
      <c r="BC830" s="313"/>
      <c r="BD830" s="313"/>
      <c r="BE830" s="314"/>
      <c r="BW830" s="314"/>
      <c r="BX830" s="314"/>
      <c r="BY830" s="314"/>
      <c r="BZ830" s="314"/>
      <c r="CA830" s="314"/>
      <c r="CB830" s="314"/>
      <c r="CC830" s="314"/>
      <c r="CD830" s="314"/>
    </row>
    <row r="831" ht="28.5" customHeight="1">
      <c r="A831" s="767"/>
      <c r="B831" s="768"/>
      <c r="C831" s="768"/>
      <c r="D831" s="769"/>
      <c r="E831" s="769"/>
      <c r="F831" s="769"/>
      <c r="G831" s="336"/>
      <c r="H831" s="771"/>
      <c r="I831" s="769"/>
      <c r="J831" s="769"/>
      <c r="K831" s="314"/>
      <c r="L831" s="314"/>
      <c r="M831" s="314"/>
      <c r="N831" s="769"/>
      <c r="O831" s="769"/>
      <c r="P831" s="773"/>
      <c r="Q831" s="774"/>
      <c r="R831" s="774"/>
      <c r="S831" s="775"/>
      <c r="AH831" s="776"/>
      <c r="AI831" s="776"/>
      <c r="AJ831" s="732"/>
      <c r="AK831" s="732"/>
      <c r="AL831" s="776"/>
      <c r="AM831" s="776"/>
      <c r="AN831" s="17"/>
      <c r="AO831" s="17"/>
      <c r="AP831" s="17"/>
      <c r="AQ831" s="17"/>
      <c r="AR831" s="17"/>
      <c r="AS831" s="17"/>
      <c r="AT831" s="17"/>
      <c r="AU831" s="732"/>
      <c r="AV831" s="313"/>
      <c r="AW831" s="313"/>
      <c r="AX831" s="313"/>
      <c r="AY831" s="313"/>
      <c r="AZ831" s="313"/>
      <c r="BA831" s="313"/>
      <c r="BB831" s="313"/>
      <c r="BC831" s="313"/>
      <c r="BD831" s="313"/>
      <c r="BE831" s="314"/>
      <c r="BW831" s="314"/>
      <c r="BX831" s="314"/>
      <c r="BY831" s="314"/>
      <c r="BZ831" s="314"/>
      <c r="CA831" s="314"/>
      <c r="CB831" s="314"/>
      <c r="CC831" s="314"/>
      <c r="CD831" s="314"/>
    </row>
    <row r="832" ht="28.5" customHeight="1">
      <c r="A832" s="767"/>
      <c r="B832" s="768"/>
      <c r="C832" s="768"/>
      <c r="D832" s="769"/>
      <c r="E832" s="769"/>
      <c r="F832" s="769"/>
      <c r="G832" s="336"/>
      <c r="H832" s="771"/>
      <c r="I832" s="769"/>
      <c r="J832" s="769"/>
      <c r="K832" s="314"/>
      <c r="L832" s="314"/>
      <c r="M832" s="314"/>
      <c r="N832" s="769"/>
      <c r="O832" s="769"/>
      <c r="P832" s="773"/>
      <c r="Q832" s="774"/>
      <c r="R832" s="774"/>
      <c r="S832" s="775"/>
      <c r="AH832" s="776"/>
      <c r="AI832" s="776"/>
      <c r="AJ832" s="732"/>
      <c r="AK832" s="732"/>
      <c r="AL832" s="776"/>
      <c r="AM832" s="776"/>
      <c r="AN832" s="17"/>
      <c r="AO832" s="17"/>
      <c r="AP832" s="17"/>
      <c r="AQ832" s="17"/>
      <c r="AR832" s="17"/>
      <c r="AS832" s="17"/>
      <c r="AT832" s="17"/>
      <c r="AU832" s="732"/>
      <c r="AV832" s="313"/>
      <c r="AW832" s="313"/>
      <c r="AX832" s="313"/>
      <c r="AY832" s="313"/>
      <c r="AZ832" s="313"/>
      <c r="BA832" s="313"/>
      <c r="BB832" s="313"/>
      <c r="BC832" s="313"/>
      <c r="BD832" s="313"/>
      <c r="BE832" s="314"/>
      <c r="BW832" s="314"/>
      <c r="BX832" s="314"/>
      <c r="BY832" s="314"/>
      <c r="BZ832" s="314"/>
      <c r="CA832" s="314"/>
      <c r="CB832" s="314"/>
      <c r="CC832" s="314"/>
      <c r="CD832" s="314"/>
    </row>
    <row r="833" ht="28.5" customHeight="1">
      <c r="A833" s="767"/>
      <c r="B833" s="768"/>
      <c r="C833" s="768"/>
      <c r="D833" s="769"/>
      <c r="E833" s="769"/>
      <c r="F833" s="769"/>
      <c r="G833" s="336"/>
      <c r="H833" s="771"/>
      <c r="I833" s="769"/>
      <c r="J833" s="769"/>
      <c r="K833" s="314"/>
      <c r="L833" s="314"/>
      <c r="M833" s="314"/>
      <c r="N833" s="769"/>
      <c r="O833" s="769"/>
      <c r="P833" s="773"/>
      <c r="Q833" s="774"/>
      <c r="R833" s="774"/>
      <c r="S833" s="775"/>
      <c r="AH833" s="776"/>
      <c r="AI833" s="776"/>
      <c r="AJ833" s="732"/>
      <c r="AK833" s="732"/>
      <c r="AL833" s="776"/>
      <c r="AM833" s="776"/>
      <c r="AN833" s="17"/>
      <c r="AO833" s="17"/>
      <c r="AP833" s="17"/>
      <c r="AQ833" s="17"/>
      <c r="AR833" s="17"/>
      <c r="AS833" s="17"/>
      <c r="AT833" s="17"/>
      <c r="AU833" s="732"/>
      <c r="AV833" s="313"/>
      <c r="AW833" s="313"/>
      <c r="AX833" s="313"/>
      <c r="AY833" s="313"/>
      <c r="AZ833" s="313"/>
      <c r="BA833" s="313"/>
      <c r="BB833" s="313"/>
      <c r="BC833" s="313"/>
      <c r="BD833" s="313"/>
      <c r="BE833" s="314"/>
      <c r="BW833" s="314"/>
      <c r="BX833" s="314"/>
      <c r="BY833" s="314"/>
      <c r="BZ833" s="314"/>
      <c r="CA833" s="314"/>
      <c r="CB833" s="314"/>
      <c r="CC833" s="314"/>
      <c r="CD833" s="314"/>
    </row>
    <row r="834" ht="28.5" customHeight="1">
      <c r="A834" s="767"/>
      <c r="B834" s="768"/>
      <c r="C834" s="768"/>
      <c r="D834" s="769"/>
      <c r="E834" s="769"/>
      <c r="F834" s="769"/>
      <c r="G834" s="336"/>
      <c r="H834" s="771"/>
      <c r="I834" s="769"/>
      <c r="J834" s="769"/>
      <c r="K834" s="314"/>
      <c r="L834" s="314"/>
      <c r="M834" s="314"/>
      <c r="N834" s="769"/>
      <c r="O834" s="769"/>
      <c r="P834" s="773"/>
      <c r="Q834" s="774"/>
      <c r="R834" s="774"/>
      <c r="S834" s="775"/>
      <c r="AH834" s="776"/>
      <c r="AI834" s="776"/>
      <c r="AJ834" s="732"/>
      <c r="AK834" s="732"/>
      <c r="AL834" s="776"/>
      <c r="AM834" s="776"/>
      <c r="AN834" s="17"/>
      <c r="AO834" s="17"/>
      <c r="AP834" s="17"/>
      <c r="AQ834" s="17"/>
      <c r="AR834" s="17"/>
      <c r="AS834" s="17"/>
      <c r="AT834" s="17"/>
      <c r="AU834" s="732"/>
      <c r="AV834" s="313"/>
      <c r="AW834" s="313"/>
      <c r="AX834" s="313"/>
      <c r="AY834" s="313"/>
      <c r="AZ834" s="313"/>
      <c r="BA834" s="313"/>
      <c r="BB834" s="313"/>
      <c r="BC834" s="313"/>
      <c r="BD834" s="313"/>
      <c r="BE834" s="314"/>
      <c r="BW834" s="314"/>
      <c r="BX834" s="314"/>
      <c r="BY834" s="314"/>
      <c r="BZ834" s="314"/>
      <c r="CA834" s="314"/>
      <c r="CB834" s="314"/>
      <c r="CC834" s="314"/>
      <c r="CD834" s="314"/>
    </row>
    <row r="835" ht="28.5" customHeight="1">
      <c r="A835" s="767"/>
      <c r="B835" s="768"/>
      <c r="C835" s="768"/>
      <c r="D835" s="769"/>
      <c r="E835" s="769"/>
      <c r="F835" s="769"/>
      <c r="G835" s="336"/>
      <c r="H835" s="771"/>
      <c r="I835" s="769"/>
      <c r="J835" s="769"/>
      <c r="K835" s="314"/>
      <c r="L835" s="314"/>
      <c r="M835" s="314"/>
      <c r="N835" s="769"/>
      <c r="O835" s="769"/>
      <c r="P835" s="773"/>
      <c r="Q835" s="774"/>
      <c r="R835" s="774"/>
      <c r="S835" s="775"/>
      <c r="AH835" s="776"/>
      <c r="AI835" s="776"/>
      <c r="AJ835" s="732"/>
      <c r="AK835" s="732"/>
      <c r="AL835" s="776"/>
      <c r="AM835" s="776"/>
      <c r="AN835" s="17"/>
      <c r="AO835" s="17"/>
      <c r="AP835" s="17"/>
      <c r="AQ835" s="17"/>
      <c r="AR835" s="17"/>
      <c r="AS835" s="17"/>
      <c r="AT835" s="17"/>
      <c r="AU835" s="732"/>
      <c r="AV835" s="313"/>
      <c r="AW835" s="313"/>
      <c r="AX835" s="313"/>
      <c r="AY835" s="313"/>
      <c r="AZ835" s="313"/>
      <c r="BA835" s="313"/>
      <c r="BB835" s="313"/>
      <c r="BC835" s="313"/>
      <c r="BD835" s="313"/>
      <c r="BE835" s="314"/>
      <c r="BW835" s="314"/>
      <c r="BX835" s="314"/>
      <c r="BY835" s="314"/>
      <c r="BZ835" s="314"/>
      <c r="CA835" s="314"/>
      <c r="CB835" s="314"/>
      <c r="CC835" s="314"/>
      <c r="CD835" s="314"/>
    </row>
    <row r="836" ht="28.5" customHeight="1">
      <c r="A836" s="767"/>
      <c r="B836" s="768"/>
      <c r="C836" s="768"/>
      <c r="D836" s="769"/>
      <c r="E836" s="769"/>
      <c r="F836" s="769"/>
      <c r="G836" s="336"/>
      <c r="H836" s="771"/>
      <c r="I836" s="769"/>
      <c r="J836" s="769"/>
      <c r="K836" s="314"/>
      <c r="L836" s="314"/>
      <c r="M836" s="314"/>
      <c r="N836" s="769"/>
      <c r="O836" s="769"/>
      <c r="P836" s="773"/>
      <c r="Q836" s="774"/>
      <c r="R836" s="774"/>
      <c r="S836" s="775"/>
      <c r="AH836" s="776"/>
      <c r="AI836" s="776"/>
      <c r="AJ836" s="732"/>
      <c r="AK836" s="732"/>
      <c r="AL836" s="776"/>
      <c r="AM836" s="776"/>
      <c r="AN836" s="17"/>
      <c r="AO836" s="17"/>
      <c r="AP836" s="17"/>
      <c r="AQ836" s="17"/>
      <c r="AR836" s="17"/>
      <c r="AS836" s="17"/>
      <c r="AT836" s="17"/>
      <c r="AU836" s="732"/>
      <c r="AV836" s="313"/>
      <c r="AW836" s="313"/>
      <c r="AX836" s="313"/>
      <c r="AY836" s="313"/>
      <c r="AZ836" s="313"/>
      <c r="BA836" s="313"/>
      <c r="BB836" s="313"/>
      <c r="BC836" s="313"/>
      <c r="BD836" s="313"/>
      <c r="BE836" s="314"/>
      <c r="BW836" s="314"/>
      <c r="BX836" s="314"/>
      <c r="BY836" s="314"/>
      <c r="BZ836" s="314"/>
      <c r="CA836" s="314"/>
      <c r="CB836" s="314"/>
      <c r="CC836" s="314"/>
      <c r="CD836" s="314"/>
    </row>
    <row r="837" ht="28.5" customHeight="1">
      <c r="A837" s="767"/>
      <c r="B837" s="768"/>
      <c r="C837" s="768"/>
      <c r="D837" s="769"/>
      <c r="E837" s="769"/>
      <c r="F837" s="769"/>
      <c r="G837" s="336"/>
      <c r="H837" s="771"/>
      <c r="I837" s="769"/>
      <c r="J837" s="769"/>
      <c r="K837" s="314"/>
      <c r="L837" s="314"/>
      <c r="M837" s="314"/>
      <c r="N837" s="769"/>
      <c r="O837" s="769"/>
      <c r="P837" s="773"/>
      <c r="Q837" s="774"/>
      <c r="R837" s="774"/>
      <c r="S837" s="775"/>
      <c r="AH837" s="776"/>
      <c r="AI837" s="776"/>
      <c r="AJ837" s="732"/>
      <c r="AK837" s="732"/>
      <c r="AL837" s="776"/>
      <c r="AM837" s="776"/>
      <c r="AN837" s="17"/>
      <c r="AO837" s="17"/>
      <c r="AP837" s="17"/>
      <c r="AQ837" s="17"/>
      <c r="AR837" s="17"/>
      <c r="AS837" s="17"/>
      <c r="AT837" s="17"/>
      <c r="AU837" s="732"/>
      <c r="AV837" s="313"/>
      <c r="AW837" s="313"/>
      <c r="AX837" s="313"/>
      <c r="AY837" s="313"/>
      <c r="AZ837" s="313"/>
      <c r="BA837" s="313"/>
      <c r="BB837" s="313"/>
      <c r="BC837" s="313"/>
      <c r="BD837" s="313"/>
      <c r="BE837" s="314"/>
      <c r="BW837" s="314"/>
      <c r="BX837" s="314"/>
      <c r="BY837" s="314"/>
      <c r="BZ837" s="314"/>
      <c r="CA837" s="314"/>
      <c r="CB837" s="314"/>
      <c r="CC837" s="314"/>
      <c r="CD837" s="314"/>
    </row>
    <row r="838" ht="28.5" customHeight="1">
      <c r="A838" s="767"/>
      <c r="B838" s="768"/>
      <c r="C838" s="768"/>
      <c r="D838" s="769"/>
      <c r="E838" s="769"/>
      <c r="F838" s="769"/>
      <c r="G838" s="336"/>
      <c r="H838" s="771"/>
      <c r="I838" s="769"/>
      <c r="J838" s="769"/>
      <c r="K838" s="314"/>
      <c r="L838" s="314"/>
      <c r="M838" s="314"/>
      <c r="N838" s="769"/>
      <c r="O838" s="769"/>
      <c r="P838" s="773"/>
      <c r="Q838" s="774"/>
      <c r="R838" s="774"/>
      <c r="S838" s="775"/>
      <c r="AH838" s="776"/>
      <c r="AI838" s="776"/>
      <c r="AJ838" s="732"/>
      <c r="AK838" s="732"/>
      <c r="AL838" s="776"/>
      <c r="AM838" s="776"/>
      <c r="AN838" s="17"/>
      <c r="AO838" s="17"/>
      <c r="AP838" s="17"/>
      <c r="AQ838" s="17"/>
      <c r="AR838" s="17"/>
      <c r="AS838" s="17"/>
      <c r="AT838" s="17"/>
      <c r="AU838" s="732"/>
      <c r="AV838" s="313"/>
      <c r="AW838" s="313"/>
      <c r="AX838" s="313"/>
      <c r="AY838" s="313"/>
      <c r="AZ838" s="313"/>
      <c r="BA838" s="313"/>
      <c r="BB838" s="313"/>
      <c r="BC838" s="313"/>
      <c r="BD838" s="313"/>
      <c r="BE838" s="314"/>
      <c r="BW838" s="314"/>
      <c r="BX838" s="314"/>
      <c r="BY838" s="314"/>
      <c r="BZ838" s="314"/>
      <c r="CA838" s="314"/>
      <c r="CB838" s="314"/>
      <c r="CC838" s="314"/>
      <c r="CD838" s="314"/>
    </row>
    <row r="839" ht="28.5" customHeight="1">
      <c r="A839" s="767"/>
      <c r="B839" s="768"/>
      <c r="C839" s="768"/>
      <c r="D839" s="769"/>
      <c r="E839" s="769"/>
      <c r="F839" s="769"/>
      <c r="G839" s="336"/>
      <c r="H839" s="771"/>
      <c r="I839" s="769"/>
      <c r="J839" s="769"/>
      <c r="K839" s="314"/>
      <c r="L839" s="314"/>
      <c r="M839" s="314"/>
      <c r="N839" s="769"/>
      <c r="O839" s="769"/>
      <c r="P839" s="773"/>
      <c r="Q839" s="774"/>
      <c r="R839" s="774"/>
      <c r="S839" s="775"/>
      <c r="AH839" s="776"/>
      <c r="AI839" s="776"/>
      <c r="AJ839" s="732"/>
      <c r="AK839" s="732"/>
      <c r="AL839" s="776"/>
      <c r="AM839" s="776"/>
      <c r="AN839" s="17"/>
      <c r="AO839" s="17"/>
      <c r="AP839" s="17"/>
      <c r="AQ839" s="17"/>
      <c r="AR839" s="17"/>
      <c r="AS839" s="17"/>
      <c r="AT839" s="17"/>
      <c r="AU839" s="732"/>
      <c r="AV839" s="313"/>
      <c r="AW839" s="313"/>
      <c r="AX839" s="313"/>
      <c r="AY839" s="313"/>
      <c r="AZ839" s="313"/>
      <c r="BA839" s="313"/>
      <c r="BB839" s="313"/>
      <c r="BC839" s="313"/>
      <c r="BD839" s="313"/>
      <c r="BE839" s="314"/>
      <c r="BW839" s="314"/>
      <c r="BX839" s="314"/>
      <c r="BY839" s="314"/>
      <c r="BZ839" s="314"/>
      <c r="CA839" s="314"/>
      <c r="CB839" s="314"/>
      <c r="CC839" s="314"/>
      <c r="CD839" s="314"/>
    </row>
    <row r="840" ht="28.5" customHeight="1">
      <c r="A840" s="767"/>
      <c r="B840" s="768"/>
      <c r="C840" s="768"/>
      <c r="D840" s="769"/>
      <c r="E840" s="769"/>
      <c r="F840" s="769"/>
      <c r="G840" s="336"/>
      <c r="H840" s="771"/>
      <c r="I840" s="769"/>
      <c r="J840" s="769"/>
      <c r="K840" s="314"/>
      <c r="L840" s="314"/>
      <c r="M840" s="314"/>
      <c r="N840" s="769"/>
      <c r="O840" s="769"/>
      <c r="P840" s="773"/>
      <c r="Q840" s="774"/>
      <c r="R840" s="774"/>
      <c r="S840" s="775"/>
      <c r="AH840" s="776"/>
      <c r="AI840" s="776"/>
      <c r="AJ840" s="732"/>
      <c r="AK840" s="732"/>
      <c r="AL840" s="776"/>
      <c r="AM840" s="776"/>
      <c r="AN840" s="17"/>
      <c r="AO840" s="17"/>
      <c r="AP840" s="17"/>
      <c r="AQ840" s="17"/>
      <c r="AR840" s="17"/>
      <c r="AS840" s="17"/>
      <c r="AT840" s="17"/>
      <c r="AU840" s="732"/>
      <c r="AV840" s="313"/>
      <c r="AW840" s="313"/>
      <c r="AX840" s="313"/>
      <c r="AY840" s="313"/>
      <c r="AZ840" s="313"/>
      <c r="BA840" s="313"/>
      <c r="BB840" s="313"/>
      <c r="BC840" s="313"/>
      <c r="BD840" s="313"/>
      <c r="BE840" s="314"/>
      <c r="BW840" s="314"/>
      <c r="BX840" s="314"/>
      <c r="BY840" s="314"/>
      <c r="BZ840" s="314"/>
      <c r="CA840" s="314"/>
      <c r="CB840" s="314"/>
      <c r="CC840" s="314"/>
      <c r="CD840" s="314"/>
    </row>
    <row r="841" ht="28.5" customHeight="1">
      <c r="A841" s="767"/>
      <c r="B841" s="768"/>
      <c r="C841" s="768"/>
      <c r="D841" s="769"/>
      <c r="E841" s="769"/>
      <c r="F841" s="769"/>
      <c r="G841" s="336"/>
      <c r="H841" s="771"/>
      <c r="I841" s="769"/>
      <c r="J841" s="769"/>
      <c r="K841" s="314"/>
      <c r="L841" s="314"/>
      <c r="M841" s="314"/>
      <c r="N841" s="769"/>
      <c r="O841" s="769"/>
      <c r="P841" s="773"/>
      <c r="Q841" s="774"/>
      <c r="R841" s="774"/>
      <c r="S841" s="775"/>
      <c r="AH841" s="776"/>
      <c r="AI841" s="776"/>
      <c r="AJ841" s="732"/>
      <c r="AK841" s="732"/>
      <c r="AL841" s="776"/>
      <c r="AM841" s="776"/>
      <c r="AN841" s="17"/>
      <c r="AO841" s="17"/>
      <c r="AP841" s="17"/>
      <c r="AQ841" s="17"/>
      <c r="AR841" s="17"/>
      <c r="AS841" s="17"/>
      <c r="AT841" s="17"/>
      <c r="AU841" s="732"/>
      <c r="AV841" s="313"/>
      <c r="AW841" s="313"/>
      <c r="AX841" s="313"/>
      <c r="AY841" s="313"/>
      <c r="AZ841" s="313"/>
      <c r="BA841" s="313"/>
      <c r="BB841" s="313"/>
      <c r="BC841" s="313"/>
      <c r="BD841" s="313"/>
      <c r="BE841" s="314"/>
      <c r="BW841" s="314"/>
      <c r="BX841" s="314"/>
      <c r="BY841" s="314"/>
      <c r="BZ841" s="314"/>
      <c r="CA841" s="314"/>
      <c r="CB841" s="314"/>
      <c r="CC841" s="314"/>
      <c r="CD841" s="314"/>
    </row>
    <row r="842" ht="28.5" customHeight="1">
      <c r="A842" s="767"/>
      <c r="B842" s="768"/>
      <c r="C842" s="768"/>
      <c r="D842" s="769"/>
      <c r="E842" s="769"/>
      <c r="F842" s="769"/>
      <c r="G842" s="336"/>
      <c r="H842" s="771"/>
      <c r="I842" s="769"/>
      <c r="J842" s="769"/>
      <c r="K842" s="314"/>
      <c r="L842" s="314"/>
      <c r="M842" s="314"/>
      <c r="N842" s="769"/>
      <c r="O842" s="769"/>
      <c r="P842" s="773"/>
      <c r="Q842" s="774"/>
      <c r="R842" s="774"/>
      <c r="S842" s="775"/>
      <c r="AH842" s="776"/>
      <c r="AI842" s="776"/>
      <c r="AJ842" s="732"/>
      <c r="AK842" s="732"/>
      <c r="AL842" s="776"/>
      <c r="AM842" s="776"/>
      <c r="AN842" s="17"/>
      <c r="AO842" s="17"/>
      <c r="AP842" s="17"/>
      <c r="AQ842" s="17"/>
      <c r="AR842" s="17"/>
      <c r="AS842" s="17"/>
      <c r="AT842" s="17"/>
      <c r="AU842" s="732"/>
      <c r="AV842" s="313"/>
      <c r="AW842" s="313"/>
      <c r="AX842" s="313"/>
      <c r="AY842" s="313"/>
      <c r="AZ842" s="313"/>
      <c r="BA842" s="313"/>
      <c r="BB842" s="313"/>
      <c r="BC842" s="313"/>
      <c r="BD842" s="313"/>
      <c r="BE842" s="314"/>
      <c r="BW842" s="314"/>
      <c r="BX842" s="314"/>
      <c r="BY842" s="314"/>
      <c r="BZ842" s="314"/>
      <c r="CA842" s="314"/>
      <c r="CB842" s="314"/>
      <c r="CC842" s="314"/>
      <c r="CD842" s="314"/>
    </row>
    <row r="843" ht="28.5" customHeight="1">
      <c r="A843" s="767"/>
      <c r="B843" s="768"/>
      <c r="C843" s="768"/>
      <c r="D843" s="769"/>
      <c r="E843" s="769"/>
      <c r="F843" s="769"/>
      <c r="G843" s="336"/>
      <c r="H843" s="771"/>
      <c r="I843" s="769"/>
      <c r="J843" s="769"/>
      <c r="K843" s="314"/>
      <c r="L843" s="314"/>
      <c r="M843" s="314"/>
      <c r="N843" s="769"/>
      <c r="O843" s="769"/>
      <c r="P843" s="773"/>
      <c r="Q843" s="774"/>
      <c r="R843" s="774"/>
      <c r="S843" s="775"/>
      <c r="AH843" s="776"/>
      <c r="AI843" s="776"/>
      <c r="AJ843" s="732"/>
      <c r="AK843" s="732"/>
      <c r="AL843" s="776"/>
      <c r="AM843" s="776"/>
      <c r="AN843" s="17"/>
      <c r="AO843" s="17"/>
      <c r="AP843" s="17"/>
      <c r="AQ843" s="17"/>
      <c r="AR843" s="17"/>
      <c r="AS843" s="17"/>
      <c r="AT843" s="17"/>
      <c r="AU843" s="732"/>
      <c r="AV843" s="313"/>
      <c r="AW843" s="313"/>
      <c r="AX843" s="313"/>
      <c r="AY843" s="313"/>
      <c r="AZ843" s="313"/>
      <c r="BA843" s="313"/>
      <c r="BB843" s="313"/>
      <c r="BC843" s="313"/>
      <c r="BD843" s="313"/>
      <c r="BE843" s="314"/>
      <c r="BW843" s="314"/>
      <c r="BX843" s="314"/>
      <c r="BY843" s="314"/>
      <c r="BZ843" s="314"/>
      <c r="CA843" s="314"/>
      <c r="CB843" s="314"/>
      <c r="CC843" s="314"/>
      <c r="CD843" s="314"/>
    </row>
    <row r="844" ht="28.5" customHeight="1">
      <c r="A844" s="767"/>
      <c r="B844" s="768"/>
      <c r="C844" s="768"/>
      <c r="D844" s="769"/>
      <c r="E844" s="769"/>
      <c r="F844" s="769"/>
      <c r="G844" s="336"/>
      <c r="H844" s="771"/>
      <c r="I844" s="769"/>
      <c r="J844" s="769"/>
      <c r="K844" s="314"/>
      <c r="L844" s="314"/>
      <c r="M844" s="314"/>
      <c r="N844" s="769"/>
      <c r="O844" s="769"/>
      <c r="P844" s="773"/>
      <c r="Q844" s="774"/>
      <c r="R844" s="774"/>
      <c r="S844" s="775"/>
      <c r="AH844" s="776"/>
      <c r="AI844" s="776"/>
      <c r="AJ844" s="732"/>
      <c r="AK844" s="732"/>
      <c r="AL844" s="776"/>
      <c r="AM844" s="776"/>
      <c r="AN844" s="17"/>
      <c r="AO844" s="17"/>
      <c r="AP844" s="17"/>
      <c r="AQ844" s="17"/>
      <c r="AR844" s="17"/>
      <c r="AS844" s="17"/>
      <c r="AT844" s="17"/>
      <c r="AU844" s="732"/>
      <c r="AV844" s="313"/>
      <c r="AW844" s="313"/>
      <c r="AX844" s="313"/>
      <c r="AY844" s="313"/>
      <c r="AZ844" s="313"/>
      <c r="BA844" s="313"/>
      <c r="BB844" s="313"/>
      <c r="BC844" s="313"/>
      <c r="BD844" s="313"/>
      <c r="BE844" s="314"/>
      <c r="BW844" s="314"/>
      <c r="BX844" s="314"/>
      <c r="BY844" s="314"/>
      <c r="BZ844" s="314"/>
      <c r="CA844" s="314"/>
      <c r="CB844" s="314"/>
      <c r="CC844" s="314"/>
      <c r="CD844" s="314"/>
    </row>
    <row r="845" ht="28.5" customHeight="1">
      <c r="A845" s="767"/>
      <c r="B845" s="768"/>
      <c r="C845" s="768"/>
      <c r="D845" s="769"/>
      <c r="E845" s="769"/>
      <c r="F845" s="769"/>
      <c r="G845" s="336"/>
      <c r="H845" s="771"/>
      <c r="I845" s="769"/>
      <c r="J845" s="769"/>
      <c r="K845" s="314"/>
      <c r="L845" s="314"/>
      <c r="M845" s="314"/>
      <c r="N845" s="769"/>
      <c r="O845" s="769"/>
      <c r="P845" s="773"/>
      <c r="Q845" s="774"/>
      <c r="R845" s="774"/>
      <c r="S845" s="775"/>
      <c r="AH845" s="776"/>
      <c r="AI845" s="776"/>
      <c r="AJ845" s="732"/>
      <c r="AK845" s="732"/>
      <c r="AL845" s="776"/>
      <c r="AM845" s="776"/>
      <c r="AN845" s="17"/>
      <c r="AO845" s="17"/>
      <c r="AP845" s="17"/>
      <c r="AQ845" s="17"/>
      <c r="AR845" s="17"/>
      <c r="AS845" s="17"/>
      <c r="AT845" s="17"/>
      <c r="AU845" s="732"/>
      <c r="AV845" s="313"/>
      <c r="AW845" s="313"/>
      <c r="AX845" s="313"/>
      <c r="AY845" s="313"/>
      <c r="AZ845" s="313"/>
      <c r="BA845" s="313"/>
      <c r="BB845" s="313"/>
      <c r="BC845" s="313"/>
      <c r="BD845" s="313"/>
      <c r="BE845" s="314"/>
      <c r="BW845" s="314"/>
      <c r="BX845" s="314"/>
      <c r="BY845" s="314"/>
      <c r="BZ845" s="314"/>
      <c r="CA845" s="314"/>
      <c r="CB845" s="314"/>
      <c r="CC845" s="314"/>
      <c r="CD845" s="314"/>
    </row>
    <row r="846" ht="28.5" customHeight="1">
      <c r="A846" s="767"/>
      <c r="B846" s="768"/>
      <c r="C846" s="768"/>
      <c r="D846" s="769"/>
      <c r="E846" s="769"/>
      <c r="F846" s="769"/>
      <c r="G846" s="336"/>
      <c r="H846" s="771"/>
      <c r="I846" s="769"/>
      <c r="J846" s="769"/>
      <c r="K846" s="314"/>
      <c r="L846" s="314"/>
      <c r="M846" s="314"/>
      <c r="N846" s="769"/>
      <c r="O846" s="769"/>
      <c r="P846" s="773"/>
      <c r="Q846" s="774"/>
      <c r="R846" s="774"/>
      <c r="S846" s="775"/>
      <c r="AH846" s="776"/>
      <c r="AI846" s="776"/>
      <c r="AJ846" s="732"/>
      <c r="AK846" s="732"/>
      <c r="AL846" s="776"/>
      <c r="AM846" s="776"/>
      <c r="AN846" s="17"/>
      <c r="AO846" s="17"/>
      <c r="AP846" s="17"/>
      <c r="AQ846" s="17"/>
      <c r="AR846" s="17"/>
      <c r="AS846" s="17"/>
      <c r="AT846" s="17"/>
      <c r="AU846" s="732"/>
      <c r="AV846" s="313"/>
      <c r="AW846" s="313"/>
      <c r="AX846" s="313"/>
      <c r="AY846" s="313"/>
      <c r="AZ846" s="313"/>
      <c r="BA846" s="313"/>
      <c r="BB846" s="313"/>
      <c r="BC846" s="313"/>
      <c r="BD846" s="313"/>
      <c r="BE846" s="314"/>
      <c r="BW846" s="314"/>
      <c r="BX846" s="314"/>
      <c r="BY846" s="314"/>
      <c r="BZ846" s="314"/>
      <c r="CA846" s="314"/>
      <c r="CB846" s="314"/>
      <c r="CC846" s="314"/>
      <c r="CD846" s="314"/>
    </row>
    <row r="847" ht="28.5" customHeight="1">
      <c r="A847" s="767"/>
      <c r="B847" s="768"/>
      <c r="C847" s="768"/>
      <c r="D847" s="769"/>
      <c r="E847" s="769"/>
      <c r="F847" s="769"/>
      <c r="G847" s="336"/>
      <c r="H847" s="771"/>
      <c r="I847" s="769"/>
      <c r="J847" s="769"/>
      <c r="K847" s="314"/>
      <c r="L847" s="314"/>
      <c r="M847" s="314"/>
      <c r="N847" s="769"/>
      <c r="O847" s="769"/>
      <c r="P847" s="773"/>
      <c r="Q847" s="774"/>
      <c r="R847" s="774"/>
      <c r="S847" s="775"/>
      <c r="AH847" s="776"/>
      <c r="AI847" s="776"/>
      <c r="AJ847" s="732"/>
      <c r="AK847" s="732"/>
      <c r="AL847" s="776"/>
      <c r="AM847" s="776"/>
      <c r="AN847" s="17"/>
      <c r="AO847" s="17"/>
      <c r="AP847" s="17"/>
      <c r="AQ847" s="17"/>
      <c r="AR847" s="17"/>
      <c r="AS847" s="17"/>
      <c r="AT847" s="17"/>
      <c r="AU847" s="732"/>
      <c r="AV847" s="313"/>
      <c r="AW847" s="313"/>
      <c r="AX847" s="313"/>
      <c r="AY847" s="313"/>
      <c r="AZ847" s="313"/>
      <c r="BA847" s="313"/>
      <c r="BB847" s="313"/>
      <c r="BC847" s="313"/>
      <c r="BD847" s="313"/>
      <c r="BE847" s="314"/>
      <c r="BW847" s="314"/>
      <c r="BX847" s="314"/>
      <c r="BY847" s="314"/>
      <c r="BZ847" s="314"/>
      <c r="CA847" s="314"/>
      <c r="CB847" s="314"/>
      <c r="CC847" s="314"/>
      <c r="CD847" s="314"/>
    </row>
    <row r="848" ht="28.5" customHeight="1">
      <c r="A848" s="767"/>
      <c r="B848" s="768"/>
      <c r="C848" s="768"/>
      <c r="D848" s="769"/>
      <c r="E848" s="769"/>
      <c r="F848" s="769"/>
      <c r="G848" s="336"/>
      <c r="H848" s="771"/>
      <c r="I848" s="769"/>
      <c r="J848" s="769"/>
      <c r="K848" s="314"/>
      <c r="L848" s="314"/>
      <c r="M848" s="314"/>
      <c r="N848" s="769"/>
      <c r="O848" s="769"/>
      <c r="P848" s="773"/>
      <c r="Q848" s="774"/>
      <c r="R848" s="774"/>
      <c r="S848" s="775"/>
      <c r="AH848" s="776"/>
      <c r="AI848" s="776"/>
      <c r="AJ848" s="732"/>
      <c r="AK848" s="732"/>
      <c r="AL848" s="776"/>
      <c r="AM848" s="776"/>
      <c r="AN848" s="17"/>
      <c r="AO848" s="17"/>
      <c r="AP848" s="17"/>
      <c r="AQ848" s="17"/>
      <c r="AR848" s="17"/>
      <c r="AS848" s="17"/>
      <c r="AT848" s="17"/>
      <c r="AU848" s="732"/>
      <c r="AV848" s="313"/>
      <c r="AW848" s="313"/>
      <c r="AX848" s="313"/>
      <c r="AY848" s="313"/>
      <c r="AZ848" s="313"/>
      <c r="BA848" s="313"/>
      <c r="BB848" s="313"/>
      <c r="BC848" s="313"/>
      <c r="BD848" s="313"/>
      <c r="BE848" s="314"/>
      <c r="BW848" s="314"/>
      <c r="BX848" s="314"/>
      <c r="BY848" s="314"/>
      <c r="BZ848" s="314"/>
      <c r="CA848" s="314"/>
      <c r="CB848" s="314"/>
      <c r="CC848" s="314"/>
      <c r="CD848" s="314"/>
    </row>
    <row r="849" ht="28.5" customHeight="1">
      <c r="A849" s="767"/>
      <c r="B849" s="768"/>
      <c r="C849" s="768"/>
      <c r="D849" s="769"/>
      <c r="E849" s="769"/>
      <c r="F849" s="769"/>
      <c r="G849" s="336"/>
      <c r="H849" s="771"/>
      <c r="I849" s="769"/>
      <c r="J849" s="769"/>
      <c r="K849" s="314"/>
      <c r="L849" s="314"/>
      <c r="M849" s="314"/>
      <c r="N849" s="769"/>
      <c r="O849" s="769"/>
      <c r="P849" s="773"/>
      <c r="Q849" s="774"/>
      <c r="R849" s="774"/>
      <c r="S849" s="775"/>
      <c r="AH849" s="776"/>
      <c r="AI849" s="776"/>
      <c r="AJ849" s="732"/>
      <c r="AK849" s="732"/>
      <c r="AL849" s="776"/>
      <c r="AM849" s="776"/>
      <c r="AN849" s="17"/>
      <c r="AO849" s="17"/>
      <c r="AP849" s="17"/>
      <c r="AQ849" s="17"/>
      <c r="AR849" s="17"/>
      <c r="AS849" s="17"/>
      <c r="AT849" s="17"/>
      <c r="AU849" s="732"/>
      <c r="AV849" s="313"/>
      <c r="AW849" s="313"/>
      <c r="AX849" s="313"/>
      <c r="AY849" s="313"/>
      <c r="AZ849" s="313"/>
      <c r="BA849" s="313"/>
      <c r="BB849" s="313"/>
      <c r="BC849" s="313"/>
      <c r="BD849" s="313"/>
      <c r="BE849" s="314"/>
      <c r="BW849" s="314"/>
      <c r="BX849" s="314"/>
      <c r="BY849" s="314"/>
      <c r="BZ849" s="314"/>
      <c r="CA849" s="314"/>
      <c r="CB849" s="314"/>
      <c r="CC849" s="314"/>
      <c r="CD849" s="314"/>
    </row>
    <row r="850" ht="28.5" customHeight="1">
      <c r="A850" s="767"/>
      <c r="B850" s="768"/>
      <c r="C850" s="768"/>
      <c r="D850" s="769"/>
      <c r="E850" s="769"/>
      <c r="F850" s="769"/>
      <c r="G850" s="336"/>
      <c r="H850" s="771"/>
      <c r="I850" s="769"/>
      <c r="J850" s="769"/>
      <c r="K850" s="314"/>
      <c r="L850" s="314"/>
      <c r="M850" s="314"/>
      <c r="N850" s="769"/>
      <c r="O850" s="769"/>
      <c r="P850" s="773"/>
      <c r="Q850" s="774"/>
      <c r="R850" s="774"/>
      <c r="S850" s="775"/>
      <c r="AH850" s="776"/>
      <c r="AI850" s="776"/>
      <c r="AJ850" s="732"/>
      <c r="AK850" s="732"/>
      <c r="AL850" s="776"/>
      <c r="AM850" s="776"/>
      <c r="AN850" s="17"/>
      <c r="AO850" s="17"/>
      <c r="AP850" s="17"/>
      <c r="AQ850" s="17"/>
      <c r="AR850" s="17"/>
      <c r="AS850" s="17"/>
      <c r="AT850" s="17"/>
      <c r="AU850" s="732"/>
      <c r="AV850" s="313"/>
      <c r="AW850" s="313"/>
      <c r="AX850" s="313"/>
      <c r="AY850" s="313"/>
      <c r="AZ850" s="313"/>
      <c r="BA850" s="313"/>
      <c r="BB850" s="313"/>
      <c r="BC850" s="313"/>
      <c r="BD850" s="313"/>
      <c r="BE850" s="314"/>
      <c r="BW850" s="314"/>
      <c r="BX850" s="314"/>
      <c r="BY850" s="314"/>
      <c r="BZ850" s="314"/>
      <c r="CA850" s="314"/>
      <c r="CB850" s="314"/>
      <c r="CC850" s="314"/>
      <c r="CD850" s="314"/>
    </row>
    <row r="851" ht="28.5" customHeight="1">
      <c r="A851" s="767"/>
      <c r="B851" s="768"/>
      <c r="C851" s="768"/>
      <c r="D851" s="769"/>
      <c r="E851" s="769"/>
      <c r="F851" s="769"/>
      <c r="G851" s="336"/>
      <c r="H851" s="771"/>
      <c r="I851" s="769"/>
      <c r="J851" s="769"/>
      <c r="K851" s="314"/>
      <c r="L851" s="314"/>
      <c r="M851" s="314"/>
      <c r="N851" s="769"/>
      <c r="O851" s="769"/>
      <c r="P851" s="773"/>
      <c r="Q851" s="774"/>
      <c r="R851" s="774"/>
      <c r="S851" s="775"/>
      <c r="AH851" s="776"/>
      <c r="AI851" s="776"/>
      <c r="AJ851" s="732"/>
      <c r="AK851" s="732"/>
      <c r="AL851" s="776"/>
      <c r="AM851" s="776"/>
      <c r="AN851" s="17"/>
      <c r="AO851" s="17"/>
      <c r="AP851" s="17"/>
      <c r="AQ851" s="17"/>
      <c r="AR851" s="17"/>
      <c r="AS851" s="17"/>
      <c r="AT851" s="17"/>
      <c r="AU851" s="732"/>
      <c r="AV851" s="313"/>
      <c r="AW851" s="313"/>
      <c r="AX851" s="313"/>
      <c r="AY851" s="313"/>
      <c r="AZ851" s="313"/>
      <c r="BA851" s="313"/>
      <c r="BB851" s="313"/>
      <c r="BC851" s="313"/>
      <c r="BD851" s="313"/>
      <c r="BE851" s="314"/>
      <c r="BW851" s="314"/>
      <c r="BX851" s="314"/>
      <c r="BY851" s="314"/>
      <c r="BZ851" s="314"/>
      <c r="CA851" s="314"/>
      <c r="CB851" s="314"/>
      <c r="CC851" s="314"/>
      <c r="CD851" s="314"/>
    </row>
    <row r="852" ht="28.5" customHeight="1">
      <c r="A852" s="767"/>
      <c r="B852" s="768"/>
      <c r="C852" s="768"/>
      <c r="D852" s="769"/>
      <c r="E852" s="769"/>
      <c r="F852" s="769"/>
      <c r="G852" s="336"/>
      <c r="H852" s="771"/>
      <c r="I852" s="769"/>
      <c r="J852" s="769"/>
      <c r="K852" s="314"/>
      <c r="L852" s="314"/>
      <c r="M852" s="314"/>
      <c r="N852" s="769"/>
      <c r="O852" s="769"/>
      <c r="P852" s="773"/>
      <c r="Q852" s="774"/>
      <c r="R852" s="774"/>
      <c r="S852" s="775"/>
      <c r="AH852" s="776"/>
      <c r="AI852" s="776"/>
      <c r="AJ852" s="732"/>
      <c r="AK852" s="732"/>
      <c r="AL852" s="776"/>
      <c r="AM852" s="776"/>
      <c r="AN852" s="17"/>
      <c r="AO852" s="17"/>
      <c r="AP852" s="17"/>
      <c r="AQ852" s="17"/>
      <c r="AR852" s="17"/>
      <c r="AS852" s="17"/>
      <c r="AT852" s="17"/>
      <c r="AU852" s="732"/>
      <c r="AV852" s="313"/>
      <c r="AW852" s="313"/>
      <c r="AX852" s="313"/>
      <c r="AY852" s="313"/>
      <c r="AZ852" s="313"/>
      <c r="BA852" s="313"/>
      <c r="BB852" s="313"/>
      <c r="BC852" s="313"/>
      <c r="BD852" s="313"/>
      <c r="BE852" s="314"/>
      <c r="BW852" s="314"/>
      <c r="BX852" s="314"/>
      <c r="BY852" s="314"/>
      <c r="BZ852" s="314"/>
      <c r="CA852" s="314"/>
      <c r="CB852" s="314"/>
      <c r="CC852" s="314"/>
      <c r="CD852" s="314"/>
    </row>
    <row r="853" ht="28.5" customHeight="1">
      <c r="A853" s="767"/>
      <c r="B853" s="768"/>
      <c r="C853" s="768"/>
      <c r="D853" s="769"/>
      <c r="E853" s="769"/>
      <c r="F853" s="769"/>
      <c r="G853" s="336"/>
      <c r="H853" s="771"/>
      <c r="I853" s="769"/>
      <c r="J853" s="769"/>
      <c r="K853" s="314"/>
      <c r="L853" s="314"/>
      <c r="M853" s="314"/>
      <c r="N853" s="769"/>
      <c r="O853" s="769"/>
      <c r="P853" s="773"/>
      <c r="Q853" s="774"/>
      <c r="R853" s="774"/>
      <c r="S853" s="775"/>
      <c r="AH853" s="776"/>
      <c r="AI853" s="776"/>
      <c r="AJ853" s="732"/>
      <c r="AK853" s="732"/>
      <c r="AL853" s="776"/>
      <c r="AM853" s="776"/>
      <c r="AN853" s="17"/>
      <c r="AO853" s="17"/>
      <c r="AP853" s="17"/>
      <c r="AQ853" s="17"/>
      <c r="AR853" s="17"/>
      <c r="AS853" s="17"/>
      <c r="AT853" s="17"/>
      <c r="AU853" s="732"/>
      <c r="AV853" s="313"/>
      <c r="AW853" s="313"/>
      <c r="AX853" s="313"/>
      <c r="AY853" s="313"/>
      <c r="AZ853" s="313"/>
      <c r="BA853" s="313"/>
      <c r="BB853" s="313"/>
      <c r="BC853" s="313"/>
      <c r="BD853" s="313"/>
      <c r="BE853" s="314"/>
      <c r="BW853" s="314"/>
      <c r="BX853" s="314"/>
      <c r="BY853" s="314"/>
      <c r="BZ853" s="314"/>
      <c r="CA853" s="314"/>
      <c r="CB853" s="314"/>
      <c r="CC853" s="314"/>
      <c r="CD853" s="314"/>
    </row>
    <row r="854" ht="28.5" customHeight="1">
      <c r="A854" s="767"/>
      <c r="B854" s="768"/>
      <c r="C854" s="768"/>
      <c r="D854" s="769"/>
      <c r="E854" s="769"/>
      <c r="F854" s="769"/>
      <c r="G854" s="336"/>
      <c r="H854" s="771"/>
      <c r="I854" s="769"/>
      <c r="J854" s="769"/>
      <c r="K854" s="314"/>
      <c r="L854" s="314"/>
      <c r="M854" s="314"/>
      <c r="N854" s="769"/>
      <c r="O854" s="769"/>
      <c r="P854" s="773"/>
      <c r="Q854" s="774"/>
      <c r="R854" s="774"/>
      <c r="S854" s="775"/>
      <c r="AH854" s="776"/>
      <c r="AI854" s="776"/>
      <c r="AJ854" s="732"/>
      <c r="AK854" s="732"/>
      <c r="AL854" s="776"/>
      <c r="AM854" s="776"/>
      <c r="AN854" s="17"/>
      <c r="AO854" s="17"/>
      <c r="AP854" s="17"/>
      <c r="AQ854" s="17"/>
      <c r="AR854" s="17"/>
      <c r="AS854" s="17"/>
      <c r="AT854" s="17"/>
      <c r="AU854" s="732"/>
      <c r="AV854" s="313"/>
      <c r="AW854" s="313"/>
      <c r="AX854" s="313"/>
      <c r="AY854" s="313"/>
      <c r="AZ854" s="313"/>
      <c r="BA854" s="313"/>
      <c r="BB854" s="313"/>
      <c r="BC854" s="313"/>
      <c r="BD854" s="313"/>
      <c r="BE854" s="314"/>
      <c r="BW854" s="314"/>
      <c r="BX854" s="314"/>
      <c r="BY854" s="314"/>
      <c r="BZ854" s="314"/>
      <c r="CA854" s="314"/>
      <c r="CB854" s="314"/>
      <c r="CC854" s="314"/>
      <c r="CD854" s="314"/>
    </row>
    <row r="855" ht="28.5" customHeight="1">
      <c r="A855" s="767"/>
      <c r="B855" s="768"/>
      <c r="C855" s="768"/>
      <c r="D855" s="769"/>
      <c r="E855" s="769"/>
      <c r="F855" s="769"/>
      <c r="G855" s="336"/>
      <c r="H855" s="771"/>
      <c r="I855" s="769"/>
      <c r="J855" s="769"/>
      <c r="K855" s="314"/>
      <c r="L855" s="314"/>
      <c r="M855" s="314"/>
      <c r="N855" s="769"/>
      <c r="O855" s="769"/>
      <c r="P855" s="773"/>
      <c r="Q855" s="774"/>
      <c r="R855" s="774"/>
      <c r="S855" s="775"/>
      <c r="AH855" s="776"/>
      <c r="AI855" s="776"/>
      <c r="AJ855" s="732"/>
      <c r="AK855" s="732"/>
      <c r="AL855" s="776"/>
      <c r="AM855" s="776"/>
      <c r="AN855" s="17"/>
      <c r="AO855" s="17"/>
      <c r="AP855" s="17"/>
      <c r="AQ855" s="17"/>
      <c r="AR855" s="17"/>
      <c r="AS855" s="17"/>
      <c r="AT855" s="17"/>
      <c r="AU855" s="732"/>
      <c r="AV855" s="313"/>
      <c r="AW855" s="313"/>
      <c r="AX855" s="313"/>
      <c r="AY855" s="313"/>
      <c r="AZ855" s="313"/>
      <c r="BA855" s="313"/>
      <c r="BB855" s="313"/>
      <c r="BC855" s="313"/>
      <c r="BD855" s="313"/>
      <c r="BE855" s="314"/>
      <c r="BW855" s="314"/>
      <c r="BX855" s="314"/>
      <c r="BY855" s="314"/>
      <c r="BZ855" s="314"/>
      <c r="CA855" s="314"/>
      <c r="CB855" s="314"/>
      <c r="CC855" s="314"/>
      <c r="CD855" s="314"/>
    </row>
    <row r="856" ht="28.5" customHeight="1">
      <c r="A856" s="767"/>
      <c r="B856" s="768"/>
      <c r="C856" s="768"/>
      <c r="D856" s="769"/>
      <c r="E856" s="769"/>
      <c r="F856" s="769"/>
      <c r="G856" s="336"/>
      <c r="H856" s="771"/>
      <c r="I856" s="769"/>
      <c r="J856" s="769"/>
      <c r="K856" s="314"/>
      <c r="L856" s="314"/>
      <c r="M856" s="314"/>
      <c r="N856" s="769"/>
      <c r="O856" s="769"/>
      <c r="P856" s="773"/>
      <c r="Q856" s="774"/>
      <c r="R856" s="774"/>
      <c r="S856" s="775"/>
      <c r="AH856" s="776"/>
      <c r="AI856" s="776"/>
      <c r="AJ856" s="732"/>
      <c r="AK856" s="732"/>
      <c r="AL856" s="776"/>
      <c r="AM856" s="776"/>
      <c r="AN856" s="17"/>
      <c r="AO856" s="17"/>
      <c r="AP856" s="17"/>
      <c r="AQ856" s="17"/>
      <c r="AR856" s="17"/>
      <c r="AS856" s="17"/>
      <c r="AT856" s="17"/>
      <c r="AU856" s="732"/>
      <c r="AV856" s="313"/>
      <c r="AW856" s="313"/>
      <c r="AX856" s="313"/>
      <c r="AY856" s="313"/>
      <c r="AZ856" s="313"/>
      <c r="BA856" s="313"/>
      <c r="BB856" s="313"/>
      <c r="BC856" s="313"/>
      <c r="BD856" s="313"/>
      <c r="BE856" s="314"/>
      <c r="BW856" s="314"/>
      <c r="BX856" s="314"/>
      <c r="BY856" s="314"/>
      <c r="BZ856" s="314"/>
      <c r="CA856" s="314"/>
      <c r="CB856" s="314"/>
      <c r="CC856" s="314"/>
      <c r="CD856" s="314"/>
    </row>
    <row r="857" ht="28.5" customHeight="1">
      <c r="A857" s="767"/>
      <c r="B857" s="768"/>
      <c r="C857" s="768"/>
      <c r="D857" s="769"/>
      <c r="E857" s="769"/>
      <c r="F857" s="769"/>
      <c r="G857" s="336"/>
      <c r="H857" s="771"/>
      <c r="I857" s="769"/>
      <c r="J857" s="769"/>
      <c r="K857" s="314"/>
      <c r="L857" s="314"/>
      <c r="M857" s="314"/>
      <c r="N857" s="769"/>
      <c r="O857" s="769"/>
      <c r="P857" s="773"/>
      <c r="Q857" s="774"/>
      <c r="R857" s="774"/>
      <c r="S857" s="775"/>
      <c r="AH857" s="776"/>
      <c r="AI857" s="776"/>
      <c r="AJ857" s="732"/>
      <c r="AK857" s="732"/>
      <c r="AL857" s="776"/>
      <c r="AM857" s="776"/>
      <c r="AN857" s="17"/>
      <c r="AO857" s="17"/>
      <c r="AP857" s="17"/>
      <c r="AQ857" s="17"/>
      <c r="AR857" s="17"/>
      <c r="AS857" s="17"/>
      <c r="AT857" s="17"/>
      <c r="AU857" s="732"/>
      <c r="AV857" s="313"/>
      <c r="AW857" s="313"/>
      <c r="AX857" s="313"/>
      <c r="AY857" s="313"/>
      <c r="AZ857" s="313"/>
      <c r="BA857" s="313"/>
      <c r="BB857" s="313"/>
      <c r="BC857" s="313"/>
      <c r="BD857" s="313"/>
      <c r="BE857" s="314"/>
      <c r="BW857" s="314"/>
      <c r="BX857" s="314"/>
      <c r="BY857" s="314"/>
      <c r="BZ857" s="314"/>
      <c r="CA857" s="314"/>
      <c r="CB857" s="314"/>
      <c r="CC857" s="314"/>
      <c r="CD857" s="314"/>
    </row>
    <row r="858" ht="28.5" customHeight="1">
      <c r="A858" s="767"/>
      <c r="B858" s="768"/>
      <c r="C858" s="768"/>
      <c r="D858" s="769"/>
      <c r="E858" s="769"/>
      <c r="F858" s="769"/>
      <c r="G858" s="336"/>
      <c r="H858" s="771"/>
      <c r="I858" s="769"/>
      <c r="J858" s="769"/>
      <c r="K858" s="314"/>
      <c r="L858" s="314"/>
      <c r="M858" s="314"/>
      <c r="N858" s="769"/>
      <c r="O858" s="769"/>
      <c r="P858" s="773"/>
      <c r="Q858" s="774"/>
      <c r="R858" s="774"/>
      <c r="S858" s="775"/>
      <c r="AH858" s="776"/>
      <c r="AI858" s="776"/>
      <c r="AJ858" s="732"/>
      <c r="AK858" s="732"/>
      <c r="AL858" s="776"/>
      <c r="AM858" s="776"/>
      <c r="AN858" s="17"/>
      <c r="AO858" s="17"/>
      <c r="AP858" s="17"/>
      <c r="AQ858" s="17"/>
      <c r="AR858" s="17"/>
      <c r="AS858" s="17"/>
      <c r="AT858" s="17"/>
      <c r="AU858" s="732"/>
      <c r="AV858" s="313"/>
      <c r="AW858" s="313"/>
      <c r="AX858" s="313"/>
      <c r="AY858" s="313"/>
      <c r="AZ858" s="313"/>
      <c r="BA858" s="313"/>
      <c r="BB858" s="313"/>
      <c r="BC858" s="313"/>
      <c r="BD858" s="313"/>
      <c r="BE858" s="314"/>
      <c r="BW858" s="314"/>
      <c r="BX858" s="314"/>
      <c r="BY858" s="314"/>
      <c r="BZ858" s="314"/>
      <c r="CA858" s="314"/>
      <c r="CB858" s="314"/>
      <c r="CC858" s="314"/>
      <c r="CD858" s="314"/>
    </row>
    <row r="859" ht="28.5" customHeight="1">
      <c r="A859" s="767"/>
      <c r="B859" s="768"/>
      <c r="C859" s="768"/>
      <c r="D859" s="769"/>
      <c r="E859" s="769"/>
      <c r="F859" s="769"/>
      <c r="G859" s="336"/>
      <c r="H859" s="771"/>
      <c r="I859" s="769"/>
      <c r="J859" s="769"/>
      <c r="K859" s="314"/>
      <c r="L859" s="314"/>
      <c r="M859" s="314"/>
      <c r="N859" s="769"/>
      <c r="O859" s="769"/>
      <c r="P859" s="773"/>
      <c r="Q859" s="774"/>
      <c r="R859" s="774"/>
      <c r="S859" s="775"/>
      <c r="AH859" s="776"/>
      <c r="AI859" s="776"/>
      <c r="AJ859" s="732"/>
      <c r="AK859" s="732"/>
      <c r="AL859" s="776"/>
      <c r="AM859" s="776"/>
      <c r="AN859" s="17"/>
      <c r="AO859" s="17"/>
      <c r="AP859" s="17"/>
      <c r="AQ859" s="17"/>
      <c r="AR859" s="17"/>
      <c r="AS859" s="17"/>
      <c r="AT859" s="17"/>
      <c r="AU859" s="732"/>
      <c r="AV859" s="313"/>
      <c r="AW859" s="313"/>
      <c r="AX859" s="313"/>
      <c r="AY859" s="313"/>
      <c r="AZ859" s="313"/>
      <c r="BA859" s="313"/>
      <c r="BB859" s="313"/>
      <c r="BC859" s="313"/>
      <c r="BD859" s="313"/>
      <c r="BE859" s="314"/>
      <c r="BW859" s="314"/>
      <c r="BX859" s="314"/>
      <c r="BY859" s="314"/>
      <c r="BZ859" s="314"/>
      <c r="CA859" s="314"/>
      <c r="CB859" s="314"/>
      <c r="CC859" s="314"/>
      <c r="CD859" s="314"/>
    </row>
    <row r="860" ht="28.5" customHeight="1">
      <c r="A860" s="767"/>
      <c r="B860" s="768"/>
      <c r="C860" s="768"/>
      <c r="D860" s="769"/>
      <c r="E860" s="769"/>
      <c r="F860" s="769"/>
      <c r="G860" s="336"/>
      <c r="H860" s="771"/>
      <c r="I860" s="769"/>
      <c r="J860" s="769"/>
      <c r="K860" s="314"/>
      <c r="L860" s="314"/>
      <c r="M860" s="314"/>
      <c r="N860" s="769"/>
      <c r="O860" s="769"/>
      <c r="P860" s="773"/>
      <c r="Q860" s="774"/>
      <c r="R860" s="774"/>
      <c r="S860" s="775"/>
      <c r="AH860" s="776"/>
      <c r="AI860" s="776"/>
      <c r="AJ860" s="732"/>
      <c r="AK860" s="732"/>
      <c r="AL860" s="776"/>
      <c r="AM860" s="776"/>
      <c r="AN860" s="17"/>
      <c r="AO860" s="17"/>
      <c r="AP860" s="17"/>
      <c r="AQ860" s="17"/>
      <c r="AR860" s="17"/>
      <c r="AS860" s="17"/>
      <c r="AT860" s="17"/>
      <c r="AU860" s="732"/>
      <c r="AV860" s="313"/>
      <c r="AW860" s="313"/>
      <c r="AX860" s="313"/>
      <c r="AY860" s="313"/>
      <c r="AZ860" s="313"/>
      <c r="BA860" s="313"/>
      <c r="BB860" s="313"/>
      <c r="BC860" s="313"/>
      <c r="BD860" s="313"/>
      <c r="BE860" s="314"/>
      <c r="BW860" s="314"/>
      <c r="BX860" s="314"/>
      <c r="BY860" s="314"/>
      <c r="BZ860" s="314"/>
      <c r="CA860" s="314"/>
      <c r="CB860" s="314"/>
      <c r="CC860" s="314"/>
      <c r="CD860" s="314"/>
    </row>
    <row r="861" ht="28.5" customHeight="1">
      <c r="A861" s="767"/>
      <c r="B861" s="768"/>
      <c r="C861" s="768"/>
      <c r="D861" s="769"/>
      <c r="E861" s="769"/>
      <c r="F861" s="769"/>
      <c r="G861" s="336"/>
      <c r="H861" s="771"/>
      <c r="I861" s="769"/>
      <c r="J861" s="769"/>
      <c r="K861" s="314"/>
      <c r="L861" s="314"/>
      <c r="M861" s="314"/>
      <c r="N861" s="769"/>
      <c r="O861" s="769"/>
      <c r="P861" s="773"/>
      <c r="Q861" s="774"/>
      <c r="R861" s="774"/>
      <c r="S861" s="775"/>
      <c r="AH861" s="776"/>
      <c r="AI861" s="776"/>
      <c r="AJ861" s="732"/>
      <c r="AK861" s="732"/>
      <c r="AL861" s="776"/>
      <c r="AM861" s="776"/>
      <c r="AN861" s="17"/>
      <c r="AO861" s="17"/>
      <c r="AP861" s="17"/>
      <c r="AQ861" s="17"/>
      <c r="AR861" s="17"/>
      <c r="AS861" s="17"/>
      <c r="AT861" s="17"/>
      <c r="AU861" s="732"/>
      <c r="AV861" s="313"/>
      <c r="AW861" s="313"/>
      <c r="AX861" s="313"/>
      <c r="AY861" s="313"/>
      <c r="AZ861" s="313"/>
      <c r="BA861" s="313"/>
      <c r="BB861" s="313"/>
      <c r="BC861" s="313"/>
      <c r="BD861" s="313"/>
      <c r="BE861" s="314"/>
      <c r="BW861" s="314"/>
      <c r="BX861" s="314"/>
      <c r="BY861" s="314"/>
      <c r="BZ861" s="314"/>
      <c r="CA861" s="314"/>
      <c r="CB861" s="314"/>
      <c r="CC861" s="314"/>
      <c r="CD861" s="314"/>
    </row>
    <row r="862" ht="28.5" customHeight="1">
      <c r="A862" s="767"/>
      <c r="B862" s="768"/>
      <c r="C862" s="768"/>
      <c r="D862" s="769"/>
      <c r="E862" s="769"/>
      <c r="F862" s="769"/>
      <c r="G862" s="336"/>
      <c r="H862" s="771"/>
      <c r="I862" s="769"/>
      <c r="J862" s="769"/>
      <c r="K862" s="314"/>
      <c r="L862" s="314"/>
      <c r="M862" s="314"/>
      <c r="N862" s="769"/>
      <c r="O862" s="769"/>
      <c r="P862" s="773"/>
      <c r="Q862" s="774"/>
      <c r="R862" s="774"/>
      <c r="S862" s="775"/>
      <c r="AH862" s="776"/>
      <c r="AI862" s="776"/>
      <c r="AJ862" s="732"/>
      <c r="AK862" s="732"/>
      <c r="AL862" s="776"/>
      <c r="AM862" s="776"/>
      <c r="AN862" s="17"/>
      <c r="AO862" s="17"/>
      <c r="AP862" s="17"/>
      <c r="AQ862" s="17"/>
      <c r="AR862" s="17"/>
      <c r="AS862" s="17"/>
      <c r="AT862" s="17"/>
      <c r="AU862" s="732"/>
      <c r="AV862" s="313"/>
      <c r="AW862" s="313"/>
      <c r="AX862" s="313"/>
      <c r="AY862" s="313"/>
      <c r="AZ862" s="313"/>
      <c r="BA862" s="313"/>
      <c r="BB862" s="313"/>
      <c r="BC862" s="313"/>
      <c r="BD862" s="313"/>
      <c r="BE862" s="314"/>
      <c r="BW862" s="314"/>
      <c r="BX862" s="314"/>
      <c r="BY862" s="314"/>
      <c r="BZ862" s="314"/>
      <c r="CA862" s="314"/>
      <c r="CB862" s="314"/>
      <c r="CC862" s="314"/>
      <c r="CD862" s="314"/>
    </row>
    <row r="863" ht="28.5" customHeight="1">
      <c r="A863" s="767"/>
      <c r="B863" s="768"/>
      <c r="C863" s="768"/>
      <c r="D863" s="769"/>
      <c r="E863" s="769"/>
      <c r="F863" s="769"/>
      <c r="G863" s="336"/>
      <c r="H863" s="771"/>
      <c r="I863" s="769"/>
      <c r="J863" s="769"/>
      <c r="K863" s="314"/>
      <c r="L863" s="314"/>
      <c r="M863" s="314"/>
      <c r="N863" s="769"/>
      <c r="O863" s="769"/>
      <c r="P863" s="773"/>
      <c r="Q863" s="774"/>
      <c r="R863" s="774"/>
      <c r="S863" s="775"/>
      <c r="AH863" s="776"/>
      <c r="AI863" s="776"/>
      <c r="AJ863" s="732"/>
      <c r="AK863" s="732"/>
      <c r="AL863" s="776"/>
      <c r="AM863" s="776"/>
      <c r="AN863" s="17"/>
      <c r="AO863" s="17"/>
      <c r="AP863" s="17"/>
      <c r="AQ863" s="17"/>
      <c r="AR863" s="17"/>
      <c r="AS863" s="17"/>
      <c r="AT863" s="17"/>
      <c r="AU863" s="732"/>
      <c r="AV863" s="313"/>
      <c r="AW863" s="313"/>
      <c r="AX863" s="313"/>
      <c r="AY863" s="313"/>
      <c r="AZ863" s="313"/>
      <c r="BA863" s="313"/>
      <c r="BB863" s="313"/>
      <c r="BC863" s="313"/>
      <c r="BD863" s="313"/>
      <c r="BE863" s="314"/>
      <c r="BW863" s="314"/>
      <c r="BX863" s="314"/>
      <c r="BY863" s="314"/>
      <c r="BZ863" s="314"/>
      <c r="CA863" s="314"/>
      <c r="CB863" s="314"/>
      <c r="CC863" s="314"/>
      <c r="CD863" s="314"/>
    </row>
    <row r="864" ht="28.5" customHeight="1">
      <c r="A864" s="767"/>
      <c r="B864" s="768"/>
      <c r="C864" s="768"/>
      <c r="D864" s="769"/>
      <c r="E864" s="769"/>
      <c r="F864" s="769"/>
      <c r="G864" s="336"/>
      <c r="H864" s="771"/>
      <c r="I864" s="769"/>
      <c r="J864" s="769"/>
      <c r="K864" s="314"/>
      <c r="L864" s="314"/>
      <c r="M864" s="314"/>
      <c r="N864" s="769"/>
      <c r="O864" s="769"/>
      <c r="P864" s="773"/>
      <c r="Q864" s="774"/>
      <c r="R864" s="774"/>
      <c r="S864" s="775"/>
      <c r="AH864" s="776"/>
      <c r="AI864" s="776"/>
      <c r="AJ864" s="732"/>
      <c r="AK864" s="732"/>
      <c r="AL864" s="776"/>
      <c r="AM864" s="776"/>
      <c r="AN864" s="17"/>
      <c r="AO864" s="17"/>
      <c r="AP864" s="17"/>
      <c r="AQ864" s="17"/>
      <c r="AR864" s="17"/>
      <c r="AS864" s="17"/>
      <c r="AT864" s="17"/>
      <c r="AU864" s="732"/>
      <c r="AV864" s="313"/>
      <c r="AW864" s="313"/>
      <c r="AX864" s="313"/>
      <c r="AY864" s="313"/>
      <c r="AZ864" s="313"/>
      <c r="BA864" s="313"/>
      <c r="BB864" s="313"/>
      <c r="BC864" s="313"/>
      <c r="BD864" s="313"/>
      <c r="BE864" s="314"/>
      <c r="BW864" s="314"/>
      <c r="BX864" s="314"/>
      <c r="BY864" s="314"/>
      <c r="BZ864" s="314"/>
      <c r="CA864" s="314"/>
      <c r="CB864" s="314"/>
      <c r="CC864" s="314"/>
      <c r="CD864" s="314"/>
    </row>
    <row r="865" ht="28.5" customHeight="1">
      <c r="A865" s="767"/>
      <c r="B865" s="768"/>
      <c r="C865" s="768"/>
      <c r="D865" s="769"/>
      <c r="E865" s="769"/>
      <c r="F865" s="769"/>
      <c r="G865" s="336"/>
      <c r="H865" s="771"/>
      <c r="I865" s="769"/>
      <c r="J865" s="769"/>
      <c r="K865" s="314"/>
      <c r="L865" s="314"/>
      <c r="M865" s="314"/>
      <c r="N865" s="769"/>
      <c r="O865" s="769"/>
      <c r="P865" s="773"/>
      <c r="Q865" s="774"/>
      <c r="R865" s="774"/>
      <c r="S865" s="775"/>
      <c r="AH865" s="776"/>
      <c r="AI865" s="776"/>
      <c r="AJ865" s="732"/>
      <c r="AK865" s="732"/>
      <c r="AL865" s="776"/>
      <c r="AM865" s="776"/>
      <c r="AN865" s="17"/>
      <c r="AO865" s="17"/>
      <c r="AP865" s="17"/>
      <c r="AQ865" s="17"/>
      <c r="AR865" s="17"/>
      <c r="AS865" s="17"/>
      <c r="AT865" s="17"/>
      <c r="AU865" s="732"/>
      <c r="AV865" s="313"/>
      <c r="AW865" s="313"/>
      <c r="AX865" s="313"/>
      <c r="AY865" s="313"/>
      <c r="AZ865" s="313"/>
      <c r="BA865" s="313"/>
      <c r="BB865" s="313"/>
      <c r="BC865" s="313"/>
      <c r="BD865" s="313"/>
      <c r="BE865" s="314"/>
      <c r="BW865" s="314"/>
      <c r="BX865" s="314"/>
      <c r="BY865" s="314"/>
      <c r="BZ865" s="314"/>
      <c r="CA865" s="314"/>
      <c r="CB865" s="314"/>
      <c r="CC865" s="314"/>
      <c r="CD865" s="314"/>
    </row>
    <row r="866" ht="28.5" customHeight="1">
      <c r="A866" s="767"/>
      <c r="B866" s="768"/>
      <c r="C866" s="768"/>
      <c r="D866" s="769"/>
      <c r="E866" s="769"/>
      <c r="F866" s="769"/>
      <c r="G866" s="336"/>
      <c r="H866" s="771"/>
      <c r="I866" s="769"/>
      <c r="J866" s="769"/>
      <c r="K866" s="314"/>
      <c r="L866" s="314"/>
      <c r="M866" s="314"/>
      <c r="N866" s="769"/>
      <c r="O866" s="769"/>
      <c r="P866" s="773"/>
      <c r="Q866" s="774"/>
      <c r="R866" s="774"/>
      <c r="S866" s="775"/>
      <c r="AH866" s="776"/>
      <c r="AI866" s="776"/>
      <c r="AJ866" s="732"/>
      <c r="AK866" s="732"/>
      <c r="AL866" s="776"/>
      <c r="AM866" s="776"/>
      <c r="AN866" s="17"/>
      <c r="AO866" s="17"/>
      <c r="AP866" s="17"/>
      <c r="AQ866" s="17"/>
      <c r="AR866" s="17"/>
      <c r="AS866" s="17"/>
      <c r="AT866" s="17"/>
      <c r="AU866" s="732"/>
      <c r="AV866" s="313"/>
      <c r="AW866" s="313"/>
      <c r="AX866" s="313"/>
      <c r="AY866" s="313"/>
      <c r="AZ866" s="313"/>
      <c r="BA866" s="313"/>
      <c r="BB866" s="313"/>
      <c r="BC866" s="313"/>
      <c r="BD866" s="313"/>
      <c r="BE866" s="314"/>
      <c r="BW866" s="314"/>
      <c r="BX866" s="314"/>
      <c r="BY866" s="314"/>
      <c r="BZ866" s="314"/>
      <c r="CA866" s="314"/>
      <c r="CB866" s="314"/>
      <c r="CC866" s="314"/>
      <c r="CD866" s="314"/>
    </row>
    <row r="867" ht="28.5" customHeight="1">
      <c r="A867" s="767"/>
      <c r="B867" s="768"/>
      <c r="C867" s="768"/>
      <c r="D867" s="769"/>
      <c r="E867" s="769"/>
      <c r="F867" s="769"/>
      <c r="G867" s="336"/>
      <c r="H867" s="771"/>
      <c r="I867" s="769"/>
      <c r="J867" s="769"/>
      <c r="K867" s="314"/>
      <c r="L867" s="314"/>
      <c r="M867" s="314"/>
      <c r="N867" s="769"/>
      <c r="O867" s="769"/>
      <c r="P867" s="773"/>
      <c r="Q867" s="774"/>
      <c r="R867" s="774"/>
      <c r="S867" s="775"/>
      <c r="AH867" s="776"/>
      <c r="AI867" s="776"/>
      <c r="AJ867" s="732"/>
      <c r="AK867" s="732"/>
      <c r="AL867" s="776"/>
      <c r="AM867" s="776"/>
      <c r="AN867" s="17"/>
      <c r="AO867" s="17"/>
      <c r="AP867" s="17"/>
      <c r="AQ867" s="17"/>
      <c r="AR867" s="17"/>
      <c r="AS867" s="17"/>
      <c r="AT867" s="17"/>
      <c r="AU867" s="732"/>
      <c r="AV867" s="313"/>
      <c r="AW867" s="313"/>
      <c r="AX867" s="313"/>
      <c r="AY867" s="313"/>
      <c r="AZ867" s="313"/>
      <c r="BA867" s="313"/>
      <c r="BB867" s="313"/>
      <c r="BC867" s="313"/>
      <c r="BD867" s="313"/>
      <c r="BE867" s="314"/>
      <c r="BW867" s="314"/>
      <c r="BX867" s="314"/>
      <c r="BY867" s="314"/>
      <c r="BZ867" s="314"/>
      <c r="CA867" s="314"/>
      <c r="CB867" s="314"/>
      <c r="CC867" s="314"/>
      <c r="CD867" s="314"/>
    </row>
    <row r="868" ht="28.5" customHeight="1">
      <c r="A868" s="767"/>
      <c r="B868" s="768"/>
      <c r="C868" s="768"/>
      <c r="D868" s="769"/>
      <c r="E868" s="769"/>
      <c r="F868" s="769"/>
      <c r="G868" s="336"/>
      <c r="H868" s="771"/>
      <c r="I868" s="769"/>
      <c r="J868" s="769"/>
      <c r="K868" s="314"/>
      <c r="L868" s="314"/>
      <c r="M868" s="314"/>
      <c r="N868" s="769"/>
      <c r="O868" s="769"/>
      <c r="P868" s="773"/>
      <c r="Q868" s="774"/>
      <c r="R868" s="774"/>
      <c r="S868" s="775"/>
      <c r="AH868" s="776"/>
      <c r="AI868" s="776"/>
      <c r="AJ868" s="732"/>
      <c r="AK868" s="732"/>
      <c r="AL868" s="776"/>
      <c r="AM868" s="776"/>
      <c r="AN868" s="17"/>
      <c r="AO868" s="17"/>
      <c r="AP868" s="17"/>
      <c r="AQ868" s="17"/>
      <c r="AR868" s="17"/>
      <c r="AS868" s="17"/>
      <c r="AT868" s="17"/>
      <c r="AU868" s="732"/>
      <c r="AV868" s="313"/>
      <c r="AW868" s="313"/>
      <c r="AX868" s="313"/>
      <c r="AY868" s="313"/>
      <c r="AZ868" s="313"/>
      <c r="BA868" s="313"/>
      <c r="BB868" s="313"/>
      <c r="BC868" s="313"/>
      <c r="BD868" s="313"/>
      <c r="BE868" s="314"/>
      <c r="BW868" s="314"/>
      <c r="BX868" s="314"/>
      <c r="BY868" s="314"/>
      <c r="BZ868" s="314"/>
      <c r="CA868" s="314"/>
      <c r="CB868" s="314"/>
      <c r="CC868" s="314"/>
      <c r="CD868" s="314"/>
    </row>
    <row r="869" ht="28.5" customHeight="1">
      <c r="A869" s="767"/>
      <c r="B869" s="768"/>
      <c r="C869" s="768"/>
      <c r="D869" s="769"/>
      <c r="E869" s="769"/>
      <c r="F869" s="769"/>
      <c r="G869" s="336"/>
      <c r="H869" s="771"/>
      <c r="I869" s="769"/>
      <c r="J869" s="769"/>
      <c r="K869" s="314"/>
      <c r="L869" s="314"/>
      <c r="M869" s="314"/>
      <c r="N869" s="769"/>
      <c r="O869" s="769"/>
      <c r="P869" s="773"/>
      <c r="Q869" s="774"/>
      <c r="R869" s="774"/>
      <c r="S869" s="775"/>
      <c r="AH869" s="776"/>
      <c r="AI869" s="776"/>
      <c r="AJ869" s="732"/>
      <c r="AK869" s="732"/>
      <c r="AL869" s="776"/>
      <c r="AM869" s="776"/>
      <c r="AN869" s="17"/>
      <c r="AO869" s="17"/>
      <c r="AP869" s="17"/>
      <c r="AQ869" s="17"/>
      <c r="AR869" s="17"/>
      <c r="AS869" s="17"/>
      <c r="AT869" s="17"/>
      <c r="AU869" s="732"/>
      <c r="AV869" s="313"/>
      <c r="AW869" s="313"/>
      <c r="AX869" s="313"/>
      <c r="AY869" s="313"/>
      <c r="AZ869" s="313"/>
      <c r="BA869" s="313"/>
      <c r="BB869" s="313"/>
      <c r="BC869" s="313"/>
      <c r="BD869" s="313"/>
      <c r="BE869" s="314"/>
      <c r="BW869" s="314"/>
      <c r="BX869" s="314"/>
      <c r="BY869" s="314"/>
      <c r="BZ869" s="314"/>
      <c r="CA869" s="314"/>
      <c r="CB869" s="314"/>
      <c r="CC869" s="314"/>
      <c r="CD869" s="314"/>
    </row>
    <row r="870" ht="28.5" customHeight="1">
      <c r="A870" s="767"/>
      <c r="B870" s="768"/>
      <c r="C870" s="768"/>
      <c r="D870" s="769"/>
      <c r="E870" s="769"/>
      <c r="F870" s="769"/>
      <c r="G870" s="336"/>
      <c r="H870" s="771"/>
      <c r="I870" s="769"/>
      <c r="J870" s="769"/>
      <c r="K870" s="314"/>
      <c r="L870" s="314"/>
      <c r="M870" s="314"/>
      <c r="N870" s="769"/>
      <c r="O870" s="769"/>
      <c r="P870" s="773"/>
      <c r="Q870" s="774"/>
      <c r="R870" s="774"/>
      <c r="S870" s="775"/>
      <c r="AH870" s="776"/>
      <c r="AI870" s="776"/>
      <c r="AJ870" s="732"/>
      <c r="AK870" s="732"/>
      <c r="AL870" s="776"/>
      <c r="AM870" s="776"/>
      <c r="AN870" s="17"/>
      <c r="AO870" s="17"/>
      <c r="AP870" s="17"/>
      <c r="AQ870" s="17"/>
      <c r="AR870" s="17"/>
      <c r="AS870" s="17"/>
      <c r="AT870" s="17"/>
      <c r="AU870" s="732"/>
      <c r="AV870" s="313"/>
      <c r="AW870" s="313"/>
      <c r="AX870" s="313"/>
      <c r="AY870" s="313"/>
      <c r="AZ870" s="313"/>
      <c r="BA870" s="313"/>
      <c r="BB870" s="313"/>
      <c r="BC870" s="313"/>
      <c r="BD870" s="313"/>
      <c r="BE870" s="314"/>
      <c r="BW870" s="314"/>
      <c r="BX870" s="314"/>
      <c r="BY870" s="314"/>
      <c r="BZ870" s="314"/>
      <c r="CA870" s="314"/>
      <c r="CB870" s="314"/>
      <c r="CC870" s="314"/>
      <c r="CD870" s="314"/>
    </row>
    <row r="871" ht="28.5" customHeight="1">
      <c r="A871" s="767"/>
      <c r="B871" s="768"/>
      <c r="C871" s="768"/>
      <c r="D871" s="769"/>
      <c r="E871" s="769"/>
      <c r="F871" s="769"/>
      <c r="G871" s="336"/>
      <c r="H871" s="771"/>
      <c r="I871" s="769"/>
      <c r="J871" s="769"/>
      <c r="K871" s="314"/>
      <c r="L871" s="314"/>
      <c r="M871" s="314"/>
      <c r="N871" s="769"/>
      <c r="O871" s="769"/>
      <c r="P871" s="773"/>
      <c r="Q871" s="774"/>
      <c r="R871" s="774"/>
      <c r="S871" s="775"/>
      <c r="AH871" s="776"/>
      <c r="AI871" s="776"/>
      <c r="AJ871" s="732"/>
      <c r="AK871" s="732"/>
      <c r="AL871" s="776"/>
      <c r="AM871" s="776"/>
      <c r="AN871" s="17"/>
      <c r="AO871" s="17"/>
      <c r="AP871" s="17"/>
      <c r="AQ871" s="17"/>
      <c r="AR871" s="17"/>
      <c r="AS871" s="17"/>
      <c r="AT871" s="17"/>
      <c r="AU871" s="732"/>
      <c r="AV871" s="313"/>
      <c r="AW871" s="313"/>
      <c r="AX871" s="313"/>
      <c r="AY871" s="313"/>
      <c r="AZ871" s="313"/>
      <c r="BA871" s="313"/>
      <c r="BB871" s="313"/>
      <c r="BC871" s="313"/>
      <c r="BD871" s="313"/>
      <c r="BE871" s="314"/>
      <c r="BW871" s="314"/>
      <c r="BX871" s="314"/>
      <c r="BY871" s="314"/>
      <c r="BZ871" s="314"/>
      <c r="CA871" s="314"/>
      <c r="CB871" s="314"/>
      <c r="CC871" s="314"/>
      <c r="CD871" s="314"/>
    </row>
    <row r="872" ht="28.5" customHeight="1">
      <c r="A872" s="767"/>
      <c r="B872" s="768"/>
      <c r="C872" s="768"/>
      <c r="D872" s="769"/>
      <c r="E872" s="769"/>
      <c r="F872" s="769"/>
      <c r="G872" s="336"/>
      <c r="H872" s="771"/>
      <c r="I872" s="769"/>
      <c r="J872" s="769"/>
      <c r="K872" s="314"/>
      <c r="L872" s="314"/>
      <c r="M872" s="314"/>
      <c r="N872" s="769"/>
      <c r="O872" s="769"/>
      <c r="P872" s="773"/>
      <c r="Q872" s="774"/>
      <c r="R872" s="774"/>
      <c r="S872" s="775"/>
      <c r="AH872" s="776"/>
      <c r="AI872" s="776"/>
      <c r="AJ872" s="732"/>
      <c r="AK872" s="732"/>
      <c r="AL872" s="776"/>
      <c r="AM872" s="776"/>
      <c r="AN872" s="17"/>
      <c r="AO872" s="17"/>
      <c r="AP872" s="17"/>
      <c r="AQ872" s="17"/>
      <c r="AR872" s="17"/>
      <c r="AS872" s="17"/>
      <c r="AT872" s="17"/>
      <c r="AU872" s="732"/>
      <c r="AV872" s="313"/>
      <c r="AW872" s="313"/>
      <c r="AX872" s="313"/>
      <c r="AY872" s="313"/>
      <c r="AZ872" s="313"/>
      <c r="BA872" s="313"/>
      <c r="BB872" s="313"/>
      <c r="BC872" s="313"/>
      <c r="BD872" s="313"/>
      <c r="BE872" s="314"/>
      <c r="BW872" s="314"/>
      <c r="BX872" s="314"/>
      <c r="BY872" s="314"/>
      <c r="BZ872" s="314"/>
      <c r="CA872" s="314"/>
      <c r="CB872" s="314"/>
      <c r="CC872" s="314"/>
      <c r="CD872" s="314"/>
    </row>
    <row r="873" ht="28.5" customHeight="1">
      <c r="A873" s="767"/>
      <c r="B873" s="768"/>
      <c r="C873" s="768"/>
      <c r="D873" s="769"/>
      <c r="E873" s="769"/>
      <c r="F873" s="769"/>
      <c r="G873" s="336"/>
      <c r="H873" s="771"/>
      <c r="I873" s="769"/>
      <c r="J873" s="769"/>
      <c r="K873" s="314"/>
      <c r="L873" s="314"/>
      <c r="M873" s="314"/>
      <c r="N873" s="769"/>
      <c r="O873" s="769"/>
      <c r="P873" s="773"/>
      <c r="Q873" s="774"/>
      <c r="R873" s="774"/>
      <c r="S873" s="775"/>
      <c r="AH873" s="776"/>
      <c r="AI873" s="776"/>
      <c r="AJ873" s="732"/>
      <c r="AK873" s="732"/>
      <c r="AL873" s="776"/>
      <c r="AM873" s="776"/>
      <c r="AN873" s="17"/>
      <c r="AO873" s="17"/>
      <c r="AP873" s="17"/>
      <c r="AQ873" s="17"/>
      <c r="AR873" s="17"/>
      <c r="AS873" s="17"/>
      <c r="AT873" s="17"/>
      <c r="AU873" s="732"/>
      <c r="AV873" s="313"/>
      <c r="AW873" s="313"/>
      <c r="AX873" s="313"/>
      <c r="AY873" s="313"/>
      <c r="AZ873" s="313"/>
      <c r="BA873" s="313"/>
      <c r="BB873" s="313"/>
      <c r="BC873" s="313"/>
      <c r="BD873" s="313"/>
      <c r="BE873" s="314"/>
      <c r="BW873" s="314"/>
      <c r="BX873" s="314"/>
      <c r="BY873" s="314"/>
      <c r="BZ873" s="314"/>
      <c r="CA873" s="314"/>
      <c r="CB873" s="314"/>
      <c r="CC873" s="314"/>
      <c r="CD873" s="314"/>
    </row>
    <row r="874" ht="28.5" customHeight="1">
      <c r="A874" s="767"/>
      <c r="B874" s="768"/>
      <c r="C874" s="768"/>
      <c r="D874" s="769"/>
      <c r="E874" s="769"/>
      <c r="F874" s="769"/>
      <c r="G874" s="336"/>
      <c r="H874" s="771"/>
      <c r="I874" s="769"/>
      <c r="J874" s="769"/>
      <c r="K874" s="314"/>
      <c r="L874" s="314"/>
      <c r="M874" s="314"/>
      <c r="N874" s="769"/>
      <c r="O874" s="769"/>
      <c r="P874" s="773"/>
      <c r="Q874" s="774"/>
      <c r="R874" s="774"/>
      <c r="S874" s="775"/>
      <c r="AH874" s="776"/>
      <c r="AI874" s="776"/>
      <c r="AJ874" s="732"/>
      <c r="AK874" s="732"/>
      <c r="AL874" s="776"/>
      <c r="AM874" s="776"/>
      <c r="AN874" s="17"/>
      <c r="AO874" s="17"/>
      <c r="AP874" s="17"/>
      <c r="AQ874" s="17"/>
      <c r="AR874" s="17"/>
      <c r="AS874" s="17"/>
      <c r="AT874" s="17"/>
      <c r="AU874" s="732"/>
      <c r="AV874" s="313"/>
      <c r="AW874" s="313"/>
      <c r="AX874" s="313"/>
      <c r="AY874" s="313"/>
      <c r="AZ874" s="313"/>
      <c r="BA874" s="313"/>
      <c r="BB874" s="313"/>
      <c r="BC874" s="313"/>
      <c r="BD874" s="313"/>
      <c r="BE874" s="314"/>
      <c r="BW874" s="314"/>
      <c r="BX874" s="314"/>
      <c r="BY874" s="314"/>
      <c r="BZ874" s="314"/>
      <c r="CA874" s="314"/>
      <c r="CB874" s="314"/>
      <c r="CC874" s="314"/>
      <c r="CD874" s="314"/>
    </row>
    <row r="875" ht="28.5" customHeight="1">
      <c r="A875" s="767"/>
      <c r="B875" s="768"/>
      <c r="C875" s="768"/>
      <c r="D875" s="769"/>
      <c r="E875" s="769"/>
      <c r="F875" s="769"/>
      <c r="G875" s="336"/>
      <c r="H875" s="771"/>
      <c r="I875" s="769"/>
      <c r="J875" s="769"/>
      <c r="K875" s="314"/>
      <c r="L875" s="314"/>
      <c r="M875" s="314"/>
      <c r="N875" s="769"/>
      <c r="O875" s="769"/>
      <c r="P875" s="773"/>
      <c r="Q875" s="774"/>
      <c r="R875" s="774"/>
      <c r="S875" s="775"/>
      <c r="AH875" s="776"/>
      <c r="AI875" s="776"/>
      <c r="AJ875" s="732"/>
      <c r="AK875" s="732"/>
      <c r="AL875" s="776"/>
      <c r="AM875" s="776"/>
      <c r="AN875" s="17"/>
      <c r="AO875" s="17"/>
      <c r="AP875" s="17"/>
      <c r="AQ875" s="17"/>
      <c r="AR875" s="17"/>
      <c r="AS875" s="17"/>
      <c r="AT875" s="17"/>
      <c r="AU875" s="732"/>
      <c r="AV875" s="313"/>
      <c r="AW875" s="313"/>
      <c r="AX875" s="313"/>
      <c r="AY875" s="313"/>
      <c r="AZ875" s="313"/>
      <c r="BA875" s="313"/>
      <c r="BB875" s="313"/>
      <c r="BC875" s="313"/>
      <c r="BD875" s="313"/>
      <c r="BE875" s="314"/>
      <c r="BW875" s="314"/>
      <c r="BX875" s="314"/>
      <c r="BY875" s="314"/>
      <c r="BZ875" s="314"/>
      <c r="CA875" s="314"/>
      <c r="CB875" s="314"/>
      <c r="CC875" s="314"/>
      <c r="CD875" s="314"/>
    </row>
    <row r="876" ht="28.5" customHeight="1">
      <c r="A876" s="767"/>
      <c r="B876" s="768"/>
      <c r="C876" s="768"/>
      <c r="D876" s="769"/>
      <c r="E876" s="769"/>
      <c r="F876" s="769"/>
      <c r="G876" s="336"/>
      <c r="H876" s="771"/>
      <c r="I876" s="769"/>
      <c r="J876" s="769"/>
      <c r="K876" s="314"/>
      <c r="L876" s="314"/>
      <c r="M876" s="314"/>
      <c r="N876" s="769"/>
      <c r="O876" s="769"/>
      <c r="P876" s="773"/>
      <c r="Q876" s="774"/>
      <c r="R876" s="774"/>
      <c r="S876" s="775"/>
      <c r="AH876" s="776"/>
      <c r="AI876" s="776"/>
      <c r="AJ876" s="732"/>
      <c r="AK876" s="732"/>
      <c r="AL876" s="776"/>
      <c r="AM876" s="776"/>
      <c r="AN876" s="17"/>
      <c r="AO876" s="17"/>
      <c r="AP876" s="17"/>
      <c r="AQ876" s="17"/>
      <c r="AR876" s="17"/>
      <c r="AS876" s="17"/>
      <c r="AT876" s="17"/>
      <c r="AU876" s="732"/>
      <c r="AV876" s="313"/>
      <c r="AW876" s="313"/>
      <c r="AX876" s="313"/>
      <c r="AY876" s="313"/>
      <c r="AZ876" s="313"/>
      <c r="BA876" s="313"/>
      <c r="BB876" s="313"/>
      <c r="BC876" s="313"/>
      <c r="BD876" s="313"/>
      <c r="BE876" s="314"/>
      <c r="BW876" s="314"/>
      <c r="BX876" s="314"/>
      <c r="BY876" s="314"/>
      <c r="BZ876" s="314"/>
      <c r="CA876" s="314"/>
      <c r="CB876" s="314"/>
      <c r="CC876" s="314"/>
      <c r="CD876" s="314"/>
    </row>
    <row r="877" ht="28.5" customHeight="1">
      <c r="A877" s="767"/>
      <c r="B877" s="768"/>
      <c r="C877" s="768"/>
      <c r="D877" s="769"/>
      <c r="E877" s="769"/>
      <c r="F877" s="769"/>
      <c r="G877" s="336"/>
      <c r="H877" s="771"/>
      <c r="I877" s="769"/>
      <c r="J877" s="769"/>
      <c r="K877" s="314"/>
      <c r="L877" s="314"/>
      <c r="M877" s="314"/>
      <c r="N877" s="769"/>
      <c r="O877" s="769"/>
      <c r="P877" s="773"/>
      <c r="Q877" s="774"/>
      <c r="R877" s="774"/>
      <c r="S877" s="775"/>
      <c r="AH877" s="776"/>
      <c r="AI877" s="776"/>
      <c r="AJ877" s="732"/>
      <c r="AK877" s="732"/>
      <c r="AL877" s="776"/>
      <c r="AM877" s="776"/>
      <c r="AN877" s="17"/>
      <c r="AO877" s="17"/>
      <c r="AP877" s="17"/>
      <c r="AQ877" s="17"/>
      <c r="AR877" s="17"/>
      <c r="AS877" s="17"/>
      <c r="AT877" s="17"/>
      <c r="AU877" s="732"/>
      <c r="AV877" s="313"/>
      <c r="AW877" s="313"/>
      <c r="AX877" s="313"/>
      <c r="AY877" s="313"/>
      <c r="AZ877" s="313"/>
      <c r="BA877" s="313"/>
      <c r="BB877" s="313"/>
      <c r="BC877" s="313"/>
      <c r="BD877" s="313"/>
      <c r="BE877" s="314"/>
      <c r="BW877" s="314"/>
      <c r="BX877" s="314"/>
      <c r="BY877" s="314"/>
      <c r="BZ877" s="314"/>
      <c r="CA877" s="314"/>
      <c r="CB877" s="314"/>
      <c r="CC877" s="314"/>
      <c r="CD877" s="314"/>
    </row>
    <row r="878" ht="28.5" customHeight="1">
      <c r="A878" s="767"/>
      <c r="B878" s="768"/>
      <c r="C878" s="768"/>
      <c r="D878" s="769"/>
      <c r="E878" s="769"/>
      <c r="F878" s="769"/>
      <c r="G878" s="336"/>
      <c r="H878" s="771"/>
      <c r="I878" s="769"/>
      <c r="J878" s="769"/>
      <c r="K878" s="314"/>
      <c r="L878" s="314"/>
      <c r="M878" s="314"/>
      <c r="N878" s="769"/>
      <c r="O878" s="769"/>
      <c r="P878" s="773"/>
      <c r="Q878" s="774"/>
      <c r="R878" s="774"/>
      <c r="S878" s="775"/>
      <c r="AH878" s="776"/>
      <c r="AI878" s="776"/>
      <c r="AJ878" s="732"/>
      <c r="AK878" s="732"/>
      <c r="AL878" s="776"/>
      <c r="AM878" s="776"/>
      <c r="AN878" s="17"/>
      <c r="AO878" s="17"/>
      <c r="AP878" s="17"/>
      <c r="AQ878" s="17"/>
      <c r="AR878" s="17"/>
      <c r="AS878" s="17"/>
      <c r="AT878" s="17"/>
      <c r="AU878" s="732"/>
      <c r="AV878" s="313"/>
      <c r="AW878" s="313"/>
      <c r="AX878" s="313"/>
      <c r="AY878" s="313"/>
      <c r="AZ878" s="313"/>
      <c r="BA878" s="313"/>
      <c r="BB878" s="313"/>
      <c r="BC878" s="313"/>
      <c r="BD878" s="313"/>
      <c r="BE878" s="314"/>
      <c r="BW878" s="314"/>
      <c r="BX878" s="314"/>
      <c r="BY878" s="314"/>
      <c r="BZ878" s="314"/>
      <c r="CA878" s="314"/>
      <c r="CB878" s="314"/>
      <c r="CC878" s="314"/>
      <c r="CD878" s="314"/>
    </row>
    <row r="879" ht="28.5" customHeight="1">
      <c r="A879" s="767"/>
      <c r="B879" s="768"/>
      <c r="C879" s="768"/>
      <c r="D879" s="769"/>
      <c r="E879" s="769"/>
      <c r="F879" s="769"/>
      <c r="G879" s="336"/>
      <c r="H879" s="771"/>
      <c r="I879" s="769"/>
      <c r="J879" s="769"/>
      <c r="K879" s="314"/>
      <c r="L879" s="314"/>
      <c r="M879" s="314"/>
      <c r="N879" s="769"/>
      <c r="O879" s="769"/>
      <c r="P879" s="773"/>
      <c r="Q879" s="774"/>
      <c r="R879" s="774"/>
      <c r="S879" s="775"/>
      <c r="AH879" s="776"/>
      <c r="AI879" s="776"/>
      <c r="AJ879" s="732"/>
      <c r="AK879" s="732"/>
      <c r="AL879" s="776"/>
      <c r="AM879" s="776"/>
      <c r="AN879" s="17"/>
      <c r="AO879" s="17"/>
      <c r="AP879" s="17"/>
      <c r="AQ879" s="17"/>
      <c r="AR879" s="17"/>
      <c r="AS879" s="17"/>
      <c r="AT879" s="17"/>
      <c r="AU879" s="732"/>
      <c r="AV879" s="313"/>
      <c r="AW879" s="313"/>
      <c r="AX879" s="313"/>
      <c r="AY879" s="313"/>
      <c r="AZ879" s="313"/>
      <c r="BA879" s="313"/>
      <c r="BB879" s="313"/>
      <c r="BC879" s="313"/>
      <c r="BD879" s="313"/>
      <c r="BE879" s="314"/>
      <c r="BW879" s="314"/>
      <c r="BX879" s="314"/>
      <c r="BY879" s="314"/>
      <c r="BZ879" s="314"/>
      <c r="CA879" s="314"/>
      <c r="CB879" s="314"/>
      <c r="CC879" s="314"/>
      <c r="CD879" s="314"/>
    </row>
    <row r="880" ht="28.5" customHeight="1">
      <c r="A880" s="767"/>
      <c r="B880" s="768"/>
      <c r="C880" s="768"/>
      <c r="D880" s="769"/>
      <c r="E880" s="769"/>
      <c r="F880" s="769"/>
      <c r="G880" s="336"/>
      <c r="H880" s="771"/>
      <c r="I880" s="769"/>
      <c r="J880" s="769"/>
      <c r="K880" s="314"/>
      <c r="L880" s="314"/>
      <c r="M880" s="314"/>
      <c r="N880" s="769"/>
      <c r="O880" s="769"/>
      <c r="P880" s="773"/>
      <c r="Q880" s="774"/>
      <c r="R880" s="774"/>
      <c r="S880" s="775"/>
      <c r="AH880" s="776"/>
      <c r="AI880" s="776"/>
      <c r="AJ880" s="732"/>
      <c r="AK880" s="732"/>
      <c r="AL880" s="776"/>
      <c r="AM880" s="776"/>
      <c r="AN880" s="17"/>
      <c r="AO880" s="17"/>
      <c r="AP880" s="17"/>
      <c r="AQ880" s="17"/>
      <c r="AR880" s="17"/>
      <c r="AS880" s="17"/>
      <c r="AT880" s="17"/>
      <c r="AU880" s="732"/>
      <c r="AV880" s="313"/>
      <c r="AW880" s="313"/>
      <c r="AX880" s="313"/>
      <c r="AY880" s="313"/>
      <c r="AZ880" s="313"/>
      <c r="BA880" s="313"/>
      <c r="BB880" s="313"/>
      <c r="BC880" s="313"/>
      <c r="BD880" s="313"/>
      <c r="BE880" s="314"/>
      <c r="BW880" s="314"/>
      <c r="BX880" s="314"/>
      <c r="BY880" s="314"/>
      <c r="BZ880" s="314"/>
      <c r="CA880" s="314"/>
      <c r="CB880" s="314"/>
      <c r="CC880" s="314"/>
      <c r="CD880" s="314"/>
    </row>
    <row r="881" ht="28.5" customHeight="1">
      <c r="A881" s="767"/>
      <c r="B881" s="768"/>
      <c r="C881" s="768"/>
      <c r="D881" s="769"/>
      <c r="E881" s="769"/>
      <c r="F881" s="769"/>
      <c r="G881" s="336"/>
      <c r="H881" s="771"/>
      <c r="I881" s="769"/>
      <c r="J881" s="769"/>
      <c r="K881" s="314"/>
      <c r="L881" s="314"/>
      <c r="M881" s="314"/>
      <c r="N881" s="769"/>
      <c r="O881" s="769"/>
      <c r="P881" s="773"/>
      <c r="Q881" s="774"/>
      <c r="R881" s="774"/>
      <c r="S881" s="775"/>
      <c r="AH881" s="776"/>
      <c r="AI881" s="776"/>
      <c r="AJ881" s="732"/>
      <c r="AK881" s="732"/>
      <c r="AL881" s="776"/>
      <c r="AM881" s="776"/>
      <c r="AN881" s="17"/>
      <c r="AO881" s="17"/>
      <c r="AP881" s="17"/>
      <c r="AQ881" s="17"/>
      <c r="AR881" s="17"/>
      <c r="AS881" s="17"/>
      <c r="AT881" s="17"/>
      <c r="AU881" s="732"/>
      <c r="AV881" s="313"/>
      <c r="AW881" s="313"/>
      <c r="AX881" s="313"/>
      <c r="AY881" s="313"/>
      <c r="AZ881" s="313"/>
      <c r="BA881" s="313"/>
      <c r="BB881" s="313"/>
      <c r="BC881" s="313"/>
      <c r="BD881" s="313"/>
      <c r="BE881" s="314"/>
      <c r="BW881" s="314"/>
      <c r="BX881" s="314"/>
      <c r="BY881" s="314"/>
      <c r="BZ881" s="314"/>
      <c r="CA881" s="314"/>
      <c r="CB881" s="314"/>
      <c r="CC881" s="314"/>
      <c r="CD881" s="314"/>
    </row>
    <row r="882" ht="28.5" customHeight="1">
      <c r="A882" s="767"/>
      <c r="B882" s="768"/>
      <c r="C882" s="768"/>
      <c r="D882" s="769"/>
      <c r="E882" s="769"/>
      <c r="F882" s="769"/>
      <c r="G882" s="336"/>
      <c r="H882" s="771"/>
      <c r="I882" s="769"/>
      <c r="J882" s="769"/>
      <c r="K882" s="314"/>
      <c r="L882" s="314"/>
      <c r="M882" s="314"/>
      <c r="N882" s="769"/>
      <c r="O882" s="769"/>
      <c r="P882" s="773"/>
      <c r="Q882" s="774"/>
      <c r="R882" s="774"/>
      <c r="S882" s="775"/>
      <c r="AH882" s="776"/>
      <c r="AI882" s="776"/>
      <c r="AJ882" s="732"/>
      <c r="AK882" s="732"/>
      <c r="AL882" s="776"/>
      <c r="AM882" s="776"/>
      <c r="AN882" s="17"/>
      <c r="AO882" s="17"/>
      <c r="AP882" s="17"/>
      <c r="AQ882" s="17"/>
      <c r="AR882" s="17"/>
      <c r="AS882" s="17"/>
      <c r="AT882" s="17"/>
      <c r="AU882" s="732"/>
      <c r="AV882" s="313"/>
      <c r="AW882" s="313"/>
      <c r="AX882" s="313"/>
      <c r="AY882" s="313"/>
      <c r="AZ882" s="313"/>
      <c r="BA882" s="313"/>
      <c r="BB882" s="313"/>
      <c r="BC882" s="313"/>
      <c r="BD882" s="313"/>
      <c r="BE882" s="314"/>
      <c r="BW882" s="314"/>
      <c r="BX882" s="314"/>
      <c r="BY882" s="314"/>
      <c r="BZ882" s="314"/>
      <c r="CA882" s="314"/>
      <c r="CB882" s="314"/>
      <c r="CC882" s="314"/>
      <c r="CD882" s="314"/>
    </row>
    <row r="883" ht="28.5" customHeight="1">
      <c r="A883" s="767"/>
      <c r="B883" s="768"/>
      <c r="C883" s="768"/>
      <c r="D883" s="769"/>
      <c r="E883" s="769"/>
      <c r="F883" s="769"/>
      <c r="G883" s="336"/>
      <c r="H883" s="771"/>
      <c r="I883" s="769"/>
      <c r="J883" s="769"/>
      <c r="K883" s="314"/>
      <c r="L883" s="314"/>
      <c r="M883" s="314"/>
      <c r="N883" s="769"/>
      <c r="O883" s="769"/>
      <c r="P883" s="773"/>
      <c r="Q883" s="774"/>
      <c r="R883" s="774"/>
      <c r="S883" s="775"/>
      <c r="AH883" s="776"/>
      <c r="AI883" s="776"/>
      <c r="AJ883" s="732"/>
      <c r="AK883" s="732"/>
      <c r="AL883" s="776"/>
      <c r="AM883" s="776"/>
      <c r="AN883" s="17"/>
      <c r="AO883" s="17"/>
      <c r="AP883" s="17"/>
      <c r="AQ883" s="17"/>
      <c r="AR883" s="17"/>
      <c r="AS883" s="17"/>
      <c r="AT883" s="17"/>
      <c r="AU883" s="732"/>
      <c r="AV883" s="313"/>
      <c r="AW883" s="313"/>
      <c r="AX883" s="313"/>
      <c r="AY883" s="313"/>
      <c r="AZ883" s="313"/>
      <c r="BA883" s="313"/>
      <c r="BB883" s="313"/>
      <c r="BC883" s="313"/>
      <c r="BD883" s="313"/>
      <c r="BE883" s="314"/>
      <c r="BW883" s="314"/>
      <c r="BX883" s="314"/>
      <c r="BY883" s="314"/>
      <c r="BZ883" s="314"/>
      <c r="CA883" s="314"/>
      <c r="CB883" s="314"/>
      <c r="CC883" s="314"/>
      <c r="CD883" s="314"/>
    </row>
    <row r="884" ht="28.5" customHeight="1">
      <c r="A884" s="767"/>
      <c r="B884" s="768"/>
      <c r="C884" s="768"/>
      <c r="D884" s="769"/>
      <c r="E884" s="769"/>
      <c r="F884" s="769"/>
      <c r="G884" s="336"/>
      <c r="H884" s="771"/>
      <c r="I884" s="769"/>
      <c r="J884" s="769"/>
      <c r="K884" s="314"/>
      <c r="L884" s="314"/>
      <c r="M884" s="314"/>
      <c r="N884" s="769"/>
      <c r="O884" s="769"/>
      <c r="P884" s="773"/>
      <c r="Q884" s="774"/>
      <c r="R884" s="774"/>
      <c r="S884" s="775"/>
      <c r="AH884" s="776"/>
      <c r="AI884" s="776"/>
      <c r="AJ884" s="732"/>
      <c r="AK884" s="732"/>
      <c r="AL884" s="776"/>
      <c r="AM884" s="776"/>
      <c r="AN884" s="17"/>
      <c r="AO884" s="17"/>
      <c r="AP884" s="17"/>
      <c r="AQ884" s="17"/>
      <c r="AR884" s="17"/>
      <c r="AS884" s="17"/>
      <c r="AT884" s="17"/>
      <c r="AU884" s="732"/>
      <c r="AV884" s="313"/>
      <c r="AW884" s="313"/>
      <c r="AX884" s="313"/>
      <c r="AY884" s="313"/>
      <c r="AZ884" s="313"/>
      <c r="BA884" s="313"/>
      <c r="BB884" s="313"/>
      <c r="BC884" s="313"/>
      <c r="BD884" s="313"/>
      <c r="BE884" s="314"/>
      <c r="BW884" s="314"/>
      <c r="BX884" s="314"/>
      <c r="BY884" s="314"/>
      <c r="BZ884" s="314"/>
      <c r="CA884" s="314"/>
      <c r="CB884" s="314"/>
      <c r="CC884" s="314"/>
      <c r="CD884" s="314"/>
    </row>
    <row r="885" ht="28.5" customHeight="1">
      <c r="A885" s="767"/>
      <c r="B885" s="768"/>
      <c r="C885" s="768"/>
      <c r="D885" s="769"/>
      <c r="E885" s="769"/>
      <c r="F885" s="769"/>
      <c r="G885" s="336"/>
      <c r="H885" s="771"/>
      <c r="I885" s="769"/>
      <c r="J885" s="769"/>
      <c r="K885" s="314"/>
      <c r="L885" s="314"/>
      <c r="M885" s="314"/>
      <c r="N885" s="769"/>
      <c r="O885" s="769"/>
      <c r="P885" s="773"/>
      <c r="Q885" s="774"/>
      <c r="R885" s="774"/>
      <c r="S885" s="775"/>
      <c r="AH885" s="776"/>
      <c r="AI885" s="776"/>
      <c r="AJ885" s="732"/>
      <c r="AK885" s="732"/>
      <c r="AL885" s="776"/>
      <c r="AM885" s="776"/>
      <c r="AN885" s="17"/>
      <c r="AO885" s="17"/>
      <c r="AP885" s="17"/>
      <c r="AQ885" s="17"/>
      <c r="AR885" s="17"/>
      <c r="AS885" s="17"/>
      <c r="AT885" s="17"/>
      <c r="AU885" s="732"/>
      <c r="AV885" s="313"/>
      <c r="AW885" s="313"/>
      <c r="AX885" s="313"/>
      <c r="AY885" s="313"/>
      <c r="AZ885" s="313"/>
      <c r="BA885" s="313"/>
      <c r="BB885" s="313"/>
      <c r="BC885" s="313"/>
      <c r="BD885" s="313"/>
      <c r="BE885" s="314"/>
      <c r="BW885" s="314"/>
      <c r="BX885" s="314"/>
      <c r="BY885" s="314"/>
      <c r="BZ885" s="314"/>
      <c r="CA885" s="314"/>
      <c r="CB885" s="314"/>
      <c r="CC885" s="314"/>
      <c r="CD885" s="314"/>
    </row>
    <row r="886" ht="28.5" customHeight="1">
      <c r="A886" s="767"/>
      <c r="B886" s="768"/>
      <c r="C886" s="768"/>
      <c r="D886" s="769"/>
      <c r="E886" s="769"/>
      <c r="F886" s="769"/>
      <c r="G886" s="336"/>
      <c r="H886" s="771"/>
      <c r="I886" s="769"/>
      <c r="J886" s="769"/>
      <c r="K886" s="314"/>
      <c r="L886" s="314"/>
      <c r="M886" s="314"/>
      <c r="N886" s="769"/>
      <c r="O886" s="769"/>
      <c r="P886" s="773"/>
      <c r="Q886" s="774"/>
      <c r="R886" s="774"/>
      <c r="S886" s="775"/>
      <c r="AH886" s="776"/>
      <c r="AI886" s="776"/>
      <c r="AJ886" s="732"/>
      <c r="AK886" s="732"/>
      <c r="AL886" s="776"/>
      <c r="AM886" s="776"/>
      <c r="AN886" s="17"/>
      <c r="AO886" s="17"/>
      <c r="AP886" s="17"/>
      <c r="AQ886" s="17"/>
      <c r="AR886" s="17"/>
      <c r="AS886" s="17"/>
      <c r="AT886" s="17"/>
      <c r="AU886" s="732"/>
      <c r="AV886" s="313"/>
      <c r="AW886" s="313"/>
      <c r="AX886" s="313"/>
      <c r="AY886" s="313"/>
      <c r="AZ886" s="313"/>
      <c r="BA886" s="313"/>
      <c r="BB886" s="313"/>
      <c r="BC886" s="313"/>
      <c r="BD886" s="313"/>
      <c r="BE886" s="314"/>
      <c r="BW886" s="314"/>
      <c r="BX886" s="314"/>
      <c r="BY886" s="314"/>
      <c r="BZ886" s="314"/>
      <c r="CA886" s="314"/>
      <c r="CB886" s="314"/>
      <c r="CC886" s="314"/>
      <c r="CD886" s="314"/>
    </row>
    <row r="887" ht="28.5" customHeight="1">
      <c r="A887" s="767"/>
      <c r="B887" s="768"/>
      <c r="C887" s="768"/>
      <c r="D887" s="769"/>
      <c r="E887" s="769"/>
      <c r="F887" s="769"/>
      <c r="G887" s="336"/>
      <c r="H887" s="771"/>
      <c r="I887" s="769"/>
      <c r="J887" s="769"/>
      <c r="K887" s="314"/>
      <c r="L887" s="314"/>
      <c r="M887" s="314"/>
      <c r="N887" s="769"/>
      <c r="O887" s="769"/>
      <c r="P887" s="773"/>
      <c r="Q887" s="774"/>
      <c r="R887" s="774"/>
      <c r="S887" s="775"/>
      <c r="AH887" s="776"/>
      <c r="AI887" s="776"/>
      <c r="AJ887" s="732"/>
      <c r="AK887" s="732"/>
      <c r="AL887" s="776"/>
      <c r="AM887" s="776"/>
      <c r="AN887" s="17"/>
      <c r="AO887" s="17"/>
      <c r="AP887" s="17"/>
      <c r="AQ887" s="17"/>
      <c r="AR887" s="17"/>
      <c r="AS887" s="17"/>
      <c r="AT887" s="17"/>
      <c r="AU887" s="732"/>
      <c r="AV887" s="313"/>
      <c r="AW887" s="313"/>
      <c r="AX887" s="313"/>
      <c r="AY887" s="313"/>
      <c r="AZ887" s="313"/>
      <c r="BA887" s="313"/>
      <c r="BB887" s="313"/>
      <c r="BC887" s="313"/>
      <c r="BD887" s="313"/>
      <c r="BE887" s="314"/>
      <c r="BW887" s="314"/>
      <c r="BX887" s="314"/>
      <c r="BY887" s="314"/>
      <c r="BZ887" s="314"/>
      <c r="CA887" s="314"/>
      <c r="CB887" s="314"/>
      <c r="CC887" s="314"/>
      <c r="CD887" s="314"/>
    </row>
    <row r="888" ht="28.5" customHeight="1">
      <c r="A888" s="767"/>
      <c r="B888" s="768"/>
      <c r="C888" s="768"/>
      <c r="D888" s="769"/>
      <c r="E888" s="769"/>
      <c r="F888" s="769"/>
      <c r="G888" s="336"/>
      <c r="H888" s="771"/>
      <c r="I888" s="769"/>
      <c r="J888" s="769"/>
      <c r="K888" s="314"/>
      <c r="L888" s="314"/>
      <c r="M888" s="314"/>
      <c r="N888" s="769"/>
      <c r="O888" s="769"/>
      <c r="P888" s="773"/>
      <c r="Q888" s="774"/>
      <c r="R888" s="774"/>
      <c r="S888" s="775"/>
      <c r="AH888" s="776"/>
      <c r="AI888" s="776"/>
      <c r="AJ888" s="732"/>
      <c r="AK888" s="732"/>
      <c r="AL888" s="776"/>
      <c r="AM888" s="776"/>
      <c r="AN888" s="17"/>
      <c r="AO888" s="17"/>
      <c r="AP888" s="17"/>
      <c r="AQ888" s="17"/>
      <c r="AR888" s="17"/>
      <c r="AS888" s="17"/>
      <c r="AT888" s="17"/>
      <c r="AU888" s="732"/>
      <c r="AV888" s="313"/>
      <c r="AW888" s="313"/>
      <c r="AX888" s="313"/>
      <c r="AY888" s="313"/>
      <c r="AZ888" s="313"/>
      <c r="BA888" s="313"/>
      <c r="BB888" s="313"/>
      <c r="BC888" s="313"/>
      <c r="BD888" s="313"/>
      <c r="BE888" s="314"/>
      <c r="BW888" s="314"/>
      <c r="BX888" s="314"/>
      <c r="BY888" s="314"/>
      <c r="BZ888" s="314"/>
      <c r="CA888" s="314"/>
      <c r="CB888" s="314"/>
      <c r="CC888" s="314"/>
      <c r="CD888" s="314"/>
    </row>
    <row r="889" ht="28.5" customHeight="1">
      <c r="A889" s="767"/>
      <c r="B889" s="768"/>
      <c r="C889" s="768"/>
      <c r="D889" s="769"/>
      <c r="E889" s="769"/>
      <c r="F889" s="769"/>
      <c r="G889" s="336"/>
      <c r="H889" s="771"/>
      <c r="I889" s="769"/>
      <c r="J889" s="769"/>
      <c r="K889" s="314"/>
      <c r="L889" s="314"/>
      <c r="M889" s="314"/>
      <c r="N889" s="769"/>
      <c r="O889" s="769"/>
      <c r="P889" s="773"/>
      <c r="Q889" s="774"/>
      <c r="R889" s="774"/>
      <c r="S889" s="775"/>
      <c r="AH889" s="776"/>
      <c r="AI889" s="776"/>
      <c r="AJ889" s="732"/>
      <c r="AK889" s="732"/>
      <c r="AL889" s="776"/>
      <c r="AM889" s="776"/>
      <c r="AN889" s="17"/>
      <c r="AO889" s="17"/>
      <c r="AP889" s="17"/>
      <c r="AQ889" s="17"/>
      <c r="AR889" s="17"/>
      <c r="AS889" s="17"/>
      <c r="AT889" s="17"/>
      <c r="AU889" s="732"/>
      <c r="AV889" s="313"/>
      <c r="AW889" s="313"/>
      <c r="AX889" s="313"/>
      <c r="AY889" s="313"/>
      <c r="AZ889" s="313"/>
      <c r="BA889" s="313"/>
      <c r="BB889" s="313"/>
      <c r="BC889" s="313"/>
      <c r="BD889" s="313"/>
      <c r="BE889" s="314"/>
      <c r="BW889" s="314"/>
      <c r="BX889" s="314"/>
      <c r="BY889" s="314"/>
      <c r="BZ889" s="314"/>
      <c r="CA889" s="314"/>
      <c r="CB889" s="314"/>
      <c r="CC889" s="314"/>
      <c r="CD889" s="314"/>
    </row>
    <row r="890" ht="28.5" customHeight="1">
      <c r="A890" s="767"/>
      <c r="B890" s="768"/>
      <c r="C890" s="768"/>
      <c r="D890" s="769"/>
      <c r="E890" s="769"/>
      <c r="F890" s="769"/>
      <c r="G890" s="336"/>
      <c r="H890" s="771"/>
      <c r="I890" s="769"/>
      <c r="J890" s="769"/>
      <c r="K890" s="314"/>
      <c r="L890" s="314"/>
      <c r="M890" s="314"/>
      <c r="N890" s="769"/>
      <c r="O890" s="769"/>
      <c r="P890" s="773"/>
      <c r="Q890" s="774"/>
      <c r="R890" s="774"/>
      <c r="S890" s="775"/>
      <c r="AH890" s="776"/>
      <c r="AI890" s="776"/>
      <c r="AJ890" s="732"/>
      <c r="AK890" s="732"/>
      <c r="AL890" s="776"/>
      <c r="AM890" s="776"/>
      <c r="AN890" s="17"/>
      <c r="AO890" s="17"/>
      <c r="AP890" s="17"/>
      <c r="AQ890" s="17"/>
      <c r="AR890" s="17"/>
      <c r="AS890" s="17"/>
      <c r="AT890" s="17"/>
      <c r="AU890" s="732"/>
      <c r="AV890" s="313"/>
      <c r="AW890" s="313"/>
      <c r="AX890" s="313"/>
      <c r="AY890" s="313"/>
      <c r="AZ890" s="313"/>
      <c r="BA890" s="313"/>
      <c r="BB890" s="313"/>
      <c r="BC890" s="313"/>
      <c r="BD890" s="313"/>
      <c r="BE890" s="314"/>
      <c r="BW890" s="314"/>
      <c r="BX890" s="314"/>
      <c r="BY890" s="314"/>
      <c r="BZ890" s="314"/>
      <c r="CA890" s="314"/>
      <c r="CB890" s="314"/>
      <c r="CC890" s="314"/>
      <c r="CD890" s="314"/>
    </row>
    <row r="891" ht="28.5" customHeight="1">
      <c r="A891" s="767"/>
      <c r="B891" s="768"/>
      <c r="C891" s="768"/>
      <c r="D891" s="769"/>
      <c r="E891" s="769"/>
      <c r="F891" s="769"/>
      <c r="G891" s="336"/>
      <c r="H891" s="771"/>
      <c r="I891" s="769"/>
      <c r="J891" s="769"/>
      <c r="K891" s="314"/>
      <c r="L891" s="314"/>
      <c r="M891" s="314"/>
      <c r="N891" s="769"/>
      <c r="O891" s="769"/>
      <c r="P891" s="773"/>
      <c r="Q891" s="774"/>
      <c r="R891" s="774"/>
      <c r="S891" s="775"/>
      <c r="AH891" s="776"/>
      <c r="AI891" s="776"/>
      <c r="AJ891" s="732"/>
      <c r="AK891" s="732"/>
      <c r="AL891" s="776"/>
      <c r="AM891" s="776"/>
      <c r="AN891" s="17"/>
      <c r="AO891" s="17"/>
      <c r="AP891" s="17"/>
      <c r="AQ891" s="17"/>
      <c r="AR891" s="17"/>
      <c r="AS891" s="17"/>
      <c r="AT891" s="17"/>
      <c r="AU891" s="732"/>
      <c r="AV891" s="313"/>
      <c r="AW891" s="313"/>
      <c r="AX891" s="313"/>
      <c r="AY891" s="313"/>
      <c r="AZ891" s="313"/>
      <c r="BA891" s="313"/>
      <c r="BB891" s="313"/>
      <c r="BC891" s="313"/>
      <c r="BD891" s="313"/>
      <c r="BE891" s="314"/>
      <c r="BW891" s="314"/>
      <c r="BX891" s="314"/>
      <c r="BY891" s="314"/>
      <c r="BZ891" s="314"/>
      <c r="CA891" s="314"/>
      <c r="CB891" s="314"/>
      <c r="CC891" s="314"/>
      <c r="CD891" s="314"/>
    </row>
    <row r="892" ht="28.5" customHeight="1">
      <c r="A892" s="767"/>
      <c r="B892" s="768"/>
      <c r="C892" s="768"/>
      <c r="D892" s="769"/>
      <c r="E892" s="769"/>
      <c r="F892" s="769"/>
      <c r="G892" s="336"/>
      <c r="H892" s="771"/>
      <c r="I892" s="769"/>
      <c r="J892" s="769"/>
      <c r="K892" s="314"/>
      <c r="L892" s="314"/>
      <c r="M892" s="314"/>
      <c r="N892" s="769"/>
      <c r="O892" s="769"/>
      <c r="P892" s="773"/>
      <c r="Q892" s="774"/>
      <c r="R892" s="774"/>
      <c r="S892" s="775"/>
      <c r="AH892" s="776"/>
      <c r="AI892" s="776"/>
      <c r="AJ892" s="732"/>
      <c r="AK892" s="732"/>
      <c r="AL892" s="776"/>
      <c r="AM892" s="776"/>
      <c r="AN892" s="17"/>
      <c r="AO892" s="17"/>
      <c r="AP892" s="17"/>
      <c r="AQ892" s="17"/>
      <c r="AR892" s="17"/>
      <c r="AS892" s="17"/>
      <c r="AT892" s="17"/>
      <c r="AU892" s="732"/>
      <c r="AV892" s="313"/>
      <c r="AW892" s="313"/>
      <c r="AX892" s="313"/>
      <c r="AY892" s="313"/>
      <c r="AZ892" s="313"/>
      <c r="BA892" s="313"/>
      <c r="BB892" s="313"/>
      <c r="BC892" s="313"/>
      <c r="BD892" s="313"/>
      <c r="BE892" s="314"/>
      <c r="BW892" s="314"/>
      <c r="BX892" s="314"/>
      <c r="BY892" s="314"/>
      <c r="BZ892" s="314"/>
      <c r="CA892" s="314"/>
      <c r="CB892" s="314"/>
      <c r="CC892" s="314"/>
      <c r="CD892" s="314"/>
    </row>
    <row r="893" ht="28.5" customHeight="1">
      <c r="A893" s="767"/>
      <c r="B893" s="768"/>
      <c r="C893" s="768"/>
      <c r="D893" s="769"/>
      <c r="E893" s="769"/>
      <c r="F893" s="769"/>
      <c r="G893" s="336"/>
      <c r="H893" s="771"/>
      <c r="I893" s="769"/>
      <c r="J893" s="769"/>
      <c r="K893" s="314"/>
      <c r="L893" s="314"/>
      <c r="M893" s="314"/>
      <c r="N893" s="769"/>
      <c r="O893" s="769"/>
      <c r="P893" s="773"/>
      <c r="Q893" s="774"/>
      <c r="R893" s="774"/>
      <c r="S893" s="775"/>
      <c r="AH893" s="776"/>
      <c r="AI893" s="776"/>
      <c r="AJ893" s="732"/>
      <c r="AK893" s="732"/>
      <c r="AL893" s="776"/>
      <c r="AM893" s="776"/>
      <c r="AN893" s="17"/>
      <c r="AO893" s="17"/>
      <c r="AP893" s="17"/>
      <c r="AQ893" s="17"/>
      <c r="AR893" s="17"/>
      <c r="AS893" s="17"/>
      <c r="AT893" s="17"/>
      <c r="AU893" s="732"/>
      <c r="AV893" s="313"/>
      <c r="AW893" s="313"/>
      <c r="AX893" s="313"/>
      <c r="AY893" s="313"/>
      <c r="AZ893" s="313"/>
      <c r="BA893" s="313"/>
      <c r="BB893" s="313"/>
      <c r="BC893" s="313"/>
      <c r="BD893" s="313"/>
      <c r="BE893" s="314"/>
      <c r="BW893" s="314"/>
      <c r="BX893" s="314"/>
      <c r="BY893" s="314"/>
      <c r="BZ893" s="314"/>
      <c r="CA893" s="314"/>
      <c r="CB893" s="314"/>
      <c r="CC893" s="314"/>
      <c r="CD893" s="314"/>
    </row>
    <row r="894" ht="28.5" customHeight="1">
      <c r="A894" s="767"/>
      <c r="B894" s="768"/>
      <c r="C894" s="768"/>
      <c r="D894" s="769"/>
      <c r="E894" s="769"/>
      <c r="F894" s="769"/>
      <c r="G894" s="336"/>
      <c r="H894" s="771"/>
      <c r="I894" s="769"/>
      <c r="J894" s="769"/>
      <c r="K894" s="314"/>
      <c r="L894" s="314"/>
      <c r="M894" s="314"/>
      <c r="N894" s="769"/>
      <c r="O894" s="769"/>
      <c r="P894" s="773"/>
      <c r="Q894" s="774"/>
      <c r="R894" s="774"/>
      <c r="S894" s="775"/>
      <c r="AH894" s="776"/>
      <c r="AI894" s="776"/>
      <c r="AJ894" s="732"/>
      <c r="AK894" s="732"/>
      <c r="AL894" s="776"/>
      <c r="AM894" s="776"/>
      <c r="AN894" s="17"/>
      <c r="AO894" s="17"/>
      <c r="AP894" s="17"/>
      <c r="AQ894" s="17"/>
      <c r="AR894" s="17"/>
      <c r="AS894" s="17"/>
      <c r="AT894" s="17"/>
      <c r="AU894" s="732"/>
      <c r="AV894" s="313"/>
      <c r="AW894" s="313"/>
      <c r="AX894" s="313"/>
      <c r="AY894" s="313"/>
      <c r="AZ894" s="313"/>
      <c r="BA894" s="313"/>
      <c r="BB894" s="313"/>
      <c r="BC894" s="313"/>
      <c r="BD894" s="313"/>
      <c r="BE894" s="314"/>
      <c r="BW894" s="314"/>
      <c r="BX894" s="314"/>
      <c r="BY894" s="314"/>
      <c r="BZ894" s="314"/>
      <c r="CA894" s="314"/>
      <c r="CB894" s="314"/>
      <c r="CC894" s="314"/>
      <c r="CD894" s="314"/>
    </row>
    <row r="895" ht="28.5" customHeight="1">
      <c r="A895" s="767"/>
      <c r="B895" s="768"/>
      <c r="C895" s="768"/>
      <c r="D895" s="769"/>
      <c r="E895" s="769"/>
      <c r="F895" s="769"/>
      <c r="G895" s="336"/>
      <c r="H895" s="771"/>
      <c r="I895" s="769"/>
      <c r="J895" s="769"/>
      <c r="K895" s="314"/>
      <c r="L895" s="314"/>
      <c r="M895" s="314"/>
      <c r="N895" s="769"/>
      <c r="O895" s="769"/>
      <c r="P895" s="773"/>
      <c r="Q895" s="774"/>
      <c r="R895" s="774"/>
      <c r="S895" s="775"/>
      <c r="AH895" s="776"/>
      <c r="AI895" s="776"/>
      <c r="AJ895" s="732"/>
      <c r="AK895" s="732"/>
      <c r="AL895" s="776"/>
      <c r="AM895" s="776"/>
      <c r="AN895" s="17"/>
      <c r="AO895" s="17"/>
      <c r="AP895" s="17"/>
      <c r="AQ895" s="17"/>
      <c r="AR895" s="17"/>
      <c r="AS895" s="17"/>
      <c r="AT895" s="17"/>
      <c r="AU895" s="732"/>
      <c r="AV895" s="313"/>
      <c r="AW895" s="313"/>
      <c r="AX895" s="313"/>
      <c r="AY895" s="313"/>
      <c r="AZ895" s="313"/>
      <c r="BA895" s="313"/>
      <c r="BB895" s="313"/>
      <c r="BC895" s="313"/>
      <c r="BD895" s="313"/>
      <c r="BE895" s="314"/>
      <c r="BW895" s="314"/>
      <c r="BX895" s="314"/>
      <c r="BY895" s="314"/>
      <c r="BZ895" s="314"/>
      <c r="CA895" s="314"/>
      <c r="CB895" s="314"/>
      <c r="CC895" s="314"/>
      <c r="CD895" s="314"/>
    </row>
    <row r="896" ht="28.5" customHeight="1">
      <c r="A896" s="767"/>
      <c r="B896" s="768"/>
      <c r="C896" s="768"/>
      <c r="D896" s="769"/>
      <c r="E896" s="769"/>
      <c r="F896" s="769"/>
      <c r="G896" s="336"/>
      <c r="H896" s="771"/>
      <c r="I896" s="769"/>
      <c r="J896" s="769"/>
      <c r="K896" s="314"/>
      <c r="L896" s="314"/>
      <c r="M896" s="314"/>
      <c r="N896" s="769"/>
      <c r="O896" s="769"/>
      <c r="P896" s="773"/>
      <c r="Q896" s="774"/>
      <c r="R896" s="774"/>
      <c r="S896" s="775"/>
      <c r="AH896" s="776"/>
      <c r="AI896" s="776"/>
      <c r="AJ896" s="732"/>
      <c r="AK896" s="732"/>
      <c r="AL896" s="776"/>
      <c r="AM896" s="776"/>
      <c r="AN896" s="17"/>
      <c r="AO896" s="17"/>
      <c r="AP896" s="17"/>
      <c r="AQ896" s="17"/>
      <c r="AR896" s="17"/>
      <c r="AS896" s="17"/>
      <c r="AT896" s="17"/>
      <c r="AU896" s="732"/>
      <c r="AV896" s="313"/>
      <c r="AW896" s="313"/>
      <c r="AX896" s="313"/>
      <c r="AY896" s="313"/>
      <c r="AZ896" s="313"/>
      <c r="BA896" s="313"/>
      <c r="BB896" s="313"/>
      <c r="BC896" s="313"/>
      <c r="BD896" s="313"/>
      <c r="BE896" s="314"/>
      <c r="BW896" s="314"/>
      <c r="BX896" s="314"/>
      <c r="BY896" s="314"/>
      <c r="BZ896" s="314"/>
      <c r="CA896" s="314"/>
      <c r="CB896" s="314"/>
      <c r="CC896" s="314"/>
      <c r="CD896" s="314"/>
    </row>
    <row r="897" ht="28.5" customHeight="1">
      <c r="A897" s="767"/>
      <c r="B897" s="768"/>
      <c r="C897" s="768"/>
      <c r="D897" s="769"/>
      <c r="E897" s="769"/>
      <c r="F897" s="769"/>
      <c r="G897" s="336"/>
      <c r="H897" s="771"/>
      <c r="I897" s="769"/>
      <c r="J897" s="769"/>
      <c r="K897" s="314"/>
      <c r="L897" s="314"/>
      <c r="M897" s="314"/>
      <c r="N897" s="769"/>
      <c r="O897" s="769"/>
      <c r="P897" s="773"/>
      <c r="Q897" s="774"/>
      <c r="R897" s="774"/>
      <c r="S897" s="775"/>
      <c r="AH897" s="776"/>
      <c r="AI897" s="776"/>
      <c r="AJ897" s="732"/>
      <c r="AK897" s="732"/>
      <c r="AL897" s="776"/>
      <c r="AM897" s="776"/>
      <c r="AN897" s="17"/>
      <c r="AO897" s="17"/>
      <c r="AP897" s="17"/>
      <c r="AQ897" s="17"/>
      <c r="AR897" s="17"/>
      <c r="AS897" s="17"/>
      <c r="AT897" s="17"/>
      <c r="AU897" s="732"/>
      <c r="AV897" s="313"/>
      <c r="AW897" s="313"/>
      <c r="AX897" s="313"/>
      <c r="AY897" s="313"/>
      <c r="AZ897" s="313"/>
      <c r="BA897" s="313"/>
      <c r="BB897" s="313"/>
      <c r="BC897" s="313"/>
      <c r="BD897" s="313"/>
      <c r="BE897" s="314"/>
      <c r="BW897" s="314"/>
      <c r="BX897" s="314"/>
      <c r="BY897" s="314"/>
      <c r="BZ897" s="314"/>
      <c r="CA897" s="314"/>
      <c r="CB897" s="314"/>
      <c r="CC897" s="314"/>
      <c r="CD897" s="314"/>
    </row>
    <row r="898" ht="28.5" customHeight="1">
      <c r="A898" s="767"/>
      <c r="B898" s="768"/>
      <c r="C898" s="768"/>
      <c r="D898" s="769"/>
      <c r="E898" s="769"/>
      <c r="F898" s="769"/>
      <c r="G898" s="336"/>
      <c r="H898" s="771"/>
      <c r="I898" s="769"/>
      <c r="J898" s="769"/>
      <c r="K898" s="314"/>
      <c r="L898" s="314"/>
      <c r="M898" s="314"/>
      <c r="N898" s="769"/>
      <c r="O898" s="769"/>
      <c r="P898" s="773"/>
      <c r="Q898" s="774"/>
      <c r="R898" s="774"/>
      <c r="S898" s="775"/>
      <c r="AH898" s="776"/>
      <c r="AI898" s="776"/>
      <c r="AJ898" s="732"/>
      <c r="AK898" s="732"/>
      <c r="AL898" s="776"/>
      <c r="AM898" s="776"/>
      <c r="AN898" s="17"/>
      <c r="AO898" s="17"/>
      <c r="AP898" s="17"/>
      <c r="AQ898" s="17"/>
      <c r="AR898" s="17"/>
      <c r="AS898" s="17"/>
      <c r="AT898" s="17"/>
      <c r="AU898" s="732"/>
      <c r="AV898" s="313"/>
      <c r="AW898" s="313"/>
      <c r="AX898" s="313"/>
      <c r="AY898" s="313"/>
      <c r="AZ898" s="313"/>
      <c r="BA898" s="313"/>
      <c r="BB898" s="313"/>
      <c r="BC898" s="313"/>
      <c r="BD898" s="313"/>
      <c r="BE898" s="314"/>
      <c r="BW898" s="314"/>
      <c r="BX898" s="314"/>
      <c r="BY898" s="314"/>
      <c r="BZ898" s="314"/>
      <c r="CA898" s="314"/>
      <c r="CB898" s="314"/>
      <c r="CC898" s="314"/>
      <c r="CD898" s="314"/>
    </row>
    <row r="899" ht="28.5" customHeight="1">
      <c r="A899" s="767"/>
      <c r="B899" s="768"/>
      <c r="C899" s="768"/>
      <c r="D899" s="769"/>
      <c r="E899" s="769"/>
      <c r="F899" s="769"/>
      <c r="G899" s="336"/>
      <c r="H899" s="771"/>
      <c r="I899" s="769"/>
      <c r="J899" s="769"/>
      <c r="K899" s="314"/>
      <c r="L899" s="314"/>
      <c r="M899" s="314"/>
      <c r="N899" s="769"/>
      <c r="O899" s="769"/>
      <c r="P899" s="773"/>
      <c r="Q899" s="774"/>
      <c r="R899" s="774"/>
      <c r="S899" s="775"/>
      <c r="AH899" s="776"/>
      <c r="AI899" s="776"/>
      <c r="AJ899" s="732"/>
      <c r="AK899" s="732"/>
      <c r="AL899" s="776"/>
      <c r="AM899" s="776"/>
      <c r="AN899" s="17"/>
      <c r="AO899" s="17"/>
      <c r="AP899" s="17"/>
      <c r="AQ899" s="17"/>
      <c r="AR899" s="17"/>
      <c r="AS899" s="17"/>
      <c r="AT899" s="17"/>
      <c r="AU899" s="732"/>
      <c r="AV899" s="313"/>
      <c r="AW899" s="313"/>
      <c r="AX899" s="313"/>
      <c r="AY899" s="313"/>
      <c r="AZ899" s="313"/>
      <c r="BA899" s="313"/>
      <c r="BB899" s="313"/>
      <c r="BC899" s="313"/>
      <c r="BD899" s="313"/>
      <c r="BE899" s="314"/>
      <c r="BW899" s="314"/>
      <c r="BX899" s="314"/>
      <c r="BY899" s="314"/>
      <c r="BZ899" s="314"/>
      <c r="CA899" s="314"/>
      <c r="CB899" s="314"/>
      <c r="CC899" s="314"/>
      <c r="CD899" s="314"/>
    </row>
    <row r="900" ht="28.5" customHeight="1">
      <c r="A900" s="767"/>
      <c r="B900" s="768"/>
      <c r="C900" s="768"/>
      <c r="D900" s="769"/>
      <c r="E900" s="769"/>
      <c r="F900" s="769"/>
      <c r="G900" s="336"/>
      <c r="H900" s="771"/>
      <c r="I900" s="769"/>
      <c r="J900" s="769"/>
      <c r="K900" s="314"/>
      <c r="L900" s="314"/>
      <c r="M900" s="314"/>
      <c r="N900" s="769"/>
      <c r="O900" s="769"/>
      <c r="P900" s="773"/>
      <c r="Q900" s="774"/>
      <c r="R900" s="774"/>
      <c r="S900" s="775"/>
      <c r="AH900" s="776"/>
      <c r="AI900" s="776"/>
      <c r="AJ900" s="732"/>
      <c r="AK900" s="732"/>
      <c r="AL900" s="776"/>
      <c r="AM900" s="776"/>
      <c r="AN900" s="17"/>
      <c r="AO900" s="17"/>
      <c r="AP900" s="17"/>
      <c r="AQ900" s="17"/>
      <c r="AR900" s="17"/>
      <c r="AS900" s="17"/>
      <c r="AT900" s="17"/>
      <c r="AU900" s="732"/>
      <c r="AV900" s="313"/>
      <c r="AW900" s="313"/>
      <c r="AX900" s="313"/>
      <c r="AY900" s="313"/>
      <c r="AZ900" s="313"/>
      <c r="BA900" s="313"/>
      <c r="BB900" s="313"/>
      <c r="BC900" s="313"/>
      <c r="BD900" s="313"/>
      <c r="BE900" s="314"/>
      <c r="BW900" s="314"/>
      <c r="BX900" s="314"/>
      <c r="BY900" s="314"/>
      <c r="BZ900" s="314"/>
      <c r="CA900" s="314"/>
      <c r="CB900" s="314"/>
      <c r="CC900" s="314"/>
      <c r="CD900" s="314"/>
    </row>
    <row r="901" ht="28.5" customHeight="1">
      <c r="A901" s="767"/>
      <c r="B901" s="768"/>
      <c r="C901" s="768"/>
      <c r="D901" s="769"/>
      <c r="E901" s="769"/>
      <c r="F901" s="769"/>
      <c r="G901" s="336"/>
      <c r="H901" s="771"/>
      <c r="I901" s="769"/>
      <c r="J901" s="769"/>
      <c r="K901" s="314"/>
      <c r="L901" s="314"/>
      <c r="M901" s="314"/>
      <c r="N901" s="769"/>
      <c r="O901" s="769"/>
      <c r="P901" s="773"/>
      <c r="Q901" s="774"/>
      <c r="R901" s="774"/>
      <c r="S901" s="775"/>
      <c r="AH901" s="776"/>
      <c r="AI901" s="776"/>
      <c r="AJ901" s="732"/>
      <c r="AK901" s="732"/>
      <c r="AL901" s="776"/>
      <c r="AM901" s="776"/>
      <c r="AN901" s="17"/>
      <c r="AO901" s="17"/>
      <c r="AP901" s="17"/>
      <c r="AQ901" s="17"/>
      <c r="AR901" s="17"/>
      <c r="AS901" s="17"/>
      <c r="AT901" s="17"/>
      <c r="AU901" s="732"/>
      <c r="AV901" s="313"/>
      <c r="AW901" s="313"/>
      <c r="AX901" s="313"/>
      <c r="AY901" s="313"/>
      <c r="AZ901" s="313"/>
      <c r="BA901" s="313"/>
      <c r="BB901" s="313"/>
      <c r="BC901" s="313"/>
      <c r="BD901" s="313"/>
      <c r="BE901" s="314"/>
      <c r="BW901" s="314"/>
      <c r="BX901" s="314"/>
      <c r="BY901" s="314"/>
      <c r="BZ901" s="314"/>
      <c r="CA901" s="314"/>
      <c r="CB901" s="314"/>
      <c r="CC901" s="314"/>
      <c r="CD901" s="314"/>
    </row>
    <row r="902" ht="28.5" customHeight="1">
      <c r="A902" s="767"/>
      <c r="B902" s="768"/>
      <c r="C902" s="768"/>
      <c r="D902" s="769"/>
      <c r="E902" s="769"/>
      <c r="F902" s="769"/>
      <c r="G902" s="336"/>
      <c r="H902" s="771"/>
      <c r="I902" s="769"/>
      <c r="J902" s="769"/>
      <c r="K902" s="314"/>
      <c r="L902" s="314"/>
      <c r="M902" s="314"/>
      <c r="N902" s="769"/>
      <c r="O902" s="769"/>
      <c r="P902" s="773"/>
      <c r="Q902" s="774"/>
      <c r="R902" s="774"/>
      <c r="S902" s="775"/>
      <c r="AH902" s="776"/>
      <c r="AI902" s="776"/>
      <c r="AJ902" s="732"/>
      <c r="AK902" s="732"/>
      <c r="AL902" s="776"/>
      <c r="AM902" s="776"/>
      <c r="AN902" s="17"/>
      <c r="AO902" s="17"/>
      <c r="AP902" s="17"/>
      <c r="AQ902" s="17"/>
      <c r="AR902" s="17"/>
      <c r="AS902" s="17"/>
      <c r="AT902" s="17"/>
      <c r="AU902" s="732"/>
      <c r="AV902" s="313"/>
      <c r="AW902" s="313"/>
      <c r="AX902" s="313"/>
      <c r="AY902" s="313"/>
      <c r="AZ902" s="313"/>
      <c r="BA902" s="313"/>
      <c r="BB902" s="313"/>
      <c r="BC902" s="313"/>
      <c r="BD902" s="313"/>
      <c r="BE902" s="314"/>
      <c r="BW902" s="314"/>
      <c r="BX902" s="314"/>
      <c r="BY902" s="314"/>
      <c r="BZ902" s="314"/>
      <c r="CA902" s="314"/>
      <c r="CB902" s="314"/>
      <c r="CC902" s="314"/>
      <c r="CD902" s="314"/>
    </row>
    <row r="903" ht="28.5" customHeight="1">
      <c r="A903" s="767"/>
      <c r="B903" s="768"/>
      <c r="C903" s="768"/>
      <c r="D903" s="769"/>
      <c r="E903" s="769"/>
      <c r="F903" s="769"/>
      <c r="G903" s="336"/>
      <c r="H903" s="771"/>
      <c r="I903" s="769"/>
      <c r="J903" s="769"/>
      <c r="K903" s="314"/>
      <c r="L903" s="314"/>
      <c r="M903" s="314"/>
      <c r="N903" s="769"/>
      <c r="O903" s="769"/>
      <c r="P903" s="773"/>
      <c r="Q903" s="774"/>
      <c r="R903" s="774"/>
      <c r="S903" s="775"/>
      <c r="AH903" s="776"/>
      <c r="AI903" s="776"/>
      <c r="AJ903" s="732"/>
      <c r="AK903" s="732"/>
      <c r="AL903" s="776"/>
      <c r="AM903" s="776"/>
      <c r="AN903" s="17"/>
      <c r="AO903" s="17"/>
      <c r="AP903" s="17"/>
      <c r="AQ903" s="17"/>
      <c r="AR903" s="17"/>
      <c r="AS903" s="17"/>
      <c r="AT903" s="17"/>
      <c r="AU903" s="732"/>
      <c r="AV903" s="313"/>
      <c r="AW903" s="313"/>
      <c r="AX903" s="313"/>
      <c r="AY903" s="313"/>
      <c r="AZ903" s="313"/>
      <c r="BA903" s="313"/>
      <c r="BB903" s="313"/>
      <c r="BC903" s="313"/>
      <c r="BD903" s="313"/>
      <c r="BE903" s="314"/>
      <c r="BW903" s="314"/>
      <c r="BX903" s="314"/>
      <c r="BY903" s="314"/>
      <c r="BZ903" s="314"/>
      <c r="CA903" s="314"/>
      <c r="CB903" s="314"/>
      <c r="CC903" s="314"/>
      <c r="CD903" s="314"/>
    </row>
    <row r="904" ht="28.5" customHeight="1">
      <c r="A904" s="767"/>
      <c r="B904" s="768"/>
      <c r="C904" s="768"/>
      <c r="D904" s="769"/>
      <c r="E904" s="769"/>
      <c r="F904" s="769"/>
      <c r="G904" s="336"/>
      <c r="H904" s="771"/>
      <c r="I904" s="769"/>
      <c r="J904" s="769"/>
      <c r="K904" s="314"/>
      <c r="L904" s="314"/>
      <c r="M904" s="314"/>
      <c r="N904" s="769"/>
      <c r="O904" s="769"/>
      <c r="P904" s="773"/>
      <c r="Q904" s="774"/>
      <c r="R904" s="774"/>
      <c r="S904" s="775"/>
      <c r="AH904" s="776"/>
      <c r="AI904" s="776"/>
      <c r="AJ904" s="732"/>
      <c r="AK904" s="732"/>
      <c r="AL904" s="776"/>
      <c r="AM904" s="776"/>
      <c r="AN904" s="17"/>
      <c r="AO904" s="17"/>
      <c r="AP904" s="17"/>
      <c r="AQ904" s="17"/>
      <c r="AR904" s="17"/>
      <c r="AS904" s="17"/>
      <c r="AT904" s="17"/>
      <c r="AU904" s="732"/>
      <c r="AV904" s="313"/>
      <c r="AW904" s="313"/>
      <c r="AX904" s="313"/>
      <c r="AY904" s="313"/>
      <c r="AZ904" s="313"/>
      <c r="BA904" s="313"/>
      <c r="BB904" s="313"/>
      <c r="BC904" s="313"/>
      <c r="BD904" s="313"/>
      <c r="BE904" s="314"/>
      <c r="BW904" s="314"/>
      <c r="BX904" s="314"/>
      <c r="BY904" s="314"/>
      <c r="BZ904" s="314"/>
      <c r="CA904" s="314"/>
      <c r="CB904" s="314"/>
      <c r="CC904" s="314"/>
      <c r="CD904" s="314"/>
    </row>
    <row r="905" ht="28.5" customHeight="1">
      <c r="A905" s="767"/>
      <c r="B905" s="768"/>
      <c r="C905" s="768"/>
      <c r="D905" s="769"/>
      <c r="E905" s="769"/>
      <c r="F905" s="769"/>
      <c r="G905" s="336"/>
      <c r="H905" s="771"/>
      <c r="I905" s="769"/>
      <c r="J905" s="769"/>
      <c r="K905" s="314"/>
      <c r="L905" s="314"/>
      <c r="M905" s="314"/>
      <c r="N905" s="769"/>
      <c r="O905" s="769"/>
      <c r="P905" s="773"/>
      <c r="Q905" s="774"/>
      <c r="R905" s="774"/>
      <c r="S905" s="775"/>
      <c r="AH905" s="776"/>
      <c r="AI905" s="776"/>
      <c r="AJ905" s="732"/>
      <c r="AK905" s="732"/>
      <c r="AL905" s="776"/>
      <c r="AM905" s="776"/>
      <c r="AN905" s="17"/>
      <c r="AO905" s="17"/>
      <c r="AP905" s="17"/>
      <c r="AQ905" s="17"/>
      <c r="AR905" s="17"/>
      <c r="AS905" s="17"/>
      <c r="AT905" s="17"/>
      <c r="AU905" s="732"/>
      <c r="AV905" s="313"/>
      <c r="AW905" s="313"/>
      <c r="AX905" s="313"/>
      <c r="AY905" s="313"/>
      <c r="AZ905" s="313"/>
      <c r="BA905" s="313"/>
      <c r="BB905" s="313"/>
      <c r="BC905" s="313"/>
      <c r="BD905" s="313"/>
      <c r="BE905" s="314"/>
      <c r="BW905" s="314"/>
      <c r="BX905" s="314"/>
      <c r="BY905" s="314"/>
      <c r="BZ905" s="314"/>
      <c r="CA905" s="314"/>
      <c r="CB905" s="314"/>
      <c r="CC905" s="314"/>
      <c r="CD905" s="314"/>
    </row>
    <row r="906" ht="28.5" customHeight="1">
      <c r="A906" s="767"/>
      <c r="B906" s="768"/>
      <c r="C906" s="768"/>
      <c r="D906" s="769"/>
      <c r="E906" s="769"/>
      <c r="F906" s="769"/>
      <c r="G906" s="336"/>
      <c r="H906" s="771"/>
      <c r="I906" s="769"/>
      <c r="J906" s="769"/>
      <c r="K906" s="314"/>
      <c r="L906" s="314"/>
      <c r="M906" s="314"/>
      <c r="N906" s="769"/>
      <c r="O906" s="769"/>
      <c r="P906" s="773"/>
      <c r="Q906" s="774"/>
      <c r="R906" s="774"/>
      <c r="S906" s="775"/>
      <c r="AH906" s="776"/>
      <c r="AI906" s="776"/>
      <c r="AJ906" s="732"/>
      <c r="AK906" s="732"/>
      <c r="AL906" s="776"/>
      <c r="AM906" s="776"/>
      <c r="AN906" s="17"/>
      <c r="AO906" s="17"/>
      <c r="AP906" s="17"/>
      <c r="AQ906" s="17"/>
      <c r="AR906" s="17"/>
      <c r="AS906" s="17"/>
      <c r="AT906" s="17"/>
      <c r="AU906" s="732"/>
      <c r="AV906" s="313"/>
      <c r="AW906" s="313"/>
      <c r="AX906" s="313"/>
      <c r="AY906" s="313"/>
      <c r="AZ906" s="313"/>
      <c r="BA906" s="313"/>
      <c r="BB906" s="313"/>
      <c r="BC906" s="313"/>
      <c r="BD906" s="313"/>
      <c r="BE906" s="314"/>
      <c r="BW906" s="314"/>
      <c r="BX906" s="314"/>
      <c r="BY906" s="314"/>
      <c r="BZ906" s="314"/>
      <c r="CA906" s="314"/>
      <c r="CB906" s="314"/>
      <c r="CC906" s="314"/>
      <c r="CD906" s="314"/>
    </row>
    <row r="907" ht="28.5" customHeight="1">
      <c r="A907" s="767"/>
      <c r="B907" s="768"/>
      <c r="C907" s="768"/>
      <c r="D907" s="769"/>
      <c r="E907" s="769"/>
      <c r="F907" s="769"/>
      <c r="G907" s="336"/>
      <c r="H907" s="771"/>
      <c r="I907" s="769"/>
      <c r="J907" s="769"/>
      <c r="K907" s="314"/>
      <c r="L907" s="314"/>
      <c r="M907" s="314"/>
      <c r="N907" s="769"/>
      <c r="O907" s="769"/>
      <c r="P907" s="773"/>
      <c r="Q907" s="774"/>
      <c r="R907" s="774"/>
      <c r="S907" s="775"/>
      <c r="AH907" s="776"/>
      <c r="AI907" s="776"/>
      <c r="AJ907" s="732"/>
      <c r="AK907" s="732"/>
      <c r="AL907" s="776"/>
      <c r="AM907" s="776"/>
      <c r="AN907" s="17"/>
      <c r="AO907" s="17"/>
      <c r="AP907" s="17"/>
      <c r="AQ907" s="17"/>
      <c r="AR907" s="17"/>
      <c r="AS907" s="17"/>
      <c r="AT907" s="17"/>
      <c r="AU907" s="732"/>
      <c r="AV907" s="313"/>
      <c r="AW907" s="313"/>
      <c r="AX907" s="313"/>
      <c r="AY907" s="313"/>
      <c r="AZ907" s="313"/>
      <c r="BA907" s="313"/>
      <c r="BB907" s="313"/>
      <c r="BC907" s="313"/>
      <c r="BD907" s="313"/>
      <c r="BE907" s="314"/>
      <c r="BW907" s="314"/>
      <c r="BX907" s="314"/>
      <c r="BY907" s="314"/>
      <c r="BZ907" s="314"/>
      <c r="CA907" s="314"/>
      <c r="CB907" s="314"/>
      <c r="CC907" s="314"/>
      <c r="CD907" s="314"/>
    </row>
    <row r="908" ht="28.5" customHeight="1">
      <c r="A908" s="767"/>
      <c r="B908" s="768"/>
      <c r="C908" s="768"/>
      <c r="D908" s="769"/>
      <c r="E908" s="769"/>
      <c r="F908" s="769"/>
      <c r="G908" s="336"/>
      <c r="H908" s="771"/>
      <c r="I908" s="769"/>
      <c r="J908" s="769"/>
      <c r="K908" s="314"/>
      <c r="L908" s="314"/>
      <c r="M908" s="314"/>
      <c r="N908" s="769"/>
      <c r="O908" s="769"/>
      <c r="P908" s="773"/>
      <c r="Q908" s="774"/>
      <c r="R908" s="774"/>
      <c r="S908" s="775"/>
      <c r="AH908" s="776"/>
      <c r="AI908" s="776"/>
      <c r="AJ908" s="732"/>
      <c r="AK908" s="732"/>
      <c r="AL908" s="776"/>
      <c r="AM908" s="776"/>
      <c r="AN908" s="17"/>
      <c r="AO908" s="17"/>
      <c r="AP908" s="17"/>
      <c r="AQ908" s="17"/>
      <c r="AR908" s="17"/>
      <c r="AS908" s="17"/>
      <c r="AT908" s="17"/>
      <c r="AU908" s="732"/>
      <c r="AV908" s="313"/>
      <c r="AW908" s="313"/>
      <c r="AX908" s="313"/>
      <c r="AY908" s="313"/>
      <c r="AZ908" s="313"/>
      <c r="BA908" s="313"/>
      <c r="BB908" s="313"/>
      <c r="BC908" s="313"/>
      <c r="BD908" s="313"/>
      <c r="BE908" s="314"/>
      <c r="BW908" s="314"/>
      <c r="BX908" s="314"/>
      <c r="BY908" s="314"/>
      <c r="BZ908" s="314"/>
      <c r="CA908" s="314"/>
      <c r="CB908" s="314"/>
      <c r="CC908" s="314"/>
      <c r="CD908" s="314"/>
    </row>
    <row r="909" ht="28.5" customHeight="1">
      <c r="A909" s="767"/>
      <c r="B909" s="768"/>
      <c r="C909" s="768"/>
      <c r="D909" s="769"/>
      <c r="E909" s="769"/>
      <c r="F909" s="769"/>
      <c r="G909" s="336"/>
      <c r="H909" s="771"/>
      <c r="I909" s="769"/>
      <c r="J909" s="769"/>
      <c r="K909" s="314"/>
      <c r="L909" s="314"/>
      <c r="M909" s="314"/>
      <c r="N909" s="769"/>
      <c r="O909" s="769"/>
      <c r="P909" s="773"/>
      <c r="Q909" s="774"/>
      <c r="R909" s="774"/>
      <c r="S909" s="775"/>
      <c r="AH909" s="776"/>
      <c r="AI909" s="776"/>
      <c r="AJ909" s="732"/>
      <c r="AK909" s="732"/>
      <c r="AL909" s="776"/>
      <c r="AM909" s="776"/>
      <c r="AN909" s="17"/>
      <c r="AO909" s="17"/>
      <c r="AP909" s="17"/>
      <c r="AQ909" s="17"/>
      <c r="AR909" s="17"/>
      <c r="AS909" s="17"/>
      <c r="AT909" s="17"/>
      <c r="AU909" s="732"/>
      <c r="AV909" s="313"/>
      <c r="AW909" s="313"/>
      <c r="AX909" s="313"/>
      <c r="AY909" s="313"/>
      <c r="AZ909" s="313"/>
      <c r="BA909" s="313"/>
      <c r="BB909" s="313"/>
      <c r="BC909" s="313"/>
      <c r="BD909" s="313"/>
      <c r="BE909" s="314"/>
      <c r="BW909" s="314"/>
      <c r="BX909" s="314"/>
      <c r="BY909" s="314"/>
      <c r="BZ909" s="314"/>
      <c r="CA909" s="314"/>
      <c r="CB909" s="314"/>
      <c r="CC909" s="314"/>
      <c r="CD909" s="314"/>
    </row>
    <row r="910" ht="28.5" customHeight="1">
      <c r="A910" s="767"/>
      <c r="B910" s="768"/>
      <c r="C910" s="768"/>
      <c r="D910" s="769"/>
      <c r="E910" s="769"/>
      <c r="F910" s="769"/>
      <c r="G910" s="336"/>
      <c r="H910" s="771"/>
      <c r="I910" s="769"/>
      <c r="J910" s="769"/>
      <c r="K910" s="314"/>
      <c r="L910" s="314"/>
      <c r="M910" s="314"/>
      <c r="N910" s="769"/>
      <c r="O910" s="769"/>
      <c r="P910" s="773"/>
      <c r="Q910" s="774"/>
      <c r="R910" s="774"/>
      <c r="S910" s="775"/>
      <c r="AH910" s="776"/>
      <c r="AI910" s="776"/>
      <c r="AJ910" s="732"/>
      <c r="AK910" s="732"/>
      <c r="AL910" s="776"/>
      <c r="AM910" s="776"/>
      <c r="AN910" s="17"/>
      <c r="AO910" s="17"/>
      <c r="AP910" s="17"/>
      <c r="AQ910" s="17"/>
      <c r="AR910" s="17"/>
      <c r="AS910" s="17"/>
      <c r="AT910" s="17"/>
      <c r="AU910" s="732"/>
      <c r="AV910" s="313"/>
      <c r="AW910" s="313"/>
      <c r="AX910" s="313"/>
      <c r="AY910" s="313"/>
      <c r="AZ910" s="313"/>
      <c r="BA910" s="313"/>
      <c r="BB910" s="313"/>
      <c r="BC910" s="313"/>
      <c r="BD910" s="313"/>
      <c r="BE910" s="314"/>
      <c r="BW910" s="314"/>
      <c r="BX910" s="314"/>
      <c r="BY910" s="314"/>
      <c r="BZ910" s="314"/>
      <c r="CA910" s="314"/>
      <c r="CB910" s="314"/>
      <c r="CC910" s="314"/>
      <c r="CD910" s="314"/>
    </row>
    <row r="911" ht="28.5" customHeight="1">
      <c r="A911" s="767"/>
      <c r="B911" s="768"/>
      <c r="C911" s="768"/>
      <c r="D911" s="769"/>
      <c r="E911" s="769"/>
      <c r="F911" s="769"/>
      <c r="G911" s="336"/>
      <c r="H911" s="771"/>
      <c r="I911" s="769"/>
      <c r="J911" s="769"/>
      <c r="K911" s="314"/>
      <c r="L911" s="314"/>
      <c r="M911" s="314"/>
      <c r="N911" s="769"/>
      <c r="O911" s="769"/>
      <c r="P911" s="773"/>
      <c r="Q911" s="774"/>
      <c r="R911" s="774"/>
      <c r="S911" s="775"/>
      <c r="AH911" s="776"/>
      <c r="AI911" s="776"/>
      <c r="AJ911" s="732"/>
      <c r="AK911" s="732"/>
      <c r="AL911" s="776"/>
      <c r="AM911" s="776"/>
      <c r="AN911" s="17"/>
      <c r="AO911" s="17"/>
      <c r="AP911" s="17"/>
      <c r="AQ911" s="17"/>
      <c r="AR911" s="17"/>
      <c r="AS911" s="17"/>
      <c r="AT911" s="17"/>
      <c r="AU911" s="732"/>
      <c r="AV911" s="313"/>
      <c r="AW911" s="313"/>
      <c r="AX911" s="313"/>
      <c r="AY911" s="313"/>
      <c r="AZ911" s="313"/>
      <c r="BA911" s="313"/>
      <c r="BB911" s="313"/>
      <c r="BC911" s="313"/>
      <c r="BD911" s="313"/>
      <c r="BE911" s="314"/>
      <c r="BW911" s="314"/>
      <c r="BX911" s="314"/>
      <c r="BY911" s="314"/>
      <c r="BZ911" s="314"/>
      <c r="CA911" s="314"/>
      <c r="CB911" s="314"/>
      <c r="CC911" s="314"/>
      <c r="CD911" s="314"/>
    </row>
    <row r="912" ht="28.5" customHeight="1">
      <c r="A912" s="767"/>
      <c r="B912" s="768"/>
      <c r="C912" s="768"/>
      <c r="D912" s="769"/>
      <c r="E912" s="769"/>
      <c r="F912" s="769"/>
      <c r="G912" s="336"/>
      <c r="H912" s="771"/>
      <c r="I912" s="769"/>
      <c r="J912" s="769"/>
      <c r="K912" s="314"/>
      <c r="L912" s="314"/>
      <c r="M912" s="314"/>
      <c r="N912" s="769"/>
      <c r="O912" s="769"/>
      <c r="P912" s="773"/>
      <c r="Q912" s="774"/>
      <c r="R912" s="774"/>
      <c r="S912" s="775"/>
      <c r="AH912" s="776"/>
      <c r="AI912" s="776"/>
      <c r="AJ912" s="732"/>
      <c r="AK912" s="732"/>
      <c r="AL912" s="776"/>
      <c r="AM912" s="776"/>
      <c r="AN912" s="17"/>
      <c r="AO912" s="17"/>
      <c r="AP912" s="17"/>
      <c r="AQ912" s="17"/>
      <c r="AR912" s="17"/>
      <c r="AS912" s="17"/>
      <c r="AT912" s="17"/>
      <c r="AU912" s="732"/>
      <c r="AV912" s="313"/>
      <c r="AW912" s="313"/>
      <c r="AX912" s="313"/>
      <c r="AY912" s="313"/>
      <c r="AZ912" s="313"/>
      <c r="BA912" s="313"/>
      <c r="BB912" s="313"/>
      <c r="BC912" s="313"/>
      <c r="BD912" s="313"/>
      <c r="BE912" s="314"/>
      <c r="BW912" s="314"/>
      <c r="BX912" s="314"/>
      <c r="BY912" s="314"/>
      <c r="BZ912" s="314"/>
      <c r="CA912" s="314"/>
      <c r="CB912" s="314"/>
      <c r="CC912" s="314"/>
      <c r="CD912" s="314"/>
    </row>
    <row r="913" ht="28.5" customHeight="1">
      <c r="A913" s="767"/>
      <c r="B913" s="768"/>
      <c r="C913" s="768"/>
      <c r="D913" s="769"/>
      <c r="E913" s="769"/>
      <c r="F913" s="769"/>
      <c r="G913" s="336"/>
      <c r="H913" s="771"/>
      <c r="I913" s="769"/>
      <c r="J913" s="769"/>
      <c r="K913" s="314"/>
      <c r="L913" s="314"/>
      <c r="M913" s="314"/>
      <c r="N913" s="769"/>
      <c r="O913" s="769"/>
      <c r="P913" s="773"/>
      <c r="Q913" s="774"/>
      <c r="R913" s="774"/>
      <c r="S913" s="775"/>
      <c r="AH913" s="776"/>
      <c r="AI913" s="776"/>
      <c r="AJ913" s="732"/>
      <c r="AK913" s="732"/>
      <c r="AL913" s="776"/>
      <c r="AM913" s="776"/>
      <c r="AN913" s="17"/>
      <c r="AO913" s="17"/>
      <c r="AP913" s="17"/>
      <c r="AQ913" s="17"/>
      <c r="AR913" s="17"/>
      <c r="AS913" s="17"/>
      <c r="AT913" s="17"/>
      <c r="AU913" s="732"/>
      <c r="AV913" s="313"/>
      <c r="AW913" s="313"/>
      <c r="AX913" s="313"/>
      <c r="AY913" s="313"/>
      <c r="AZ913" s="313"/>
      <c r="BA913" s="313"/>
      <c r="BB913" s="313"/>
      <c r="BC913" s="313"/>
      <c r="BD913" s="313"/>
      <c r="BE913" s="314"/>
      <c r="BW913" s="314"/>
      <c r="BX913" s="314"/>
      <c r="BY913" s="314"/>
      <c r="BZ913" s="314"/>
      <c r="CA913" s="314"/>
      <c r="CB913" s="314"/>
      <c r="CC913" s="314"/>
      <c r="CD913" s="314"/>
    </row>
    <row r="914" ht="28.5" customHeight="1">
      <c r="A914" s="767"/>
      <c r="B914" s="768"/>
      <c r="C914" s="768"/>
      <c r="D914" s="769"/>
      <c r="E914" s="769"/>
      <c r="F914" s="769"/>
      <c r="G914" s="336"/>
      <c r="H914" s="771"/>
      <c r="I914" s="769"/>
      <c r="J914" s="769"/>
      <c r="K914" s="314"/>
      <c r="L914" s="314"/>
      <c r="M914" s="314"/>
      <c r="N914" s="769"/>
      <c r="O914" s="769"/>
      <c r="P914" s="773"/>
      <c r="Q914" s="774"/>
      <c r="R914" s="774"/>
      <c r="S914" s="775"/>
      <c r="AH914" s="776"/>
      <c r="AI914" s="776"/>
      <c r="AJ914" s="732"/>
      <c r="AK914" s="732"/>
      <c r="AL914" s="776"/>
      <c r="AM914" s="776"/>
      <c r="AN914" s="17"/>
      <c r="AO914" s="17"/>
      <c r="AP914" s="17"/>
      <c r="AQ914" s="17"/>
      <c r="AR914" s="17"/>
      <c r="AS914" s="17"/>
      <c r="AT914" s="17"/>
      <c r="AU914" s="732"/>
      <c r="AV914" s="313"/>
      <c r="AW914" s="313"/>
      <c r="AX914" s="313"/>
      <c r="AY914" s="313"/>
      <c r="AZ914" s="313"/>
      <c r="BA914" s="313"/>
      <c r="BB914" s="313"/>
      <c r="BC914" s="313"/>
      <c r="BD914" s="313"/>
      <c r="BE914" s="314"/>
      <c r="BW914" s="314"/>
      <c r="BX914" s="314"/>
      <c r="BY914" s="314"/>
      <c r="BZ914" s="314"/>
      <c r="CA914" s="314"/>
      <c r="CB914" s="314"/>
      <c r="CC914" s="314"/>
      <c r="CD914" s="314"/>
    </row>
    <row r="915" ht="28.5" customHeight="1">
      <c r="A915" s="767"/>
      <c r="B915" s="768"/>
      <c r="C915" s="768"/>
      <c r="D915" s="769"/>
      <c r="E915" s="769"/>
      <c r="F915" s="769"/>
      <c r="G915" s="336"/>
      <c r="H915" s="771"/>
      <c r="I915" s="769"/>
      <c r="J915" s="769"/>
      <c r="K915" s="314"/>
      <c r="L915" s="314"/>
      <c r="M915" s="314"/>
      <c r="N915" s="769"/>
      <c r="O915" s="769"/>
      <c r="P915" s="773"/>
      <c r="Q915" s="774"/>
      <c r="R915" s="774"/>
      <c r="S915" s="775"/>
      <c r="AH915" s="776"/>
      <c r="AI915" s="776"/>
      <c r="AJ915" s="732"/>
      <c r="AK915" s="732"/>
      <c r="AL915" s="776"/>
      <c r="AM915" s="776"/>
      <c r="AN915" s="17"/>
      <c r="AO915" s="17"/>
      <c r="AP915" s="17"/>
      <c r="AQ915" s="17"/>
      <c r="AR915" s="17"/>
      <c r="AS915" s="17"/>
      <c r="AT915" s="17"/>
      <c r="AU915" s="732"/>
      <c r="AV915" s="313"/>
      <c r="AW915" s="313"/>
      <c r="AX915" s="313"/>
      <c r="AY915" s="313"/>
      <c r="AZ915" s="313"/>
      <c r="BA915" s="313"/>
      <c r="BB915" s="313"/>
      <c r="BC915" s="313"/>
      <c r="BD915" s="313"/>
      <c r="BE915" s="314"/>
      <c r="BW915" s="314"/>
      <c r="BX915" s="314"/>
      <c r="BY915" s="314"/>
      <c r="BZ915" s="314"/>
      <c r="CA915" s="314"/>
      <c r="CB915" s="314"/>
      <c r="CC915" s="314"/>
      <c r="CD915" s="314"/>
    </row>
    <row r="916" ht="28.5" customHeight="1">
      <c r="A916" s="767"/>
      <c r="B916" s="768"/>
      <c r="C916" s="768"/>
      <c r="D916" s="769"/>
      <c r="E916" s="769"/>
      <c r="F916" s="769"/>
      <c r="G916" s="336"/>
      <c r="H916" s="771"/>
      <c r="I916" s="769"/>
      <c r="J916" s="769"/>
      <c r="K916" s="314"/>
      <c r="L916" s="314"/>
      <c r="M916" s="314"/>
      <c r="N916" s="769"/>
      <c r="O916" s="769"/>
      <c r="P916" s="773"/>
      <c r="Q916" s="774"/>
      <c r="R916" s="774"/>
      <c r="S916" s="775"/>
      <c r="AH916" s="776"/>
      <c r="AI916" s="776"/>
      <c r="AJ916" s="732"/>
      <c r="AK916" s="732"/>
      <c r="AL916" s="776"/>
      <c r="AM916" s="776"/>
      <c r="AN916" s="17"/>
      <c r="AO916" s="17"/>
      <c r="AP916" s="17"/>
      <c r="AQ916" s="17"/>
      <c r="AR916" s="17"/>
      <c r="AS916" s="17"/>
      <c r="AT916" s="17"/>
      <c r="AU916" s="732"/>
      <c r="AV916" s="313"/>
      <c r="AW916" s="313"/>
      <c r="AX916" s="313"/>
      <c r="AY916" s="313"/>
      <c r="AZ916" s="313"/>
      <c r="BA916" s="313"/>
      <c r="BB916" s="313"/>
      <c r="BC916" s="313"/>
      <c r="BD916" s="313"/>
      <c r="BE916" s="314"/>
      <c r="BW916" s="314"/>
      <c r="BX916" s="314"/>
      <c r="BY916" s="314"/>
      <c r="BZ916" s="314"/>
      <c r="CA916" s="314"/>
      <c r="CB916" s="314"/>
      <c r="CC916" s="314"/>
      <c r="CD916" s="314"/>
    </row>
    <row r="917" ht="28.5" customHeight="1">
      <c r="A917" s="767"/>
      <c r="B917" s="768"/>
      <c r="C917" s="768"/>
      <c r="D917" s="769"/>
      <c r="E917" s="769"/>
      <c r="F917" s="769"/>
      <c r="G917" s="336"/>
      <c r="H917" s="771"/>
      <c r="I917" s="769"/>
      <c r="J917" s="769"/>
      <c r="K917" s="314"/>
      <c r="L917" s="314"/>
      <c r="M917" s="314"/>
      <c r="N917" s="769"/>
      <c r="O917" s="769"/>
      <c r="P917" s="773"/>
      <c r="Q917" s="774"/>
      <c r="R917" s="774"/>
      <c r="S917" s="775"/>
      <c r="AH917" s="776"/>
      <c r="AI917" s="776"/>
      <c r="AJ917" s="732"/>
      <c r="AK917" s="732"/>
      <c r="AL917" s="776"/>
      <c r="AM917" s="776"/>
      <c r="AN917" s="17"/>
      <c r="AO917" s="17"/>
      <c r="AP917" s="17"/>
      <c r="AQ917" s="17"/>
      <c r="AR917" s="17"/>
      <c r="AS917" s="17"/>
      <c r="AT917" s="17"/>
      <c r="AU917" s="732"/>
      <c r="AV917" s="313"/>
      <c r="AW917" s="313"/>
      <c r="AX917" s="313"/>
      <c r="AY917" s="313"/>
      <c r="AZ917" s="313"/>
      <c r="BA917" s="313"/>
      <c r="BB917" s="313"/>
      <c r="BC917" s="313"/>
      <c r="BD917" s="313"/>
      <c r="BE917" s="314"/>
      <c r="BW917" s="314"/>
      <c r="BX917" s="314"/>
      <c r="BY917" s="314"/>
      <c r="BZ917" s="314"/>
      <c r="CA917" s="314"/>
      <c r="CB917" s="314"/>
      <c r="CC917" s="314"/>
      <c r="CD917" s="314"/>
    </row>
    <row r="918" ht="28.5" customHeight="1">
      <c r="A918" s="767"/>
      <c r="B918" s="768"/>
      <c r="C918" s="768"/>
      <c r="D918" s="769"/>
      <c r="E918" s="769"/>
      <c r="F918" s="769"/>
      <c r="G918" s="336"/>
      <c r="H918" s="771"/>
      <c r="I918" s="769"/>
      <c r="J918" s="769"/>
      <c r="K918" s="314"/>
      <c r="L918" s="314"/>
      <c r="M918" s="314"/>
      <c r="N918" s="769"/>
      <c r="O918" s="769"/>
      <c r="P918" s="773"/>
      <c r="Q918" s="774"/>
      <c r="R918" s="774"/>
      <c r="S918" s="775"/>
      <c r="AH918" s="776"/>
      <c r="AI918" s="776"/>
      <c r="AJ918" s="732"/>
      <c r="AK918" s="732"/>
      <c r="AL918" s="776"/>
      <c r="AM918" s="776"/>
      <c r="AN918" s="17"/>
      <c r="AO918" s="17"/>
      <c r="AP918" s="17"/>
      <c r="AQ918" s="17"/>
      <c r="AR918" s="17"/>
      <c r="AS918" s="17"/>
      <c r="AT918" s="17"/>
      <c r="AU918" s="732"/>
      <c r="AV918" s="313"/>
      <c r="AW918" s="313"/>
      <c r="AX918" s="313"/>
      <c r="AY918" s="313"/>
      <c r="AZ918" s="313"/>
      <c r="BA918" s="313"/>
      <c r="BB918" s="313"/>
      <c r="BC918" s="313"/>
      <c r="BD918" s="313"/>
      <c r="BE918" s="314"/>
      <c r="BW918" s="314"/>
      <c r="BX918" s="314"/>
      <c r="BY918" s="314"/>
      <c r="BZ918" s="314"/>
      <c r="CA918" s="314"/>
      <c r="CB918" s="314"/>
      <c r="CC918" s="314"/>
      <c r="CD918" s="314"/>
    </row>
    <row r="919" ht="28.5" customHeight="1">
      <c r="A919" s="767"/>
      <c r="B919" s="768"/>
      <c r="C919" s="768"/>
      <c r="D919" s="769"/>
      <c r="E919" s="769"/>
      <c r="F919" s="769"/>
      <c r="G919" s="336"/>
      <c r="H919" s="771"/>
      <c r="I919" s="769"/>
      <c r="J919" s="769"/>
      <c r="K919" s="314"/>
      <c r="L919" s="314"/>
      <c r="M919" s="314"/>
      <c r="N919" s="769"/>
      <c r="O919" s="769"/>
      <c r="P919" s="773"/>
      <c r="Q919" s="774"/>
      <c r="R919" s="774"/>
      <c r="S919" s="775"/>
      <c r="AH919" s="776"/>
      <c r="AI919" s="776"/>
      <c r="AJ919" s="732"/>
      <c r="AK919" s="732"/>
      <c r="AL919" s="776"/>
      <c r="AM919" s="776"/>
      <c r="AN919" s="17"/>
      <c r="AO919" s="17"/>
      <c r="AP919" s="17"/>
      <c r="AQ919" s="17"/>
      <c r="AR919" s="17"/>
      <c r="AS919" s="17"/>
      <c r="AT919" s="17"/>
      <c r="AU919" s="732"/>
      <c r="AV919" s="313"/>
      <c r="AW919" s="313"/>
      <c r="AX919" s="313"/>
      <c r="AY919" s="313"/>
      <c r="AZ919" s="313"/>
      <c r="BA919" s="313"/>
      <c r="BB919" s="313"/>
      <c r="BC919" s="313"/>
      <c r="BD919" s="313"/>
      <c r="BE919" s="314"/>
      <c r="BW919" s="314"/>
      <c r="BX919" s="314"/>
      <c r="BY919" s="314"/>
      <c r="BZ919" s="314"/>
      <c r="CA919" s="314"/>
      <c r="CB919" s="314"/>
      <c r="CC919" s="314"/>
      <c r="CD919" s="314"/>
    </row>
    <row r="920" ht="28.5" customHeight="1">
      <c r="A920" s="767"/>
      <c r="B920" s="768"/>
      <c r="C920" s="768"/>
      <c r="D920" s="769"/>
      <c r="E920" s="769"/>
      <c r="F920" s="769"/>
      <c r="G920" s="336"/>
      <c r="H920" s="771"/>
      <c r="I920" s="769"/>
      <c r="J920" s="769"/>
      <c r="K920" s="314"/>
      <c r="L920" s="314"/>
      <c r="M920" s="314"/>
      <c r="N920" s="769"/>
      <c r="O920" s="769"/>
      <c r="P920" s="773"/>
      <c r="Q920" s="774"/>
      <c r="R920" s="774"/>
      <c r="S920" s="775"/>
      <c r="AH920" s="776"/>
      <c r="AI920" s="776"/>
      <c r="AJ920" s="732"/>
      <c r="AK920" s="732"/>
      <c r="AL920" s="776"/>
      <c r="AM920" s="776"/>
      <c r="AN920" s="17"/>
      <c r="AO920" s="17"/>
      <c r="AP920" s="17"/>
      <c r="AQ920" s="17"/>
      <c r="AR920" s="17"/>
      <c r="AS920" s="17"/>
      <c r="AT920" s="17"/>
      <c r="AU920" s="732"/>
      <c r="AV920" s="313"/>
      <c r="AW920" s="313"/>
      <c r="AX920" s="313"/>
      <c r="AY920" s="313"/>
      <c r="AZ920" s="313"/>
      <c r="BA920" s="313"/>
      <c r="BB920" s="313"/>
      <c r="BC920" s="313"/>
      <c r="BD920" s="313"/>
      <c r="BE920" s="314"/>
      <c r="BW920" s="314"/>
      <c r="BX920" s="314"/>
      <c r="BY920" s="314"/>
      <c r="BZ920" s="314"/>
      <c r="CA920" s="314"/>
      <c r="CB920" s="314"/>
      <c r="CC920" s="314"/>
      <c r="CD920" s="314"/>
    </row>
    <row r="921" ht="28.5" customHeight="1">
      <c r="A921" s="767"/>
      <c r="B921" s="768"/>
      <c r="C921" s="768"/>
      <c r="D921" s="769"/>
      <c r="E921" s="769"/>
      <c r="F921" s="769"/>
      <c r="G921" s="336"/>
      <c r="H921" s="771"/>
      <c r="I921" s="769"/>
      <c r="J921" s="769"/>
      <c r="K921" s="314"/>
      <c r="L921" s="314"/>
      <c r="M921" s="314"/>
      <c r="N921" s="769"/>
      <c r="O921" s="769"/>
      <c r="P921" s="773"/>
      <c r="Q921" s="774"/>
      <c r="R921" s="774"/>
      <c r="S921" s="775"/>
      <c r="AH921" s="776"/>
      <c r="AI921" s="776"/>
      <c r="AJ921" s="732"/>
      <c r="AK921" s="732"/>
      <c r="AL921" s="776"/>
      <c r="AM921" s="776"/>
      <c r="AN921" s="17"/>
      <c r="AO921" s="17"/>
      <c r="AP921" s="17"/>
      <c r="AQ921" s="17"/>
      <c r="AR921" s="17"/>
      <c r="AS921" s="17"/>
      <c r="AT921" s="17"/>
      <c r="AU921" s="732"/>
      <c r="AV921" s="313"/>
      <c r="AW921" s="313"/>
      <c r="AX921" s="313"/>
      <c r="AY921" s="313"/>
      <c r="AZ921" s="313"/>
      <c r="BA921" s="313"/>
      <c r="BB921" s="313"/>
      <c r="BC921" s="313"/>
      <c r="BD921" s="313"/>
      <c r="BE921" s="314"/>
      <c r="BW921" s="314"/>
      <c r="BX921" s="314"/>
      <c r="BY921" s="314"/>
      <c r="BZ921" s="314"/>
      <c r="CA921" s="314"/>
      <c r="CB921" s="314"/>
      <c r="CC921" s="314"/>
      <c r="CD921" s="314"/>
    </row>
    <row r="922" ht="28.5" customHeight="1">
      <c r="A922" s="767"/>
      <c r="B922" s="768"/>
      <c r="C922" s="768"/>
      <c r="D922" s="769"/>
      <c r="E922" s="769"/>
      <c r="F922" s="769"/>
      <c r="G922" s="336"/>
      <c r="H922" s="771"/>
      <c r="I922" s="769"/>
      <c r="J922" s="769"/>
      <c r="K922" s="314"/>
      <c r="L922" s="314"/>
      <c r="M922" s="314"/>
      <c r="N922" s="769"/>
      <c r="O922" s="769"/>
      <c r="P922" s="773"/>
      <c r="Q922" s="774"/>
      <c r="R922" s="774"/>
      <c r="S922" s="775"/>
      <c r="AH922" s="776"/>
      <c r="AI922" s="776"/>
      <c r="AJ922" s="732"/>
      <c r="AK922" s="732"/>
      <c r="AL922" s="776"/>
      <c r="AM922" s="776"/>
      <c r="AN922" s="17"/>
      <c r="AO922" s="17"/>
      <c r="AP922" s="17"/>
      <c r="AQ922" s="17"/>
      <c r="AR922" s="17"/>
      <c r="AS922" s="17"/>
      <c r="AT922" s="17"/>
      <c r="AU922" s="732"/>
      <c r="AV922" s="313"/>
      <c r="AW922" s="313"/>
      <c r="AX922" s="313"/>
      <c r="AY922" s="313"/>
      <c r="AZ922" s="313"/>
      <c r="BA922" s="313"/>
      <c r="BB922" s="313"/>
      <c r="BC922" s="313"/>
      <c r="BD922" s="313"/>
      <c r="BE922" s="314"/>
      <c r="BW922" s="314"/>
      <c r="BX922" s="314"/>
      <c r="BY922" s="314"/>
      <c r="BZ922" s="314"/>
      <c r="CA922" s="314"/>
      <c r="CB922" s="314"/>
      <c r="CC922" s="314"/>
      <c r="CD922" s="314"/>
    </row>
    <row r="923" ht="28.5" customHeight="1">
      <c r="A923" s="767"/>
      <c r="B923" s="768"/>
      <c r="C923" s="768"/>
      <c r="D923" s="769"/>
      <c r="E923" s="769"/>
      <c r="F923" s="769"/>
      <c r="G923" s="336"/>
      <c r="H923" s="771"/>
      <c r="I923" s="769"/>
      <c r="J923" s="769"/>
      <c r="K923" s="314"/>
      <c r="L923" s="314"/>
      <c r="M923" s="314"/>
      <c r="N923" s="769"/>
      <c r="O923" s="769"/>
      <c r="P923" s="773"/>
      <c r="Q923" s="774"/>
      <c r="R923" s="774"/>
      <c r="S923" s="775"/>
      <c r="AH923" s="776"/>
      <c r="AI923" s="776"/>
      <c r="AJ923" s="732"/>
      <c r="AK923" s="732"/>
      <c r="AL923" s="776"/>
      <c r="AM923" s="776"/>
      <c r="AN923" s="17"/>
      <c r="AO923" s="17"/>
      <c r="AP923" s="17"/>
      <c r="AQ923" s="17"/>
      <c r="AR923" s="17"/>
      <c r="AS923" s="17"/>
      <c r="AT923" s="17"/>
      <c r="AU923" s="732"/>
      <c r="AV923" s="313"/>
      <c r="AW923" s="313"/>
      <c r="AX923" s="313"/>
      <c r="AY923" s="313"/>
      <c r="AZ923" s="313"/>
      <c r="BA923" s="313"/>
      <c r="BB923" s="313"/>
      <c r="BC923" s="313"/>
      <c r="BD923" s="313"/>
      <c r="BE923" s="314"/>
      <c r="BW923" s="314"/>
      <c r="BX923" s="314"/>
      <c r="BY923" s="314"/>
      <c r="BZ923" s="314"/>
      <c r="CA923" s="314"/>
      <c r="CB923" s="314"/>
      <c r="CC923" s="314"/>
      <c r="CD923" s="314"/>
    </row>
    <row r="924" ht="28.5" customHeight="1">
      <c r="A924" s="767"/>
      <c r="B924" s="768"/>
      <c r="C924" s="768"/>
      <c r="D924" s="769"/>
      <c r="E924" s="769"/>
      <c r="F924" s="769"/>
      <c r="G924" s="336"/>
      <c r="H924" s="771"/>
      <c r="I924" s="769"/>
      <c r="J924" s="769"/>
      <c r="K924" s="314"/>
      <c r="L924" s="314"/>
      <c r="M924" s="314"/>
      <c r="N924" s="769"/>
      <c r="O924" s="769"/>
      <c r="P924" s="773"/>
      <c r="Q924" s="774"/>
      <c r="R924" s="774"/>
      <c r="S924" s="775"/>
      <c r="AH924" s="776"/>
      <c r="AI924" s="776"/>
      <c r="AJ924" s="732"/>
      <c r="AK924" s="732"/>
      <c r="AL924" s="776"/>
      <c r="AM924" s="776"/>
      <c r="AN924" s="17"/>
      <c r="AO924" s="17"/>
      <c r="AP924" s="17"/>
      <c r="AQ924" s="17"/>
      <c r="AR924" s="17"/>
      <c r="AS924" s="17"/>
      <c r="AT924" s="17"/>
      <c r="AU924" s="732"/>
      <c r="AV924" s="313"/>
      <c r="AW924" s="313"/>
      <c r="AX924" s="313"/>
      <c r="AY924" s="313"/>
      <c r="AZ924" s="313"/>
      <c r="BA924" s="313"/>
      <c r="BB924" s="313"/>
      <c r="BC924" s="313"/>
      <c r="BD924" s="313"/>
      <c r="BE924" s="314"/>
      <c r="BW924" s="314"/>
      <c r="BX924" s="314"/>
      <c r="BY924" s="314"/>
      <c r="BZ924" s="314"/>
      <c r="CA924" s="314"/>
      <c r="CB924" s="314"/>
      <c r="CC924" s="314"/>
      <c r="CD924" s="314"/>
    </row>
    <row r="925" ht="28.5" customHeight="1">
      <c r="A925" s="767"/>
      <c r="B925" s="768"/>
      <c r="C925" s="768"/>
      <c r="D925" s="769"/>
      <c r="E925" s="769"/>
      <c r="F925" s="769"/>
      <c r="G925" s="336"/>
      <c r="H925" s="771"/>
      <c r="I925" s="769"/>
      <c r="J925" s="769"/>
      <c r="K925" s="314"/>
      <c r="L925" s="314"/>
      <c r="M925" s="314"/>
      <c r="N925" s="769"/>
      <c r="O925" s="769"/>
      <c r="P925" s="773"/>
      <c r="Q925" s="774"/>
      <c r="R925" s="774"/>
      <c r="S925" s="775"/>
      <c r="AH925" s="776"/>
      <c r="AI925" s="776"/>
      <c r="AJ925" s="732"/>
      <c r="AK925" s="732"/>
      <c r="AL925" s="776"/>
      <c r="AM925" s="776"/>
      <c r="AN925" s="17"/>
      <c r="AO925" s="17"/>
      <c r="AP925" s="17"/>
      <c r="AQ925" s="17"/>
      <c r="AR925" s="17"/>
      <c r="AS925" s="17"/>
      <c r="AT925" s="17"/>
      <c r="AU925" s="732"/>
      <c r="AV925" s="313"/>
      <c r="AW925" s="313"/>
      <c r="AX925" s="313"/>
      <c r="AY925" s="313"/>
      <c r="AZ925" s="313"/>
      <c r="BA925" s="313"/>
      <c r="BB925" s="313"/>
      <c r="BC925" s="313"/>
      <c r="BD925" s="313"/>
      <c r="BE925" s="314"/>
      <c r="BW925" s="314"/>
      <c r="BX925" s="314"/>
      <c r="BY925" s="314"/>
      <c r="BZ925" s="314"/>
      <c r="CA925" s="314"/>
      <c r="CB925" s="314"/>
      <c r="CC925" s="314"/>
      <c r="CD925" s="314"/>
    </row>
    <row r="926" ht="28.5" customHeight="1">
      <c r="A926" s="767"/>
      <c r="B926" s="768"/>
      <c r="C926" s="768"/>
      <c r="D926" s="769"/>
      <c r="E926" s="769"/>
      <c r="F926" s="769"/>
      <c r="G926" s="336"/>
      <c r="H926" s="771"/>
      <c r="I926" s="769"/>
      <c r="J926" s="769"/>
      <c r="K926" s="314"/>
      <c r="L926" s="314"/>
      <c r="M926" s="314"/>
      <c r="N926" s="769"/>
      <c r="O926" s="769"/>
      <c r="P926" s="773"/>
      <c r="Q926" s="774"/>
      <c r="R926" s="774"/>
      <c r="S926" s="775"/>
      <c r="AH926" s="776"/>
      <c r="AI926" s="776"/>
      <c r="AJ926" s="732"/>
      <c r="AK926" s="732"/>
      <c r="AL926" s="776"/>
      <c r="AM926" s="776"/>
      <c r="AN926" s="17"/>
      <c r="AO926" s="17"/>
      <c r="AP926" s="17"/>
      <c r="AQ926" s="17"/>
      <c r="AR926" s="17"/>
      <c r="AS926" s="17"/>
      <c r="AT926" s="17"/>
      <c r="AU926" s="732"/>
      <c r="AV926" s="313"/>
      <c r="AW926" s="313"/>
      <c r="AX926" s="313"/>
      <c r="AY926" s="313"/>
      <c r="AZ926" s="313"/>
      <c r="BA926" s="313"/>
      <c r="BB926" s="313"/>
      <c r="BC926" s="313"/>
      <c r="BD926" s="313"/>
      <c r="BE926" s="314"/>
      <c r="BW926" s="314"/>
      <c r="BX926" s="314"/>
      <c r="BY926" s="314"/>
      <c r="BZ926" s="314"/>
      <c r="CA926" s="314"/>
      <c r="CB926" s="314"/>
      <c r="CC926" s="314"/>
      <c r="CD926" s="314"/>
    </row>
    <row r="927" ht="28.5" customHeight="1">
      <c r="A927" s="767"/>
      <c r="B927" s="768"/>
      <c r="C927" s="768"/>
      <c r="D927" s="769"/>
      <c r="E927" s="769"/>
      <c r="F927" s="769"/>
      <c r="G927" s="336"/>
      <c r="H927" s="771"/>
      <c r="I927" s="769"/>
      <c r="J927" s="769"/>
      <c r="K927" s="314"/>
      <c r="L927" s="314"/>
      <c r="M927" s="314"/>
      <c r="N927" s="769"/>
      <c r="O927" s="769"/>
      <c r="P927" s="773"/>
      <c r="Q927" s="774"/>
      <c r="R927" s="774"/>
      <c r="S927" s="775"/>
      <c r="AH927" s="776"/>
      <c r="AI927" s="776"/>
      <c r="AJ927" s="732"/>
      <c r="AK927" s="732"/>
      <c r="AL927" s="776"/>
      <c r="AM927" s="776"/>
      <c r="AN927" s="17"/>
      <c r="AO927" s="17"/>
      <c r="AP927" s="17"/>
      <c r="AQ927" s="17"/>
      <c r="AR927" s="17"/>
      <c r="AS927" s="17"/>
      <c r="AT927" s="17"/>
      <c r="AU927" s="732"/>
      <c r="AV927" s="313"/>
      <c r="AW927" s="313"/>
      <c r="AX927" s="313"/>
      <c r="AY927" s="313"/>
      <c r="AZ927" s="313"/>
      <c r="BA927" s="313"/>
      <c r="BB927" s="313"/>
      <c r="BC927" s="313"/>
      <c r="BD927" s="313"/>
      <c r="BE927" s="314"/>
      <c r="BW927" s="314"/>
      <c r="BX927" s="314"/>
      <c r="BY927" s="314"/>
      <c r="BZ927" s="314"/>
      <c r="CA927" s="314"/>
      <c r="CB927" s="314"/>
      <c r="CC927" s="314"/>
      <c r="CD927" s="314"/>
    </row>
    <row r="928" ht="28.5" customHeight="1">
      <c r="A928" s="767"/>
      <c r="B928" s="768"/>
      <c r="C928" s="768"/>
      <c r="D928" s="769"/>
      <c r="E928" s="769"/>
      <c r="F928" s="769"/>
      <c r="G928" s="336"/>
      <c r="H928" s="771"/>
      <c r="I928" s="769"/>
      <c r="J928" s="769"/>
      <c r="K928" s="314"/>
      <c r="L928" s="314"/>
      <c r="M928" s="314"/>
      <c r="N928" s="769"/>
      <c r="O928" s="769"/>
      <c r="P928" s="773"/>
      <c r="Q928" s="774"/>
      <c r="R928" s="774"/>
      <c r="S928" s="775"/>
      <c r="AH928" s="776"/>
      <c r="AI928" s="776"/>
      <c r="AJ928" s="732"/>
      <c r="AK928" s="732"/>
      <c r="AL928" s="776"/>
      <c r="AM928" s="776"/>
      <c r="AN928" s="17"/>
      <c r="AO928" s="17"/>
      <c r="AP928" s="17"/>
      <c r="AQ928" s="17"/>
      <c r="AR928" s="17"/>
      <c r="AS928" s="17"/>
      <c r="AT928" s="17"/>
      <c r="AU928" s="732"/>
      <c r="AV928" s="313"/>
      <c r="AW928" s="313"/>
      <c r="AX928" s="313"/>
      <c r="AY928" s="313"/>
      <c r="AZ928" s="313"/>
      <c r="BA928" s="313"/>
      <c r="BB928" s="313"/>
      <c r="BC928" s="313"/>
      <c r="BD928" s="313"/>
      <c r="BE928" s="314"/>
      <c r="BW928" s="314"/>
      <c r="BX928" s="314"/>
      <c r="BY928" s="314"/>
      <c r="BZ928" s="314"/>
      <c r="CA928" s="314"/>
      <c r="CB928" s="314"/>
      <c r="CC928" s="314"/>
      <c r="CD928" s="314"/>
    </row>
    <row r="929" ht="28.5" customHeight="1">
      <c r="A929" s="767"/>
      <c r="B929" s="768"/>
      <c r="C929" s="768"/>
      <c r="D929" s="769"/>
      <c r="E929" s="769"/>
      <c r="F929" s="769"/>
      <c r="G929" s="336"/>
      <c r="H929" s="771"/>
      <c r="I929" s="769"/>
      <c r="J929" s="769"/>
      <c r="K929" s="314"/>
      <c r="L929" s="314"/>
      <c r="M929" s="314"/>
      <c r="N929" s="769"/>
      <c r="O929" s="769"/>
      <c r="P929" s="773"/>
      <c r="Q929" s="774"/>
      <c r="R929" s="774"/>
      <c r="S929" s="775"/>
      <c r="AH929" s="776"/>
      <c r="AI929" s="776"/>
      <c r="AJ929" s="732"/>
      <c r="AK929" s="732"/>
      <c r="AL929" s="776"/>
      <c r="AM929" s="776"/>
      <c r="AN929" s="17"/>
      <c r="AO929" s="17"/>
      <c r="AP929" s="17"/>
      <c r="AQ929" s="17"/>
      <c r="AR929" s="17"/>
      <c r="AS929" s="17"/>
      <c r="AT929" s="17"/>
      <c r="AU929" s="732"/>
      <c r="AV929" s="313"/>
      <c r="AW929" s="313"/>
      <c r="AX929" s="313"/>
      <c r="AY929" s="313"/>
      <c r="AZ929" s="313"/>
      <c r="BA929" s="313"/>
      <c r="BB929" s="313"/>
      <c r="BC929" s="313"/>
      <c r="BD929" s="313"/>
      <c r="BE929" s="314"/>
      <c r="BW929" s="314"/>
      <c r="BX929" s="314"/>
      <c r="BY929" s="314"/>
      <c r="BZ929" s="314"/>
      <c r="CA929" s="314"/>
      <c r="CB929" s="314"/>
      <c r="CC929" s="314"/>
      <c r="CD929" s="314"/>
    </row>
    <row r="930" ht="28.5" customHeight="1">
      <c r="A930" s="767"/>
      <c r="B930" s="768"/>
      <c r="C930" s="768"/>
      <c r="D930" s="769"/>
      <c r="E930" s="769"/>
      <c r="F930" s="769"/>
      <c r="G930" s="336"/>
      <c r="H930" s="771"/>
      <c r="I930" s="769"/>
      <c r="J930" s="769"/>
      <c r="K930" s="314"/>
      <c r="L930" s="314"/>
      <c r="M930" s="314"/>
      <c r="N930" s="769"/>
      <c r="O930" s="769"/>
      <c r="P930" s="773"/>
      <c r="Q930" s="774"/>
      <c r="R930" s="774"/>
      <c r="S930" s="775"/>
      <c r="AH930" s="776"/>
      <c r="AI930" s="776"/>
      <c r="AJ930" s="732"/>
      <c r="AK930" s="732"/>
      <c r="AL930" s="776"/>
      <c r="AM930" s="776"/>
      <c r="AN930" s="17"/>
      <c r="AO930" s="17"/>
      <c r="AP930" s="17"/>
      <c r="AQ930" s="17"/>
      <c r="AR930" s="17"/>
      <c r="AS930" s="17"/>
      <c r="AT930" s="17"/>
      <c r="AU930" s="732"/>
      <c r="AV930" s="313"/>
      <c r="AW930" s="313"/>
      <c r="AX930" s="313"/>
      <c r="AY930" s="313"/>
      <c r="AZ930" s="313"/>
      <c r="BA930" s="313"/>
      <c r="BB930" s="313"/>
      <c r="BC930" s="313"/>
      <c r="BD930" s="313"/>
      <c r="BE930" s="314"/>
      <c r="BW930" s="314"/>
      <c r="BX930" s="314"/>
      <c r="BY930" s="314"/>
      <c r="BZ930" s="314"/>
      <c r="CA930" s="314"/>
      <c r="CB930" s="314"/>
      <c r="CC930" s="314"/>
      <c r="CD930" s="314"/>
    </row>
    <row r="931" ht="28.5" customHeight="1">
      <c r="A931" s="767"/>
      <c r="B931" s="768"/>
      <c r="C931" s="768"/>
      <c r="D931" s="769"/>
      <c r="E931" s="769"/>
      <c r="F931" s="769"/>
      <c r="G931" s="336"/>
      <c r="H931" s="771"/>
      <c r="I931" s="769"/>
      <c r="J931" s="769"/>
      <c r="K931" s="314"/>
      <c r="L931" s="314"/>
      <c r="M931" s="314"/>
      <c r="N931" s="769"/>
      <c r="O931" s="769"/>
      <c r="P931" s="773"/>
      <c r="Q931" s="774"/>
      <c r="R931" s="774"/>
      <c r="S931" s="775"/>
      <c r="AH931" s="776"/>
      <c r="AI931" s="776"/>
      <c r="AJ931" s="732"/>
      <c r="AK931" s="732"/>
      <c r="AL931" s="776"/>
      <c r="AM931" s="776"/>
      <c r="AN931" s="17"/>
      <c r="AO931" s="17"/>
      <c r="AP931" s="17"/>
      <c r="AQ931" s="17"/>
      <c r="AR931" s="17"/>
      <c r="AS931" s="17"/>
      <c r="AT931" s="17"/>
      <c r="AU931" s="732"/>
      <c r="AV931" s="313"/>
      <c r="AW931" s="313"/>
      <c r="AX931" s="313"/>
      <c r="AY931" s="313"/>
      <c r="AZ931" s="313"/>
      <c r="BA931" s="313"/>
      <c r="BB931" s="313"/>
      <c r="BC931" s="313"/>
      <c r="BD931" s="313"/>
      <c r="BE931" s="314"/>
      <c r="BW931" s="314"/>
      <c r="BX931" s="314"/>
      <c r="BY931" s="314"/>
      <c r="BZ931" s="314"/>
      <c r="CA931" s="314"/>
      <c r="CB931" s="314"/>
      <c r="CC931" s="314"/>
      <c r="CD931" s="314"/>
    </row>
    <row r="932" ht="28.5" customHeight="1">
      <c r="A932" s="767"/>
      <c r="B932" s="768"/>
      <c r="C932" s="768"/>
      <c r="D932" s="769"/>
      <c r="E932" s="769"/>
      <c r="F932" s="769"/>
      <c r="G932" s="336"/>
      <c r="H932" s="771"/>
      <c r="I932" s="769"/>
      <c r="J932" s="769"/>
      <c r="K932" s="314"/>
      <c r="L932" s="314"/>
      <c r="M932" s="314"/>
      <c r="N932" s="769"/>
      <c r="O932" s="769"/>
      <c r="P932" s="773"/>
      <c r="Q932" s="774"/>
      <c r="R932" s="774"/>
      <c r="S932" s="775"/>
      <c r="AH932" s="776"/>
      <c r="AI932" s="776"/>
      <c r="AJ932" s="732"/>
      <c r="AK932" s="732"/>
      <c r="AL932" s="776"/>
      <c r="AM932" s="776"/>
      <c r="AN932" s="17"/>
      <c r="AO932" s="17"/>
      <c r="AP932" s="17"/>
      <c r="AQ932" s="17"/>
      <c r="AR932" s="17"/>
      <c r="AS932" s="17"/>
      <c r="AT932" s="17"/>
      <c r="AU932" s="732"/>
      <c r="AV932" s="313"/>
      <c r="AW932" s="313"/>
      <c r="AX932" s="313"/>
      <c r="AY932" s="313"/>
      <c r="AZ932" s="313"/>
      <c r="BA932" s="313"/>
      <c r="BB932" s="313"/>
      <c r="BC932" s="313"/>
      <c r="BD932" s="313"/>
      <c r="BE932" s="314"/>
      <c r="BW932" s="314"/>
      <c r="BX932" s="314"/>
      <c r="BY932" s="314"/>
      <c r="BZ932" s="314"/>
      <c r="CA932" s="314"/>
      <c r="CB932" s="314"/>
      <c r="CC932" s="314"/>
      <c r="CD932" s="314"/>
    </row>
    <row r="933" ht="28.5" customHeight="1">
      <c r="A933" s="767"/>
      <c r="B933" s="768"/>
      <c r="C933" s="768"/>
      <c r="D933" s="769"/>
      <c r="E933" s="769"/>
      <c r="F933" s="769"/>
      <c r="G933" s="336"/>
      <c r="H933" s="771"/>
      <c r="I933" s="769"/>
      <c r="J933" s="769"/>
      <c r="K933" s="314"/>
      <c r="L933" s="314"/>
      <c r="M933" s="314"/>
      <c r="N933" s="769"/>
      <c r="O933" s="769"/>
      <c r="P933" s="773"/>
      <c r="Q933" s="774"/>
      <c r="R933" s="774"/>
      <c r="S933" s="775"/>
      <c r="AH933" s="776"/>
      <c r="AI933" s="776"/>
      <c r="AJ933" s="732"/>
      <c r="AK933" s="732"/>
      <c r="AL933" s="776"/>
      <c r="AM933" s="776"/>
      <c r="AN933" s="17"/>
      <c r="AO933" s="17"/>
      <c r="AP933" s="17"/>
      <c r="AQ933" s="17"/>
      <c r="AR933" s="17"/>
      <c r="AS933" s="17"/>
      <c r="AT933" s="17"/>
      <c r="AU933" s="732"/>
      <c r="AV933" s="313"/>
      <c r="AW933" s="313"/>
      <c r="AX933" s="313"/>
      <c r="AY933" s="313"/>
      <c r="AZ933" s="313"/>
      <c r="BA933" s="313"/>
      <c r="BB933" s="313"/>
      <c r="BC933" s="313"/>
      <c r="BD933" s="313"/>
      <c r="BE933" s="314"/>
      <c r="BW933" s="314"/>
      <c r="BX933" s="314"/>
      <c r="BY933" s="314"/>
      <c r="BZ933" s="314"/>
      <c r="CA933" s="314"/>
      <c r="CB933" s="314"/>
      <c r="CC933" s="314"/>
      <c r="CD933" s="314"/>
    </row>
    <row r="934" ht="28.5" customHeight="1">
      <c r="A934" s="767"/>
      <c r="B934" s="768"/>
      <c r="C934" s="768"/>
      <c r="D934" s="769"/>
      <c r="E934" s="769"/>
      <c r="F934" s="769"/>
      <c r="G934" s="336"/>
      <c r="H934" s="771"/>
      <c r="I934" s="769"/>
      <c r="J934" s="769"/>
      <c r="K934" s="314"/>
      <c r="L934" s="314"/>
      <c r="M934" s="314"/>
      <c r="N934" s="769"/>
      <c r="O934" s="769"/>
      <c r="P934" s="773"/>
      <c r="Q934" s="774"/>
      <c r="R934" s="774"/>
      <c r="S934" s="775"/>
      <c r="AH934" s="776"/>
      <c r="AI934" s="776"/>
      <c r="AJ934" s="732"/>
      <c r="AK934" s="732"/>
      <c r="AL934" s="776"/>
      <c r="AM934" s="776"/>
      <c r="AN934" s="17"/>
      <c r="AO934" s="17"/>
      <c r="AP934" s="17"/>
      <c r="AQ934" s="17"/>
      <c r="AR934" s="17"/>
      <c r="AS934" s="17"/>
      <c r="AT934" s="17"/>
      <c r="AU934" s="732"/>
      <c r="AV934" s="313"/>
      <c r="AW934" s="313"/>
      <c r="AX934" s="313"/>
      <c r="AY934" s="313"/>
      <c r="AZ934" s="313"/>
      <c r="BA934" s="313"/>
      <c r="BB934" s="313"/>
      <c r="BC934" s="313"/>
      <c r="BD934" s="313"/>
      <c r="BE934" s="314"/>
      <c r="BW934" s="314"/>
      <c r="BX934" s="314"/>
      <c r="BY934" s="314"/>
      <c r="BZ934" s="314"/>
      <c r="CA934" s="314"/>
      <c r="CB934" s="314"/>
      <c r="CC934" s="314"/>
      <c r="CD934" s="314"/>
    </row>
    <row r="935" ht="28.5" customHeight="1">
      <c r="A935" s="767"/>
      <c r="B935" s="768"/>
      <c r="C935" s="768"/>
      <c r="D935" s="769"/>
      <c r="E935" s="769"/>
      <c r="F935" s="769"/>
      <c r="G935" s="336"/>
      <c r="H935" s="771"/>
      <c r="I935" s="769"/>
      <c r="J935" s="769"/>
      <c r="K935" s="314"/>
      <c r="L935" s="314"/>
      <c r="M935" s="314"/>
      <c r="N935" s="769"/>
      <c r="O935" s="769"/>
      <c r="P935" s="773"/>
      <c r="Q935" s="774"/>
      <c r="R935" s="774"/>
      <c r="S935" s="775"/>
      <c r="AH935" s="776"/>
      <c r="AI935" s="776"/>
      <c r="AJ935" s="732"/>
      <c r="AK935" s="732"/>
      <c r="AL935" s="776"/>
      <c r="AM935" s="776"/>
      <c r="AN935" s="17"/>
      <c r="AO935" s="17"/>
      <c r="AP935" s="17"/>
      <c r="AQ935" s="17"/>
      <c r="AR935" s="17"/>
      <c r="AS935" s="17"/>
      <c r="AT935" s="17"/>
      <c r="AU935" s="732"/>
      <c r="AV935" s="313"/>
      <c r="AW935" s="313"/>
      <c r="AX935" s="313"/>
      <c r="AY935" s="313"/>
      <c r="AZ935" s="313"/>
      <c r="BA935" s="313"/>
      <c r="BB935" s="313"/>
      <c r="BC935" s="313"/>
      <c r="BD935" s="313"/>
      <c r="BE935" s="314"/>
      <c r="BW935" s="314"/>
      <c r="BX935" s="314"/>
      <c r="BY935" s="314"/>
      <c r="BZ935" s="314"/>
      <c r="CA935" s="314"/>
      <c r="CB935" s="314"/>
      <c r="CC935" s="314"/>
      <c r="CD935" s="314"/>
    </row>
    <row r="936" ht="28.5" customHeight="1">
      <c r="A936" s="767"/>
      <c r="B936" s="768"/>
      <c r="C936" s="768"/>
      <c r="D936" s="769"/>
      <c r="E936" s="769"/>
      <c r="F936" s="769"/>
      <c r="G936" s="336"/>
      <c r="H936" s="771"/>
      <c r="I936" s="769"/>
      <c r="J936" s="769"/>
      <c r="K936" s="314"/>
      <c r="L936" s="314"/>
      <c r="M936" s="314"/>
      <c r="N936" s="769"/>
      <c r="O936" s="769"/>
      <c r="P936" s="773"/>
      <c r="Q936" s="774"/>
      <c r="R936" s="774"/>
      <c r="S936" s="775"/>
      <c r="AH936" s="776"/>
      <c r="AI936" s="776"/>
      <c r="AJ936" s="732"/>
      <c r="AK936" s="732"/>
      <c r="AL936" s="776"/>
      <c r="AM936" s="776"/>
      <c r="AN936" s="17"/>
      <c r="AO936" s="17"/>
      <c r="AP936" s="17"/>
      <c r="AQ936" s="17"/>
      <c r="AR936" s="17"/>
      <c r="AS936" s="17"/>
      <c r="AT936" s="17"/>
      <c r="AU936" s="732"/>
      <c r="AV936" s="313"/>
      <c r="AW936" s="313"/>
      <c r="AX936" s="313"/>
      <c r="AY936" s="313"/>
      <c r="AZ936" s="313"/>
      <c r="BA936" s="313"/>
      <c r="BB936" s="313"/>
      <c r="BC936" s="313"/>
      <c r="BD936" s="313"/>
      <c r="BE936" s="314"/>
      <c r="BW936" s="314"/>
      <c r="BX936" s="314"/>
      <c r="BY936" s="314"/>
      <c r="BZ936" s="314"/>
      <c r="CA936" s="314"/>
      <c r="CB936" s="314"/>
      <c r="CC936" s="314"/>
      <c r="CD936" s="314"/>
    </row>
    <row r="937" ht="28.5" customHeight="1">
      <c r="A937" s="767"/>
      <c r="B937" s="768"/>
      <c r="C937" s="768"/>
      <c r="D937" s="769"/>
      <c r="E937" s="769"/>
      <c r="F937" s="769"/>
      <c r="G937" s="336"/>
      <c r="H937" s="771"/>
      <c r="I937" s="769"/>
      <c r="J937" s="769"/>
      <c r="K937" s="314"/>
      <c r="L937" s="314"/>
      <c r="M937" s="314"/>
      <c r="N937" s="769"/>
      <c r="O937" s="769"/>
      <c r="P937" s="773"/>
      <c r="Q937" s="774"/>
      <c r="R937" s="774"/>
      <c r="S937" s="775"/>
      <c r="AH937" s="776"/>
      <c r="AI937" s="776"/>
      <c r="AJ937" s="732"/>
      <c r="AK937" s="732"/>
      <c r="AL937" s="776"/>
      <c r="AM937" s="776"/>
      <c r="AN937" s="17"/>
      <c r="AO937" s="17"/>
      <c r="AP937" s="17"/>
      <c r="AQ937" s="17"/>
      <c r="AR937" s="17"/>
      <c r="AS937" s="17"/>
      <c r="AT937" s="17"/>
      <c r="AU937" s="732"/>
      <c r="AV937" s="313"/>
      <c r="AW937" s="313"/>
      <c r="AX937" s="313"/>
      <c r="AY937" s="313"/>
      <c r="AZ937" s="313"/>
      <c r="BA937" s="313"/>
      <c r="BB937" s="313"/>
      <c r="BC937" s="313"/>
      <c r="BD937" s="313"/>
      <c r="BE937" s="314"/>
      <c r="BW937" s="314"/>
      <c r="BX937" s="314"/>
      <c r="BY937" s="314"/>
      <c r="BZ937" s="314"/>
      <c r="CA937" s="314"/>
      <c r="CB937" s="314"/>
      <c r="CC937" s="314"/>
      <c r="CD937" s="314"/>
    </row>
    <row r="938" ht="28.5" customHeight="1">
      <c r="A938" s="767"/>
      <c r="B938" s="768"/>
      <c r="C938" s="768"/>
      <c r="D938" s="769"/>
      <c r="E938" s="769"/>
      <c r="F938" s="769"/>
      <c r="G938" s="336"/>
      <c r="H938" s="771"/>
      <c r="I938" s="769"/>
      <c r="J938" s="769"/>
      <c r="K938" s="314"/>
      <c r="L938" s="314"/>
      <c r="M938" s="314"/>
      <c r="N938" s="769"/>
      <c r="O938" s="769"/>
      <c r="P938" s="773"/>
      <c r="Q938" s="774"/>
      <c r="R938" s="774"/>
      <c r="S938" s="775"/>
      <c r="AH938" s="776"/>
      <c r="AI938" s="776"/>
      <c r="AJ938" s="732"/>
      <c r="AK938" s="732"/>
      <c r="AL938" s="776"/>
      <c r="AM938" s="776"/>
      <c r="AN938" s="17"/>
      <c r="AO938" s="17"/>
      <c r="AP938" s="17"/>
      <c r="AQ938" s="17"/>
      <c r="AR938" s="17"/>
      <c r="AS938" s="17"/>
      <c r="AT938" s="17"/>
      <c r="AU938" s="732"/>
      <c r="AV938" s="313"/>
      <c r="AW938" s="313"/>
      <c r="AX938" s="313"/>
      <c r="AY938" s="313"/>
      <c r="AZ938" s="313"/>
      <c r="BA938" s="313"/>
      <c r="BB938" s="313"/>
      <c r="BC938" s="313"/>
      <c r="BD938" s="313"/>
      <c r="BE938" s="314"/>
      <c r="BW938" s="314"/>
      <c r="BX938" s="314"/>
      <c r="BY938" s="314"/>
      <c r="BZ938" s="314"/>
      <c r="CA938" s="314"/>
      <c r="CB938" s="314"/>
      <c r="CC938" s="314"/>
      <c r="CD938" s="314"/>
    </row>
    <row r="939" ht="28.5" customHeight="1">
      <c r="A939" s="767"/>
      <c r="B939" s="768"/>
      <c r="C939" s="768"/>
      <c r="D939" s="769"/>
      <c r="E939" s="769"/>
      <c r="F939" s="769"/>
      <c r="G939" s="336"/>
      <c r="H939" s="771"/>
      <c r="I939" s="769"/>
      <c r="J939" s="769"/>
      <c r="K939" s="314"/>
      <c r="L939" s="314"/>
      <c r="M939" s="314"/>
      <c r="N939" s="769"/>
      <c r="O939" s="769"/>
      <c r="P939" s="773"/>
      <c r="Q939" s="774"/>
      <c r="R939" s="774"/>
      <c r="S939" s="775"/>
      <c r="AH939" s="776"/>
      <c r="AI939" s="776"/>
      <c r="AJ939" s="732"/>
      <c r="AK939" s="732"/>
      <c r="AL939" s="776"/>
      <c r="AM939" s="776"/>
      <c r="AN939" s="17"/>
      <c r="AO939" s="17"/>
      <c r="AP939" s="17"/>
      <c r="AQ939" s="17"/>
      <c r="AR939" s="17"/>
      <c r="AS939" s="17"/>
      <c r="AT939" s="17"/>
      <c r="AU939" s="732"/>
      <c r="AV939" s="313"/>
      <c r="AW939" s="313"/>
      <c r="AX939" s="313"/>
      <c r="AY939" s="313"/>
      <c r="AZ939" s="313"/>
      <c r="BA939" s="313"/>
      <c r="BB939" s="313"/>
      <c r="BC939" s="313"/>
      <c r="BD939" s="313"/>
      <c r="BE939" s="314"/>
      <c r="BW939" s="314"/>
      <c r="BX939" s="314"/>
      <c r="BY939" s="314"/>
      <c r="BZ939" s="314"/>
      <c r="CA939" s="314"/>
      <c r="CB939" s="314"/>
      <c r="CC939" s="314"/>
      <c r="CD939" s="314"/>
    </row>
    <row r="940" ht="28.5" customHeight="1">
      <c r="A940" s="767"/>
      <c r="B940" s="768"/>
      <c r="C940" s="768"/>
      <c r="D940" s="769"/>
      <c r="E940" s="769"/>
      <c r="F940" s="769"/>
      <c r="G940" s="336"/>
      <c r="H940" s="771"/>
      <c r="I940" s="769"/>
      <c r="J940" s="769"/>
      <c r="K940" s="314"/>
      <c r="L940" s="314"/>
      <c r="M940" s="314"/>
      <c r="N940" s="769"/>
      <c r="O940" s="769"/>
      <c r="P940" s="773"/>
      <c r="Q940" s="774"/>
      <c r="R940" s="774"/>
      <c r="S940" s="775"/>
      <c r="AH940" s="776"/>
      <c r="AI940" s="776"/>
      <c r="AJ940" s="732"/>
      <c r="AK940" s="732"/>
      <c r="AL940" s="776"/>
      <c r="AM940" s="776"/>
      <c r="AN940" s="17"/>
      <c r="AO940" s="17"/>
      <c r="AP940" s="17"/>
      <c r="AQ940" s="17"/>
      <c r="AR940" s="17"/>
      <c r="AS940" s="17"/>
      <c r="AT940" s="17"/>
      <c r="AU940" s="732"/>
      <c r="AV940" s="313"/>
      <c r="AW940" s="313"/>
      <c r="AX940" s="313"/>
      <c r="AY940" s="313"/>
      <c r="AZ940" s="313"/>
      <c r="BA940" s="313"/>
      <c r="BB940" s="313"/>
      <c r="BC940" s="313"/>
      <c r="BD940" s="313"/>
      <c r="BE940" s="314"/>
      <c r="BW940" s="314"/>
      <c r="BX940" s="314"/>
      <c r="BY940" s="314"/>
      <c r="BZ940" s="314"/>
      <c r="CA940" s="314"/>
      <c r="CB940" s="314"/>
      <c r="CC940" s="314"/>
      <c r="CD940" s="314"/>
    </row>
    <row r="941" ht="28.5" customHeight="1">
      <c r="A941" s="767"/>
      <c r="B941" s="768"/>
      <c r="C941" s="768"/>
      <c r="D941" s="769"/>
      <c r="E941" s="769"/>
      <c r="F941" s="769"/>
      <c r="G941" s="336"/>
      <c r="H941" s="771"/>
      <c r="I941" s="769"/>
      <c r="J941" s="769"/>
      <c r="K941" s="314"/>
      <c r="L941" s="314"/>
      <c r="M941" s="314"/>
      <c r="N941" s="769"/>
      <c r="O941" s="769"/>
      <c r="P941" s="773"/>
      <c r="Q941" s="774"/>
      <c r="R941" s="774"/>
      <c r="S941" s="775"/>
      <c r="AH941" s="776"/>
      <c r="AI941" s="776"/>
      <c r="AJ941" s="732"/>
      <c r="AK941" s="732"/>
      <c r="AL941" s="776"/>
      <c r="AM941" s="776"/>
      <c r="AN941" s="17"/>
      <c r="AO941" s="17"/>
      <c r="AP941" s="17"/>
      <c r="AQ941" s="17"/>
      <c r="AR941" s="17"/>
      <c r="AS941" s="17"/>
      <c r="AT941" s="17"/>
      <c r="AU941" s="732"/>
      <c r="AV941" s="313"/>
      <c r="AW941" s="313"/>
      <c r="AX941" s="313"/>
      <c r="AY941" s="313"/>
      <c r="AZ941" s="313"/>
      <c r="BA941" s="313"/>
      <c r="BB941" s="313"/>
      <c r="BC941" s="313"/>
      <c r="BD941" s="313"/>
      <c r="BE941" s="314"/>
      <c r="BW941" s="314"/>
      <c r="BX941" s="314"/>
      <c r="BY941" s="314"/>
      <c r="BZ941" s="314"/>
      <c r="CA941" s="314"/>
      <c r="CB941" s="314"/>
      <c r="CC941" s="314"/>
      <c r="CD941" s="314"/>
    </row>
    <row r="942" ht="28.5" customHeight="1">
      <c r="A942" s="767"/>
      <c r="B942" s="768"/>
      <c r="C942" s="768"/>
      <c r="D942" s="769"/>
      <c r="E942" s="769"/>
      <c r="F942" s="769"/>
      <c r="G942" s="336"/>
      <c r="H942" s="771"/>
      <c r="I942" s="769"/>
      <c r="J942" s="769"/>
      <c r="K942" s="314"/>
      <c r="L942" s="314"/>
      <c r="M942" s="314"/>
      <c r="N942" s="769"/>
      <c r="O942" s="769"/>
      <c r="P942" s="773"/>
      <c r="Q942" s="774"/>
      <c r="R942" s="774"/>
      <c r="S942" s="775"/>
      <c r="AH942" s="776"/>
      <c r="AI942" s="776"/>
      <c r="AJ942" s="732"/>
      <c r="AK942" s="732"/>
      <c r="AL942" s="776"/>
      <c r="AM942" s="776"/>
      <c r="AN942" s="17"/>
      <c r="AO942" s="17"/>
      <c r="AP942" s="17"/>
      <c r="AQ942" s="17"/>
      <c r="AR942" s="17"/>
      <c r="AS942" s="17"/>
      <c r="AT942" s="17"/>
      <c r="AU942" s="732"/>
      <c r="AV942" s="313"/>
      <c r="AW942" s="313"/>
      <c r="AX942" s="313"/>
      <c r="AY942" s="313"/>
      <c r="AZ942" s="313"/>
      <c r="BA942" s="313"/>
      <c r="BB942" s="313"/>
      <c r="BC942" s="313"/>
      <c r="BD942" s="313"/>
      <c r="BE942" s="314"/>
      <c r="BW942" s="314"/>
      <c r="BX942" s="314"/>
      <c r="BY942" s="314"/>
      <c r="BZ942" s="314"/>
      <c r="CA942" s="314"/>
      <c r="CB942" s="314"/>
      <c r="CC942" s="314"/>
      <c r="CD942" s="314"/>
    </row>
    <row r="943" ht="28.5" customHeight="1">
      <c r="A943" s="767"/>
      <c r="B943" s="768"/>
      <c r="C943" s="768"/>
      <c r="D943" s="769"/>
      <c r="E943" s="769"/>
      <c r="F943" s="769"/>
      <c r="G943" s="336"/>
      <c r="H943" s="771"/>
      <c r="I943" s="769"/>
      <c r="J943" s="769"/>
      <c r="K943" s="314"/>
      <c r="L943" s="314"/>
      <c r="M943" s="314"/>
      <c r="N943" s="769"/>
      <c r="O943" s="769"/>
      <c r="P943" s="773"/>
      <c r="Q943" s="774"/>
      <c r="R943" s="774"/>
      <c r="S943" s="775"/>
      <c r="AH943" s="776"/>
      <c r="AI943" s="776"/>
      <c r="AJ943" s="732"/>
      <c r="AK943" s="732"/>
      <c r="AL943" s="776"/>
      <c r="AM943" s="776"/>
      <c r="AN943" s="17"/>
      <c r="AO943" s="17"/>
      <c r="AP943" s="17"/>
      <c r="AQ943" s="17"/>
      <c r="AR943" s="17"/>
      <c r="AS943" s="17"/>
      <c r="AT943" s="17"/>
      <c r="AU943" s="732"/>
      <c r="AV943" s="313"/>
      <c r="AW943" s="313"/>
      <c r="AX943" s="313"/>
      <c r="AY943" s="313"/>
      <c r="AZ943" s="313"/>
      <c r="BA943" s="313"/>
      <c r="BB943" s="313"/>
      <c r="BC943" s="313"/>
      <c r="BD943" s="313"/>
      <c r="BE943" s="314"/>
      <c r="BW943" s="314"/>
      <c r="BX943" s="314"/>
      <c r="BY943" s="314"/>
      <c r="BZ943" s="314"/>
      <c r="CA943" s="314"/>
      <c r="CB943" s="314"/>
      <c r="CC943" s="314"/>
      <c r="CD943" s="314"/>
    </row>
    <row r="944" ht="28.5" customHeight="1">
      <c r="A944" s="767"/>
      <c r="B944" s="768"/>
      <c r="C944" s="768"/>
      <c r="D944" s="769"/>
      <c r="E944" s="769"/>
      <c r="F944" s="769"/>
      <c r="G944" s="336"/>
      <c r="H944" s="771"/>
      <c r="I944" s="769"/>
      <c r="J944" s="769"/>
      <c r="K944" s="314"/>
      <c r="L944" s="314"/>
      <c r="M944" s="314"/>
      <c r="N944" s="769"/>
      <c r="O944" s="769"/>
      <c r="P944" s="773"/>
      <c r="Q944" s="774"/>
      <c r="R944" s="774"/>
      <c r="S944" s="775"/>
      <c r="AH944" s="776"/>
      <c r="AI944" s="776"/>
      <c r="AJ944" s="732"/>
      <c r="AK944" s="732"/>
      <c r="AL944" s="776"/>
      <c r="AM944" s="776"/>
      <c r="AN944" s="17"/>
      <c r="AO944" s="17"/>
      <c r="AP944" s="17"/>
      <c r="AQ944" s="17"/>
      <c r="AR944" s="17"/>
      <c r="AS944" s="17"/>
      <c r="AT944" s="17"/>
      <c r="AU944" s="732"/>
      <c r="AV944" s="313"/>
      <c r="AW944" s="313"/>
      <c r="AX944" s="313"/>
      <c r="AY944" s="313"/>
      <c r="AZ944" s="313"/>
      <c r="BA944" s="313"/>
      <c r="BB944" s="313"/>
      <c r="BC944" s="313"/>
      <c r="BD944" s="313"/>
      <c r="BE944" s="314"/>
      <c r="BW944" s="314"/>
      <c r="BX944" s="314"/>
      <c r="BY944" s="314"/>
      <c r="BZ944" s="314"/>
      <c r="CA944" s="314"/>
      <c r="CB944" s="314"/>
      <c r="CC944" s="314"/>
      <c r="CD944" s="314"/>
    </row>
    <row r="945" ht="28.5" customHeight="1">
      <c r="A945" s="767"/>
      <c r="B945" s="768"/>
      <c r="C945" s="768"/>
      <c r="D945" s="769"/>
      <c r="E945" s="769"/>
      <c r="F945" s="769"/>
      <c r="G945" s="336"/>
      <c r="H945" s="771"/>
      <c r="I945" s="769"/>
      <c r="J945" s="769"/>
      <c r="K945" s="314"/>
      <c r="L945" s="314"/>
      <c r="M945" s="314"/>
      <c r="N945" s="769"/>
      <c r="O945" s="769"/>
      <c r="P945" s="773"/>
      <c r="Q945" s="774"/>
      <c r="R945" s="774"/>
      <c r="S945" s="775"/>
      <c r="AH945" s="776"/>
      <c r="AI945" s="776"/>
      <c r="AJ945" s="732"/>
      <c r="AK945" s="732"/>
      <c r="AL945" s="776"/>
      <c r="AM945" s="776"/>
      <c r="AN945" s="17"/>
      <c r="AO945" s="17"/>
      <c r="AP945" s="17"/>
      <c r="AQ945" s="17"/>
      <c r="AR945" s="17"/>
      <c r="AS945" s="17"/>
      <c r="AT945" s="17"/>
      <c r="AU945" s="732"/>
      <c r="AV945" s="313"/>
      <c r="AW945" s="313"/>
      <c r="AX945" s="313"/>
      <c r="AY945" s="313"/>
      <c r="AZ945" s="313"/>
      <c r="BA945" s="313"/>
      <c r="BB945" s="313"/>
      <c r="BC945" s="313"/>
      <c r="BD945" s="313"/>
      <c r="BE945" s="314"/>
      <c r="BW945" s="314"/>
      <c r="BX945" s="314"/>
      <c r="BY945" s="314"/>
      <c r="BZ945" s="314"/>
      <c r="CA945" s="314"/>
      <c r="CB945" s="314"/>
      <c r="CC945" s="314"/>
      <c r="CD945" s="314"/>
    </row>
    <row r="946" ht="28.5" customHeight="1">
      <c r="A946" s="767"/>
      <c r="B946" s="768"/>
      <c r="C946" s="768"/>
      <c r="D946" s="769"/>
      <c r="E946" s="769"/>
      <c r="F946" s="769"/>
      <c r="G946" s="336"/>
      <c r="H946" s="771"/>
      <c r="I946" s="769"/>
      <c r="J946" s="769"/>
      <c r="K946" s="314"/>
      <c r="L946" s="314"/>
      <c r="M946" s="314"/>
      <c r="N946" s="769"/>
      <c r="O946" s="769"/>
      <c r="P946" s="773"/>
      <c r="Q946" s="774"/>
      <c r="R946" s="774"/>
      <c r="S946" s="775"/>
      <c r="AH946" s="776"/>
      <c r="AI946" s="776"/>
      <c r="AJ946" s="732"/>
      <c r="AK946" s="732"/>
      <c r="AL946" s="776"/>
      <c r="AM946" s="776"/>
      <c r="AN946" s="17"/>
      <c r="AO946" s="17"/>
      <c r="AP946" s="17"/>
      <c r="AQ946" s="17"/>
      <c r="AR946" s="17"/>
      <c r="AS946" s="17"/>
      <c r="AT946" s="17"/>
      <c r="AU946" s="732"/>
      <c r="AV946" s="313"/>
      <c r="AW946" s="313"/>
      <c r="AX946" s="313"/>
      <c r="AY946" s="313"/>
      <c r="AZ946" s="313"/>
      <c r="BA946" s="313"/>
      <c r="BB946" s="313"/>
      <c r="BC946" s="313"/>
      <c r="BD946" s="313"/>
      <c r="BE946" s="314"/>
      <c r="BW946" s="314"/>
      <c r="BX946" s="314"/>
      <c r="BY946" s="314"/>
      <c r="BZ946" s="314"/>
      <c r="CA946" s="314"/>
      <c r="CB946" s="314"/>
      <c r="CC946" s="314"/>
      <c r="CD946" s="314"/>
    </row>
    <row r="947" ht="28.5" customHeight="1">
      <c r="A947" s="767"/>
      <c r="B947" s="768"/>
      <c r="C947" s="768"/>
      <c r="D947" s="769"/>
      <c r="E947" s="769"/>
      <c r="F947" s="769"/>
      <c r="G947" s="336"/>
      <c r="H947" s="771"/>
      <c r="I947" s="769"/>
      <c r="J947" s="769"/>
      <c r="K947" s="314"/>
      <c r="L947" s="314"/>
      <c r="M947" s="314"/>
      <c r="N947" s="769"/>
      <c r="O947" s="769"/>
      <c r="P947" s="773"/>
      <c r="Q947" s="774"/>
      <c r="R947" s="774"/>
      <c r="S947" s="775"/>
      <c r="AH947" s="776"/>
      <c r="AI947" s="776"/>
      <c r="AJ947" s="732"/>
      <c r="AK947" s="732"/>
      <c r="AL947" s="776"/>
      <c r="AM947" s="776"/>
      <c r="AN947" s="17"/>
      <c r="AO947" s="17"/>
      <c r="AP947" s="17"/>
      <c r="AQ947" s="17"/>
      <c r="AR947" s="17"/>
      <c r="AS947" s="17"/>
      <c r="AT947" s="17"/>
      <c r="AU947" s="732"/>
      <c r="AV947" s="313"/>
      <c r="AW947" s="313"/>
      <c r="AX947" s="313"/>
      <c r="AY947" s="313"/>
      <c r="AZ947" s="313"/>
      <c r="BA947" s="313"/>
      <c r="BB947" s="313"/>
      <c r="BC947" s="313"/>
      <c r="BD947" s="313"/>
      <c r="BE947" s="314"/>
      <c r="BW947" s="314"/>
      <c r="BX947" s="314"/>
      <c r="BY947" s="314"/>
      <c r="BZ947" s="314"/>
      <c r="CA947" s="314"/>
      <c r="CB947" s="314"/>
      <c r="CC947" s="314"/>
      <c r="CD947" s="314"/>
    </row>
    <row r="948" ht="28.5" customHeight="1">
      <c r="A948" s="767"/>
      <c r="B948" s="768"/>
      <c r="C948" s="768"/>
      <c r="D948" s="769"/>
      <c r="E948" s="769"/>
      <c r="F948" s="769"/>
      <c r="G948" s="336"/>
      <c r="H948" s="771"/>
      <c r="I948" s="769"/>
      <c r="J948" s="769"/>
      <c r="K948" s="314"/>
      <c r="L948" s="314"/>
      <c r="M948" s="314"/>
      <c r="N948" s="769"/>
      <c r="O948" s="769"/>
      <c r="P948" s="773"/>
      <c r="Q948" s="774"/>
      <c r="R948" s="774"/>
      <c r="S948" s="775"/>
      <c r="AH948" s="776"/>
      <c r="AI948" s="776"/>
      <c r="AJ948" s="732"/>
      <c r="AK948" s="732"/>
      <c r="AL948" s="776"/>
      <c r="AM948" s="776"/>
      <c r="AN948" s="17"/>
      <c r="AO948" s="17"/>
      <c r="AP948" s="17"/>
      <c r="AQ948" s="17"/>
      <c r="AR948" s="17"/>
      <c r="AS948" s="17"/>
      <c r="AT948" s="17"/>
      <c r="AU948" s="732"/>
      <c r="AV948" s="313"/>
      <c r="AW948" s="313"/>
      <c r="AX948" s="313"/>
      <c r="AY948" s="313"/>
      <c r="AZ948" s="313"/>
      <c r="BA948" s="313"/>
      <c r="BB948" s="313"/>
      <c r="BC948" s="313"/>
      <c r="BD948" s="313"/>
      <c r="BE948" s="314"/>
      <c r="BW948" s="314"/>
      <c r="BX948" s="314"/>
      <c r="BY948" s="314"/>
      <c r="BZ948" s="314"/>
      <c r="CA948" s="314"/>
      <c r="CB948" s="314"/>
      <c r="CC948" s="314"/>
      <c r="CD948" s="314"/>
    </row>
    <row r="949" ht="28.5" customHeight="1">
      <c r="A949" s="767"/>
      <c r="B949" s="768"/>
      <c r="C949" s="768"/>
      <c r="D949" s="769"/>
      <c r="E949" s="769"/>
      <c r="F949" s="769"/>
      <c r="G949" s="336"/>
      <c r="H949" s="771"/>
      <c r="I949" s="769"/>
      <c r="J949" s="769"/>
      <c r="K949" s="314"/>
      <c r="L949" s="314"/>
      <c r="M949" s="314"/>
      <c r="N949" s="769"/>
      <c r="O949" s="769"/>
      <c r="P949" s="773"/>
      <c r="Q949" s="774"/>
      <c r="R949" s="774"/>
      <c r="S949" s="775"/>
      <c r="AH949" s="776"/>
      <c r="AI949" s="776"/>
      <c r="AJ949" s="732"/>
      <c r="AK949" s="732"/>
      <c r="AL949" s="776"/>
      <c r="AM949" s="776"/>
      <c r="AN949" s="17"/>
      <c r="AO949" s="17"/>
      <c r="AP949" s="17"/>
      <c r="AQ949" s="17"/>
      <c r="AR949" s="17"/>
      <c r="AS949" s="17"/>
      <c r="AT949" s="17"/>
      <c r="AU949" s="732"/>
      <c r="AV949" s="313"/>
      <c r="AW949" s="313"/>
      <c r="AX949" s="313"/>
      <c r="AY949" s="313"/>
      <c r="AZ949" s="313"/>
      <c r="BA949" s="313"/>
      <c r="BB949" s="313"/>
      <c r="BC949" s="313"/>
      <c r="BD949" s="313"/>
      <c r="BE949" s="314"/>
      <c r="BW949" s="314"/>
      <c r="BX949" s="314"/>
      <c r="BY949" s="314"/>
      <c r="BZ949" s="314"/>
      <c r="CA949" s="314"/>
      <c r="CB949" s="314"/>
      <c r="CC949" s="314"/>
      <c r="CD949" s="314"/>
    </row>
    <row r="950" ht="28.5" customHeight="1">
      <c r="A950" s="767"/>
      <c r="B950" s="768"/>
      <c r="C950" s="768"/>
      <c r="D950" s="769"/>
      <c r="E950" s="769"/>
      <c r="F950" s="769"/>
      <c r="G950" s="336"/>
      <c r="H950" s="771"/>
      <c r="I950" s="769"/>
      <c r="J950" s="769"/>
      <c r="K950" s="314"/>
      <c r="L950" s="314"/>
      <c r="M950" s="314"/>
      <c r="N950" s="769"/>
      <c r="O950" s="769"/>
      <c r="P950" s="773"/>
      <c r="Q950" s="774"/>
      <c r="R950" s="774"/>
      <c r="S950" s="775"/>
      <c r="AH950" s="776"/>
      <c r="AI950" s="776"/>
      <c r="AJ950" s="732"/>
      <c r="AK950" s="732"/>
      <c r="AL950" s="776"/>
      <c r="AM950" s="776"/>
      <c r="AN950" s="17"/>
      <c r="AO950" s="17"/>
      <c r="AP950" s="17"/>
      <c r="AQ950" s="17"/>
      <c r="AR950" s="17"/>
      <c r="AS950" s="17"/>
      <c r="AT950" s="17"/>
      <c r="AU950" s="732"/>
      <c r="AV950" s="313"/>
      <c r="AW950" s="313"/>
      <c r="AX950" s="313"/>
      <c r="AY950" s="313"/>
      <c r="AZ950" s="313"/>
      <c r="BA950" s="313"/>
      <c r="BB950" s="313"/>
      <c r="BC950" s="313"/>
      <c r="BD950" s="313"/>
      <c r="BE950" s="314"/>
      <c r="BW950" s="314"/>
      <c r="BX950" s="314"/>
      <c r="BY950" s="314"/>
      <c r="BZ950" s="314"/>
      <c r="CA950" s="314"/>
      <c r="CB950" s="314"/>
      <c r="CC950" s="314"/>
      <c r="CD950" s="314"/>
    </row>
    <row r="951" ht="28.5" customHeight="1">
      <c r="A951" s="767"/>
      <c r="B951" s="768"/>
      <c r="C951" s="768"/>
      <c r="D951" s="769"/>
      <c r="E951" s="769"/>
      <c r="F951" s="769"/>
      <c r="G951" s="336"/>
      <c r="H951" s="771"/>
      <c r="I951" s="769"/>
      <c r="J951" s="769"/>
      <c r="K951" s="314"/>
      <c r="L951" s="314"/>
      <c r="M951" s="314"/>
      <c r="N951" s="769"/>
      <c r="O951" s="769"/>
      <c r="P951" s="773"/>
      <c r="Q951" s="774"/>
      <c r="R951" s="774"/>
      <c r="S951" s="775"/>
      <c r="AH951" s="776"/>
      <c r="AI951" s="776"/>
      <c r="AJ951" s="732"/>
      <c r="AK951" s="732"/>
      <c r="AL951" s="776"/>
      <c r="AM951" s="776"/>
      <c r="AN951" s="17"/>
      <c r="AO951" s="17"/>
      <c r="AP951" s="17"/>
      <c r="AQ951" s="17"/>
      <c r="AR951" s="17"/>
      <c r="AS951" s="17"/>
      <c r="AT951" s="17"/>
      <c r="AU951" s="732"/>
      <c r="AV951" s="313"/>
      <c r="AW951" s="313"/>
      <c r="AX951" s="313"/>
      <c r="AY951" s="313"/>
      <c r="AZ951" s="313"/>
      <c r="BA951" s="313"/>
      <c r="BB951" s="313"/>
      <c r="BC951" s="313"/>
      <c r="BD951" s="313"/>
      <c r="BE951" s="314"/>
      <c r="BW951" s="314"/>
      <c r="BX951" s="314"/>
      <c r="BY951" s="314"/>
      <c r="BZ951" s="314"/>
      <c r="CA951" s="314"/>
      <c r="CB951" s="314"/>
      <c r="CC951" s="314"/>
      <c r="CD951" s="314"/>
    </row>
    <row r="952" ht="28.5" customHeight="1">
      <c r="A952" s="767"/>
      <c r="B952" s="768"/>
      <c r="C952" s="768"/>
      <c r="D952" s="769"/>
      <c r="E952" s="769"/>
      <c r="F952" s="769"/>
      <c r="G952" s="336"/>
      <c r="H952" s="771"/>
      <c r="I952" s="769"/>
      <c r="J952" s="769"/>
      <c r="K952" s="314"/>
      <c r="L952" s="314"/>
      <c r="M952" s="314"/>
      <c r="N952" s="769"/>
      <c r="O952" s="769"/>
      <c r="P952" s="773"/>
      <c r="Q952" s="774"/>
      <c r="R952" s="774"/>
      <c r="S952" s="775"/>
      <c r="AH952" s="776"/>
      <c r="AI952" s="776"/>
      <c r="AJ952" s="732"/>
      <c r="AK952" s="732"/>
      <c r="AL952" s="776"/>
      <c r="AM952" s="776"/>
      <c r="AN952" s="17"/>
      <c r="AO952" s="17"/>
      <c r="AP952" s="17"/>
      <c r="AQ952" s="17"/>
      <c r="AR952" s="17"/>
      <c r="AS952" s="17"/>
      <c r="AT952" s="17"/>
      <c r="AU952" s="732"/>
      <c r="AV952" s="313"/>
      <c r="AW952" s="313"/>
      <c r="AX952" s="313"/>
      <c r="AY952" s="313"/>
      <c r="AZ952" s="313"/>
      <c r="BA952" s="313"/>
      <c r="BB952" s="313"/>
      <c r="BC952" s="313"/>
      <c r="BD952" s="313"/>
      <c r="BE952" s="314"/>
      <c r="BW952" s="314"/>
      <c r="BX952" s="314"/>
      <c r="BY952" s="314"/>
      <c r="BZ952" s="314"/>
      <c r="CA952" s="314"/>
      <c r="CB952" s="314"/>
      <c r="CC952" s="314"/>
      <c r="CD952" s="314"/>
    </row>
    <row r="953" ht="28.5" customHeight="1">
      <c r="A953" s="767"/>
      <c r="B953" s="768"/>
      <c r="C953" s="768"/>
      <c r="D953" s="769"/>
      <c r="E953" s="769"/>
      <c r="F953" s="769"/>
      <c r="G953" s="336"/>
      <c r="H953" s="771"/>
      <c r="I953" s="769"/>
      <c r="J953" s="769"/>
      <c r="K953" s="314"/>
      <c r="L953" s="314"/>
      <c r="M953" s="314"/>
      <c r="N953" s="769"/>
      <c r="O953" s="769"/>
      <c r="P953" s="773"/>
      <c r="Q953" s="774"/>
      <c r="R953" s="774"/>
      <c r="S953" s="775"/>
      <c r="AH953" s="776"/>
      <c r="AI953" s="776"/>
      <c r="AJ953" s="732"/>
      <c r="AK953" s="732"/>
      <c r="AL953" s="776"/>
      <c r="AM953" s="776"/>
      <c r="AN953" s="17"/>
      <c r="AO953" s="17"/>
      <c r="AP953" s="17"/>
      <c r="AQ953" s="17"/>
      <c r="AR953" s="17"/>
      <c r="AS953" s="17"/>
      <c r="AT953" s="17"/>
      <c r="AU953" s="732"/>
      <c r="AV953" s="313"/>
      <c r="AW953" s="313"/>
      <c r="AX953" s="313"/>
      <c r="AY953" s="313"/>
      <c r="AZ953" s="313"/>
      <c r="BA953" s="313"/>
      <c r="BB953" s="313"/>
      <c r="BC953" s="313"/>
      <c r="BD953" s="313"/>
      <c r="BE953" s="314"/>
      <c r="BW953" s="314"/>
      <c r="BX953" s="314"/>
      <c r="BY953" s="314"/>
      <c r="BZ953" s="314"/>
      <c r="CA953" s="314"/>
      <c r="CB953" s="314"/>
      <c r="CC953" s="314"/>
      <c r="CD953" s="314"/>
    </row>
    <row r="954" ht="28.5" customHeight="1">
      <c r="A954" s="767"/>
      <c r="B954" s="768"/>
      <c r="C954" s="768"/>
      <c r="D954" s="769"/>
      <c r="E954" s="769"/>
      <c r="F954" s="769"/>
      <c r="G954" s="336"/>
      <c r="H954" s="771"/>
      <c r="I954" s="769"/>
      <c r="J954" s="769"/>
      <c r="K954" s="314"/>
      <c r="L954" s="314"/>
      <c r="M954" s="314"/>
      <c r="N954" s="769"/>
      <c r="O954" s="769"/>
      <c r="P954" s="773"/>
      <c r="Q954" s="774"/>
      <c r="R954" s="774"/>
      <c r="S954" s="775"/>
      <c r="AH954" s="776"/>
      <c r="AI954" s="776"/>
      <c r="AJ954" s="732"/>
      <c r="AK954" s="732"/>
      <c r="AL954" s="776"/>
      <c r="AM954" s="776"/>
      <c r="AN954" s="17"/>
      <c r="AO954" s="17"/>
      <c r="AP954" s="17"/>
      <c r="AQ954" s="17"/>
      <c r="AR954" s="17"/>
      <c r="AS954" s="17"/>
      <c r="AT954" s="17"/>
      <c r="AU954" s="732"/>
      <c r="AV954" s="313"/>
      <c r="AW954" s="313"/>
      <c r="AX954" s="313"/>
      <c r="AY954" s="313"/>
      <c r="AZ954" s="313"/>
      <c r="BA954" s="313"/>
      <c r="BB954" s="313"/>
      <c r="BC954" s="313"/>
      <c r="BD954" s="313"/>
      <c r="BE954" s="314"/>
      <c r="BW954" s="314"/>
      <c r="BX954" s="314"/>
      <c r="BY954" s="314"/>
      <c r="BZ954" s="314"/>
      <c r="CA954" s="314"/>
      <c r="CB954" s="314"/>
      <c r="CC954" s="314"/>
      <c r="CD954" s="314"/>
    </row>
    <row r="955" ht="28.5" customHeight="1">
      <c r="A955" s="767"/>
      <c r="B955" s="768"/>
      <c r="C955" s="768"/>
      <c r="D955" s="769"/>
      <c r="E955" s="769"/>
      <c r="F955" s="769"/>
      <c r="G955" s="336"/>
      <c r="H955" s="771"/>
      <c r="I955" s="769"/>
      <c r="J955" s="769"/>
      <c r="K955" s="314"/>
      <c r="L955" s="314"/>
      <c r="M955" s="314"/>
      <c r="N955" s="769"/>
      <c r="O955" s="769"/>
      <c r="P955" s="773"/>
      <c r="Q955" s="774"/>
      <c r="R955" s="774"/>
      <c r="S955" s="775"/>
      <c r="AH955" s="776"/>
      <c r="AI955" s="776"/>
      <c r="AJ955" s="732"/>
      <c r="AK955" s="732"/>
      <c r="AL955" s="776"/>
      <c r="AM955" s="776"/>
      <c r="AN955" s="17"/>
      <c r="AO955" s="17"/>
      <c r="AP955" s="17"/>
      <c r="AQ955" s="17"/>
      <c r="AR955" s="17"/>
      <c r="AS955" s="17"/>
      <c r="AT955" s="17"/>
      <c r="AU955" s="732"/>
      <c r="AV955" s="313"/>
      <c r="AW955" s="313"/>
      <c r="AX955" s="313"/>
      <c r="AY955" s="313"/>
      <c r="AZ955" s="313"/>
      <c r="BA955" s="313"/>
      <c r="BB955" s="313"/>
      <c r="BC955" s="313"/>
      <c r="BD955" s="313"/>
      <c r="BE955" s="314"/>
      <c r="BW955" s="314"/>
      <c r="BX955" s="314"/>
      <c r="BY955" s="314"/>
      <c r="BZ955" s="314"/>
      <c r="CA955" s="314"/>
      <c r="CB955" s="314"/>
      <c r="CC955" s="314"/>
      <c r="CD955" s="314"/>
    </row>
    <row r="956" ht="28.5" customHeight="1">
      <c r="A956" s="767"/>
      <c r="B956" s="768"/>
      <c r="C956" s="768"/>
      <c r="D956" s="769"/>
      <c r="E956" s="769"/>
      <c r="F956" s="769"/>
      <c r="G956" s="336"/>
      <c r="H956" s="771"/>
      <c r="I956" s="769"/>
      <c r="J956" s="769"/>
      <c r="K956" s="314"/>
      <c r="L956" s="314"/>
      <c r="M956" s="314"/>
      <c r="N956" s="769"/>
      <c r="O956" s="769"/>
      <c r="P956" s="773"/>
      <c r="Q956" s="774"/>
      <c r="R956" s="774"/>
      <c r="S956" s="775"/>
      <c r="AH956" s="776"/>
      <c r="AI956" s="776"/>
      <c r="AJ956" s="732"/>
      <c r="AK956" s="732"/>
      <c r="AL956" s="776"/>
      <c r="AM956" s="776"/>
      <c r="AN956" s="17"/>
      <c r="AO956" s="17"/>
      <c r="AP956" s="17"/>
      <c r="AQ956" s="17"/>
      <c r="AR956" s="17"/>
      <c r="AS956" s="17"/>
      <c r="AT956" s="17"/>
      <c r="AU956" s="732"/>
      <c r="AV956" s="313"/>
      <c r="AW956" s="313"/>
      <c r="AX956" s="313"/>
      <c r="AY956" s="313"/>
      <c r="AZ956" s="313"/>
      <c r="BA956" s="313"/>
      <c r="BB956" s="313"/>
      <c r="BC956" s="313"/>
      <c r="BD956" s="313"/>
      <c r="BE956" s="314"/>
      <c r="BW956" s="314"/>
      <c r="BX956" s="314"/>
      <c r="BY956" s="314"/>
      <c r="BZ956" s="314"/>
      <c r="CA956" s="314"/>
      <c r="CB956" s="314"/>
      <c r="CC956" s="314"/>
      <c r="CD956" s="314"/>
    </row>
    <row r="957" ht="28.5" customHeight="1">
      <c r="A957" s="767"/>
      <c r="B957" s="768"/>
      <c r="C957" s="768"/>
      <c r="D957" s="769"/>
      <c r="E957" s="769"/>
      <c r="F957" s="769"/>
      <c r="G957" s="336"/>
      <c r="H957" s="771"/>
      <c r="I957" s="769"/>
      <c r="J957" s="769"/>
      <c r="K957" s="314"/>
      <c r="L957" s="314"/>
      <c r="M957" s="314"/>
      <c r="N957" s="769"/>
      <c r="O957" s="769"/>
      <c r="P957" s="773"/>
      <c r="Q957" s="774"/>
      <c r="R957" s="774"/>
      <c r="S957" s="775"/>
      <c r="AH957" s="776"/>
      <c r="AI957" s="776"/>
      <c r="AJ957" s="732"/>
      <c r="AK957" s="732"/>
      <c r="AL957" s="776"/>
      <c r="AM957" s="776"/>
      <c r="AN957" s="17"/>
      <c r="AO957" s="17"/>
      <c r="AP957" s="17"/>
      <c r="AQ957" s="17"/>
      <c r="AR957" s="17"/>
      <c r="AS957" s="17"/>
      <c r="AT957" s="17"/>
      <c r="AU957" s="732"/>
      <c r="AV957" s="313"/>
      <c r="AW957" s="313"/>
      <c r="AX957" s="313"/>
      <c r="AY957" s="313"/>
      <c r="AZ957" s="313"/>
      <c r="BA957" s="313"/>
      <c r="BB957" s="313"/>
      <c r="BC957" s="313"/>
      <c r="BD957" s="313"/>
      <c r="BE957" s="314"/>
      <c r="BW957" s="314"/>
      <c r="BX957" s="314"/>
      <c r="BY957" s="314"/>
      <c r="BZ957" s="314"/>
      <c r="CA957" s="314"/>
      <c r="CB957" s="314"/>
      <c r="CC957" s="314"/>
      <c r="CD957" s="314"/>
    </row>
    <row r="958" ht="28.5" customHeight="1">
      <c r="A958" s="767"/>
      <c r="B958" s="768"/>
      <c r="C958" s="768"/>
      <c r="D958" s="769"/>
      <c r="E958" s="769"/>
      <c r="F958" s="769"/>
      <c r="G958" s="336"/>
      <c r="H958" s="771"/>
      <c r="I958" s="769"/>
      <c r="J958" s="769"/>
      <c r="K958" s="314"/>
      <c r="L958" s="314"/>
      <c r="M958" s="314"/>
      <c r="N958" s="769"/>
      <c r="O958" s="769"/>
      <c r="P958" s="773"/>
      <c r="Q958" s="774"/>
      <c r="R958" s="774"/>
      <c r="S958" s="775"/>
      <c r="AH958" s="776"/>
      <c r="AI958" s="776"/>
      <c r="AJ958" s="732"/>
      <c r="AK958" s="732"/>
      <c r="AL958" s="776"/>
      <c r="AM958" s="776"/>
      <c r="AN958" s="17"/>
      <c r="AO958" s="17"/>
      <c r="AP958" s="17"/>
      <c r="AQ958" s="17"/>
      <c r="AR958" s="17"/>
      <c r="AS958" s="17"/>
      <c r="AT958" s="17"/>
      <c r="AU958" s="732"/>
      <c r="AV958" s="313"/>
      <c r="AW958" s="313"/>
      <c r="AX958" s="313"/>
      <c r="AY958" s="313"/>
      <c r="AZ958" s="313"/>
      <c r="BA958" s="313"/>
      <c r="BB958" s="313"/>
      <c r="BC958" s="313"/>
      <c r="BD958" s="313"/>
      <c r="BE958" s="314"/>
      <c r="BW958" s="314"/>
      <c r="BX958" s="314"/>
      <c r="BY958" s="314"/>
      <c r="BZ958" s="314"/>
      <c r="CA958" s="314"/>
      <c r="CB958" s="314"/>
      <c r="CC958" s="314"/>
      <c r="CD958" s="314"/>
    </row>
    <row r="959" ht="28.5" customHeight="1">
      <c r="A959" s="767"/>
      <c r="B959" s="768"/>
      <c r="C959" s="768"/>
      <c r="D959" s="769"/>
      <c r="E959" s="769"/>
      <c r="F959" s="769"/>
      <c r="G959" s="336"/>
      <c r="H959" s="771"/>
      <c r="I959" s="769"/>
      <c r="J959" s="769"/>
      <c r="K959" s="314"/>
      <c r="L959" s="314"/>
      <c r="M959" s="314"/>
      <c r="N959" s="769"/>
      <c r="O959" s="769"/>
      <c r="P959" s="773"/>
      <c r="Q959" s="774"/>
      <c r="R959" s="774"/>
      <c r="S959" s="775"/>
      <c r="AH959" s="776"/>
      <c r="AI959" s="776"/>
      <c r="AJ959" s="732"/>
      <c r="AK959" s="732"/>
      <c r="AL959" s="776"/>
      <c r="AM959" s="776"/>
      <c r="AN959" s="17"/>
      <c r="AO959" s="17"/>
      <c r="AP959" s="17"/>
      <c r="AQ959" s="17"/>
      <c r="AR959" s="17"/>
      <c r="AS959" s="17"/>
      <c r="AT959" s="17"/>
      <c r="AU959" s="732"/>
      <c r="AV959" s="313"/>
      <c r="AW959" s="313"/>
      <c r="AX959" s="313"/>
      <c r="AY959" s="313"/>
      <c r="AZ959" s="313"/>
      <c r="BA959" s="313"/>
      <c r="BB959" s="313"/>
      <c r="BC959" s="313"/>
      <c r="BD959" s="313"/>
      <c r="BE959" s="314"/>
      <c r="BW959" s="314"/>
      <c r="BX959" s="314"/>
      <c r="BY959" s="314"/>
      <c r="BZ959" s="314"/>
      <c r="CA959" s="314"/>
      <c r="CB959" s="314"/>
      <c r="CC959" s="314"/>
      <c r="CD959" s="314"/>
    </row>
    <row r="960" ht="28.5" customHeight="1">
      <c r="A960" s="767"/>
      <c r="B960" s="768"/>
      <c r="C960" s="768"/>
      <c r="D960" s="769"/>
      <c r="E960" s="769"/>
      <c r="F960" s="769"/>
      <c r="G960" s="336"/>
      <c r="H960" s="771"/>
      <c r="I960" s="769"/>
      <c r="J960" s="769"/>
      <c r="K960" s="314"/>
      <c r="L960" s="314"/>
      <c r="M960" s="314"/>
      <c r="N960" s="769"/>
      <c r="O960" s="769"/>
      <c r="P960" s="773"/>
      <c r="Q960" s="774"/>
      <c r="R960" s="774"/>
      <c r="S960" s="775"/>
      <c r="AH960" s="776"/>
      <c r="AI960" s="776"/>
      <c r="AJ960" s="732"/>
      <c r="AK960" s="732"/>
      <c r="AL960" s="776"/>
      <c r="AM960" s="776"/>
      <c r="AN960" s="17"/>
      <c r="AO960" s="17"/>
      <c r="AP960" s="17"/>
      <c r="AQ960" s="17"/>
      <c r="AR960" s="17"/>
      <c r="AS960" s="17"/>
      <c r="AT960" s="17"/>
      <c r="AU960" s="732"/>
      <c r="AV960" s="313"/>
      <c r="AW960" s="313"/>
      <c r="AX960" s="313"/>
      <c r="AY960" s="313"/>
      <c r="AZ960" s="313"/>
      <c r="BA960" s="313"/>
      <c r="BB960" s="313"/>
      <c r="BC960" s="313"/>
      <c r="BD960" s="313"/>
      <c r="BE960" s="314"/>
      <c r="BW960" s="314"/>
      <c r="BX960" s="314"/>
      <c r="BY960" s="314"/>
      <c r="BZ960" s="314"/>
      <c r="CA960" s="314"/>
      <c r="CB960" s="314"/>
      <c r="CC960" s="314"/>
      <c r="CD960" s="314"/>
    </row>
    <row r="961" ht="28.5" customHeight="1">
      <c r="A961" s="767"/>
      <c r="B961" s="768"/>
      <c r="C961" s="768"/>
      <c r="D961" s="769"/>
      <c r="E961" s="769"/>
      <c r="F961" s="769"/>
      <c r="G961" s="336"/>
      <c r="H961" s="771"/>
      <c r="I961" s="769"/>
      <c r="J961" s="769"/>
      <c r="K961" s="314"/>
      <c r="L961" s="314"/>
      <c r="M961" s="314"/>
      <c r="N961" s="769"/>
      <c r="O961" s="769"/>
      <c r="P961" s="773"/>
      <c r="Q961" s="774"/>
      <c r="R961" s="774"/>
      <c r="S961" s="775"/>
      <c r="AH961" s="776"/>
      <c r="AI961" s="776"/>
      <c r="AJ961" s="732"/>
      <c r="AK961" s="732"/>
      <c r="AL961" s="776"/>
      <c r="AM961" s="776"/>
      <c r="AN961" s="17"/>
      <c r="AO961" s="17"/>
      <c r="AP961" s="17"/>
      <c r="AQ961" s="17"/>
      <c r="AR961" s="17"/>
      <c r="AS961" s="17"/>
      <c r="AT961" s="17"/>
      <c r="AU961" s="732"/>
      <c r="AV961" s="313"/>
      <c r="AW961" s="313"/>
      <c r="AX961" s="313"/>
      <c r="AY961" s="313"/>
      <c r="AZ961" s="313"/>
      <c r="BA961" s="313"/>
      <c r="BB961" s="313"/>
      <c r="BC961" s="313"/>
      <c r="BD961" s="313"/>
      <c r="BE961" s="314"/>
      <c r="BW961" s="314"/>
      <c r="BX961" s="314"/>
      <c r="BY961" s="314"/>
      <c r="BZ961" s="314"/>
      <c r="CA961" s="314"/>
      <c r="CB961" s="314"/>
      <c r="CC961" s="314"/>
      <c r="CD961" s="314"/>
    </row>
    <row r="962" ht="28.5" customHeight="1">
      <c r="A962" s="767"/>
      <c r="B962" s="768"/>
      <c r="C962" s="768"/>
      <c r="D962" s="769"/>
      <c r="E962" s="769"/>
      <c r="F962" s="769"/>
      <c r="G962" s="336"/>
      <c r="H962" s="771"/>
      <c r="I962" s="769"/>
      <c r="J962" s="769"/>
      <c r="K962" s="314"/>
      <c r="L962" s="314"/>
      <c r="M962" s="314"/>
      <c r="N962" s="769"/>
      <c r="O962" s="769"/>
      <c r="P962" s="773"/>
      <c r="Q962" s="774"/>
      <c r="R962" s="774"/>
      <c r="S962" s="775"/>
      <c r="AH962" s="776"/>
      <c r="AI962" s="776"/>
      <c r="AJ962" s="732"/>
      <c r="AK962" s="732"/>
      <c r="AL962" s="776"/>
      <c r="AM962" s="776"/>
      <c r="AN962" s="17"/>
      <c r="AO962" s="17"/>
      <c r="AP962" s="17"/>
      <c r="AQ962" s="17"/>
      <c r="AR962" s="17"/>
      <c r="AS962" s="17"/>
      <c r="AT962" s="17"/>
      <c r="AU962" s="732"/>
      <c r="AV962" s="313"/>
      <c r="AW962" s="313"/>
      <c r="AX962" s="313"/>
      <c r="AY962" s="313"/>
      <c r="AZ962" s="313"/>
      <c r="BA962" s="313"/>
      <c r="BB962" s="313"/>
      <c r="BC962" s="313"/>
      <c r="BD962" s="313"/>
      <c r="BE962" s="314"/>
      <c r="BW962" s="314"/>
      <c r="BX962" s="314"/>
      <c r="BY962" s="314"/>
      <c r="BZ962" s="314"/>
      <c r="CA962" s="314"/>
      <c r="CB962" s="314"/>
      <c r="CC962" s="314"/>
      <c r="CD962" s="314"/>
    </row>
    <row r="963" ht="28.5" customHeight="1">
      <c r="A963" s="767"/>
      <c r="B963" s="768"/>
      <c r="C963" s="768"/>
      <c r="D963" s="769"/>
      <c r="E963" s="769"/>
      <c r="F963" s="769"/>
      <c r="G963" s="336"/>
      <c r="H963" s="771"/>
      <c r="I963" s="769"/>
      <c r="J963" s="769"/>
      <c r="K963" s="314"/>
      <c r="L963" s="314"/>
      <c r="M963" s="314"/>
      <c r="N963" s="769"/>
      <c r="O963" s="769"/>
      <c r="P963" s="773"/>
      <c r="Q963" s="774"/>
      <c r="R963" s="774"/>
      <c r="S963" s="775"/>
      <c r="AH963" s="776"/>
      <c r="AI963" s="776"/>
      <c r="AJ963" s="732"/>
      <c r="AK963" s="732"/>
      <c r="AL963" s="776"/>
      <c r="AM963" s="776"/>
      <c r="AN963" s="17"/>
      <c r="AO963" s="17"/>
      <c r="AP963" s="17"/>
      <c r="AQ963" s="17"/>
      <c r="AR963" s="17"/>
      <c r="AS963" s="17"/>
      <c r="AT963" s="17"/>
      <c r="AU963" s="732"/>
      <c r="AV963" s="313"/>
      <c r="AW963" s="313"/>
      <c r="AX963" s="313"/>
      <c r="AY963" s="313"/>
      <c r="AZ963" s="313"/>
      <c r="BA963" s="313"/>
      <c r="BB963" s="313"/>
      <c r="BC963" s="313"/>
      <c r="BD963" s="313"/>
      <c r="BE963" s="314"/>
      <c r="BW963" s="314"/>
      <c r="BX963" s="314"/>
      <c r="BY963" s="314"/>
      <c r="BZ963" s="314"/>
      <c r="CA963" s="314"/>
      <c r="CB963" s="314"/>
      <c r="CC963" s="314"/>
      <c r="CD963" s="314"/>
    </row>
    <row r="964" ht="28.5" customHeight="1">
      <c r="A964" s="767"/>
      <c r="B964" s="768"/>
      <c r="C964" s="768"/>
      <c r="D964" s="769"/>
      <c r="E964" s="769"/>
      <c r="F964" s="769"/>
      <c r="G964" s="336"/>
      <c r="H964" s="771"/>
      <c r="I964" s="769"/>
      <c r="J964" s="769"/>
      <c r="K964" s="314"/>
      <c r="L964" s="314"/>
      <c r="M964" s="314"/>
      <c r="N964" s="769"/>
      <c r="O964" s="769"/>
      <c r="P964" s="773"/>
      <c r="Q964" s="774"/>
      <c r="R964" s="774"/>
      <c r="S964" s="775"/>
      <c r="AH964" s="776"/>
      <c r="AI964" s="776"/>
      <c r="AJ964" s="732"/>
      <c r="AK964" s="732"/>
      <c r="AL964" s="776"/>
      <c r="AM964" s="776"/>
      <c r="AN964" s="17"/>
      <c r="AO964" s="17"/>
      <c r="AP964" s="17"/>
      <c r="AQ964" s="17"/>
      <c r="AR964" s="17"/>
      <c r="AS964" s="17"/>
      <c r="AT964" s="17"/>
      <c r="AU964" s="732"/>
      <c r="AV964" s="313"/>
      <c r="AW964" s="313"/>
      <c r="AX964" s="313"/>
      <c r="AY964" s="313"/>
      <c r="AZ964" s="313"/>
      <c r="BA964" s="313"/>
      <c r="BB964" s="313"/>
      <c r="BC964" s="313"/>
      <c r="BD964" s="313"/>
      <c r="BE964" s="314"/>
      <c r="BW964" s="314"/>
      <c r="BX964" s="314"/>
      <c r="BY964" s="314"/>
      <c r="BZ964" s="314"/>
      <c r="CA964" s="314"/>
      <c r="CB964" s="314"/>
      <c r="CC964" s="314"/>
      <c r="CD964" s="314"/>
    </row>
    <row r="965" ht="28.5" customHeight="1">
      <c r="A965" s="767"/>
      <c r="B965" s="768"/>
      <c r="C965" s="768"/>
      <c r="D965" s="769"/>
      <c r="E965" s="769"/>
      <c r="F965" s="769"/>
      <c r="G965" s="336"/>
      <c r="H965" s="771"/>
      <c r="I965" s="769"/>
      <c r="J965" s="769"/>
      <c r="K965" s="314"/>
      <c r="L965" s="314"/>
      <c r="M965" s="314"/>
      <c r="N965" s="769"/>
      <c r="O965" s="769"/>
      <c r="P965" s="773"/>
      <c r="Q965" s="774"/>
      <c r="R965" s="774"/>
      <c r="S965" s="775"/>
      <c r="AH965" s="776"/>
      <c r="AI965" s="776"/>
      <c r="AJ965" s="732"/>
      <c r="AK965" s="732"/>
      <c r="AL965" s="776"/>
      <c r="AM965" s="776"/>
      <c r="AN965" s="17"/>
      <c r="AO965" s="17"/>
      <c r="AP965" s="17"/>
      <c r="AQ965" s="17"/>
      <c r="AR965" s="17"/>
      <c r="AS965" s="17"/>
      <c r="AT965" s="17"/>
      <c r="AU965" s="732"/>
      <c r="AV965" s="313"/>
      <c r="AW965" s="313"/>
      <c r="AX965" s="313"/>
      <c r="AY965" s="313"/>
      <c r="AZ965" s="313"/>
      <c r="BA965" s="313"/>
      <c r="BB965" s="313"/>
      <c r="BC965" s="313"/>
      <c r="BD965" s="313"/>
      <c r="BE965" s="314"/>
      <c r="BW965" s="314"/>
      <c r="BX965" s="314"/>
      <c r="BY965" s="314"/>
      <c r="BZ965" s="314"/>
      <c r="CA965" s="314"/>
      <c r="CB965" s="314"/>
      <c r="CC965" s="314"/>
      <c r="CD965" s="314"/>
    </row>
    <row r="966" ht="28.5" customHeight="1">
      <c r="A966" s="767"/>
      <c r="B966" s="768"/>
      <c r="C966" s="768"/>
      <c r="D966" s="769"/>
      <c r="E966" s="769"/>
      <c r="F966" s="769"/>
      <c r="G966" s="336"/>
      <c r="H966" s="771"/>
      <c r="I966" s="769"/>
      <c r="J966" s="769"/>
      <c r="K966" s="314"/>
      <c r="L966" s="314"/>
      <c r="M966" s="314"/>
      <c r="N966" s="769"/>
      <c r="O966" s="769"/>
      <c r="P966" s="773"/>
      <c r="Q966" s="774"/>
      <c r="R966" s="774"/>
      <c r="S966" s="775"/>
      <c r="AH966" s="776"/>
      <c r="AI966" s="776"/>
      <c r="AJ966" s="732"/>
      <c r="AK966" s="732"/>
      <c r="AL966" s="776"/>
      <c r="AM966" s="776"/>
      <c r="AN966" s="17"/>
      <c r="AO966" s="17"/>
      <c r="AP966" s="17"/>
      <c r="AQ966" s="17"/>
      <c r="AR966" s="17"/>
      <c r="AS966" s="17"/>
      <c r="AT966" s="17"/>
      <c r="AU966" s="732"/>
      <c r="AV966" s="313"/>
      <c r="AW966" s="313"/>
      <c r="AX966" s="313"/>
      <c r="AY966" s="313"/>
      <c r="AZ966" s="313"/>
      <c r="BA966" s="313"/>
      <c r="BB966" s="313"/>
      <c r="BC966" s="313"/>
      <c r="BD966" s="313"/>
      <c r="BE966" s="314"/>
      <c r="BW966" s="314"/>
      <c r="BX966" s="314"/>
      <c r="BY966" s="314"/>
      <c r="BZ966" s="314"/>
      <c r="CA966" s="314"/>
      <c r="CB966" s="314"/>
      <c r="CC966" s="314"/>
      <c r="CD966" s="314"/>
    </row>
    <row r="967" ht="28.5" customHeight="1">
      <c r="A967" s="767"/>
      <c r="B967" s="768"/>
      <c r="C967" s="768"/>
      <c r="D967" s="769"/>
      <c r="E967" s="769"/>
      <c r="F967" s="769"/>
      <c r="G967" s="336"/>
      <c r="H967" s="771"/>
      <c r="I967" s="769"/>
      <c r="J967" s="769"/>
      <c r="K967" s="314"/>
      <c r="L967" s="314"/>
      <c r="M967" s="314"/>
      <c r="N967" s="769"/>
      <c r="O967" s="769"/>
      <c r="P967" s="773"/>
      <c r="Q967" s="774"/>
      <c r="R967" s="774"/>
      <c r="S967" s="775"/>
      <c r="AH967" s="776"/>
      <c r="AI967" s="776"/>
      <c r="AJ967" s="732"/>
      <c r="AK967" s="732"/>
      <c r="AL967" s="776"/>
      <c r="AM967" s="776"/>
      <c r="AN967" s="17"/>
      <c r="AO967" s="17"/>
      <c r="AP967" s="17"/>
      <c r="AQ967" s="17"/>
      <c r="AR967" s="17"/>
      <c r="AS967" s="17"/>
      <c r="AT967" s="17"/>
      <c r="AU967" s="732"/>
      <c r="AV967" s="313"/>
      <c r="AW967" s="313"/>
      <c r="AX967" s="313"/>
      <c r="AY967" s="313"/>
      <c r="AZ967" s="313"/>
      <c r="BA967" s="313"/>
      <c r="BB967" s="313"/>
      <c r="BC967" s="313"/>
      <c r="BD967" s="313"/>
      <c r="BE967" s="314"/>
      <c r="BW967" s="314"/>
      <c r="BX967" s="314"/>
      <c r="BY967" s="314"/>
      <c r="BZ967" s="314"/>
      <c r="CA967" s="314"/>
      <c r="CB967" s="314"/>
      <c r="CC967" s="314"/>
      <c r="CD967" s="314"/>
    </row>
    <row r="968" ht="28.5" customHeight="1">
      <c r="A968" s="767"/>
      <c r="B968" s="768"/>
      <c r="C968" s="768"/>
      <c r="D968" s="769"/>
      <c r="E968" s="769"/>
      <c r="F968" s="769"/>
      <c r="G968" s="336"/>
      <c r="H968" s="771"/>
      <c r="I968" s="769"/>
      <c r="J968" s="769"/>
      <c r="K968" s="314"/>
      <c r="L968" s="314"/>
      <c r="M968" s="314"/>
      <c r="N968" s="769"/>
      <c r="O968" s="769"/>
      <c r="P968" s="773"/>
      <c r="Q968" s="774"/>
      <c r="R968" s="774"/>
      <c r="S968" s="775"/>
      <c r="AH968" s="776"/>
      <c r="AI968" s="776"/>
      <c r="AJ968" s="732"/>
      <c r="AK968" s="732"/>
      <c r="AL968" s="776"/>
      <c r="AM968" s="776"/>
      <c r="AN968" s="17"/>
      <c r="AO968" s="17"/>
      <c r="AP968" s="17"/>
      <c r="AQ968" s="17"/>
      <c r="AR968" s="17"/>
      <c r="AS968" s="17"/>
      <c r="AT968" s="17"/>
      <c r="AU968" s="732"/>
      <c r="AV968" s="313"/>
      <c r="AW968" s="313"/>
      <c r="AX968" s="313"/>
      <c r="AY968" s="313"/>
      <c r="AZ968" s="313"/>
      <c r="BA968" s="313"/>
      <c r="BB968" s="313"/>
      <c r="BC968" s="313"/>
      <c r="BD968" s="313"/>
      <c r="BE968" s="314"/>
      <c r="BW968" s="314"/>
      <c r="BX968" s="314"/>
      <c r="BY968" s="314"/>
      <c r="BZ968" s="314"/>
      <c r="CA968" s="314"/>
      <c r="CB968" s="314"/>
      <c r="CC968" s="314"/>
      <c r="CD968" s="314"/>
    </row>
    <row r="969" ht="28.5" customHeight="1">
      <c r="A969" s="767"/>
      <c r="B969" s="768"/>
      <c r="C969" s="768"/>
      <c r="D969" s="769"/>
      <c r="E969" s="769"/>
      <c r="F969" s="769"/>
      <c r="G969" s="336"/>
      <c r="H969" s="771"/>
      <c r="I969" s="769"/>
      <c r="J969" s="769"/>
      <c r="K969" s="314"/>
      <c r="L969" s="314"/>
      <c r="M969" s="314"/>
      <c r="N969" s="769"/>
      <c r="O969" s="769"/>
      <c r="P969" s="773"/>
      <c r="Q969" s="774"/>
      <c r="R969" s="774"/>
      <c r="S969" s="775"/>
      <c r="AH969" s="776"/>
      <c r="AI969" s="776"/>
      <c r="AJ969" s="732"/>
      <c r="AK969" s="732"/>
      <c r="AL969" s="776"/>
      <c r="AM969" s="776"/>
      <c r="AN969" s="17"/>
      <c r="AO969" s="17"/>
      <c r="AP969" s="17"/>
      <c r="AQ969" s="17"/>
      <c r="AR969" s="17"/>
      <c r="AS969" s="17"/>
      <c r="AT969" s="17"/>
      <c r="AU969" s="732"/>
      <c r="AV969" s="313"/>
      <c r="AW969" s="313"/>
      <c r="AX969" s="313"/>
      <c r="AY969" s="313"/>
      <c r="AZ969" s="313"/>
      <c r="BA969" s="313"/>
      <c r="BB969" s="313"/>
      <c r="BC969" s="313"/>
      <c r="BD969" s="313"/>
      <c r="BE969" s="314"/>
      <c r="BW969" s="314"/>
      <c r="BX969" s="314"/>
      <c r="BY969" s="314"/>
      <c r="BZ969" s="314"/>
      <c r="CA969" s="314"/>
      <c r="CB969" s="314"/>
      <c r="CC969" s="314"/>
      <c r="CD969" s="314"/>
    </row>
    <row r="970" ht="28.5" customHeight="1">
      <c r="A970" s="767"/>
      <c r="B970" s="768"/>
      <c r="C970" s="768"/>
      <c r="D970" s="769"/>
      <c r="E970" s="769"/>
      <c r="F970" s="769"/>
      <c r="G970" s="336"/>
      <c r="H970" s="771"/>
      <c r="I970" s="769"/>
      <c r="J970" s="769"/>
      <c r="K970" s="314"/>
      <c r="L970" s="314"/>
      <c r="M970" s="314"/>
      <c r="N970" s="769"/>
      <c r="O970" s="769"/>
      <c r="P970" s="773"/>
      <c r="Q970" s="774"/>
      <c r="R970" s="774"/>
      <c r="S970" s="775"/>
      <c r="AH970" s="776"/>
      <c r="AI970" s="776"/>
      <c r="AJ970" s="732"/>
      <c r="AK970" s="732"/>
      <c r="AL970" s="776"/>
      <c r="AM970" s="776"/>
      <c r="AN970" s="17"/>
      <c r="AO970" s="17"/>
      <c r="AP970" s="17"/>
      <c r="AQ970" s="17"/>
      <c r="AR970" s="17"/>
      <c r="AS970" s="17"/>
      <c r="AT970" s="17"/>
      <c r="AU970" s="732"/>
      <c r="AV970" s="313"/>
      <c r="AW970" s="313"/>
      <c r="AX970" s="313"/>
      <c r="AY970" s="313"/>
      <c r="AZ970" s="313"/>
      <c r="BA970" s="313"/>
      <c r="BB970" s="313"/>
      <c r="BC970" s="313"/>
      <c r="BD970" s="313"/>
      <c r="BE970" s="314"/>
      <c r="BW970" s="314"/>
      <c r="BX970" s="314"/>
      <c r="BY970" s="314"/>
      <c r="BZ970" s="314"/>
      <c r="CA970" s="314"/>
      <c r="CB970" s="314"/>
      <c r="CC970" s="314"/>
      <c r="CD970" s="314"/>
    </row>
    <row r="971" ht="28.5" customHeight="1">
      <c r="A971" s="767"/>
      <c r="B971" s="768"/>
      <c r="C971" s="768"/>
      <c r="D971" s="769"/>
      <c r="E971" s="769"/>
      <c r="F971" s="769"/>
      <c r="G971" s="336"/>
      <c r="H971" s="771"/>
      <c r="I971" s="769"/>
      <c r="J971" s="769"/>
      <c r="K971" s="314"/>
      <c r="L971" s="314"/>
      <c r="M971" s="314"/>
      <c r="N971" s="769"/>
      <c r="O971" s="769"/>
      <c r="P971" s="773"/>
      <c r="Q971" s="774"/>
      <c r="R971" s="774"/>
      <c r="S971" s="775"/>
      <c r="AH971" s="776"/>
      <c r="AI971" s="776"/>
      <c r="AJ971" s="732"/>
      <c r="AK971" s="732"/>
      <c r="AL971" s="776"/>
      <c r="AM971" s="776"/>
      <c r="AN971" s="17"/>
      <c r="AO971" s="17"/>
      <c r="AP971" s="17"/>
      <c r="AQ971" s="17"/>
      <c r="AR971" s="17"/>
      <c r="AS971" s="17"/>
      <c r="AT971" s="17"/>
      <c r="AU971" s="732"/>
      <c r="AV971" s="313"/>
      <c r="AW971" s="313"/>
      <c r="AX971" s="313"/>
      <c r="AY971" s="313"/>
      <c r="AZ971" s="313"/>
      <c r="BA971" s="313"/>
      <c r="BB971" s="313"/>
      <c r="BC971" s="313"/>
      <c r="BD971" s="313"/>
      <c r="BE971" s="314"/>
      <c r="BW971" s="314"/>
      <c r="BX971" s="314"/>
      <c r="BY971" s="314"/>
      <c r="BZ971" s="314"/>
      <c r="CA971" s="314"/>
      <c r="CB971" s="314"/>
      <c r="CC971" s="314"/>
      <c r="CD971" s="314"/>
    </row>
    <row r="972" ht="28.5" customHeight="1">
      <c r="A972" s="767"/>
      <c r="B972" s="768"/>
      <c r="C972" s="768"/>
      <c r="D972" s="769"/>
      <c r="E972" s="769"/>
      <c r="F972" s="769"/>
      <c r="G972" s="336"/>
      <c r="H972" s="771"/>
      <c r="I972" s="769"/>
      <c r="J972" s="769"/>
      <c r="K972" s="314"/>
      <c r="L972" s="314"/>
      <c r="M972" s="314"/>
      <c r="N972" s="769"/>
      <c r="O972" s="769"/>
      <c r="P972" s="773"/>
      <c r="Q972" s="774"/>
      <c r="R972" s="774"/>
      <c r="S972" s="775"/>
      <c r="AH972" s="776"/>
      <c r="AI972" s="776"/>
      <c r="AJ972" s="732"/>
      <c r="AK972" s="732"/>
      <c r="AL972" s="776"/>
      <c r="AM972" s="776"/>
      <c r="AN972" s="17"/>
      <c r="AO972" s="17"/>
      <c r="AP972" s="17"/>
      <c r="AQ972" s="17"/>
      <c r="AR972" s="17"/>
      <c r="AS972" s="17"/>
      <c r="AT972" s="17"/>
      <c r="AU972" s="732"/>
      <c r="AV972" s="313"/>
      <c r="AW972" s="313"/>
      <c r="AX972" s="313"/>
      <c r="AY972" s="313"/>
      <c r="AZ972" s="313"/>
      <c r="BA972" s="313"/>
      <c r="BB972" s="313"/>
      <c r="BC972" s="313"/>
      <c r="BD972" s="313"/>
      <c r="BE972" s="314"/>
      <c r="BW972" s="314"/>
      <c r="BX972" s="314"/>
      <c r="BY972" s="314"/>
      <c r="BZ972" s="314"/>
      <c r="CA972" s="314"/>
      <c r="CB972" s="314"/>
      <c r="CC972" s="314"/>
      <c r="CD972" s="314"/>
    </row>
    <row r="973" ht="28.5" customHeight="1">
      <c r="A973" s="767"/>
      <c r="B973" s="768"/>
      <c r="C973" s="768"/>
      <c r="D973" s="769"/>
      <c r="E973" s="769"/>
      <c r="F973" s="769"/>
      <c r="G973" s="336"/>
      <c r="H973" s="771"/>
      <c r="I973" s="769"/>
      <c r="J973" s="769"/>
      <c r="K973" s="314"/>
      <c r="L973" s="314"/>
      <c r="M973" s="314"/>
      <c r="N973" s="769"/>
      <c r="O973" s="769"/>
      <c r="P973" s="773"/>
      <c r="Q973" s="774"/>
      <c r="R973" s="774"/>
      <c r="S973" s="775"/>
      <c r="AH973" s="776"/>
      <c r="AI973" s="776"/>
      <c r="AJ973" s="732"/>
      <c r="AK973" s="732"/>
      <c r="AL973" s="776"/>
      <c r="AM973" s="776"/>
      <c r="AN973" s="17"/>
      <c r="AO973" s="17"/>
      <c r="AP973" s="17"/>
      <c r="AQ973" s="17"/>
      <c r="AR973" s="17"/>
      <c r="AS973" s="17"/>
      <c r="AT973" s="17"/>
      <c r="AU973" s="732"/>
      <c r="AV973" s="313"/>
      <c r="AW973" s="313"/>
      <c r="AX973" s="313"/>
      <c r="AY973" s="313"/>
      <c r="AZ973" s="313"/>
      <c r="BA973" s="313"/>
      <c r="BB973" s="313"/>
      <c r="BC973" s="313"/>
      <c r="BD973" s="313"/>
      <c r="BE973" s="314"/>
      <c r="BW973" s="314"/>
      <c r="BX973" s="314"/>
      <c r="BY973" s="314"/>
      <c r="BZ973" s="314"/>
      <c r="CA973" s="314"/>
      <c r="CB973" s="314"/>
      <c r="CC973" s="314"/>
      <c r="CD973" s="314"/>
    </row>
    <row r="974" ht="28.5" customHeight="1">
      <c r="A974" s="767"/>
      <c r="B974" s="768"/>
      <c r="C974" s="768"/>
      <c r="D974" s="769"/>
      <c r="E974" s="769"/>
      <c r="F974" s="769"/>
      <c r="G974" s="336"/>
      <c r="H974" s="771"/>
      <c r="I974" s="769"/>
      <c r="J974" s="769"/>
      <c r="K974" s="314"/>
      <c r="L974" s="314"/>
      <c r="M974" s="314"/>
      <c r="N974" s="769"/>
      <c r="O974" s="769"/>
      <c r="P974" s="773"/>
      <c r="Q974" s="774"/>
      <c r="R974" s="774"/>
      <c r="S974" s="775"/>
      <c r="AH974" s="776"/>
      <c r="AI974" s="776"/>
      <c r="AJ974" s="732"/>
      <c r="AK974" s="732"/>
      <c r="AL974" s="776"/>
      <c r="AM974" s="776"/>
      <c r="AN974" s="17"/>
      <c r="AO974" s="17"/>
      <c r="AP974" s="17"/>
      <c r="AQ974" s="17"/>
      <c r="AR974" s="17"/>
      <c r="AS974" s="17"/>
      <c r="AT974" s="17"/>
      <c r="AU974" s="732"/>
      <c r="AV974" s="313"/>
      <c r="AW974" s="313"/>
      <c r="AX974" s="313"/>
      <c r="AY974" s="313"/>
      <c r="AZ974" s="313"/>
      <c r="BA974" s="313"/>
      <c r="BB974" s="313"/>
      <c r="BC974" s="313"/>
      <c r="BD974" s="313"/>
      <c r="BE974" s="314"/>
      <c r="BW974" s="314"/>
      <c r="BX974" s="314"/>
      <c r="BY974" s="314"/>
      <c r="BZ974" s="314"/>
      <c r="CA974" s="314"/>
      <c r="CB974" s="314"/>
      <c r="CC974" s="314"/>
      <c r="CD974" s="314"/>
    </row>
    <row r="975" ht="28.5" customHeight="1">
      <c r="A975" s="767"/>
      <c r="B975" s="768"/>
      <c r="C975" s="768"/>
      <c r="D975" s="769"/>
      <c r="E975" s="769"/>
      <c r="F975" s="769"/>
      <c r="G975" s="336"/>
      <c r="H975" s="771"/>
      <c r="I975" s="769"/>
      <c r="J975" s="769"/>
      <c r="K975" s="314"/>
      <c r="L975" s="314"/>
      <c r="M975" s="314"/>
      <c r="N975" s="769"/>
      <c r="O975" s="769"/>
      <c r="P975" s="773"/>
      <c r="Q975" s="774"/>
      <c r="R975" s="774"/>
      <c r="S975" s="775"/>
      <c r="AH975" s="776"/>
      <c r="AI975" s="776"/>
      <c r="AJ975" s="732"/>
      <c r="AK975" s="732"/>
      <c r="AL975" s="776"/>
      <c r="AM975" s="776"/>
      <c r="AN975" s="17"/>
      <c r="AO975" s="17"/>
      <c r="AP975" s="17"/>
      <c r="AQ975" s="17"/>
      <c r="AR975" s="17"/>
      <c r="AS975" s="17"/>
      <c r="AT975" s="17"/>
      <c r="AU975" s="732"/>
      <c r="AV975" s="313"/>
      <c r="AW975" s="313"/>
      <c r="AX975" s="313"/>
      <c r="AY975" s="313"/>
      <c r="AZ975" s="313"/>
      <c r="BA975" s="313"/>
      <c r="BB975" s="313"/>
      <c r="BC975" s="313"/>
      <c r="BD975" s="313"/>
      <c r="BE975" s="314"/>
      <c r="BW975" s="314"/>
      <c r="BX975" s="314"/>
      <c r="BY975" s="314"/>
      <c r="BZ975" s="314"/>
      <c r="CA975" s="314"/>
      <c r="CB975" s="314"/>
      <c r="CC975" s="314"/>
      <c r="CD975" s="314"/>
    </row>
    <row r="976" ht="28.5" customHeight="1">
      <c r="A976" s="767"/>
      <c r="B976" s="768"/>
      <c r="C976" s="768"/>
      <c r="D976" s="769"/>
      <c r="E976" s="769"/>
      <c r="F976" s="769"/>
      <c r="G976" s="336"/>
      <c r="H976" s="771"/>
      <c r="I976" s="769"/>
      <c r="J976" s="769"/>
      <c r="K976" s="314"/>
      <c r="L976" s="314"/>
      <c r="M976" s="314"/>
      <c r="N976" s="769"/>
      <c r="O976" s="769"/>
      <c r="P976" s="773"/>
      <c r="Q976" s="774"/>
      <c r="R976" s="774"/>
      <c r="S976" s="775"/>
      <c r="AH976" s="776"/>
      <c r="AI976" s="776"/>
      <c r="AJ976" s="732"/>
      <c r="AK976" s="732"/>
      <c r="AL976" s="776"/>
      <c r="AM976" s="776"/>
      <c r="AN976" s="17"/>
      <c r="AO976" s="17"/>
      <c r="AP976" s="17"/>
      <c r="AQ976" s="17"/>
      <c r="AR976" s="17"/>
      <c r="AS976" s="17"/>
      <c r="AT976" s="17"/>
      <c r="AU976" s="732"/>
      <c r="AV976" s="313"/>
      <c r="AW976" s="313"/>
      <c r="AX976" s="313"/>
      <c r="AY976" s="313"/>
      <c r="AZ976" s="313"/>
      <c r="BA976" s="313"/>
      <c r="BB976" s="313"/>
      <c r="BC976" s="313"/>
      <c r="BD976" s="313"/>
      <c r="BE976" s="314"/>
      <c r="BW976" s="314"/>
      <c r="BX976" s="314"/>
      <c r="BY976" s="314"/>
      <c r="BZ976" s="314"/>
      <c r="CA976" s="314"/>
      <c r="CB976" s="314"/>
      <c r="CC976" s="314"/>
      <c r="CD976" s="314"/>
    </row>
    <row r="977" ht="28.5" customHeight="1">
      <c r="A977" s="767"/>
      <c r="B977" s="768"/>
      <c r="C977" s="768"/>
      <c r="D977" s="769"/>
      <c r="E977" s="769"/>
      <c r="F977" s="769"/>
      <c r="G977" s="336"/>
      <c r="H977" s="771"/>
      <c r="I977" s="769"/>
      <c r="J977" s="769"/>
      <c r="K977" s="314"/>
      <c r="L977" s="314"/>
      <c r="M977" s="314"/>
      <c r="N977" s="769"/>
      <c r="O977" s="769"/>
      <c r="P977" s="773"/>
      <c r="Q977" s="774"/>
      <c r="R977" s="774"/>
      <c r="S977" s="775"/>
      <c r="AH977" s="776"/>
      <c r="AI977" s="776"/>
      <c r="AJ977" s="732"/>
      <c r="AK977" s="732"/>
      <c r="AL977" s="776"/>
      <c r="AM977" s="776"/>
      <c r="AN977" s="17"/>
      <c r="AO977" s="17"/>
      <c r="AP977" s="17"/>
      <c r="AQ977" s="17"/>
      <c r="AR977" s="17"/>
      <c r="AS977" s="17"/>
      <c r="AT977" s="17"/>
      <c r="AU977" s="732"/>
      <c r="AV977" s="313"/>
      <c r="AW977" s="313"/>
      <c r="AX977" s="313"/>
      <c r="AY977" s="313"/>
      <c r="AZ977" s="313"/>
      <c r="BA977" s="313"/>
      <c r="BB977" s="313"/>
      <c r="BC977" s="313"/>
      <c r="BD977" s="313"/>
      <c r="BE977" s="314"/>
      <c r="BW977" s="314"/>
      <c r="BX977" s="314"/>
      <c r="BY977" s="314"/>
      <c r="BZ977" s="314"/>
      <c r="CA977" s="314"/>
      <c r="CB977" s="314"/>
      <c r="CC977" s="314"/>
      <c r="CD977" s="314"/>
    </row>
    <row r="978" ht="28.5" customHeight="1">
      <c r="A978" s="767"/>
      <c r="B978" s="768"/>
      <c r="C978" s="768"/>
      <c r="D978" s="769"/>
      <c r="E978" s="769"/>
      <c r="F978" s="769"/>
      <c r="G978" s="336"/>
      <c r="H978" s="771"/>
      <c r="I978" s="769"/>
      <c r="J978" s="769"/>
      <c r="K978" s="314"/>
      <c r="L978" s="314"/>
      <c r="M978" s="314"/>
      <c r="N978" s="769"/>
      <c r="O978" s="769"/>
      <c r="P978" s="773"/>
      <c r="Q978" s="774"/>
      <c r="R978" s="774"/>
      <c r="S978" s="775"/>
      <c r="AH978" s="776"/>
      <c r="AI978" s="776"/>
      <c r="AJ978" s="732"/>
      <c r="AK978" s="732"/>
      <c r="AL978" s="776"/>
      <c r="AM978" s="776"/>
      <c r="AN978" s="17"/>
      <c r="AO978" s="17"/>
      <c r="AP978" s="17"/>
      <c r="AQ978" s="17"/>
      <c r="AR978" s="17"/>
      <c r="AS978" s="17"/>
      <c r="AT978" s="17"/>
      <c r="AU978" s="732"/>
      <c r="AV978" s="313"/>
      <c r="AW978" s="313"/>
      <c r="AX978" s="313"/>
      <c r="AY978" s="313"/>
      <c r="AZ978" s="313"/>
      <c r="BA978" s="313"/>
      <c r="BB978" s="313"/>
      <c r="BC978" s="313"/>
      <c r="BD978" s="313"/>
      <c r="BE978" s="314"/>
      <c r="BW978" s="314"/>
      <c r="BX978" s="314"/>
      <c r="BY978" s="314"/>
      <c r="BZ978" s="314"/>
      <c r="CA978" s="314"/>
      <c r="CB978" s="314"/>
      <c r="CC978" s="314"/>
      <c r="CD978" s="314"/>
    </row>
    <row r="979" ht="28.5" customHeight="1">
      <c r="A979" s="767"/>
      <c r="B979" s="768"/>
      <c r="C979" s="768"/>
      <c r="D979" s="769"/>
      <c r="E979" s="769"/>
      <c r="F979" s="769"/>
      <c r="G979" s="336"/>
      <c r="H979" s="771"/>
      <c r="I979" s="769"/>
      <c r="J979" s="769"/>
      <c r="K979" s="314"/>
      <c r="L979" s="314"/>
      <c r="M979" s="314"/>
      <c r="N979" s="769"/>
      <c r="O979" s="769"/>
      <c r="P979" s="773"/>
      <c r="Q979" s="774"/>
      <c r="R979" s="774"/>
      <c r="S979" s="775"/>
      <c r="AH979" s="776"/>
      <c r="AI979" s="776"/>
      <c r="AJ979" s="732"/>
      <c r="AK979" s="732"/>
      <c r="AL979" s="776"/>
      <c r="AM979" s="776"/>
      <c r="AN979" s="17"/>
      <c r="AO979" s="17"/>
      <c r="AP979" s="17"/>
      <c r="AQ979" s="17"/>
      <c r="AR979" s="17"/>
      <c r="AS979" s="17"/>
      <c r="AT979" s="17"/>
      <c r="AU979" s="732"/>
      <c r="AV979" s="313"/>
      <c r="AW979" s="313"/>
      <c r="AX979" s="313"/>
      <c r="AY979" s="313"/>
      <c r="AZ979" s="313"/>
      <c r="BA979" s="313"/>
      <c r="BB979" s="313"/>
      <c r="BC979" s="313"/>
      <c r="BD979" s="313"/>
      <c r="BE979" s="314"/>
      <c r="BW979" s="314"/>
      <c r="BX979" s="314"/>
      <c r="BY979" s="314"/>
      <c r="BZ979" s="314"/>
      <c r="CA979" s="314"/>
      <c r="CB979" s="314"/>
      <c r="CC979" s="314"/>
      <c r="CD979" s="314"/>
    </row>
    <row r="980" ht="28.5" customHeight="1">
      <c r="A980" s="767"/>
      <c r="B980" s="768"/>
      <c r="C980" s="768"/>
      <c r="D980" s="769"/>
      <c r="E980" s="769"/>
      <c r="F980" s="769"/>
      <c r="G980" s="336"/>
      <c r="H980" s="771"/>
      <c r="I980" s="769"/>
      <c r="J980" s="769"/>
      <c r="K980" s="314"/>
      <c r="L980" s="314"/>
      <c r="M980" s="314"/>
      <c r="N980" s="769"/>
      <c r="O980" s="769"/>
      <c r="P980" s="773"/>
      <c r="Q980" s="774"/>
      <c r="R980" s="774"/>
      <c r="S980" s="775"/>
      <c r="AH980" s="776"/>
      <c r="AI980" s="776"/>
      <c r="AJ980" s="732"/>
      <c r="AK980" s="732"/>
      <c r="AL980" s="776"/>
      <c r="AM980" s="776"/>
      <c r="AN980" s="17"/>
      <c r="AO980" s="17"/>
      <c r="AP980" s="17"/>
      <c r="AQ980" s="17"/>
      <c r="AR980" s="17"/>
      <c r="AS980" s="17"/>
      <c r="AT980" s="17"/>
      <c r="AU980" s="732"/>
      <c r="AV980" s="313"/>
      <c r="AW980" s="313"/>
      <c r="AX980" s="313"/>
      <c r="AY980" s="313"/>
      <c r="AZ980" s="313"/>
      <c r="BA980" s="313"/>
      <c r="BB980" s="313"/>
      <c r="BC980" s="313"/>
      <c r="BD980" s="313"/>
      <c r="BE980" s="314"/>
      <c r="BW980" s="314"/>
      <c r="BX980" s="314"/>
      <c r="BY980" s="314"/>
      <c r="BZ980" s="314"/>
      <c r="CA980" s="314"/>
      <c r="CB980" s="314"/>
      <c r="CC980" s="314"/>
      <c r="CD980" s="314"/>
    </row>
    <row r="981" ht="28.5" customHeight="1">
      <c r="A981" s="767"/>
      <c r="B981" s="768"/>
      <c r="C981" s="768"/>
      <c r="D981" s="769"/>
      <c r="E981" s="769"/>
      <c r="F981" s="769"/>
      <c r="G981" s="336"/>
      <c r="H981" s="771"/>
      <c r="I981" s="769"/>
      <c r="J981" s="769"/>
      <c r="K981" s="314"/>
      <c r="L981" s="314"/>
      <c r="M981" s="314"/>
      <c r="N981" s="769"/>
      <c r="O981" s="769"/>
      <c r="P981" s="773"/>
      <c r="Q981" s="774"/>
      <c r="R981" s="774"/>
      <c r="S981" s="775"/>
      <c r="AH981" s="776"/>
      <c r="AI981" s="776"/>
      <c r="AJ981" s="732"/>
      <c r="AK981" s="732"/>
      <c r="AL981" s="776"/>
      <c r="AM981" s="776"/>
      <c r="AN981" s="17"/>
      <c r="AO981" s="17"/>
      <c r="AP981" s="17"/>
      <c r="AQ981" s="17"/>
      <c r="AR981" s="17"/>
      <c r="AS981" s="17"/>
      <c r="AT981" s="17"/>
      <c r="AU981" s="732"/>
      <c r="AV981" s="313"/>
      <c r="AW981" s="313"/>
      <c r="AX981" s="313"/>
      <c r="AY981" s="313"/>
      <c r="AZ981" s="313"/>
      <c r="BA981" s="313"/>
      <c r="BB981" s="313"/>
      <c r="BC981" s="313"/>
      <c r="BD981" s="313"/>
      <c r="BE981" s="314"/>
      <c r="BW981" s="314"/>
      <c r="BX981" s="314"/>
      <c r="BY981" s="314"/>
      <c r="BZ981" s="314"/>
      <c r="CA981" s="314"/>
      <c r="CB981" s="314"/>
      <c r="CC981" s="314"/>
      <c r="CD981" s="314"/>
    </row>
    <row r="982" ht="28.5" customHeight="1">
      <c r="A982" s="767"/>
      <c r="B982" s="768"/>
      <c r="C982" s="768"/>
      <c r="D982" s="769"/>
      <c r="E982" s="769"/>
      <c r="F982" s="769"/>
      <c r="G982" s="336"/>
      <c r="H982" s="771"/>
      <c r="I982" s="769"/>
      <c r="J982" s="769"/>
      <c r="K982" s="314"/>
      <c r="L982" s="314"/>
      <c r="M982" s="314"/>
      <c r="N982" s="769"/>
      <c r="O982" s="769"/>
      <c r="P982" s="773"/>
      <c r="Q982" s="774"/>
      <c r="R982" s="774"/>
      <c r="S982" s="775"/>
      <c r="AH982" s="776"/>
      <c r="AI982" s="776"/>
      <c r="AJ982" s="732"/>
      <c r="AK982" s="732"/>
      <c r="AL982" s="776"/>
      <c r="AM982" s="776"/>
      <c r="AN982" s="17"/>
      <c r="AO982" s="17"/>
      <c r="AP982" s="17"/>
      <c r="AQ982" s="17"/>
      <c r="AR982" s="17"/>
      <c r="AS982" s="17"/>
      <c r="AT982" s="17"/>
      <c r="AU982" s="732"/>
      <c r="AV982" s="313"/>
      <c r="AW982" s="313"/>
      <c r="AX982" s="313"/>
      <c r="AY982" s="313"/>
      <c r="AZ982" s="313"/>
      <c r="BA982" s="313"/>
      <c r="BB982" s="313"/>
      <c r="BC982" s="313"/>
      <c r="BD982" s="313"/>
      <c r="BE982" s="314"/>
      <c r="BW982" s="314"/>
      <c r="BX982" s="314"/>
      <c r="BY982" s="314"/>
      <c r="BZ982" s="314"/>
      <c r="CA982" s="314"/>
      <c r="CB982" s="314"/>
      <c r="CC982" s="314"/>
      <c r="CD982" s="314"/>
    </row>
    <row r="983" ht="28.5" customHeight="1">
      <c r="A983" s="767"/>
      <c r="B983" s="768"/>
      <c r="C983" s="768"/>
      <c r="D983" s="769"/>
      <c r="E983" s="769"/>
      <c r="F983" s="769"/>
      <c r="G983" s="336"/>
      <c r="H983" s="771"/>
      <c r="I983" s="769"/>
      <c r="J983" s="769"/>
      <c r="K983" s="314"/>
      <c r="L983" s="314"/>
      <c r="M983" s="314"/>
      <c r="N983" s="769"/>
      <c r="O983" s="769"/>
      <c r="P983" s="773"/>
      <c r="Q983" s="774"/>
      <c r="R983" s="774"/>
      <c r="S983" s="775"/>
      <c r="AH983" s="776"/>
      <c r="AI983" s="776"/>
      <c r="AJ983" s="732"/>
      <c r="AK983" s="732"/>
      <c r="AL983" s="776"/>
      <c r="AM983" s="776"/>
      <c r="AN983" s="17"/>
      <c r="AO983" s="17"/>
      <c r="AP983" s="17"/>
      <c r="AQ983" s="17"/>
      <c r="AR983" s="17"/>
      <c r="AS983" s="17"/>
      <c r="AT983" s="17"/>
      <c r="AU983" s="732"/>
      <c r="AV983" s="313"/>
      <c r="AW983" s="313"/>
      <c r="AX983" s="313"/>
      <c r="AY983" s="313"/>
      <c r="AZ983" s="313"/>
      <c r="BA983" s="313"/>
      <c r="BB983" s="313"/>
      <c r="BC983" s="313"/>
      <c r="BD983" s="313"/>
      <c r="BE983" s="314"/>
      <c r="BW983" s="314"/>
      <c r="BX983" s="314"/>
      <c r="BY983" s="314"/>
      <c r="BZ983" s="314"/>
      <c r="CA983" s="314"/>
      <c r="CB983" s="314"/>
      <c r="CC983" s="314"/>
      <c r="CD983" s="314"/>
    </row>
    <row r="984" ht="28.5" customHeight="1">
      <c r="A984" s="767"/>
      <c r="B984" s="768"/>
      <c r="C984" s="768"/>
      <c r="D984" s="769"/>
      <c r="E984" s="769"/>
      <c r="F984" s="769"/>
      <c r="G984" s="336"/>
      <c r="H984" s="771"/>
      <c r="I984" s="769"/>
      <c r="J984" s="769"/>
      <c r="K984" s="314"/>
      <c r="L984" s="314"/>
      <c r="M984" s="314"/>
      <c r="N984" s="769"/>
      <c r="O984" s="769"/>
      <c r="P984" s="773"/>
      <c r="Q984" s="774"/>
      <c r="R984" s="774"/>
      <c r="S984" s="775"/>
      <c r="AH984" s="776"/>
      <c r="AI984" s="776"/>
      <c r="AJ984" s="732"/>
      <c r="AK984" s="732"/>
      <c r="AL984" s="776"/>
      <c r="AM984" s="776"/>
      <c r="AN984" s="17"/>
      <c r="AO984" s="17"/>
      <c r="AP984" s="17"/>
      <c r="AQ984" s="17"/>
      <c r="AR984" s="17"/>
      <c r="AS984" s="17"/>
      <c r="AT984" s="17"/>
      <c r="AU984" s="732"/>
      <c r="AV984" s="313"/>
      <c r="AW984" s="313"/>
      <c r="AX984" s="313"/>
      <c r="AY984" s="313"/>
      <c r="AZ984" s="313"/>
      <c r="BA984" s="313"/>
      <c r="BB984" s="313"/>
      <c r="BC984" s="313"/>
      <c r="BD984" s="313"/>
      <c r="BE984" s="314"/>
      <c r="BW984" s="314"/>
      <c r="BX984" s="314"/>
      <c r="BY984" s="314"/>
      <c r="BZ984" s="314"/>
      <c r="CA984" s="314"/>
      <c r="CB984" s="314"/>
      <c r="CC984" s="314"/>
      <c r="CD984" s="314"/>
    </row>
    <row r="985" ht="28.5" customHeight="1">
      <c r="A985" s="767"/>
      <c r="B985" s="768"/>
      <c r="C985" s="768"/>
      <c r="D985" s="769"/>
      <c r="E985" s="769"/>
      <c r="F985" s="769"/>
      <c r="G985" s="336"/>
      <c r="H985" s="771"/>
      <c r="I985" s="769"/>
      <c r="J985" s="769"/>
      <c r="K985" s="314"/>
      <c r="L985" s="314"/>
      <c r="M985" s="314"/>
      <c r="N985" s="769"/>
      <c r="O985" s="769"/>
      <c r="P985" s="773"/>
      <c r="Q985" s="774"/>
      <c r="R985" s="774"/>
      <c r="S985" s="775"/>
      <c r="AH985" s="776"/>
      <c r="AI985" s="776"/>
      <c r="AJ985" s="732"/>
      <c r="AK985" s="732"/>
      <c r="AL985" s="776"/>
      <c r="AM985" s="776"/>
      <c r="AN985" s="17"/>
      <c r="AO985" s="17"/>
      <c r="AP985" s="17"/>
      <c r="AQ985" s="17"/>
      <c r="AR985" s="17"/>
      <c r="AS985" s="17"/>
      <c r="AT985" s="17"/>
      <c r="AU985" s="732"/>
      <c r="AV985" s="313"/>
      <c r="AW985" s="313"/>
      <c r="AX985" s="313"/>
      <c r="AY985" s="313"/>
      <c r="AZ985" s="313"/>
      <c r="BA985" s="313"/>
      <c r="BB985" s="313"/>
      <c r="BC985" s="313"/>
      <c r="BD985" s="313"/>
      <c r="BE985" s="314"/>
      <c r="BW985" s="314"/>
      <c r="BX985" s="314"/>
      <c r="BY985" s="314"/>
      <c r="BZ985" s="314"/>
      <c r="CA985" s="314"/>
      <c r="CB985" s="314"/>
      <c r="CC985" s="314"/>
      <c r="CD985" s="314"/>
    </row>
    <row r="986" ht="28.5" customHeight="1">
      <c r="A986" s="767"/>
      <c r="B986" s="768"/>
      <c r="C986" s="768"/>
      <c r="D986" s="769"/>
      <c r="E986" s="769"/>
      <c r="F986" s="769"/>
      <c r="G986" s="336"/>
      <c r="H986" s="771"/>
      <c r="I986" s="769"/>
      <c r="J986" s="769"/>
      <c r="K986" s="314"/>
      <c r="L986" s="314"/>
      <c r="M986" s="314"/>
      <c r="N986" s="769"/>
      <c r="O986" s="769"/>
      <c r="P986" s="773"/>
      <c r="Q986" s="774"/>
      <c r="R986" s="774"/>
      <c r="S986" s="775"/>
      <c r="AH986" s="776"/>
      <c r="AI986" s="776"/>
      <c r="AJ986" s="732"/>
      <c r="AK986" s="732"/>
      <c r="AL986" s="776"/>
      <c r="AM986" s="776"/>
      <c r="AN986" s="17"/>
      <c r="AO986" s="17"/>
      <c r="AP986" s="17"/>
      <c r="AQ986" s="17"/>
      <c r="AR986" s="17"/>
      <c r="AS986" s="17"/>
      <c r="AT986" s="17"/>
      <c r="AU986" s="732"/>
      <c r="AV986" s="313"/>
      <c r="AW986" s="313"/>
      <c r="AX986" s="313"/>
      <c r="AY986" s="313"/>
      <c r="AZ986" s="313"/>
      <c r="BA986" s="313"/>
      <c r="BB986" s="313"/>
      <c r="BC986" s="313"/>
      <c r="BD986" s="313"/>
      <c r="BE986" s="314"/>
      <c r="BW986" s="314"/>
      <c r="BX986" s="314"/>
      <c r="BY986" s="314"/>
      <c r="BZ986" s="314"/>
      <c r="CA986" s="314"/>
      <c r="CB986" s="314"/>
      <c r="CC986" s="314"/>
      <c r="CD986" s="314"/>
    </row>
    <row r="987" ht="28.5" customHeight="1">
      <c r="A987" s="767"/>
      <c r="B987" s="768"/>
      <c r="C987" s="768"/>
      <c r="D987" s="769"/>
      <c r="E987" s="769"/>
      <c r="F987" s="769"/>
      <c r="G987" s="336"/>
      <c r="H987" s="771"/>
      <c r="I987" s="769"/>
      <c r="J987" s="769"/>
      <c r="K987" s="314"/>
      <c r="L987" s="314"/>
      <c r="M987" s="314"/>
      <c r="N987" s="769"/>
      <c r="O987" s="769"/>
      <c r="P987" s="773"/>
      <c r="Q987" s="774"/>
      <c r="R987" s="774"/>
      <c r="S987" s="775"/>
      <c r="AH987" s="776"/>
      <c r="AI987" s="776"/>
      <c r="AJ987" s="732"/>
      <c r="AK987" s="732"/>
      <c r="AL987" s="776"/>
      <c r="AM987" s="776"/>
      <c r="AN987" s="17"/>
      <c r="AO987" s="17"/>
      <c r="AP987" s="17"/>
      <c r="AQ987" s="17"/>
      <c r="AR987" s="17"/>
      <c r="AS987" s="17"/>
      <c r="AT987" s="17"/>
      <c r="AU987" s="732"/>
      <c r="AV987" s="313"/>
      <c r="AW987" s="313"/>
      <c r="AX987" s="313"/>
      <c r="AY987" s="313"/>
      <c r="AZ987" s="313"/>
      <c r="BA987" s="313"/>
      <c r="BB987" s="313"/>
      <c r="BC987" s="313"/>
      <c r="BD987" s="313"/>
      <c r="BE987" s="314"/>
      <c r="BW987" s="314"/>
      <c r="BX987" s="314"/>
      <c r="BY987" s="314"/>
      <c r="BZ987" s="314"/>
      <c r="CA987" s="314"/>
      <c r="CB987" s="314"/>
      <c r="CC987" s="314"/>
      <c r="CD987" s="314"/>
    </row>
    <row r="988" ht="28.5" customHeight="1">
      <c r="A988" s="767"/>
      <c r="B988" s="768"/>
      <c r="C988" s="768"/>
      <c r="D988" s="769"/>
      <c r="E988" s="769"/>
      <c r="F988" s="769"/>
      <c r="G988" s="336"/>
      <c r="H988" s="771"/>
      <c r="I988" s="769"/>
      <c r="J988" s="769"/>
      <c r="K988" s="314"/>
      <c r="L988" s="314"/>
      <c r="M988" s="314"/>
      <c r="N988" s="769"/>
      <c r="O988" s="769"/>
      <c r="P988" s="773"/>
      <c r="Q988" s="774"/>
      <c r="R988" s="774"/>
      <c r="S988" s="775"/>
      <c r="AH988" s="776"/>
      <c r="AI988" s="776"/>
      <c r="AJ988" s="732"/>
      <c r="AK988" s="732"/>
      <c r="AL988" s="776"/>
      <c r="AM988" s="776"/>
      <c r="AN988" s="17"/>
      <c r="AO988" s="17"/>
      <c r="AP988" s="17"/>
      <c r="AQ988" s="17"/>
      <c r="AR988" s="17"/>
      <c r="AS988" s="17"/>
      <c r="AT988" s="17"/>
      <c r="AU988" s="732"/>
      <c r="AV988" s="313"/>
      <c r="AW988" s="313"/>
      <c r="AX988" s="313"/>
      <c r="AY988" s="313"/>
      <c r="AZ988" s="313"/>
      <c r="BA988" s="313"/>
      <c r="BB988" s="313"/>
      <c r="BC988" s="313"/>
      <c r="BD988" s="313"/>
      <c r="BE988" s="314"/>
      <c r="BW988" s="314"/>
      <c r="BX988" s="314"/>
      <c r="BY988" s="314"/>
      <c r="BZ988" s="314"/>
      <c r="CA988" s="314"/>
      <c r="CB988" s="314"/>
      <c r="CC988" s="314"/>
      <c r="CD988" s="314"/>
    </row>
    <row r="989" ht="28.5" customHeight="1">
      <c r="A989" s="767"/>
      <c r="B989" s="768"/>
      <c r="C989" s="768"/>
      <c r="D989" s="769"/>
      <c r="E989" s="769"/>
      <c r="F989" s="769"/>
      <c r="G989" s="336"/>
      <c r="H989" s="771"/>
      <c r="I989" s="769"/>
      <c r="J989" s="769"/>
      <c r="K989" s="314"/>
      <c r="L989" s="314"/>
      <c r="M989" s="314"/>
      <c r="N989" s="769"/>
      <c r="O989" s="769"/>
      <c r="P989" s="773"/>
      <c r="Q989" s="774"/>
      <c r="R989" s="774"/>
      <c r="S989" s="775"/>
      <c r="AH989" s="776"/>
      <c r="AI989" s="776"/>
      <c r="AJ989" s="732"/>
      <c r="AK989" s="732"/>
      <c r="AL989" s="776"/>
      <c r="AM989" s="776"/>
      <c r="AN989" s="17"/>
      <c r="AO989" s="17"/>
      <c r="AP989" s="17"/>
      <c r="AQ989" s="17"/>
      <c r="AR989" s="17"/>
      <c r="AS989" s="17"/>
      <c r="AT989" s="17"/>
      <c r="AU989" s="732"/>
      <c r="AV989" s="313"/>
      <c r="AW989" s="313"/>
      <c r="AX989" s="313"/>
      <c r="AY989" s="313"/>
      <c r="AZ989" s="313"/>
      <c r="BA989" s="313"/>
      <c r="BB989" s="313"/>
      <c r="BC989" s="313"/>
      <c r="BD989" s="313"/>
      <c r="BE989" s="314"/>
      <c r="BW989" s="314"/>
      <c r="BX989" s="314"/>
      <c r="BY989" s="314"/>
      <c r="BZ989" s="314"/>
      <c r="CA989" s="314"/>
      <c r="CB989" s="314"/>
      <c r="CC989" s="314"/>
      <c r="CD989" s="314"/>
    </row>
    <row r="990" ht="28.5" customHeight="1">
      <c r="A990" s="767"/>
      <c r="B990" s="768"/>
      <c r="C990" s="768"/>
      <c r="D990" s="769"/>
      <c r="E990" s="769"/>
      <c r="F990" s="769"/>
      <c r="G990" s="336"/>
      <c r="H990" s="771"/>
      <c r="I990" s="769"/>
      <c r="J990" s="769"/>
      <c r="K990" s="314"/>
      <c r="L990" s="314"/>
      <c r="M990" s="314"/>
      <c r="N990" s="769"/>
      <c r="O990" s="769"/>
      <c r="P990" s="773"/>
      <c r="Q990" s="774"/>
      <c r="R990" s="774"/>
      <c r="S990" s="775"/>
      <c r="AH990" s="776"/>
      <c r="AI990" s="776"/>
      <c r="AJ990" s="732"/>
      <c r="AK990" s="732"/>
      <c r="AL990" s="776"/>
      <c r="AM990" s="776"/>
      <c r="AN990" s="17"/>
      <c r="AO990" s="17"/>
      <c r="AP990" s="17"/>
      <c r="AQ990" s="17"/>
      <c r="AR990" s="17"/>
      <c r="AS990" s="17"/>
      <c r="AT990" s="17"/>
      <c r="AU990" s="732"/>
      <c r="AV990" s="313"/>
      <c r="AW990" s="313"/>
      <c r="AX990" s="313"/>
      <c r="AY990" s="313"/>
      <c r="AZ990" s="313"/>
      <c r="BA990" s="313"/>
      <c r="BB990" s="313"/>
      <c r="BC990" s="313"/>
      <c r="BD990" s="313"/>
      <c r="BE990" s="314"/>
      <c r="BW990" s="314"/>
      <c r="BX990" s="314"/>
      <c r="BY990" s="314"/>
      <c r="BZ990" s="314"/>
      <c r="CA990" s="314"/>
      <c r="CB990" s="314"/>
      <c r="CC990" s="314"/>
      <c r="CD990" s="314"/>
    </row>
    <row r="991" ht="28.5" customHeight="1">
      <c r="A991" s="767"/>
      <c r="B991" s="768"/>
      <c r="C991" s="768"/>
      <c r="D991" s="769"/>
      <c r="E991" s="769"/>
      <c r="F991" s="769"/>
      <c r="G991" s="336"/>
      <c r="H991" s="771"/>
      <c r="I991" s="769"/>
      <c r="J991" s="769"/>
      <c r="K991" s="314"/>
      <c r="L991" s="314"/>
      <c r="M991" s="314"/>
      <c r="N991" s="769"/>
      <c r="O991" s="769"/>
      <c r="P991" s="773"/>
      <c r="Q991" s="774"/>
      <c r="R991" s="774"/>
      <c r="S991" s="775"/>
      <c r="AH991" s="776"/>
      <c r="AI991" s="776"/>
      <c r="AJ991" s="732"/>
      <c r="AK991" s="732"/>
      <c r="AL991" s="776"/>
      <c r="AM991" s="776"/>
      <c r="AN991" s="17"/>
      <c r="AO991" s="17"/>
      <c r="AP991" s="17"/>
      <c r="AQ991" s="17"/>
      <c r="AR991" s="17"/>
      <c r="AS991" s="17"/>
      <c r="AT991" s="17"/>
      <c r="AU991" s="732"/>
      <c r="AV991" s="313"/>
      <c r="AW991" s="313"/>
      <c r="AX991" s="313"/>
      <c r="AY991" s="313"/>
      <c r="AZ991" s="313"/>
      <c r="BA991" s="313"/>
      <c r="BB991" s="313"/>
      <c r="BC991" s="313"/>
      <c r="BD991" s="313"/>
      <c r="BE991" s="314"/>
      <c r="BW991" s="314"/>
      <c r="BX991" s="314"/>
      <c r="BY991" s="314"/>
      <c r="BZ991" s="314"/>
      <c r="CA991" s="314"/>
      <c r="CB991" s="314"/>
      <c r="CC991" s="314"/>
      <c r="CD991" s="314"/>
    </row>
    <row r="992" ht="28.5" customHeight="1">
      <c r="A992" s="767"/>
      <c r="B992" s="768"/>
      <c r="C992" s="768"/>
      <c r="D992" s="769"/>
      <c r="E992" s="769"/>
      <c r="F992" s="769"/>
      <c r="G992" s="336"/>
      <c r="H992" s="771"/>
      <c r="I992" s="769"/>
      <c r="J992" s="769"/>
      <c r="K992" s="314"/>
      <c r="L992" s="314"/>
      <c r="M992" s="314"/>
      <c r="N992" s="769"/>
      <c r="O992" s="769"/>
      <c r="P992" s="773"/>
      <c r="Q992" s="774"/>
      <c r="R992" s="774"/>
      <c r="S992" s="775"/>
      <c r="AH992" s="776"/>
      <c r="AI992" s="776"/>
      <c r="AJ992" s="732"/>
      <c r="AK992" s="732"/>
      <c r="AL992" s="776"/>
      <c r="AM992" s="776"/>
      <c r="AN992" s="17"/>
      <c r="AO992" s="17"/>
      <c r="AP992" s="17"/>
      <c r="AQ992" s="17"/>
      <c r="AR992" s="17"/>
      <c r="AS992" s="17"/>
      <c r="AT992" s="17"/>
      <c r="AU992" s="732"/>
      <c r="AV992" s="313"/>
      <c r="AW992" s="313"/>
      <c r="AX992" s="313"/>
      <c r="AY992" s="313"/>
      <c r="AZ992" s="313"/>
      <c r="BA992" s="313"/>
      <c r="BB992" s="313"/>
      <c r="BC992" s="313"/>
      <c r="BD992" s="313"/>
      <c r="BE992" s="314"/>
      <c r="BW992" s="314"/>
      <c r="BX992" s="314"/>
      <c r="BY992" s="314"/>
      <c r="BZ992" s="314"/>
      <c r="CA992" s="314"/>
      <c r="CB992" s="314"/>
      <c r="CC992" s="314"/>
      <c r="CD992" s="314"/>
    </row>
    <row r="993" ht="28.5" customHeight="1">
      <c r="A993" s="767"/>
      <c r="B993" s="768"/>
      <c r="C993" s="768"/>
      <c r="D993" s="769"/>
      <c r="E993" s="769"/>
      <c r="F993" s="769"/>
      <c r="G993" s="336"/>
      <c r="H993" s="771"/>
      <c r="I993" s="769"/>
      <c r="J993" s="769"/>
      <c r="K993" s="314"/>
      <c r="L993" s="314"/>
      <c r="M993" s="314"/>
      <c r="N993" s="769"/>
      <c r="O993" s="769"/>
      <c r="P993" s="773"/>
      <c r="Q993" s="774"/>
      <c r="R993" s="774"/>
      <c r="S993" s="775"/>
      <c r="AH993" s="776"/>
      <c r="AI993" s="776"/>
      <c r="AJ993" s="732"/>
      <c r="AK993" s="732"/>
      <c r="AL993" s="776"/>
      <c r="AM993" s="776"/>
      <c r="AN993" s="17"/>
      <c r="AO993" s="17"/>
      <c r="AP993" s="17"/>
      <c r="AQ993" s="17"/>
      <c r="AR993" s="17"/>
      <c r="AS993" s="17"/>
      <c r="AT993" s="17"/>
      <c r="AU993" s="732"/>
      <c r="AV993" s="313"/>
      <c r="AW993" s="313"/>
      <c r="AX993" s="313"/>
      <c r="AY993" s="313"/>
      <c r="AZ993" s="313"/>
      <c r="BA993" s="313"/>
      <c r="BB993" s="313"/>
      <c r="BC993" s="313"/>
      <c r="BD993" s="313"/>
      <c r="BE993" s="314"/>
      <c r="BW993" s="314"/>
      <c r="BX993" s="314"/>
      <c r="BY993" s="314"/>
      <c r="BZ993" s="314"/>
      <c r="CA993" s="314"/>
      <c r="CB993" s="314"/>
      <c r="CC993" s="314"/>
      <c r="CD993" s="314"/>
    </row>
    <row r="994" ht="28.5" customHeight="1">
      <c r="A994" s="767"/>
      <c r="B994" s="768"/>
      <c r="C994" s="768"/>
      <c r="D994" s="769"/>
      <c r="E994" s="769"/>
      <c r="F994" s="769"/>
      <c r="G994" s="336"/>
      <c r="H994" s="771"/>
      <c r="I994" s="769"/>
      <c r="J994" s="769"/>
      <c r="K994" s="314"/>
      <c r="L994" s="314"/>
      <c r="M994" s="314"/>
      <c r="N994" s="769"/>
      <c r="O994" s="769"/>
      <c r="P994" s="773"/>
      <c r="Q994" s="774"/>
      <c r="R994" s="774"/>
      <c r="S994" s="775"/>
      <c r="AH994" s="776"/>
      <c r="AI994" s="776"/>
      <c r="AJ994" s="732"/>
      <c r="AK994" s="732"/>
      <c r="AL994" s="776"/>
      <c r="AM994" s="776"/>
      <c r="AN994" s="17"/>
      <c r="AO994" s="17"/>
      <c r="AP994" s="17"/>
      <c r="AQ994" s="17"/>
      <c r="AR994" s="17"/>
      <c r="AS994" s="17"/>
      <c r="AT994" s="17"/>
      <c r="AU994" s="732"/>
      <c r="AV994" s="313"/>
      <c r="AW994" s="313"/>
      <c r="AX994" s="313"/>
      <c r="AY994" s="313"/>
      <c r="AZ994" s="313"/>
      <c r="BA994" s="313"/>
      <c r="BB994" s="313"/>
      <c r="BC994" s="313"/>
      <c r="BD994" s="313"/>
      <c r="BE994" s="314"/>
      <c r="BW994" s="314"/>
      <c r="BX994" s="314"/>
      <c r="BY994" s="314"/>
      <c r="BZ994" s="314"/>
      <c r="CA994" s="314"/>
      <c r="CB994" s="314"/>
      <c r="CC994" s="314"/>
      <c r="CD994" s="314"/>
    </row>
    <row r="995" ht="28.5" customHeight="1">
      <c r="A995" s="767"/>
      <c r="B995" s="768"/>
      <c r="C995" s="768"/>
      <c r="D995" s="769"/>
      <c r="E995" s="769"/>
      <c r="F995" s="769"/>
      <c r="G995" s="336"/>
      <c r="H995" s="771"/>
      <c r="I995" s="769"/>
      <c r="J995" s="769"/>
      <c r="K995" s="314"/>
      <c r="L995" s="314"/>
      <c r="M995" s="314"/>
      <c r="N995" s="769"/>
      <c r="O995" s="769"/>
      <c r="P995" s="773"/>
      <c r="Q995" s="774"/>
      <c r="R995" s="774"/>
      <c r="S995" s="775"/>
      <c r="AH995" s="776"/>
      <c r="AI995" s="776"/>
      <c r="AJ995" s="732"/>
      <c r="AK995" s="732"/>
      <c r="AL995" s="776"/>
      <c r="AM995" s="776"/>
      <c r="AN995" s="17"/>
      <c r="AO995" s="17"/>
      <c r="AP995" s="17"/>
      <c r="AQ995" s="17"/>
      <c r="AR995" s="17"/>
      <c r="AS995" s="17"/>
      <c r="AT995" s="17"/>
      <c r="AU995" s="732"/>
      <c r="AV995" s="313"/>
      <c r="AW995" s="313"/>
      <c r="AX995" s="313"/>
      <c r="AY995" s="313"/>
      <c r="AZ995" s="313"/>
      <c r="BA995" s="313"/>
      <c r="BB995" s="313"/>
      <c r="BC995" s="313"/>
      <c r="BD995" s="313"/>
      <c r="BE995" s="314"/>
      <c r="BW995" s="314"/>
      <c r="BX995" s="314"/>
      <c r="BY995" s="314"/>
      <c r="BZ995" s="314"/>
      <c r="CA995" s="314"/>
      <c r="CB995" s="314"/>
      <c r="CC995" s="314"/>
      <c r="CD995" s="314"/>
    </row>
    <row r="996" ht="28.5" customHeight="1">
      <c r="A996" s="767"/>
      <c r="B996" s="768"/>
      <c r="C996" s="768"/>
      <c r="D996" s="769"/>
      <c r="E996" s="769"/>
      <c r="F996" s="769"/>
      <c r="G996" s="336"/>
      <c r="H996" s="771"/>
      <c r="I996" s="769"/>
      <c r="J996" s="769"/>
      <c r="K996" s="314"/>
      <c r="L996" s="314"/>
      <c r="M996" s="314"/>
      <c r="N996" s="769"/>
      <c r="O996" s="769"/>
      <c r="P996" s="773"/>
      <c r="Q996" s="774"/>
      <c r="R996" s="774"/>
      <c r="S996" s="775"/>
      <c r="AH996" s="776"/>
      <c r="AI996" s="776"/>
      <c r="AJ996" s="732"/>
      <c r="AK996" s="732"/>
      <c r="AL996" s="776"/>
      <c r="AM996" s="776"/>
      <c r="AN996" s="17"/>
      <c r="AO996" s="17"/>
      <c r="AP996" s="17"/>
      <c r="AQ996" s="17"/>
      <c r="AR996" s="17"/>
      <c r="AS996" s="17"/>
      <c r="AT996" s="17"/>
      <c r="AU996" s="732"/>
      <c r="AV996" s="313"/>
      <c r="AW996" s="313"/>
      <c r="AX996" s="313"/>
      <c r="AY996" s="313"/>
      <c r="AZ996" s="313"/>
      <c r="BA996" s="313"/>
      <c r="BB996" s="313"/>
      <c r="BC996" s="313"/>
      <c r="BD996" s="313"/>
      <c r="BE996" s="314"/>
      <c r="BW996" s="314"/>
      <c r="BX996" s="314"/>
      <c r="BY996" s="314"/>
      <c r="BZ996" s="314"/>
      <c r="CA996" s="314"/>
      <c r="CB996" s="314"/>
      <c r="CC996" s="314"/>
      <c r="CD996" s="314"/>
    </row>
    <row r="997" ht="28.5" customHeight="1">
      <c r="A997" s="767"/>
      <c r="B997" s="768"/>
      <c r="C997" s="768"/>
      <c r="D997" s="769"/>
      <c r="E997" s="769"/>
      <c r="F997" s="769"/>
      <c r="G997" s="336"/>
      <c r="H997" s="771"/>
      <c r="I997" s="769"/>
      <c r="J997" s="769"/>
      <c r="K997" s="314"/>
      <c r="L997" s="314"/>
      <c r="M997" s="314"/>
      <c r="N997" s="769"/>
      <c r="O997" s="769"/>
      <c r="P997" s="773"/>
      <c r="Q997" s="774"/>
      <c r="R997" s="774"/>
      <c r="S997" s="775"/>
      <c r="AH997" s="776"/>
      <c r="AI997" s="776"/>
      <c r="AJ997" s="732"/>
      <c r="AK997" s="732"/>
      <c r="AL997" s="776"/>
      <c r="AM997" s="776"/>
      <c r="AN997" s="17"/>
      <c r="AO997" s="17"/>
      <c r="AP997" s="17"/>
      <c r="AQ997" s="17"/>
      <c r="AR997" s="17"/>
      <c r="AS997" s="17"/>
      <c r="AT997" s="17"/>
      <c r="AU997" s="732"/>
      <c r="AV997" s="313"/>
      <c r="AW997" s="313"/>
      <c r="AX997" s="313"/>
      <c r="AY997" s="313"/>
      <c r="AZ997" s="313"/>
      <c r="BA997" s="313"/>
      <c r="BB997" s="313"/>
      <c r="BC997" s="313"/>
      <c r="BD997" s="313"/>
      <c r="BE997" s="314"/>
      <c r="BW997" s="314"/>
      <c r="BX997" s="314"/>
      <c r="BY997" s="314"/>
      <c r="BZ997" s="314"/>
      <c r="CA997" s="314"/>
      <c r="CB997" s="314"/>
      <c r="CC997" s="314"/>
      <c r="CD997" s="314"/>
    </row>
    <row r="998" ht="28.5" customHeight="1">
      <c r="A998" s="767"/>
      <c r="B998" s="768"/>
      <c r="C998" s="768"/>
      <c r="D998" s="769"/>
      <c r="E998" s="769"/>
      <c r="F998" s="769"/>
      <c r="G998" s="336"/>
      <c r="H998" s="771"/>
      <c r="I998" s="769"/>
      <c r="J998" s="769"/>
      <c r="K998" s="314"/>
      <c r="L998" s="314"/>
      <c r="M998" s="314"/>
      <c r="N998" s="769"/>
      <c r="O998" s="769"/>
      <c r="P998" s="773"/>
      <c r="Q998" s="774"/>
      <c r="R998" s="774"/>
      <c r="S998" s="775"/>
      <c r="AH998" s="776"/>
      <c r="AI998" s="776"/>
      <c r="AJ998" s="732"/>
      <c r="AK998" s="732"/>
      <c r="AL998" s="776"/>
      <c r="AM998" s="776"/>
      <c r="AN998" s="17"/>
      <c r="AO998" s="17"/>
      <c r="AP998" s="17"/>
      <c r="AQ998" s="17"/>
      <c r="AR998" s="17"/>
      <c r="AS998" s="17"/>
      <c r="AT998" s="17"/>
      <c r="AU998" s="732"/>
      <c r="AV998" s="313"/>
      <c r="AW998" s="313"/>
      <c r="AX998" s="313"/>
      <c r="AY998" s="313"/>
      <c r="AZ998" s="313"/>
      <c r="BA998" s="313"/>
      <c r="BB998" s="313"/>
      <c r="BC998" s="313"/>
      <c r="BD998" s="313"/>
      <c r="BE998" s="314"/>
      <c r="BW998" s="314"/>
      <c r="BX998" s="314"/>
      <c r="BY998" s="314"/>
      <c r="BZ998" s="314"/>
      <c r="CA998" s="314"/>
      <c r="CB998" s="314"/>
      <c r="CC998" s="314"/>
      <c r="CD998" s="314"/>
    </row>
    <row r="999" ht="28.5" customHeight="1">
      <c r="A999" s="767"/>
      <c r="B999" s="768"/>
      <c r="C999" s="768"/>
      <c r="D999" s="769"/>
      <c r="E999" s="769"/>
      <c r="F999" s="769"/>
      <c r="G999" s="336"/>
      <c r="H999" s="771"/>
      <c r="I999" s="769"/>
      <c r="J999" s="769"/>
      <c r="K999" s="314"/>
      <c r="L999" s="314"/>
      <c r="M999" s="314"/>
      <c r="N999" s="769"/>
      <c r="O999" s="769"/>
      <c r="P999" s="773"/>
      <c r="Q999" s="774"/>
      <c r="R999" s="774"/>
      <c r="S999" s="775"/>
      <c r="AH999" s="776"/>
      <c r="AI999" s="776"/>
      <c r="AJ999" s="732"/>
      <c r="AK999" s="732"/>
      <c r="AL999" s="776"/>
      <c r="AM999" s="776"/>
      <c r="AN999" s="17"/>
      <c r="AO999" s="17"/>
      <c r="AP999" s="17"/>
      <c r="AQ999" s="17"/>
      <c r="AR999" s="17"/>
      <c r="AS999" s="17"/>
      <c r="AT999" s="17"/>
      <c r="AU999" s="732"/>
      <c r="AV999" s="313"/>
      <c r="AW999" s="313"/>
      <c r="AX999" s="313"/>
      <c r="AY999" s="313"/>
      <c r="AZ999" s="313"/>
      <c r="BA999" s="313"/>
      <c r="BB999" s="313"/>
      <c r="BC999" s="313"/>
      <c r="BD999" s="313"/>
      <c r="BE999" s="314"/>
      <c r="BW999" s="314"/>
      <c r="BX999" s="314"/>
      <c r="BY999" s="314"/>
      <c r="BZ999" s="314"/>
      <c r="CA999" s="314"/>
      <c r="CB999" s="314"/>
      <c r="CC999" s="314"/>
      <c r="CD999" s="314"/>
    </row>
    <row r="1000" ht="28.5" customHeight="1">
      <c r="A1000" s="767"/>
      <c r="B1000" s="768"/>
      <c r="C1000" s="768"/>
      <c r="D1000" s="769"/>
      <c r="E1000" s="769"/>
      <c r="F1000" s="769"/>
      <c r="G1000" s="336"/>
      <c r="H1000" s="771"/>
      <c r="I1000" s="769"/>
      <c r="J1000" s="769"/>
      <c r="K1000" s="314"/>
      <c r="L1000" s="314"/>
      <c r="M1000" s="314"/>
      <c r="N1000" s="769"/>
      <c r="O1000" s="769"/>
      <c r="P1000" s="773"/>
      <c r="Q1000" s="774"/>
      <c r="R1000" s="774"/>
      <c r="S1000" s="775"/>
      <c r="AH1000" s="776"/>
      <c r="AI1000" s="776"/>
      <c r="AJ1000" s="732"/>
      <c r="AK1000" s="732"/>
      <c r="AL1000" s="776"/>
      <c r="AM1000" s="776"/>
      <c r="AN1000" s="17"/>
      <c r="AO1000" s="17"/>
      <c r="AP1000" s="17"/>
      <c r="AQ1000" s="17"/>
      <c r="AR1000" s="17"/>
      <c r="AS1000" s="17"/>
      <c r="AT1000" s="17"/>
      <c r="AU1000" s="732"/>
      <c r="AV1000" s="313"/>
      <c r="AW1000" s="313"/>
      <c r="AX1000" s="313"/>
      <c r="AY1000" s="313"/>
      <c r="AZ1000" s="313"/>
      <c r="BA1000" s="313"/>
      <c r="BB1000" s="313"/>
      <c r="BC1000" s="313"/>
      <c r="BD1000" s="313"/>
      <c r="BE1000" s="314"/>
      <c r="BW1000" s="314"/>
      <c r="BX1000" s="314"/>
      <c r="BY1000" s="314"/>
      <c r="BZ1000" s="314"/>
      <c r="CA1000" s="314"/>
      <c r="CB1000" s="314"/>
      <c r="CC1000" s="314"/>
      <c r="CD1000" s="314"/>
    </row>
  </sheetData>
  <mergeCells count="16">
    <mergeCell ref="AV1:BE1"/>
    <mergeCell ref="Z2:AB2"/>
    <mergeCell ref="Z3:AB3"/>
    <mergeCell ref="Z4:AB4"/>
    <mergeCell ref="Z6:AB6"/>
    <mergeCell ref="Z7:AB7"/>
    <mergeCell ref="Z8:AB8"/>
    <mergeCell ref="AV57:BE57"/>
    <mergeCell ref="AV65:BE65"/>
    <mergeCell ref="Z9:AB9"/>
    <mergeCell ref="AV9:BE9"/>
    <mergeCell ref="AV17:BC17"/>
    <mergeCell ref="AV25:BC25"/>
    <mergeCell ref="AV33:BC33"/>
    <mergeCell ref="AV41:BC41"/>
    <mergeCell ref="AV49:BE49"/>
  </mergeCells>
  <conditionalFormatting sqref="L2:L71">
    <cfRule type="colorScale" priority="1">
      <colorScale>
        <cfvo type="min"/>
        <cfvo type="percentile" val="50"/>
        <cfvo type="max"/>
        <color rgb="FF63BE7B"/>
        <color rgb="FFFCFCFF"/>
        <color rgb="FFF8696B"/>
      </colorScale>
    </cfRule>
  </conditionalFormatting>
  <conditionalFormatting sqref="L2:M71">
    <cfRule type="colorScale" priority="2">
      <colorScale>
        <cfvo type="min"/>
        <cfvo type="percentile" val="50"/>
        <cfvo type="max"/>
        <color theme="9"/>
        <color theme="0"/>
        <color rgb="FFEF92A3"/>
      </colorScale>
    </cfRule>
  </conditionalFormatting>
  <conditionalFormatting sqref="L2:M71">
    <cfRule type="colorScale" priority="3">
      <colorScale>
        <cfvo type="min"/>
        <cfvo type="max"/>
        <color theme="9"/>
        <color rgb="FFEF92A3"/>
      </colorScale>
    </cfRule>
  </conditionalFormatting>
  <conditionalFormatting sqref="L2:M71">
    <cfRule type="colorScale" priority="4">
      <colorScale>
        <cfvo type="min"/>
        <cfvo type="max"/>
        <color rgb="FFA8D08D"/>
        <color rgb="FFEF92A3"/>
      </colorScale>
    </cfRule>
  </conditionalFormatting>
  <conditionalFormatting sqref="L2:M71">
    <cfRule type="colorScale" priority="5">
      <colorScale>
        <cfvo type="min"/>
        <cfvo type="max"/>
        <color rgb="FFFBE4D5"/>
        <color rgb="FFC5E0B3"/>
      </colorScale>
    </cfRule>
  </conditionalFormatting>
  <conditionalFormatting sqref="M2:M71">
    <cfRule type="colorScale" priority="6">
      <colorScale>
        <cfvo type="min"/>
        <cfvo type="max"/>
        <color rgb="FF63BE7B"/>
        <color rgb="FFFCFCFF"/>
      </colorScale>
    </cfRule>
  </conditionalFormatting>
  <conditionalFormatting sqref="Q2:Q71">
    <cfRule type="colorScale" priority="7">
      <colorScale>
        <cfvo type="formula" val="0"/>
        <cfvo type="percentile" val="50"/>
        <cfvo type="max"/>
        <color theme="9"/>
        <color theme="0"/>
        <color rgb="FFF4B083"/>
      </colorScale>
    </cfRule>
  </conditionalFormatting>
  <conditionalFormatting sqref="Q2:Q71">
    <cfRule type="colorScale" priority="8">
      <colorScale>
        <cfvo type="formula" val="0"/>
        <cfvo type="formula" val="20"/>
        <cfvo type="formula" val="40"/>
        <color rgb="FFE2EFD9"/>
        <color theme="0"/>
        <color rgb="FFEF92A3"/>
      </colorScale>
    </cfRule>
  </conditionalFormatting>
  <conditionalFormatting sqref="Q2:Q71">
    <cfRule type="colorScale" priority="9">
      <colorScale>
        <cfvo type="formula" val="0"/>
        <cfvo type="percentile" val="20"/>
        <cfvo type="formula" val="40"/>
        <color theme="9"/>
        <color theme="0"/>
        <color rgb="FFEF92A3"/>
      </colorScale>
    </cfRule>
  </conditionalFormatting>
  <conditionalFormatting sqref="Q2:Q71">
    <cfRule type="colorScale" priority="10">
      <colorScale>
        <cfvo type="min"/>
        <cfvo type="percentile" val="50"/>
        <cfvo type="max"/>
        <color rgb="FFEF92A3"/>
        <color theme="0"/>
        <color theme="9"/>
      </colorScale>
    </cfRule>
  </conditionalFormatting>
  <conditionalFormatting sqref="R2:R71">
    <cfRule type="colorScale" priority="11">
      <colorScale>
        <cfvo type="min"/>
        <cfvo type="percentile" val="50"/>
        <cfvo type="max"/>
        <color rgb="FFF4B083"/>
        <color theme="0"/>
        <color rgb="FFA8D08D"/>
      </colorScale>
    </cfRule>
  </conditionalFormatting>
  <conditionalFormatting sqref="AH2:AH71">
    <cfRule type="colorScale" priority="12">
      <colorScale>
        <cfvo type="min"/>
        <cfvo type="percentile" val="50"/>
        <cfvo type="max"/>
        <color rgb="FF63BE7B"/>
        <color rgb="FFFCFCFF"/>
        <color rgb="FFF8696B"/>
      </colorScale>
    </cfRule>
  </conditionalFormatting>
  <conditionalFormatting sqref="AK2:AK71">
    <cfRule type="colorScale" priority="13">
      <colorScale>
        <cfvo type="min"/>
        <cfvo type="percentile" val="50"/>
        <cfvo type="max"/>
        <color rgb="FF63BE7B"/>
        <color rgb="FFFCFCFF"/>
        <color rgb="FFF8696B"/>
      </colorScale>
    </cfRule>
  </conditionalFormatting>
  <conditionalFormatting sqref="AL2:AL71">
    <cfRule type="colorScale" priority="14">
      <colorScale>
        <cfvo type="min"/>
        <cfvo type="percentile" val="50"/>
        <cfvo type="max"/>
        <color rgb="FF63BE7B"/>
        <color rgb="FFFCFCFF"/>
        <color rgb="FFF8696B"/>
      </colorScale>
    </cfRule>
  </conditionalFormatting>
  <conditionalFormatting sqref="AM2:AM71">
    <cfRule type="colorScale" priority="15">
      <colorScale>
        <cfvo type="min"/>
        <cfvo type="percentile" val="50"/>
        <cfvo type="max"/>
        <color rgb="FF63BE7B"/>
        <color rgb="FFFCFCFF"/>
        <color rgb="FFF8696B"/>
      </colorScale>
    </cfRule>
  </conditionalFormatting>
  <conditionalFormatting sqref="AP2:AP71">
    <cfRule type="colorScale" priority="16">
      <colorScale>
        <cfvo type="min"/>
        <cfvo type="percentile" val="50"/>
        <cfvo type="max"/>
        <color rgb="FF63BE7B"/>
        <color rgb="FFFCFCFF"/>
        <color rgb="FFF8696B"/>
      </colorScale>
    </cfRule>
  </conditionalFormatting>
  <conditionalFormatting sqref="AQ2:AT71">
    <cfRule type="colorScale" priority="17">
      <colorScale>
        <cfvo type="min"/>
        <cfvo type="percentile" val="50"/>
        <cfvo type="max"/>
        <color rgb="FF63BE7B"/>
        <color rgb="FFFCFCFF"/>
        <color rgb="FFF8696B"/>
      </colorScale>
    </cfRule>
  </conditionalFormatting>
  <conditionalFormatting sqref="AR2:AR71">
    <cfRule type="colorScale" priority="18">
      <colorScale>
        <cfvo type="min"/>
        <cfvo type="percentile" val="50"/>
        <cfvo type="max"/>
        <color rgb="FFF8696B"/>
        <color rgb="FFFCFCFF"/>
        <color rgb="FF63BE7B"/>
      </colorScale>
    </cfRule>
  </conditionalFormatting>
  <conditionalFormatting sqref="AW3:AW7">
    <cfRule type="colorScale" priority="19">
      <colorScale>
        <cfvo type="min"/>
        <cfvo type="max"/>
        <color rgb="FF63BE7B"/>
        <color rgb="FFFCFCFF"/>
      </colorScale>
    </cfRule>
  </conditionalFormatting>
  <conditionalFormatting sqref="AW11:AW15">
    <cfRule type="colorScale" priority="20">
      <colorScale>
        <cfvo type="min"/>
        <cfvo type="max"/>
        <color rgb="FF63BE7B"/>
        <color rgb="FFFCFCFF"/>
      </colorScale>
    </cfRule>
  </conditionalFormatting>
  <conditionalFormatting sqref="AW19:AW23">
    <cfRule type="colorScale" priority="21">
      <colorScale>
        <cfvo type="min"/>
        <cfvo type="max"/>
        <color rgb="FF63BE7B"/>
        <color rgb="FFFCFCFF"/>
      </colorScale>
    </cfRule>
  </conditionalFormatting>
  <conditionalFormatting sqref="AW27:AW31">
    <cfRule type="colorScale" priority="22">
      <colorScale>
        <cfvo type="min"/>
        <cfvo type="max"/>
        <color rgb="FFFCFCFF"/>
        <color rgb="FF63BE7B"/>
      </colorScale>
    </cfRule>
  </conditionalFormatting>
  <conditionalFormatting sqref="AW35:AW39">
    <cfRule type="colorScale" priority="23">
      <colorScale>
        <cfvo type="min"/>
        <cfvo type="max"/>
        <color rgb="FFFCFCFF"/>
        <color rgb="FF63BE7B"/>
      </colorScale>
    </cfRule>
  </conditionalFormatting>
  <conditionalFormatting sqref="AW43:AW47">
    <cfRule type="colorScale" priority="24">
      <colorScale>
        <cfvo type="min"/>
        <cfvo type="max"/>
        <color rgb="FF63BE7B"/>
        <color rgb="FFFCFCFF"/>
      </colorScale>
    </cfRule>
  </conditionalFormatting>
  <conditionalFormatting sqref="AW51:AW55">
    <cfRule type="colorScale" priority="25">
      <colorScale>
        <cfvo type="min"/>
        <cfvo type="max"/>
        <color rgb="FF63BE7B"/>
        <color rgb="FFFCFCFF"/>
      </colorScale>
    </cfRule>
  </conditionalFormatting>
  <conditionalFormatting sqref="AW59:AW63">
    <cfRule type="colorScale" priority="26">
      <colorScale>
        <cfvo type="min"/>
        <cfvo type="max"/>
        <color rgb="FF63BE7B"/>
        <color rgb="FFFCFCFF"/>
      </colorScale>
    </cfRule>
  </conditionalFormatting>
  <conditionalFormatting sqref="AW67:AW71">
    <cfRule type="colorScale" priority="27">
      <colorScale>
        <cfvo type="min"/>
        <cfvo type="max"/>
        <color rgb="FF63BE7B"/>
        <color rgb="FFFCFCFF"/>
      </colorScale>
    </cfRule>
  </conditionalFormatting>
  <conditionalFormatting sqref="BC3:BC7">
    <cfRule type="colorScale" priority="28">
      <colorScale>
        <cfvo type="min"/>
        <cfvo type="max"/>
        <color rgb="FF63BE7B"/>
        <color rgb="FFFCFCFF"/>
      </colorScale>
    </cfRule>
  </conditionalFormatting>
  <conditionalFormatting sqref="BC11:BC15">
    <cfRule type="colorScale" priority="29">
      <colorScale>
        <cfvo type="min"/>
        <cfvo type="max"/>
        <color rgb="FF63BE7B"/>
        <color rgb="FFFCFCFF"/>
      </colorScale>
    </cfRule>
  </conditionalFormatting>
  <conditionalFormatting sqref="BC51:BC55">
    <cfRule type="colorScale" priority="30">
      <colorScale>
        <cfvo type="min"/>
        <cfvo type="max"/>
        <color rgb="FF63BE7B"/>
        <color rgb="FFFCFCFF"/>
      </colorScale>
    </cfRule>
  </conditionalFormatting>
  <conditionalFormatting sqref="BD3:BD7">
    <cfRule type="colorScale" priority="31">
      <colorScale>
        <cfvo type="min"/>
        <cfvo type="max"/>
        <color rgb="FFFCFCFF"/>
        <color rgb="FF63BE7B"/>
      </colorScale>
    </cfRule>
  </conditionalFormatting>
  <conditionalFormatting sqref="BD11:BD15">
    <cfRule type="colorScale" priority="32">
      <colorScale>
        <cfvo type="min"/>
        <cfvo type="max"/>
        <color rgb="FFFCFCFF"/>
        <color rgb="FF63BE7B"/>
      </colorScale>
    </cfRule>
  </conditionalFormatting>
  <conditionalFormatting sqref="BD51:BD55">
    <cfRule type="colorScale" priority="33">
      <colorScale>
        <cfvo type="min"/>
        <cfvo type="max"/>
        <color rgb="FFF8696B"/>
        <color rgb="FFFCFCFF"/>
      </colorScale>
    </cfRule>
  </conditionalFormatting>
  <conditionalFormatting sqref="BE3:BE7">
    <cfRule type="colorScale" priority="34">
      <colorScale>
        <cfvo type="min"/>
        <cfvo type="max"/>
        <color rgb="FF63BE7B"/>
        <color rgb="FFFCFCFF"/>
      </colorScale>
    </cfRule>
  </conditionalFormatting>
  <conditionalFormatting sqref="BK2:BK11">
    <cfRule type="colorScale" priority="35">
      <colorScale>
        <cfvo type="min"/>
        <cfvo type="percentile" val="50"/>
        <cfvo type="max"/>
        <color rgb="FFF8696B"/>
        <color rgb="FFFCFCFF"/>
        <color rgb="FF63BE7B"/>
      </colorScale>
    </cfRule>
  </conditionalFormatting>
  <conditionalFormatting sqref="BO2:BO11">
    <cfRule type="colorScale" priority="36">
      <colorScale>
        <cfvo type="min"/>
        <cfvo type="percentile" val="50"/>
        <cfvo type="max"/>
        <color rgb="FFF8696B"/>
        <color rgb="FFFCFCFF"/>
        <color rgb="FF63BE7B"/>
      </colorScale>
    </cfRule>
  </conditionalFormatting>
  <conditionalFormatting sqref="BR2:BR11">
    <cfRule type="colorScale" priority="37">
      <colorScale>
        <cfvo type="min"/>
        <cfvo type="percentile" val="50"/>
        <cfvo type="max"/>
        <color rgb="FFF8696B"/>
        <color rgb="FFFCFCFF"/>
        <color rgb="FF63BE7B"/>
      </colorScale>
    </cfRule>
  </conditionalFormatting>
  <conditionalFormatting sqref="BR2:BS11">
    <cfRule type="colorScale" priority="38">
      <colorScale>
        <cfvo type="min"/>
        <cfvo type="percentile" val="50"/>
        <cfvo type="max"/>
        <color rgb="FFF8696B"/>
        <color rgb="FFFCFCFF"/>
        <color rgb="FF63BE7B"/>
      </colorScale>
    </cfRule>
  </conditionalFormatting>
  <conditionalFormatting sqref="CE2:CE11">
    <cfRule type="colorScale" priority="39">
      <colorScale>
        <cfvo type="min"/>
        <cfvo type="percentile" val="50"/>
        <cfvo type="max"/>
        <color rgb="FF63BE7B"/>
        <color rgb="FFFCFCFF"/>
        <color rgb="FFF8696B"/>
      </colorScale>
    </cfRule>
  </conditionalFormatting>
  <conditionalFormatting sqref="BZ2:BZ11 CC2:CC11">
    <cfRule type="colorScale" priority="40">
      <colorScale>
        <cfvo type="min"/>
        <cfvo type="percentile" val="50"/>
        <cfvo type="max"/>
        <color rgb="FFE67C73"/>
        <color rgb="FFFFFFFF"/>
        <color rgb="FF57BB8A"/>
      </colorScale>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1.22" defaultRowHeight="15.0"/>
  <cols>
    <col customWidth="1" min="1" max="1" width="4.44"/>
    <col customWidth="1" min="2" max="2" width="21.89"/>
    <col customWidth="1" min="3" max="3" width="10.11"/>
    <col customWidth="1" min="4" max="4" width="9.78"/>
    <col customWidth="1" min="5" max="5" width="9.11"/>
    <col customWidth="1" min="6" max="6" width="10.89"/>
    <col customWidth="1" min="7" max="7" width="8.78"/>
    <col customWidth="1" min="8" max="8" width="9.78"/>
    <col customWidth="1" min="9" max="9" width="9.89"/>
    <col customWidth="1" min="10" max="10" width="9.67"/>
    <col customWidth="1" min="11" max="11" width="11.22"/>
    <col customWidth="1" hidden="1" min="12" max="12" width="4.44"/>
    <col customWidth="1" hidden="1" min="13" max="16" width="8.67"/>
    <col customWidth="1" hidden="1" min="17" max="17" width="6.78"/>
    <col customWidth="1" min="18" max="18" width="9.0"/>
    <col customWidth="1" min="19" max="19" width="9.78"/>
    <col customWidth="1" min="20" max="20" width="9.56"/>
    <col customWidth="1" min="21" max="24" width="6.11"/>
    <col customWidth="1" min="25" max="26" width="7.56"/>
    <col customWidth="1" min="27" max="27" width="7.44"/>
    <col customWidth="1" min="28" max="28" width="6.78"/>
    <col customWidth="1" min="29" max="29" width="6.33"/>
    <col customWidth="1" min="30" max="30" width="7.44"/>
    <col customWidth="1" min="31" max="31" width="7.22"/>
    <col customWidth="1" min="32" max="32" width="6.22"/>
    <col customWidth="1" min="33" max="33" width="6.33"/>
    <col hidden="1" min="34" max="34" width="11.22"/>
    <col customWidth="1" min="35" max="35" width="5.44"/>
    <col customWidth="1" min="36" max="36" width="6.44"/>
    <col customWidth="1" min="37" max="37" width="5.89"/>
    <col customWidth="1" min="38" max="39" width="6.56"/>
    <col customWidth="1" min="40" max="40" width="5.89"/>
    <col customWidth="1" min="41" max="41" width="7.44"/>
    <col customWidth="1" min="42" max="43" width="5.78"/>
    <col hidden="1" min="44" max="44" width="11.22"/>
    <col customWidth="1" min="45" max="45" width="11.0"/>
    <col customWidth="1" min="46" max="46" width="10.33"/>
  </cols>
  <sheetData>
    <row r="1">
      <c r="A1" s="19" t="s">
        <v>42</v>
      </c>
      <c r="B1" s="26" t="str">
        <f>'Weekly Scores'!BH1</f>
        <v>Team Name</v>
      </c>
      <c r="C1" s="30" t="str">
        <f>'Weekly Scores'!BI1</f>
        <v>Overall Wins</v>
      </c>
      <c r="D1" s="30" t="str">
        <f>'Weekly Scores'!BJ1</f>
        <v>Overall Losses</v>
      </c>
      <c r="E1" s="36" t="str">
        <f>'Weekly Scores'!BK1</f>
        <v>Overall Win %</v>
      </c>
      <c r="F1" s="37" t="s">
        <v>57</v>
      </c>
      <c r="G1" s="41" t="str">
        <f>'Weekly Scores'!BL1</f>
        <v>Division Name</v>
      </c>
      <c r="H1" s="44" t="str">
        <f>'Weekly Scores'!BM1</f>
        <v>Divisional Wins</v>
      </c>
      <c r="I1" s="44" t="str">
        <f>'Weekly Scores'!BN1</f>
        <v>Divisonal Losses</v>
      </c>
      <c r="J1" s="44" t="str">
        <f>'Weekly Scores'!BO1</f>
        <v>Divisional Win %</v>
      </c>
      <c r="K1" s="48" t="s">
        <v>80</v>
      </c>
      <c r="L1" s="51" t="s">
        <v>84</v>
      </c>
      <c r="M1" s="51" t="s">
        <v>86</v>
      </c>
      <c r="N1" s="51" t="s">
        <v>87</v>
      </c>
      <c r="O1" s="51" t="s">
        <v>88</v>
      </c>
      <c r="P1" s="56" t="s">
        <v>89</v>
      </c>
      <c r="Q1" s="56" t="s">
        <v>90</v>
      </c>
      <c r="R1" s="56" t="s">
        <v>91</v>
      </c>
      <c r="S1" s="57" t="s">
        <v>92</v>
      </c>
      <c r="T1" s="58" t="s">
        <v>93</v>
      </c>
      <c r="U1" s="58" t="s">
        <v>94</v>
      </c>
      <c r="V1" s="60" t="s">
        <v>95</v>
      </c>
      <c r="W1" s="61" t="s">
        <v>96</v>
      </c>
      <c r="X1" s="62" t="s">
        <v>97</v>
      </c>
      <c r="Y1" s="63" t="s">
        <v>98</v>
      </c>
      <c r="Z1" s="65" t="s">
        <v>99</v>
      </c>
      <c r="AA1" s="69" t="str">
        <f>'Weekly Scores'!BP1</f>
        <v>MOTW Wins</v>
      </c>
      <c r="AB1" s="72" t="str">
        <f>'Weekly Scores'!BQ1</f>
        <v>MOTW Losses</v>
      </c>
      <c r="AC1" s="72" t="str">
        <f>'Weekly Scores'!BR1</f>
        <v>MOTW Win %</v>
      </c>
      <c r="AD1" s="72" t="str">
        <f>'Weekly Scores'!BS1</f>
        <v>MOTW GAMES PLAY</v>
      </c>
      <c r="AE1" s="74" t="str">
        <f>'Weekly Scores'!BT1</f>
        <v>MOTW RANK</v>
      </c>
      <c r="AF1" s="75" t="str">
        <f>'Weekly Scores'!BU1</f>
        <v>UPSETS</v>
      </c>
      <c r="AG1" s="76" t="str">
        <f>'Weekly Scores'!BV1</f>
        <v/>
      </c>
      <c r="AH1" s="79" t="str">
        <f>'Weekly Scores'!BW1</f>
        <v>BLOWOUTS</v>
      </c>
      <c r="AI1" s="81" t="str">
        <f>'Weekly Scores'!BX1</f>
        <v>AWAY Wins</v>
      </c>
      <c r="AJ1" s="83" t="str">
        <f>'Weekly Scores'!BY1</f>
        <v>AWAY Losses</v>
      </c>
      <c r="AK1" s="83" t="str">
        <f>'Weekly Scores'!BZ1</f>
        <v>Away Win %</v>
      </c>
      <c r="AL1" s="84" t="s">
        <v>112</v>
      </c>
      <c r="AM1" s="86" t="str">
        <f>'Weekly Scores'!CA1</f>
        <v>HOME Wins</v>
      </c>
      <c r="AN1" s="87" t="str">
        <f>'Weekly Scores'!CB1</f>
        <v>HOME Losses</v>
      </c>
      <c r="AO1" s="87" t="str">
        <f>'Weekly Scores'!CC1</f>
        <v>HOME Win %</v>
      </c>
      <c r="AP1" s="89" t="s">
        <v>114</v>
      </c>
      <c r="AQ1" s="90" t="str">
        <f>'Weekly Scores'!CD1</f>
        <v/>
      </c>
      <c r="AR1" s="91" t="str">
        <f>'Weekly Scores'!CE1</f>
        <v>Schedule Competivness</v>
      </c>
      <c r="AS1" s="92" t="str">
        <f>'Weekly Scores'!CF1</f>
        <v>SOS L</v>
      </c>
    </row>
    <row r="2">
      <c r="A2" s="93">
        <f>'League Standings Positioning'!O2</f>
        <v>3</v>
      </c>
      <c r="B2" s="94" t="str">
        <f>'Weekly Scores'!BH2</f>
        <v>DECOUPES</v>
      </c>
      <c r="C2" s="97">
        <f>'Weekly Scores'!BI2</f>
        <v>9</v>
      </c>
      <c r="D2" s="97">
        <f>'Weekly Scores'!BJ2</f>
        <v>5</v>
      </c>
      <c r="E2" s="99">
        <f>'Weekly Scores'!BK2</f>
        <v>0.6428571429</v>
      </c>
      <c r="F2" s="101">
        <f t="shared" ref="F2:F11" si="1">RANK(E2,$E$2:$E$11,0)</f>
        <v>2</v>
      </c>
      <c r="G2" s="102" t="str">
        <f>'Weekly Scores'!BL2</f>
        <v>PRODIGY</v>
      </c>
      <c r="H2" s="104">
        <f>'Weekly Scores'!BM2</f>
        <v>5</v>
      </c>
      <c r="I2" s="104">
        <f>'Weekly Scores'!BN2</f>
        <v>3</v>
      </c>
      <c r="J2" s="106">
        <f>'Weekly Scores'!BO2</f>
        <v>0.625</v>
      </c>
      <c r="K2" s="108">
        <f t="shared" ref="K2:K11" si="2">RANK(J2,$J$2:$J$11,0) + (COUNTIFS($J$2:$J$11,J2,$H$2:$H$11,"&gt;"&amp;H2))</f>
        <v>2</v>
      </c>
      <c r="L2" s="109"/>
      <c r="M2" s="109">
        <f>rank(J2,J$2:J$11)</f>
        <v>2</v>
      </c>
      <c r="N2" s="109">
        <f t="shared" ref="N2:N11" si="3">rank(H2,H$2:H$11)</f>
        <v>2</v>
      </c>
      <c r="O2" s="109">
        <f t="shared" ref="O2:O11" si="4">rank(I2,$I$2:$I$11,1)</f>
        <v>2</v>
      </c>
      <c r="P2" s="115">
        <f t="shared" ref="P2:P11" si="5">Rank(R2,R$2:R$11,1)</f>
        <v>8</v>
      </c>
      <c r="Q2" s="115">
        <f t="shared" ref="Q2:Q11" si="6">Rank(R2,R$2:R$11,0)</f>
        <v>3</v>
      </c>
      <c r="R2" s="117">
        <f t="array" ref="R2:R11">TRANSPOSE('MVT 2.0'!C22:L22)</f>
        <v>2302.12</v>
      </c>
      <c r="S2" s="118">
        <f>'MVT SCORING'!AO4</f>
        <v>4</v>
      </c>
      <c r="T2" s="104">
        <f>'MVT SCORING'!AP4</f>
        <v>2</v>
      </c>
      <c r="U2" s="106">
        <f>'MVT SCORING'!AQ4</f>
        <v>0.6666666667</v>
      </c>
      <c r="V2" s="108">
        <f t="shared" ref="V2:V11" si="7">RANK(U2,$U$2:$U$11,0) + (COUNTIFS($U$2:$U$11,U2,$S$2:$S$11,"&gt;"&amp;S2))</f>
        <v>3</v>
      </c>
      <c r="W2" s="121">
        <f>'MVT 2.0'!AK2:AK11</f>
        <v>3</v>
      </c>
      <c r="X2" s="122">
        <f>'MVT 2.0'!AM2:AM11</f>
        <v>26</v>
      </c>
      <c r="Y2" s="123">
        <f>'All-Stars'!BB3</f>
        <v>10</v>
      </c>
      <c r="Z2" s="124">
        <f>'All-Stars'!BD3</f>
        <v>11</v>
      </c>
      <c r="AA2" s="125">
        <f>'Weekly Scores'!BP2</f>
        <v>0</v>
      </c>
      <c r="AB2" s="97">
        <f>'Weekly Scores'!BQ2</f>
        <v>2</v>
      </c>
      <c r="AC2" s="127">
        <f>'Weekly Scores'!BR2</f>
        <v>0</v>
      </c>
      <c r="AD2" s="128">
        <f>'Weekly Scores'!BS2</f>
        <v>2</v>
      </c>
      <c r="AE2" s="129">
        <f>'Weekly Scores'!BT2</f>
        <v>6</v>
      </c>
      <c r="AF2" s="125">
        <f>'Weekly Scores'!BU2</f>
        <v>4</v>
      </c>
      <c r="AG2" s="97" t="str">
        <f>'Weekly Scores'!BV2</f>
        <v/>
      </c>
      <c r="AH2" s="130">
        <f>'Weekly Scores'!BW2</f>
        <v>4</v>
      </c>
      <c r="AI2" s="118">
        <f>'Weekly Scores'!BX2</f>
        <v>5</v>
      </c>
      <c r="AJ2" s="104">
        <f>'Weekly Scores'!BY2</f>
        <v>2</v>
      </c>
      <c r="AK2" s="106">
        <f>'Weekly Scores'!BZ2</f>
        <v>0.7142857143</v>
      </c>
      <c r="AL2" s="132">
        <f t="shared" ref="AL2:AL11" si="8">RANK(AK2,$AK$2:$AK$11,0) + (COUNTIFS($AK$2:$AK$11,AK2,$AI$2:$AI$11,"&gt;"&amp;AI2))</f>
        <v>3</v>
      </c>
      <c r="AM2" s="118">
        <f>'Weekly Scores'!CA2</f>
        <v>4</v>
      </c>
      <c r="AN2" s="104">
        <f>'Weekly Scores'!CB2</f>
        <v>3</v>
      </c>
      <c r="AO2" s="106">
        <f>'Weekly Scores'!CC2</f>
        <v>0.5714285714</v>
      </c>
      <c r="AP2" s="108">
        <f t="shared" ref="AP2:AP11" si="9">RANK(AO2,$AO$2:$AO$11,0) + (COUNTIFS($AO$2:$AO$11,AO2,$AM$2:$AM$11,"&gt;"&amp;AM2))</f>
        <v>2</v>
      </c>
      <c r="AQ2" s="109" t="str">
        <f>'Weekly Scores'!CD2</f>
        <v/>
      </c>
      <c r="AR2" s="142">
        <f>'Weekly Scores'!CE2</f>
        <v>12.30242991</v>
      </c>
      <c r="AS2" s="143">
        <f>'Weekly Scores'!CF2</f>
        <v>10.83560606</v>
      </c>
    </row>
    <row r="3">
      <c r="A3" s="93">
        <f>'League Standings Positioning'!O3</f>
        <v>5</v>
      </c>
      <c r="B3" s="147" t="str">
        <f>'Weekly Scores'!BH3</f>
        <v>POPEYES</v>
      </c>
      <c r="C3" s="104">
        <f>'Weekly Scores'!BI3</f>
        <v>7</v>
      </c>
      <c r="D3" s="104">
        <f>'Weekly Scores'!BJ3</f>
        <v>7</v>
      </c>
      <c r="E3" s="150">
        <f>'Weekly Scores'!BK3</f>
        <v>0.5</v>
      </c>
      <c r="F3" s="123">
        <f t="shared" si="1"/>
        <v>4</v>
      </c>
      <c r="G3" s="153" t="str">
        <f>'Weekly Scores'!BL3</f>
        <v>PRODIGY</v>
      </c>
      <c r="H3" s="104">
        <f>'Weekly Scores'!BM3</f>
        <v>2</v>
      </c>
      <c r="I3" s="104">
        <f>'Weekly Scores'!BN3</f>
        <v>6</v>
      </c>
      <c r="J3" s="106">
        <f>'Weekly Scores'!BO3</f>
        <v>0.25</v>
      </c>
      <c r="K3" s="108">
        <f t="shared" si="2"/>
        <v>8</v>
      </c>
      <c r="L3" s="109"/>
      <c r="M3" s="109">
        <f t="shared" ref="M3:M11" si="10">IF(N3="","", RANK(N3, $N$2:$N$11, 0))
</f>
        <v>1</v>
      </c>
      <c r="N3" s="109">
        <f t="shared" si="3"/>
        <v>8</v>
      </c>
      <c r="O3" s="109">
        <f t="shared" si="4"/>
        <v>8</v>
      </c>
      <c r="P3" s="115">
        <f t="shared" si="5"/>
        <v>5</v>
      </c>
      <c r="Q3" s="115">
        <f t="shared" si="6"/>
        <v>6</v>
      </c>
      <c r="R3" s="157">
        <v>2258.98</v>
      </c>
      <c r="S3" s="118">
        <f>'MVT SCORING'!AO5</f>
        <v>5</v>
      </c>
      <c r="T3" s="104">
        <f>'MVT SCORING'!AP5</f>
        <v>1</v>
      </c>
      <c r="U3" s="106">
        <f>'MVT SCORING'!AQ5</f>
        <v>0.8333333333</v>
      </c>
      <c r="V3" s="108">
        <f t="shared" si="7"/>
        <v>2</v>
      </c>
      <c r="W3" s="164">
        <f>'MVT 2.0'!AK3:AK12</f>
        <v>10</v>
      </c>
      <c r="X3" s="165">
        <f>'MVT 2.0'!AM3:AM12</f>
        <v>9.75</v>
      </c>
      <c r="Y3" s="166">
        <f>'All-Stars'!BB4</f>
        <v>6</v>
      </c>
      <c r="Z3" s="168">
        <f>'All-Stars'!BD4</f>
        <v>15</v>
      </c>
      <c r="AA3" s="118">
        <f>'Weekly Scores'!BP3</f>
        <v>3</v>
      </c>
      <c r="AB3" s="104">
        <f>'Weekly Scores'!BQ3</f>
        <v>1</v>
      </c>
      <c r="AC3" s="106">
        <f>'Weekly Scores'!BR3</f>
        <v>0.75</v>
      </c>
      <c r="AD3" s="170">
        <f>'Weekly Scores'!BS3</f>
        <v>4</v>
      </c>
      <c r="AE3" s="171">
        <f>'Weekly Scores'!BT3</f>
        <v>3</v>
      </c>
      <c r="AF3" s="118">
        <f>'Weekly Scores'!BU3</f>
        <v>2</v>
      </c>
      <c r="AG3" s="104" t="str">
        <f>'Weekly Scores'!BV3</f>
        <v/>
      </c>
      <c r="AH3" s="132">
        <f>'Weekly Scores'!BW3</f>
        <v>2</v>
      </c>
      <c r="AI3" s="118">
        <f>'Weekly Scores'!BX3</f>
        <v>4</v>
      </c>
      <c r="AJ3" s="104">
        <f>'Weekly Scores'!BY3</f>
        <v>3</v>
      </c>
      <c r="AK3" s="106">
        <f>'Weekly Scores'!BZ3</f>
        <v>0.5714285714</v>
      </c>
      <c r="AL3" s="132">
        <f t="shared" si="8"/>
        <v>4</v>
      </c>
      <c r="AM3" s="118">
        <f>'Weekly Scores'!CA3</f>
        <v>3</v>
      </c>
      <c r="AN3" s="104">
        <f>'Weekly Scores'!CB3</f>
        <v>4</v>
      </c>
      <c r="AO3" s="106">
        <f>'Weekly Scores'!CC3</f>
        <v>0.4285714286</v>
      </c>
      <c r="AP3" s="108">
        <f t="shared" si="9"/>
        <v>5</v>
      </c>
      <c r="AQ3" s="179" t="str">
        <f>'Weekly Scores'!CD3</f>
        <v/>
      </c>
      <c r="AR3" s="180">
        <f>'Weekly Scores'!CE3</f>
        <v>11.42436611</v>
      </c>
      <c r="AS3" s="108">
        <f>'Weekly Scores'!CF3</f>
        <v>11.9121109</v>
      </c>
    </row>
    <row r="4">
      <c r="A4" s="93">
        <f>'League Standings Positioning'!O4</f>
        <v>1</v>
      </c>
      <c r="B4" s="183" t="str">
        <f>'Weekly Scores'!BH4</f>
        <v>GREEN</v>
      </c>
      <c r="C4" s="104">
        <f>'Weekly Scores'!BI4</f>
        <v>12</v>
      </c>
      <c r="D4" s="104">
        <f>'Weekly Scores'!BJ4</f>
        <v>2</v>
      </c>
      <c r="E4" s="150">
        <f>'Weekly Scores'!BK4</f>
        <v>0.8571428571</v>
      </c>
      <c r="F4" s="123">
        <f t="shared" si="1"/>
        <v>1</v>
      </c>
      <c r="G4" s="153" t="str">
        <f>'Weekly Scores'!BL4</f>
        <v>PRODIGY</v>
      </c>
      <c r="H4" s="104">
        <f>'Weekly Scores'!BM4</f>
        <v>6</v>
      </c>
      <c r="I4" s="104">
        <f>'Weekly Scores'!BN4</f>
        <v>2</v>
      </c>
      <c r="J4" s="106">
        <f>'Weekly Scores'!BO4</f>
        <v>0.75</v>
      </c>
      <c r="K4" s="108">
        <f t="shared" si="2"/>
        <v>1</v>
      </c>
      <c r="L4" s="109"/>
      <c r="M4" s="109">
        <f t="shared" si="10"/>
        <v>10</v>
      </c>
      <c r="N4" s="109">
        <f t="shared" si="3"/>
        <v>1</v>
      </c>
      <c r="O4" s="109">
        <f t="shared" si="4"/>
        <v>1</v>
      </c>
      <c r="P4" s="115">
        <f t="shared" si="5"/>
        <v>10</v>
      </c>
      <c r="Q4" s="115">
        <f t="shared" si="6"/>
        <v>1</v>
      </c>
      <c r="R4" s="157">
        <v>2518.06</v>
      </c>
      <c r="S4" s="118">
        <f>'MVT SCORING'!AO6</f>
        <v>6</v>
      </c>
      <c r="T4" s="104">
        <f>'MVT SCORING'!AP6</f>
        <v>0</v>
      </c>
      <c r="U4" s="106">
        <f>'MVT SCORING'!AQ6</f>
        <v>1</v>
      </c>
      <c r="V4" s="108">
        <f t="shared" si="7"/>
        <v>1</v>
      </c>
      <c r="W4" s="164">
        <f>'MVT 2.0'!AK4:AK13</f>
        <v>1</v>
      </c>
      <c r="X4" s="165">
        <f>'MVT 2.0'!AM4:AM13</f>
        <v>59.5</v>
      </c>
      <c r="Y4" s="166">
        <f>'All-Stars'!BB5</f>
        <v>1</v>
      </c>
      <c r="Z4" s="168">
        <f>'All-Stars'!BD5</f>
        <v>23</v>
      </c>
      <c r="AA4" s="118">
        <f>'Weekly Scores'!BP4</f>
        <v>4</v>
      </c>
      <c r="AB4" s="104">
        <f>'Weekly Scores'!BQ4</f>
        <v>0</v>
      </c>
      <c r="AC4" s="106">
        <f>'Weekly Scores'!BR4</f>
        <v>1</v>
      </c>
      <c r="AD4" s="170">
        <f>'Weekly Scores'!BS4</f>
        <v>4</v>
      </c>
      <c r="AE4" s="171">
        <f>'Weekly Scores'!BT4</f>
        <v>2</v>
      </c>
      <c r="AF4" s="118">
        <f>'Weekly Scores'!BU4</f>
        <v>2</v>
      </c>
      <c r="AG4" s="104" t="str">
        <f>'Weekly Scores'!BV4</f>
        <v/>
      </c>
      <c r="AH4" s="132">
        <f>'Weekly Scores'!BW4</f>
        <v>5</v>
      </c>
      <c r="AI4" s="118">
        <f>'Weekly Scores'!BX4</f>
        <v>6</v>
      </c>
      <c r="AJ4" s="104">
        <f>'Weekly Scores'!BY4</f>
        <v>1</v>
      </c>
      <c r="AK4" s="106">
        <f>'Weekly Scores'!BZ4</f>
        <v>0.8571428571</v>
      </c>
      <c r="AL4" s="132">
        <f t="shared" si="8"/>
        <v>1</v>
      </c>
      <c r="AM4" s="118">
        <f>'Weekly Scores'!CA4</f>
        <v>6</v>
      </c>
      <c r="AN4" s="104">
        <f>'Weekly Scores'!CB4</f>
        <v>1</v>
      </c>
      <c r="AO4" s="106">
        <f>'Weekly Scores'!CC4</f>
        <v>0.8571428571</v>
      </c>
      <c r="AP4" s="108">
        <f t="shared" si="9"/>
        <v>1</v>
      </c>
      <c r="AQ4" s="179" t="str">
        <f>'Weekly Scores'!CD4</f>
        <v/>
      </c>
      <c r="AR4" s="180">
        <f>'Weekly Scores'!CE4</f>
        <v>12.10906514</v>
      </c>
      <c r="AS4" s="108">
        <f>'Weekly Scores'!CF4</f>
        <v>10.63357555</v>
      </c>
    </row>
    <row r="5">
      <c r="A5" s="93">
        <f>'League Standings Positioning'!O5</f>
        <v>9</v>
      </c>
      <c r="B5" s="206" t="str">
        <f>'Weekly Scores'!BH5</f>
        <v>SAVAGES</v>
      </c>
      <c r="C5" s="104">
        <f>'Weekly Scores'!BI5</f>
        <v>5</v>
      </c>
      <c r="D5" s="104">
        <f>'Weekly Scores'!BJ5</f>
        <v>9</v>
      </c>
      <c r="E5" s="150">
        <f>'Weekly Scores'!BK5</f>
        <v>0.3571428571</v>
      </c>
      <c r="F5" s="123">
        <f t="shared" si="1"/>
        <v>8</v>
      </c>
      <c r="G5" s="153" t="str">
        <f>'Weekly Scores'!BL5</f>
        <v>PRODIGY</v>
      </c>
      <c r="H5" s="104">
        <f>'Weekly Scores'!BM5</f>
        <v>2</v>
      </c>
      <c r="I5" s="104">
        <f>'Weekly Scores'!BN5</f>
        <v>6</v>
      </c>
      <c r="J5" s="106">
        <f>'Weekly Scores'!BO5</f>
        <v>0.25</v>
      </c>
      <c r="K5" s="108">
        <f t="shared" si="2"/>
        <v>8</v>
      </c>
      <c r="L5" s="109"/>
      <c r="M5" s="109">
        <f t="shared" si="10"/>
        <v>1</v>
      </c>
      <c r="N5" s="109">
        <f t="shared" si="3"/>
        <v>8</v>
      </c>
      <c r="O5" s="109">
        <f t="shared" si="4"/>
        <v>8</v>
      </c>
      <c r="P5" s="115">
        <f t="shared" si="5"/>
        <v>1</v>
      </c>
      <c r="Q5" s="115">
        <f t="shared" si="6"/>
        <v>10</v>
      </c>
      <c r="R5" s="157">
        <v>2109.53</v>
      </c>
      <c r="S5" s="118">
        <f>'MVT SCORING'!AO7</f>
        <v>3</v>
      </c>
      <c r="T5" s="104">
        <f>'MVT SCORING'!AP7</f>
        <v>3</v>
      </c>
      <c r="U5" s="106">
        <f>'MVT SCORING'!AQ7</f>
        <v>0.5</v>
      </c>
      <c r="V5" s="108">
        <f t="shared" si="7"/>
        <v>5</v>
      </c>
      <c r="W5" s="164">
        <f>'MVT 2.0'!AK5:AK14</f>
        <v>7</v>
      </c>
      <c r="X5" s="165">
        <f>'MVT 2.0'!AM5:AM14</f>
        <v>14</v>
      </c>
      <c r="Y5" s="166">
        <f>'All-Stars'!BB6</f>
        <v>3</v>
      </c>
      <c r="Z5" s="168">
        <f>'All-Stars'!BD6</f>
        <v>16</v>
      </c>
      <c r="AA5" s="118">
        <f>'Weekly Scores'!BP5</f>
        <v>0</v>
      </c>
      <c r="AB5" s="104">
        <f>'Weekly Scores'!BQ5</f>
        <v>2</v>
      </c>
      <c r="AC5" s="106">
        <f>'Weekly Scores'!BR5</f>
        <v>0</v>
      </c>
      <c r="AD5" s="170">
        <f>'Weekly Scores'!BS5</f>
        <v>2</v>
      </c>
      <c r="AE5" s="171">
        <f>'Weekly Scores'!BT5</f>
        <v>6</v>
      </c>
      <c r="AF5" s="118">
        <f>'Weekly Scores'!BU5</f>
        <v>3</v>
      </c>
      <c r="AG5" s="104" t="str">
        <f>'Weekly Scores'!BV5</f>
        <v/>
      </c>
      <c r="AH5" s="132">
        <f>'Weekly Scores'!BW5</f>
        <v>2</v>
      </c>
      <c r="AI5" s="118">
        <f>'Weekly Scores'!BX5</f>
        <v>2</v>
      </c>
      <c r="AJ5" s="104">
        <f>'Weekly Scores'!BY5</f>
        <v>5</v>
      </c>
      <c r="AK5" s="106">
        <f>'Weekly Scores'!BZ5</f>
        <v>0.2857142857</v>
      </c>
      <c r="AL5" s="132">
        <f t="shared" si="8"/>
        <v>8</v>
      </c>
      <c r="AM5" s="118">
        <f>'Weekly Scores'!CA5</f>
        <v>3</v>
      </c>
      <c r="AN5" s="104">
        <f>'Weekly Scores'!CB5</f>
        <v>4</v>
      </c>
      <c r="AO5" s="106">
        <f>'Weekly Scores'!CC5</f>
        <v>0.4285714286</v>
      </c>
      <c r="AP5" s="108">
        <f t="shared" si="9"/>
        <v>5</v>
      </c>
      <c r="AQ5" s="179" t="str">
        <f>'Weekly Scores'!CD5</f>
        <v/>
      </c>
      <c r="AR5" s="180">
        <f>'Weekly Scores'!CE5</f>
        <v>12.80601937</v>
      </c>
      <c r="AS5" s="108">
        <f>'Weekly Scores'!CF5</f>
        <v>14.07947846</v>
      </c>
    </row>
    <row r="6">
      <c r="A6" s="93">
        <f>'League Standings Positioning'!O6</f>
        <v>8</v>
      </c>
      <c r="B6" s="220" t="str">
        <f>'Weekly Scores'!BH6</f>
        <v>KINGS</v>
      </c>
      <c r="C6" s="104">
        <f>'Weekly Scores'!BI6</f>
        <v>5</v>
      </c>
      <c r="D6" s="104">
        <f>'Weekly Scores'!BJ6</f>
        <v>9</v>
      </c>
      <c r="E6" s="150">
        <f>'Weekly Scores'!BK6</f>
        <v>0.3571428571</v>
      </c>
      <c r="F6" s="123">
        <f t="shared" si="1"/>
        <v>8</v>
      </c>
      <c r="G6" s="153" t="str">
        <f>'Weekly Scores'!BL6</f>
        <v>PRODIGY</v>
      </c>
      <c r="H6" s="104">
        <f>'Weekly Scores'!BM6</f>
        <v>5</v>
      </c>
      <c r="I6" s="104">
        <f>'Weekly Scores'!BN6</f>
        <v>3</v>
      </c>
      <c r="J6" s="106">
        <f>'Weekly Scores'!BO6</f>
        <v>0.625</v>
      </c>
      <c r="K6" s="108">
        <f t="shared" si="2"/>
        <v>2</v>
      </c>
      <c r="L6" s="109"/>
      <c r="M6" s="109">
        <f t="shared" si="10"/>
        <v>6</v>
      </c>
      <c r="N6" s="109">
        <f t="shared" si="3"/>
        <v>2</v>
      </c>
      <c r="O6" s="109">
        <f t="shared" si="4"/>
        <v>2</v>
      </c>
      <c r="P6" s="115">
        <f t="shared" si="5"/>
        <v>2</v>
      </c>
      <c r="Q6" s="115">
        <f t="shared" si="6"/>
        <v>9</v>
      </c>
      <c r="R6" s="157">
        <v>2124.4100000000003</v>
      </c>
      <c r="S6" s="118">
        <f>'MVT SCORING'!AO8</f>
        <v>0</v>
      </c>
      <c r="T6" s="104">
        <f>'MVT SCORING'!AP8</f>
        <v>6</v>
      </c>
      <c r="U6" s="106">
        <f>'MVT SCORING'!AQ8</f>
        <v>0</v>
      </c>
      <c r="V6" s="108">
        <f t="shared" si="7"/>
        <v>10</v>
      </c>
      <c r="W6" s="164">
        <f>'MVT 2.0'!AK6:AK15</f>
        <v>6</v>
      </c>
      <c r="X6" s="165">
        <f>'MVT 2.0'!AM6:AM14</f>
        <v>15</v>
      </c>
      <c r="Y6" s="166">
        <f>'All-Stars'!BB12</f>
        <v>3</v>
      </c>
      <c r="Z6" s="168">
        <f>'All-Stars'!BD12</f>
        <v>16</v>
      </c>
      <c r="AA6" s="118">
        <f>'Weekly Scores'!BP6</f>
        <v>0</v>
      </c>
      <c r="AB6" s="104">
        <f>'Weekly Scores'!BQ6</f>
        <v>1</v>
      </c>
      <c r="AC6" s="106">
        <f>'Weekly Scores'!BR6</f>
        <v>0</v>
      </c>
      <c r="AD6" s="170">
        <f>'Weekly Scores'!BS6</f>
        <v>1</v>
      </c>
      <c r="AE6" s="171">
        <f>'Weekly Scores'!BT6</f>
        <v>9</v>
      </c>
      <c r="AF6" s="118">
        <f>'Weekly Scores'!BU6</f>
        <v>5</v>
      </c>
      <c r="AG6" s="104" t="str">
        <f>'Weekly Scores'!BV6</f>
        <v/>
      </c>
      <c r="AH6" s="132">
        <f>'Weekly Scores'!BW6</f>
        <v>5</v>
      </c>
      <c r="AI6" s="118">
        <f>'Weekly Scores'!BX6</f>
        <v>2</v>
      </c>
      <c r="AJ6" s="104">
        <f>'Weekly Scores'!BY6</f>
        <v>5</v>
      </c>
      <c r="AK6" s="106">
        <f>'Weekly Scores'!BZ6</f>
        <v>0.2857142857</v>
      </c>
      <c r="AL6" s="132">
        <f t="shared" si="8"/>
        <v>8</v>
      </c>
      <c r="AM6" s="118">
        <f>'Weekly Scores'!CA6</f>
        <v>3</v>
      </c>
      <c r="AN6" s="104">
        <f>'Weekly Scores'!CB6</f>
        <v>4</v>
      </c>
      <c r="AO6" s="106">
        <f>'Weekly Scores'!CC6</f>
        <v>0.4285714286</v>
      </c>
      <c r="AP6" s="108">
        <f t="shared" si="9"/>
        <v>5</v>
      </c>
      <c r="AQ6" s="179" t="str">
        <f>'Weekly Scores'!CD6</f>
        <v/>
      </c>
      <c r="AR6" s="180">
        <f>'Weekly Scores'!CE6</f>
        <v>14.28150896</v>
      </c>
      <c r="AS6" s="108">
        <f>'Weekly Scores'!CF6</f>
        <v>12.87744795</v>
      </c>
    </row>
    <row r="7">
      <c r="A7" s="93">
        <f>'League Standings Positioning'!O7</f>
        <v>6</v>
      </c>
      <c r="B7" s="222" t="str">
        <f>'Weekly Scores'!BH7</f>
        <v>CHAMPS</v>
      </c>
      <c r="C7" s="104">
        <f>'Weekly Scores'!BI7</f>
        <v>6</v>
      </c>
      <c r="D7" s="104">
        <f>'Weekly Scores'!BJ7</f>
        <v>8</v>
      </c>
      <c r="E7" s="150">
        <f>'Weekly Scores'!BK7</f>
        <v>0.4285714286</v>
      </c>
      <c r="F7" s="123">
        <f t="shared" si="1"/>
        <v>6</v>
      </c>
      <c r="G7" s="223" t="str">
        <f>'Weekly Scores'!BL7</f>
        <v>ESTEEMED</v>
      </c>
      <c r="H7" s="104">
        <f>'Weekly Scores'!BM7</f>
        <v>4</v>
      </c>
      <c r="I7" s="104">
        <f>'Weekly Scores'!BN7</f>
        <v>4</v>
      </c>
      <c r="J7" s="106">
        <f>'Weekly Scores'!BO7</f>
        <v>0.5</v>
      </c>
      <c r="K7" s="108">
        <f t="shared" si="2"/>
        <v>6</v>
      </c>
      <c r="L7" s="109"/>
      <c r="M7" s="109">
        <f t="shared" si="10"/>
        <v>4</v>
      </c>
      <c r="N7" s="109">
        <f t="shared" si="3"/>
        <v>6</v>
      </c>
      <c r="O7" s="109">
        <f t="shared" si="4"/>
        <v>6</v>
      </c>
      <c r="P7" s="115">
        <f t="shared" si="5"/>
        <v>9</v>
      </c>
      <c r="Q7" s="115">
        <f t="shared" si="6"/>
        <v>2</v>
      </c>
      <c r="R7" s="157">
        <v>2310.37</v>
      </c>
      <c r="S7" s="118">
        <f>'MVT SCORING'!AO9</f>
        <v>2</v>
      </c>
      <c r="T7" s="104">
        <f>'MVT SCORING'!AP9</f>
        <v>4</v>
      </c>
      <c r="U7" s="106">
        <f>'MVT SCORING'!AQ9</f>
        <v>0.3333333333</v>
      </c>
      <c r="V7" s="108">
        <f t="shared" si="7"/>
        <v>6</v>
      </c>
      <c r="W7" s="164">
        <f>'MVT 2.0'!AK7:AK16</f>
        <v>8</v>
      </c>
      <c r="X7" s="165">
        <f>'MVT 2.0'!AM7:AM14</f>
        <v>13.75</v>
      </c>
      <c r="Y7" s="166">
        <f>'All-Stars'!BB7</f>
        <v>8</v>
      </c>
      <c r="Z7" s="168">
        <f>'All-Stars'!BD7</f>
        <v>13</v>
      </c>
      <c r="AA7" s="118">
        <f>'Weekly Scores'!BP7</f>
        <v>1</v>
      </c>
      <c r="AB7" s="104">
        <f>'Weekly Scores'!BQ7</f>
        <v>3</v>
      </c>
      <c r="AC7" s="106">
        <f>'Weekly Scores'!BR7</f>
        <v>0.25</v>
      </c>
      <c r="AD7" s="170">
        <f>'Weekly Scores'!BS7</f>
        <v>4</v>
      </c>
      <c r="AE7" s="171">
        <f>'Weekly Scores'!BT7</f>
        <v>5</v>
      </c>
      <c r="AF7" s="118">
        <f>'Weekly Scores'!BU7</f>
        <v>2</v>
      </c>
      <c r="AG7" s="104" t="str">
        <f>'Weekly Scores'!BV7</f>
        <v/>
      </c>
      <c r="AH7" s="132">
        <f>'Weekly Scores'!BW7</f>
        <v>3</v>
      </c>
      <c r="AI7" s="118">
        <f>'Weekly Scores'!BX7</f>
        <v>2</v>
      </c>
      <c r="AJ7" s="104">
        <f>'Weekly Scores'!BY7</f>
        <v>5</v>
      </c>
      <c r="AK7" s="106">
        <f>'Weekly Scores'!BZ7</f>
        <v>0.2857142857</v>
      </c>
      <c r="AL7" s="132">
        <f t="shared" si="8"/>
        <v>8</v>
      </c>
      <c r="AM7" s="118">
        <f>'Weekly Scores'!CA7</f>
        <v>4</v>
      </c>
      <c r="AN7" s="104">
        <f>'Weekly Scores'!CB7</f>
        <v>3</v>
      </c>
      <c r="AO7" s="106">
        <f>'Weekly Scores'!CC7</f>
        <v>0.5714285714</v>
      </c>
      <c r="AP7" s="108">
        <f t="shared" si="9"/>
        <v>2</v>
      </c>
      <c r="AQ7" s="179" t="str">
        <f>'Weekly Scores'!CD7</f>
        <v/>
      </c>
      <c r="AR7" s="180">
        <f>'Weekly Scores'!CE7</f>
        <v>12.04989177</v>
      </c>
      <c r="AS7" s="108">
        <f>'Weekly Scores'!CF7</f>
        <v>12.40703463</v>
      </c>
    </row>
    <row r="8">
      <c r="A8" s="93">
        <f>'League Standings Positioning'!O8</f>
        <v>10</v>
      </c>
      <c r="B8" s="231" t="str">
        <f>'Weekly Scores'!BH8</f>
        <v>METAMOOKDAWGS</v>
      </c>
      <c r="C8" s="104">
        <f>'Weekly Scores'!BI8</f>
        <v>4</v>
      </c>
      <c r="D8" s="104">
        <f>'Weekly Scores'!BJ8</f>
        <v>10</v>
      </c>
      <c r="E8" s="150">
        <f>'Weekly Scores'!BK8</f>
        <v>0.2857142857</v>
      </c>
      <c r="F8" s="123">
        <f t="shared" si="1"/>
        <v>10</v>
      </c>
      <c r="G8" s="223" t="str">
        <f>'Weekly Scores'!BL8</f>
        <v>ESTEEMED</v>
      </c>
      <c r="H8" s="104">
        <f>'Weekly Scores'!BM8</f>
        <v>2</v>
      </c>
      <c r="I8" s="104">
        <f>'Weekly Scores'!BN8</f>
        <v>6</v>
      </c>
      <c r="J8" s="106">
        <f>'Weekly Scores'!BO8</f>
        <v>0.25</v>
      </c>
      <c r="K8" s="108">
        <f t="shared" si="2"/>
        <v>8</v>
      </c>
      <c r="L8" s="109"/>
      <c r="M8" s="109">
        <f t="shared" si="10"/>
        <v>1</v>
      </c>
      <c r="N8" s="109">
        <f t="shared" si="3"/>
        <v>8</v>
      </c>
      <c r="O8" s="109">
        <f t="shared" si="4"/>
        <v>8</v>
      </c>
      <c r="P8" s="115">
        <f t="shared" si="5"/>
        <v>6</v>
      </c>
      <c r="Q8" s="115">
        <f t="shared" si="6"/>
        <v>5</v>
      </c>
      <c r="R8" s="157">
        <v>2274.4400000000005</v>
      </c>
      <c r="S8" s="118">
        <f>'MVT SCORING'!AO10</f>
        <v>2</v>
      </c>
      <c r="T8" s="104">
        <f>'MVT SCORING'!AP10</f>
        <v>4</v>
      </c>
      <c r="U8" s="106">
        <f>'MVT SCORING'!AQ10</f>
        <v>0.3333333333</v>
      </c>
      <c r="V8" s="108">
        <f t="shared" si="7"/>
        <v>6</v>
      </c>
      <c r="W8" s="164">
        <f>'MVT 2.0'!AK8:AK17</f>
        <v>9</v>
      </c>
      <c r="X8" s="165">
        <f>'MVT 2.0'!AM8:AM14</f>
        <v>10.5</v>
      </c>
      <c r="Y8" s="166">
        <f>'All-Stars'!BB8</f>
        <v>3</v>
      </c>
      <c r="Z8" s="168">
        <f>'All-Stars'!BD8</f>
        <v>16</v>
      </c>
      <c r="AA8" s="118">
        <f>'Weekly Scores'!BP8</f>
        <v>0</v>
      </c>
      <c r="AB8" s="104">
        <f>'Weekly Scores'!BQ8</f>
        <v>1</v>
      </c>
      <c r="AC8" s="106">
        <f>'Weekly Scores'!BR8</f>
        <v>0</v>
      </c>
      <c r="AD8" s="170">
        <f>'Weekly Scores'!BS8</f>
        <v>1</v>
      </c>
      <c r="AE8" s="171">
        <f>'Weekly Scores'!BT8</f>
        <v>9</v>
      </c>
      <c r="AF8" s="118">
        <f>'Weekly Scores'!BU8</f>
        <v>4</v>
      </c>
      <c r="AG8" s="104" t="str">
        <f>'Weekly Scores'!BV8</f>
        <v/>
      </c>
      <c r="AH8" s="132">
        <f>'Weekly Scores'!BW8</f>
        <v>2</v>
      </c>
      <c r="AI8" s="118">
        <f>'Weekly Scores'!BX8</f>
        <v>3</v>
      </c>
      <c r="AJ8" s="104">
        <f>'Weekly Scores'!BY8</f>
        <v>4</v>
      </c>
      <c r="AK8" s="106">
        <f>'Weekly Scores'!BZ8</f>
        <v>0.4285714286</v>
      </c>
      <c r="AL8" s="132">
        <f t="shared" si="8"/>
        <v>5</v>
      </c>
      <c r="AM8" s="118">
        <f>'Weekly Scores'!CA8</f>
        <v>1</v>
      </c>
      <c r="AN8" s="104">
        <f>'Weekly Scores'!CB8</f>
        <v>6</v>
      </c>
      <c r="AO8" s="106">
        <f>'Weekly Scores'!CC8</f>
        <v>0.1428571429</v>
      </c>
      <c r="AP8" s="108">
        <f t="shared" si="9"/>
        <v>10</v>
      </c>
      <c r="AQ8" s="179" t="str">
        <f>'Weekly Scores'!CD8</f>
        <v/>
      </c>
      <c r="AR8" s="180">
        <f>'Weekly Scores'!CE8</f>
        <v>13.12132034</v>
      </c>
      <c r="AS8" s="108">
        <f>'Weekly Scores'!CF8</f>
        <v>13.2223356</v>
      </c>
    </row>
    <row r="9">
      <c r="A9" s="93">
        <f>'League Standings Positioning'!O9</f>
        <v>2</v>
      </c>
      <c r="B9" s="234" t="str">
        <f>'Weekly Scores'!BH9</f>
        <v>YARDIES</v>
      </c>
      <c r="C9" s="104">
        <f>'Weekly Scores'!BI9</f>
        <v>9</v>
      </c>
      <c r="D9" s="104">
        <f>'Weekly Scores'!BJ9</f>
        <v>5</v>
      </c>
      <c r="E9" s="150">
        <f>'Weekly Scores'!BK9</f>
        <v>0.6428571429</v>
      </c>
      <c r="F9" s="123">
        <f t="shared" si="1"/>
        <v>2</v>
      </c>
      <c r="G9" s="223" t="str">
        <f>'Weekly Scores'!BL9</f>
        <v>ESTEEMED</v>
      </c>
      <c r="H9" s="104">
        <f>'Weekly Scores'!BM9</f>
        <v>5</v>
      </c>
      <c r="I9" s="104">
        <f>'Weekly Scores'!BN9</f>
        <v>3</v>
      </c>
      <c r="J9" s="106">
        <f>'Weekly Scores'!BO9</f>
        <v>0.625</v>
      </c>
      <c r="K9" s="108">
        <f t="shared" si="2"/>
        <v>2</v>
      </c>
      <c r="L9" s="109"/>
      <c r="M9" s="109">
        <f t="shared" si="10"/>
        <v>6</v>
      </c>
      <c r="N9" s="109">
        <f t="shared" si="3"/>
        <v>2</v>
      </c>
      <c r="O9" s="109">
        <f t="shared" si="4"/>
        <v>2</v>
      </c>
      <c r="P9" s="115">
        <f t="shared" si="5"/>
        <v>4</v>
      </c>
      <c r="Q9" s="115">
        <f t="shared" si="6"/>
        <v>7</v>
      </c>
      <c r="R9" s="157">
        <v>2236.72</v>
      </c>
      <c r="S9" s="118">
        <f>'MVT SCORING'!AO11</f>
        <v>4</v>
      </c>
      <c r="T9" s="104">
        <f>'MVT SCORING'!AP11</f>
        <v>2</v>
      </c>
      <c r="U9" s="106">
        <f>'MVT SCORING'!AQ11</f>
        <v>0.6666666667</v>
      </c>
      <c r="V9" s="108">
        <f t="shared" si="7"/>
        <v>3</v>
      </c>
      <c r="W9" s="164">
        <f>'MVT 2.0'!AK9:AK18</f>
        <v>2</v>
      </c>
      <c r="X9" s="165">
        <f>'MVT 2.0'!AM9:AM14</f>
        <v>31.25</v>
      </c>
      <c r="Y9" s="166">
        <f>'All-Stars'!BB9</f>
        <v>2</v>
      </c>
      <c r="Z9" s="168">
        <f>'All-Stars'!BD9</f>
        <v>17</v>
      </c>
      <c r="AA9" s="118">
        <f>'Weekly Scores'!BP9</f>
        <v>3</v>
      </c>
      <c r="AB9" s="104">
        <f>'Weekly Scores'!BQ9</f>
        <v>2</v>
      </c>
      <c r="AC9" s="106">
        <f>'Weekly Scores'!BR9</f>
        <v>0.6</v>
      </c>
      <c r="AD9" s="170">
        <f>'Weekly Scores'!BS9</f>
        <v>5</v>
      </c>
      <c r="AE9" s="171">
        <f>'Weekly Scores'!BT9</f>
        <v>1</v>
      </c>
      <c r="AF9" s="118">
        <f>'Weekly Scores'!BU9</f>
        <v>1</v>
      </c>
      <c r="AG9" s="104" t="str">
        <f>'Weekly Scores'!BV9</f>
        <v/>
      </c>
      <c r="AH9" s="132">
        <f>'Weekly Scores'!BW9</f>
        <v>2</v>
      </c>
      <c r="AI9" s="118">
        <f>'Weekly Scores'!BX9</f>
        <v>6</v>
      </c>
      <c r="AJ9" s="104">
        <f>'Weekly Scores'!BY9</f>
        <v>1</v>
      </c>
      <c r="AK9" s="106">
        <f>'Weekly Scores'!BZ9</f>
        <v>0.8571428571</v>
      </c>
      <c r="AL9" s="132">
        <f t="shared" si="8"/>
        <v>1</v>
      </c>
      <c r="AM9" s="118">
        <f>'Weekly Scores'!CA9</f>
        <v>3</v>
      </c>
      <c r="AN9" s="104">
        <f>'Weekly Scores'!CB9</f>
        <v>4</v>
      </c>
      <c r="AO9" s="106">
        <f>'Weekly Scores'!CC9</f>
        <v>0.4285714286</v>
      </c>
      <c r="AP9" s="108">
        <f t="shared" si="9"/>
        <v>5</v>
      </c>
      <c r="AQ9" s="179" t="str">
        <f>'Weekly Scores'!CD9</f>
        <v/>
      </c>
      <c r="AR9" s="180">
        <f>'Weekly Scores'!CE9</f>
        <v>12.44528705</v>
      </c>
      <c r="AS9" s="108">
        <f>'Weekly Scores'!CF9</f>
        <v>12.99579468</v>
      </c>
    </row>
    <row r="10">
      <c r="A10" s="93">
        <f>'League Standings Positioning'!O10</f>
        <v>4</v>
      </c>
      <c r="B10" s="250" t="str">
        <f>'Weekly Scores'!BH10</f>
        <v>MUTTS</v>
      </c>
      <c r="C10" s="104">
        <f>'Weekly Scores'!BI10</f>
        <v>7</v>
      </c>
      <c r="D10" s="104">
        <f>'Weekly Scores'!BJ10</f>
        <v>7</v>
      </c>
      <c r="E10" s="150">
        <f>'Weekly Scores'!BK10</f>
        <v>0.5</v>
      </c>
      <c r="F10" s="123">
        <f t="shared" si="1"/>
        <v>4</v>
      </c>
      <c r="G10" s="223" t="str">
        <f>'Weekly Scores'!BL10</f>
        <v>ESTEEMED</v>
      </c>
      <c r="H10" s="104">
        <f>'Weekly Scores'!BM10</f>
        <v>5</v>
      </c>
      <c r="I10" s="104">
        <f>'Weekly Scores'!BN10</f>
        <v>3</v>
      </c>
      <c r="J10" s="106">
        <f>'Weekly Scores'!BO10</f>
        <v>0.625</v>
      </c>
      <c r="K10" s="108">
        <f t="shared" si="2"/>
        <v>2</v>
      </c>
      <c r="L10" s="109"/>
      <c r="M10" s="109">
        <f t="shared" si="10"/>
        <v>6</v>
      </c>
      <c r="N10" s="109">
        <f t="shared" si="3"/>
        <v>2</v>
      </c>
      <c r="O10" s="109">
        <f t="shared" si="4"/>
        <v>2</v>
      </c>
      <c r="P10" s="115">
        <f t="shared" si="5"/>
        <v>7</v>
      </c>
      <c r="Q10" s="115">
        <f t="shared" si="6"/>
        <v>4</v>
      </c>
      <c r="R10" s="157">
        <v>2296.5800000000004</v>
      </c>
      <c r="S10" s="118">
        <f>'MVT SCORING'!AO12</f>
        <v>2</v>
      </c>
      <c r="T10" s="104">
        <f>'MVT SCORING'!AP12</f>
        <v>4</v>
      </c>
      <c r="U10" s="106">
        <f>'MVT SCORING'!AQ12</f>
        <v>0.3333333333</v>
      </c>
      <c r="V10" s="108">
        <f t="shared" si="7"/>
        <v>6</v>
      </c>
      <c r="W10" s="164">
        <f>'MVT 2.0'!AK10:AK19</f>
        <v>4</v>
      </c>
      <c r="X10" s="165">
        <f>'MVT 2.0'!AM10:AM14</f>
        <v>24.5</v>
      </c>
      <c r="Y10" s="166">
        <f>'All-Stars'!BB10</f>
        <v>6</v>
      </c>
      <c r="Z10" s="168">
        <f>'All-Stars'!BD10</f>
        <v>15</v>
      </c>
      <c r="AA10" s="118">
        <f>'Weekly Scores'!BP10</f>
        <v>2</v>
      </c>
      <c r="AB10" s="104">
        <f>'Weekly Scores'!BQ10</f>
        <v>2</v>
      </c>
      <c r="AC10" s="106">
        <f>'Weekly Scores'!BR10</f>
        <v>0.5</v>
      </c>
      <c r="AD10" s="170">
        <f>'Weekly Scores'!BS10</f>
        <v>4</v>
      </c>
      <c r="AE10" s="171">
        <f>'Weekly Scores'!BT10</f>
        <v>4</v>
      </c>
      <c r="AF10" s="118">
        <f>'Weekly Scores'!BU10</f>
        <v>2</v>
      </c>
      <c r="AG10" s="104" t="str">
        <f>'Weekly Scores'!BV10</f>
        <v/>
      </c>
      <c r="AH10" s="132">
        <f>'Weekly Scores'!BW10</f>
        <v>1</v>
      </c>
      <c r="AI10" s="118">
        <f>'Weekly Scores'!BX10</f>
        <v>3</v>
      </c>
      <c r="AJ10" s="104">
        <f>'Weekly Scores'!BY10</f>
        <v>4</v>
      </c>
      <c r="AK10" s="106">
        <f>'Weekly Scores'!BZ10</f>
        <v>0.4285714286</v>
      </c>
      <c r="AL10" s="132">
        <f t="shared" si="8"/>
        <v>5</v>
      </c>
      <c r="AM10" s="118">
        <f>'Weekly Scores'!CA10</f>
        <v>4</v>
      </c>
      <c r="AN10" s="104">
        <f>'Weekly Scores'!CB10</f>
        <v>3</v>
      </c>
      <c r="AO10" s="106">
        <f>'Weekly Scores'!CC10</f>
        <v>0.5714285714</v>
      </c>
      <c r="AP10" s="108">
        <f t="shared" si="9"/>
        <v>2</v>
      </c>
      <c r="AQ10" s="179" t="str">
        <f>'Weekly Scores'!CD10</f>
        <v/>
      </c>
      <c r="AR10" s="180">
        <f>'Weekly Scores'!CE10</f>
        <v>13.53045763</v>
      </c>
      <c r="AS10" s="108">
        <f>'Weekly Scores'!CF10</f>
        <v>13.98861575</v>
      </c>
    </row>
    <row r="11">
      <c r="A11" s="93">
        <f>'League Standings Positioning'!O11</f>
        <v>7</v>
      </c>
      <c r="B11" s="261" t="str">
        <f>'Weekly Scores'!BH11</f>
        <v>EAGLES</v>
      </c>
      <c r="C11" s="262">
        <f>'Weekly Scores'!BI11</f>
        <v>6</v>
      </c>
      <c r="D11" s="262">
        <f>'Weekly Scores'!BJ11</f>
        <v>8</v>
      </c>
      <c r="E11" s="264">
        <f>'Weekly Scores'!BK11</f>
        <v>0.4285714286</v>
      </c>
      <c r="F11" s="266">
        <f t="shared" si="1"/>
        <v>6</v>
      </c>
      <c r="G11" s="267" t="str">
        <f>'Weekly Scores'!BL11</f>
        <v>ESTEEMED</v>
      </c>
      <c r="H11" s="262">
        <f>'Weekly Scores'!BM11</f>
        <v>4</v>
      </c>
      <c r="I11" s="262">
        <f>'Weekly Scores'!BN11</f>
        <v>4</v>
      </c>
      <c r="J11" s="269">
        <f>'Weekly Scores'!BO11</f>
        <v>0.5</v>
      </c>
      <c r="K11" s="108">
        <f t="shared" si="2"/>
        <v>6</v>
      </c>
      <c r="L11" s="7"/>
      <c r="M11" s="109">
        <f t="shared" si="10"/>
        <v>4</v>
      </c>
      <c r="N11" s="109">
        <f t="shared" si="3"/>
        <v>6</v>
      </c>
      <c r="O11" s="109">
        <f t="shared" si="4"/>
        <v>6</v>
      </c>
      <c r="P11" s="115">
        <f t="shared" si="5"/>
        <v>3</v>
      </c>
      <c r="Q11" s="115">
        <f t="shared" si="6"/>
        <v>8</v>
      </c>
      <c r="R11" s="271">
        <v>2175.5499999999997</v>
      </c>
      <c r="S11" s="272">
        <f>'MVT SCORING'!AO13</f>
        <v>2</v>
      </c>
      <c r="T11" s="262">
        <f>'MVT SCORING'!AP13</f>
        <v>4</v>
      </c>
      <c r="U11" s="269">
        <f>'MVT SCORING'!AQ13</f>
        <v>0.3333333333</v>
      </c>
      <c r="V11" s="108">
        <f t="shared" si="7"/>
        <v>6</v>
      </c>
      <c r="W11" s="274">
        <f>'MVT 2.0'!AK11:AK20</f>
        <v>5</v>
      </c>
      <c r="X11" s="276">
        <f>'MVT 2.0'!AM11:AM14</f>
        <v>19</v>
      </c>
      <c r="Y11" s="278">
        <f>'All-Stars'!BB11</f>
        <v>8</v>
      </c>
      <c r="Z11" s="279">
        <f>'All-Stars'!BD11</f>
        <v>13</v>
      </c>
      <c r="AA11" s="272">
        <f>'Weekly Scores'!BP11</f>
        <v>1</v>
      </c>
      <c r="AB11" s="262">
        <f>'Weekly Scores'!BQ11</f>
        <v>0</v>
      </c>
      <c r="AC11" s="269">
        <f>'Weekly Scores'!BR11</f>
        <v>1</v>
      </c>
      <c r="AD11" s="282">
        <f>'Weekly Scores'!BS11</f>
        <v>1</v>
      </c>
      <c r="AE11" s="283">
        <f>'Weekly Scores'!BT11</f>
        <v>8</v>
      </c>
      <c r="AF11" s="272">
        <f>'Weekly Scores'!BU11</f>
        <v>5</v>
      </c>
      <c r="AG11" s="262" t="str">
        <f>'Weekly Scores'!BV11</f>
        <v/>
      </c>
      <c r="AH11" s="284">
        <f>'Weekly Scores'!BW11</f>
        <v>2</v>
      </c>
      <c r="AI11" s="272">
        <f>'Weekly Scores'!BX11</f>
        <v>3</v>
      </c>
      <c r="AJ11" s="262">
        <f>'Weekly Scores'!BY11</f>
        <v>4</v>
      </c>
      <c r="AK11" s="269">
        <f>'Weekly Scores'!BZ11</f>
        <v>0.4285714286</v>
      </c>
      <c r="AL11" s="284">
        <f t="shared" si="8"/>
        <v>5</v>
      </c>
      <c r="AM11" s="272">
        <f>'Weekly Scores'!CA11</f>
        <v>3</v>
      </c>
      <c r="AN11" s="262">
        <f>'Weekly Scores'!CB11</f>
        <v>4</v>
      </c>
      <c r="AO11" s="269">
        <f>'Weekly Scores'!CC11</f>
        <v>0.4285714286</v>
      </c>
      <c r="AP11" s="108">
        <f t="shared" si="9"/>
        <v>5</v>
      </c>
      <c r="AQ11" s="179" t="str">
        <f>'Weekly Scores'!CD11</f>
        <v/>
      </c>
      <c r="AR11" s="285">
        <f>'Weekly Scores'!CE11</f>
        <v>15.34068233</v>
      </c>
      <c r="AS11" s="286">
        <f>'Weekly Scores'!CF11</f>
        <v>16.45902906</v>
      </c>
    </row>
    <row r="12">
      <c r="A12" s="7" t="str">
        <f>'Weekly Scores'!BG12</f>
        <v/>
      </c>
    </row>
    <row r="14">
      <c r="A14" s="287"/>
      <c r="B14" s="287"/>
      <c r="C14" s="287"/>
      <c r="D14" s="287"/>
      <c r="E14" s="287"/>
      <c r="F14" s="287"/>
      <c r="G14" s="287"/>
      <c r="H14" s="287"/>
      <c r="I14" s="287"/>
      <c r="J14" s="287"/>
      <c r="K14" s="287"/>
      <c r="L14" s="287"/>
      <c r="M14" s="289"/>
      <c r="N14" s="289"/>
      <c r="O14" s="289"/>
      <c r="P14" s="289"/>
      <c r="Q14" s="289"/>
      <c r="R14" s="287"/>
      <c r="S14" s="287"/>
      <c r="T14" s="287"/>
      <c r="U14" s="290"/>
      <c r="V14" s="290"/>
      <c r="W14" s="290"/>
      <c r="X14" s="290"/>
      <c r="Y14" s="290"/>
      <c r="Z14" s="290"/>
      <c r="AA14" s="290"/>
      <c r="AB14" s="290"/>
      <c r="AC14" s="290"/>
      <c r="AD14" s="290"/>
      <c r="AE14" s="290"/>
      <c r="AF14" s="290"/>
      <c r="AG14" s="290"/>
      <c r="AH14" s="290"/>
      <c r="AI14" s="290"/>
      <c r="AJ14" s="290"/>
      <c r="AK14" s="290"/>
      <c r="AL14" s="290"/>
      <c r="AM14" s="290"/>
      <c r="AN14" s="290"/>
      <c r="AO14" s="290"/>
      <c r="AP14" s="290"/>
    </row>
    <row r="15" ht="22.5" customHeight="1">
      <c r="A15" s="291" t="s">
        <v>241</v>
      </c>
      <c r="B15" s="291" t="s">
        <v>169</v>
      </c>
      <c r="C15" s="291" t="s">
        <v>44</v>
      </c>
      <c r="D15" s="291" t="s">
        <v>45</v>
      </c>
      <c r="E15" s="291" t="s">
        <v>246</v>
      </c>
      <c r="F15" s="291" t="s">
        <v>247</v>
      </c>
      <c r="G15" s="291" t="s">
        <v>3</v>
      </c>
      <c r="H15" s="291" t="s">
        <v>4</v>
      </c>
      <c r="I15" s="291" t="s">
        <v>167</v>
      </c>
      <c r="J15" s="291" t="s">
        <v>248</v>
      </c>
      <c r="K15" s="291" t="s">
        <v>249</v>
      </c>
      <c r="L15" s="291" t="s">
        <v>250</v>
      </c>
      <c r="M15" s="292" t="s">
        <v>251</v>
      </c>
      <c r="N15" s="292" t="s">
        <v>252</v>
      </c>
      <c r="O15" s="292" t="s">
        <v>253</v>
      </c>
      <c r="P15" s="292" t="s">
        <v>254</v>
      </c>
      <c r="Q15" s="292" t="s">
        <v>255</v>
      </c>
      <c r="R15" s="291" t="s">
        <v>256</v>
      </c>
      <c r="S15" s="291" t="s">
        <v>53</v>
      </c>
      <c r="T15" s="291" t="s">
        <v>54</v>
      </c>
      <c r="U15" s="290"/>
      <c r="V15" s="290"/>
      <c r="W15" s="290"/>
      <c r="X15" s="290"/>
      <c r="Y15" s="290"/>
      <c r="Z15" s="290"/>
      <c r="AA15" s="290"/>
      <c r="AB15" s="290"/>
      <c r="AC15" s="290"/>
      <c r="AD15" s="290"/>
      <c r="AE15" s="290"/>
      <c r="AF15" s="290"/>
      <c r="AG15" s="290"/>
      <c r="AH15" s="290"/>
      <c r="AI15" s="290"/>
      <c r="AJ15" s="290"/>
      <c r="AK15" s="290"/>
      <c r="AL15" s="290"/>
      <c r="AM15" s="290"/>
      <c r="AN15" s="290"/>
      <c r="AO15" s="290"/>
      <c r="AP15" s="290"/>
      <c r="AQ15" s="293"/>
      <c r="AR15" s="293"/>
      <c r="AS15" s="293"/>
      <c r="AT15" s="293"/>
    </row>
    <row r="16" ht="22.5" customHeight="1">
      <c r="A16" s="294">
        <v>1.0</v>
      </c>
      <c r="B16" s="295" t="str">
        <f t="shared" ref="B16:B25" si="11">IF($AC16="","", INDEX($B$2:$B$11, $AC16))
</f>
        <v>GREEN</v>
      </c>
      <c r="C16" s="296">
        <f t="shared" ref="C16:C25" si="12">IF($AC16="","", INDEX($C$2:$C$11, $AC16))
</f>
        <v>12</v>
      </c>
      <c r="D16" s="296">
        <f t="shared" ref="D16:D25" si="13">IF($AC16="","", INDEX($D$2:$D$11, $AC16))
</f>
        <v>2</v>
      </c>
      <c r="F16" s="297" t="str">
        <f t="shared" ref="F16:F25" si="14">IF($AC16="","", INDEX($G$2:$G$11, $AC16))
</f>
        <v>PRODIGY</v>
      </c>
      <c r="G16" s="297">
        <f t="shared" ref="G16:G25" si="15">IF($AC16="","", INDEX($H$2:$H$11, $AC16))
</f>
        <v>6</v>
      </c>
      <c r="H16" s="297">
        <f t="shared" ref="H16:H25" si="16">IF($AC16="","", INDEX($I$2:$I$11, $AC16))
</f>
        <v>2</v>
      </c>
      <c r="I16" s="298">
        <f t="shared" ref="I16:I25" si="17">IF($AC16="","", INDEX($R$2:$R$11, $AC16))
</f>
        <v>2518.06</v>
      </c>
      <c r="J16" s="299">
        <f t="shared" ref="J16:J25" si="18">IF($AC16="","", INDEX($X$2:$X$11, $AC16))
</f>
        <v>59.5</v>
      </c>
      <c r="K16" s="301">
        <f t="shared" ref="K16:K25" si="19">IF($AC16="","", INDEX($W$2:$W$11, $AC16))
</f>
        <v>1</v>
      </c>
      <c r="L16" s="301"/>
      <c r="R16" s="303">
        <f t="shared" ref="R16:R25" si="20">IF($AC16="","", INDEX($Z$2:$Z$11, $AC16))
</f>
        <v>23</v>
      </c>
      <c r="S16" s="305">
        <f t="shared" ref="S16:S25" si="21">IF($AC16="","", INDEX($AA$2:$AA$11, $AC16))
</f>
        <v>4</v>
      </c>
      <c r="T16" s="305">
        <f t="shared" ref="T16:T25" si="22">IF($AC16="","", INDEX($AB$2:$AB$11, $AC16))
</f>
        <v>0</v>
      </c>
      <c r="AC16" s="13">
        <f t="shared" ref="AC16:AC25" si="23">IFERROR(MATCH($A16,$A$2:$A$11,0),"")</f>
        <v>3</v>
      </c>
    </row>
    <row r="17" ht="22.5" customHeight="1">
      <c r="A17" s="307">
        <v>2.0</v>
      </c>
      <c r="B17" s="295" t="str">
        <f t="shared" si="11"/>
        <v>YARDIES</v>
      </c>
      <c r="C17" s="296">
        <f t="shared" si="12"/>
        <v>9</v>
      </c>
      <c r="D17" s="296">
        <f t="shared" si="13"/>
        <v>5</v>
      </c>
      <c r="F17" s="297" t="str">
        <f t="shared" si="14"/>
        <v>ESTEEMED</v>
      </c>
      <c r="G17" s="297">
        <f t="shared" si="15"/>
        <v>5</v>
      </c>
      <c r="H17" s="297">
        <f t="shared" si="16"/>
        <v>3</v>
      </c>
      <c r="I17" s="298">
        <f t="shared" si="17"/>
        <v>2236.72</v>
      </c>
      <c r="J17" s="299">
        <f t="shared" si="18"/>
        <v>31.25</v>
      </c>
      <c r="K17" s="301">
        <f t="shared" si="19"/>
        <v>2</v>
      </c>
      <c r="L17" s="301"/>
      <c r="R17" s="303">
        <f t="shared" si="20"/>
        <v>17</v>
      </c>
      <c r="S17" s="305">
        <f t="shared" si="21"/>
        <v>3</v>
      </c>
      <c r="T17" s="305">
        <f t="shared" si="22"/>
        <v>2</v>
      </c>
      <c r="AC17" s="13">
        <f t="shared" si="23"/>
        <v>8</v>
      </c>
    </row>
    <row r="18" ht="22.5" customHeight="1">
      <c r="A18" s="311">
        <v>3.0</v>
      </c>
      <c r="B18" s="295" t="str">
        <f t="shared" si="11"/>
        <v>DECOUPES</v>
      </c>
      <c r="C18" s="296">
        <f t="shared" si="12"/>
        <v>9</v>
      </c>
      <c r="D18" s="296">
        <f t="shared" si="13"/>
        <v>5</v>
      </c>
      <c r="F18" s="297" t="str">
        <f t="shared" si="14"/>
        <v>PRODIGY</v>
      </c>
      <c r="G18" s="297">
        <f t="shared" si="15"/>
        <v>5</v>
      </c>
      <c r="H18" s="297">
        <f t="shared" si="16"/>
        <v>3</v>
      </c>
      <c r="I18" s="298">
        <f t="shared" si="17"/>
        <v>2302.12</v>
      </c>
      <c r="J18" s="299">
        <f t="shared" si="18"/>
        <v>26</v>
      </c>
      <c r="K18" s="301">
        <f t="shared" si="19"/>
        <v>3</v>
      </c>
      <c r="L18" s="301"/>
      <c r="R18" s="303">
        <f t="shared" si="20"/>
        <v>11</v>
      </c>
      <c r="S18" s="305">
        <f t="shared" si="21"/>
        <v>0</v>
      </c>
      <c r="T18" s="305">
        <f t="shared" si="22"/>
        <v>2</v>
      </c>
      <c r="AC18" s="13">
        <f t="shared" si="23"/>
        <v>1</v>
      </c>
    </row>
    <row r="19" ht="22.5" customHeight="1">
      <c r="A19" s="312">
        <v>4.0</v>
      </c>
      <c r="B19" s="295" t="str">
        <f t="shared" si="11"/>
        <v>MUTTS</v>
      </c>
      <c r="C19" s="296">
        <f t="shared" si="12"/>
        <v>7</v>
      </c>
      <c r="D19" s="296">
        <f t="shared" si="13"/>
        <v>7</v>
      </c>
      <c r="F19" s="297" t="str">
        <f t="shared" si="14"/>
        <v>ESTEEMED</v>
      </c>
      <c r="G19" s="297">
        <f t="shared" si="15"/>
        <v>5</v>
      </c>
      <c r="H19" s="297">
        <f t="shared" si="16"/>
        <v>3</v>
      </c>
      <c r="I19" s="298">
        <f t="shared" si="17"/>
        <v>2296.58</v>
      </c>
      <c r="J19" s="299">
        <f t="shared" si="18"/>
        <v>24.5</v>
      </c>
      <c r="K19" s="301">
        <f t="shared" si="19"/>
        <v>4</v>
      </c>
      <c r="L19" s="301"/>
      <c r="R19" s="303">
        <f t="shared" si="20"/>
        <v>15</v>
      </c>
      <c r="S19" s="305">
        <f t="shared" si="21"/>
        <v>2</v>
      </c>
      <c r="T19" s="305">
        <f t="shared" si="22"/>
        <v>2</v>
      </c>
      <c r="AC19" s="13">
        <f t="shared" si="23"/>
        <v>9</v>
      </c>
    </row>
    <row r="20" ht="22.5" customHeight="1">
      <c r="A20" s="312">
        <v>5.0</v>
      </c>
      <c r="B20" s="295" t="str">
        <f t="shared" si="11"/>
        <v>POPEYES</v>
      </c>
      <c r="C20" s="296">
        <f t="shared" si="12"/>
        <v>7</v>
      </c>
      <c r="D20" s="296">
        <f t="shared" si="13"/>
        <v>7</v>
      </c>
      <c r="F20" s="297" t="str">
        <f t="shared" si="14"/>
        <v>PRODIGY</v>
      </c>
      <c r="G20" s="297">
        <f t="shared" si="15"/>
        <v>2</v>
      </c>
      <c r="H20" s="297">
        <f t="shared" si="16"/>
        <v>6</v>
      </c>
      <c r="I20" s="298">
        <f t="shared" si="17"/>
        <v>2258.98</v>
      </c>
      <c r="J20" s="299">
        <f t="shared" si="18"/>
        <v>9.75</v>
      </c>
      <c r="K20" s="301">
        <f t="shared" si="19"/>
        <v>10</v>
      </c>
      <c r="L20" s="301"/>
      <c r="R20" s="303">
        <f t="shared" si="20"/>
        <v>15</v>
      </c>
      <c r="S20" s="305">
        <f t="shared" si="21"/>
        <v>3</v>
      </c>
      <c r="T20" s="305">
        <f t="shared" si="22"/>
        <v>1</v>
      </c>
      <c r="AC20" s="13">
        <f t="shared" si="23"/>
        <v>2</v>
      </c>
    </row>
    <row r="21" ht="22.5" customHeight="1">
      <c r="A21" s="315">
        <v>6.0</v>
      </c>
      <c r="B21" s="316" t="str">
        <f t="shared" si="11"/>
        <v>CHAMPS</v>
      </c>
      <c r="C21" s="317">
        <f t="shared" si="12"/>
        <v>6</v>
      </c>
      <c r="D21" s="317">
        <f t="shared" si="13"/>
        <v>8</v>
      </c>
      <c r="E21" s="318"/>
      <c r="F21" s="319" t="str">
        <f t="shared" si="14"/>
        <v>ESTEEMED</v>
      </c>
      <c r="G21" s="319">
        <f t="shared" si="15"/>
        <v>4</v>
      </c>
      <c r="H21" s="319">
        <f t="shared" si="16"/>
        <v>4</v>
      </c>
      <c r="I21" s="320">
        <f t="shared" si="17"/>
        <v>2310.37</v>
      </c>
      <c r="J21" s="321">
        <f t="shared" si="18"/>
        <v>13.75</v>
      </c>
      <c r="K21" s="322">
        <f t="shared" si="19"/>
        <v>8</v>
      </c>
      <c r="L21" s="322"/>
      <c r="M21" s="318"/>
      <c r="N21" s="318"/>
      <c r="O21" s="318"/>
      <c r="P21" s="318"/>
      <c r="Q21" s="318"/>
      <c r="R21" s="323">
        <f t="shared" si="20"/>
        <v>13</v>
      </c>
      <c r="S21" s="324">
        <f t="shared" si="21"/>
        <v>1</v>
      </c>
      <c r="T21" s="324">
        <f t="shared" si="22"/>
        <v>3</v>
      </c>
      <c r="AC21" s="13">
        <f t="shared" si="23"/>
        <v>6</v>
      </c>
    </row>
    <row r="22" ht="22.5" customHeight="1">
      <c r="A22" s="325">
        <v>7.0</v>
      </c>
      <c r="B22" s="295" t="str">
        <f t="shared" si="11"/>
        <v>EAGLES</v>
      </c>
      <c r="C22" s="296">
        <f t="shared" si="12"/>
        <v>6</v>
      </c>
      <c r="D22" s="296">
        <f t="shared" si="13"/>
        <v>8</v>
      </c>
      <c r="F22" s="297" t="str">
        <f t="shared" si="14"/>
        <v>ESTEEMED</v>
      </c>
      <c r="G22" s="297">
        <f t="shared" si="15"/>
        <v>4</v>
      </c>
      <c r="H22" s="297">
        <f t="shared" si="16"/>
        <v>4</v>
      </c>
      <c r="I22" s="298">
        <f t="shared" si="17"/>
        <v>2175.55</v>
      </c>
      <c r="J22" s="299">
        <f t="shared" si="18"/>
        <v>19</v>
      </c>
      <c r="K22" s="301">
        <f t="shared" si="19"/>
        <v>5</v>
      </c>
      <c r="L22" s="301"/>
      <c r="R22" s="303">
        <f t="shared" si="20"/>
        <v>13</v>
      </c>
      <c r="S22" s="305">
        <f t="shared" si="21"/>
        <v>1</v>
      </c>
      <c r="T22" s="305">
        <f t="shared" si="22"/>
        <v>0</v>
      </c>
      <c r="AC22" s="13">
        <f t="shared" si="23"/>
        <v>10</v>
      </c>
    </row>
    <row r="23" ht="22.5" customHeight="1">
      <c r="A23" s="326">
        <v>8.0</v>
      </c>
      <c r="B23" s="295" t="str">
        <f t="shared" si="11"/>
        <v>KINGS</v>
      </c>
      <c r="C23" s="296">
        <f t="shared" si="12"/>
        <v>5</v>
      </c>
      <c r="D23" s="296">
        <f t="shared" si="13"/>
        <v>9</v>
      </c>
      <c r="F23" s="297" t="str">
        <f t="shared" si="14"/>
        <v>PRODIGY</v>
      </c>
      <c r="G23" s="297">
        <f t="shared" si="15"/>
        <v>5</v>
      </c>
      <c r="H23" s="297">
        <f t="shared" si="16"/>
        <v>3</v>
      </c>
      <c r="I23" s="298">
        <f t="shared" si="17"/>
        <v>2124.41</v>
      </c>
      <c r="J23" s="299">
        <f t="shared" si="18"/>
        <v>15</v>
      </c>
      <c r="K23" s="301">
        <f t="shared" si="19"/>
        <v>6</v>
      </c>
      <c r="L23" s="301"/>
      <c r="R23" s="303">
        <f t="shared" si="20"/>
        <v>16</v>
      </c>
      <c r="S23" s="305">
        <f t="shared" si="21"/>
        <v>0</v>
      </c>
      <c r="T23" s="305">
        <f t="shared" si="22"/>
        <v>1</v>
      </c>
      <c r="AC23" s="13">
        <f t="shared" si="23"/>
        <v>5</v>
      </c>
    </row>
    <row r="24" ht="22.5" customHeight="1">
      <c r="A24" s="328">
        <v>9.0</v>
      </c>
      <c r="B24" s="295" t="str">
        <f t="shared" si="11"/>
        <v>SAVAGES</v>
      </c>
      <c r="C24" s="296">
        <f t="shared" si="12"/>
        <v>5</v>
      </c>
      <c r="D24" s="296">
        <f t="shared" si="13"/>
        <v>9</v>
      </c>
      <c r="F24" s="297" t="str">
        <f t="shared" si="14"/>
        <v>PRODIGY</v>
      </c>
      <c r="G24" s="297">
        <f t="shared" si="15"/>
        <v>2</v>
      </c>
      <c r="H24" s="297">
        <f t="shared" si="16"/>
        <v>6</v>
      </c>
      <c r="I24" s="298">
        <f t="shared" si="17"/>
        <v>2109.53</v>
      </c>
      <c r="J24" s="299">
        <f t="shared" si="18"/>
        <v>14</v>
      </c>
      <c r="K24" s="301">
        <f t="shared" si="19"/>
        <v>7</v>
      </c>
      <c r="L24" s="301"/>
      <c r="R24" s="303">
        <f t="shared" si="20"/>
        <v>16</v>
      </c>
      <c r="S24" s="305">
        <f t="shared" si="21"/>
        <v>0</v>
      </c>
      <c r="T24" s="305">
        <f t="shared" si="22"/>
        <v>2</v>
      </c>
      <c r="AC24" s="13">
        <f t="shared" si="23"/>
        <v>4</v>
      </c>
    </row>
    <row r="25" ht="22.5" customHeight="1">
      <c r="A25" s="329">
        <v>10.0</v>
      </c>
      <c r="B25" s="295" t="str">
        <f t="shared" si="11"/>
        <v>METAMOOKDAWGS</v>
      </c>
      <c r="C25" s="296">
        <f t="shared" si="12"/>
        <v>4</v>
      </c>
      <c r="D25" s="296">
        <f t="shared" si="13"/>
        <v>10</v>
      </c>
      <c r="F25" s="297" t="str">
        <f t="shared" si="14"/>
        <v>ESTEEMED</v>
      </c>
      <c r="G25" s="297">
        <f t="shared" si="15"/>
        <v>2</v>
      </c>
      <c r="H25" s="297">
        <f t="shared" si="16"/>
        <v>6</v>
      </c>
      <c r="I25" s="298">
        <f t="shared" si="17"/>
        <v>2274.44</v>
      </c>
      <c r="J25" s="299">
        <f t="shared" si="18"/>
        <v>10.5</v>
      </c>
      <c r="K25" s="301">
        <f t="shared" si="19"/>
        <v>9</v>
      </c>
      <c r="L25" s="301"/>
      <c r="R25" s="303">
        <f t="shared" si="20"/>
        <v>16</v>
      </c>
      <c r="S25" s="305">
        <f t="shared" si="21"/>
        <v>0</v>
      </c>
      <c r="T25" s="305">
        <f t="shared" si="22"/>
        <v>1</v>
      </c>
      <c r="AC25" s="13">
        <f t="shared" si="23"/>
        <v>7</v>
      </c>
    </row>
    <row r="28">
      <c r="A28" s="330"/>
    </row>
    <row r="29">
      <c r="A29" s="330"/>
    </row>
    <row r="30">
      <c r="A30" s="330"/>
    </row>
    <row r="31">
      <c r="A31" s="330"/>
    </row>
    <row r="32">
      <c r="A32" s="330"/>
    </row>
    <row r="35">
      <c r="A35" s="330"/>
    </row>
    <row r="36">
      <c r="A36" s="330"/>
    </row>
    <row r="37">
      <c r="A37" s="330"/>
    </row>
    <row r="38">
      <c r="A38" s="330"/>
    </row>
    <row r="39">
      <c r="A39" s="330"/>
    </row>
  </sheetData>
  <mergeCells count="1">
    <mergeCell ref="A13:B13"/>
  </mergeCells>
  <conditionalFormatting sqref="E2:E11">
    <cfRule type="colorScale" priority="1">
      <colorScale>
        <cfvo type="min"/>
        <cfvo type="percentile" val="50"/>
        <cfvo type="max"/>
        <color rgb="FF57BB8A"/>
        <color rgb="FFFFFFFF"/>
        <color rgb="FFE67C73"/>
      </colorScale>
    </cfRule>
  </conditionalFormatting>
  <conditionalFormatting sqref="AE2:AE11">
    <cfRule type="colorScale" priority="2">
      <colorScale>
        <cfvo type="min"/>
        <cfvo type="max"/>
        <color rgb="FF57BB8A"/>
        <color rgb="FFFFFFFF"/>
      </colorScale>
    </cfRule>
  </conditionalFormatting>
  <conditionalFormatting sqref="AD2:AD11">
    <cfRule type="colorScale" priority="3">
      <colorScale>
        <cfvo type="min"/>
        <cfvo type="max"/>
        <color rgb="FFFFFFFF"/>
        <color rgb="FF57BB8A"/>
      </colorScale>
    </cfRule>
  </conditionalFormatting>
  <conditionalFormatting sqref="AC2:AC11">
    <cfRule type="colorScale" priority="4">
      <colorScale>
        <cfvo type="min"/>
        <cfvo type="percentile" val="50"/>
        <cfvo type="max"/>
        <color rgb="FFE67C73"/>
        <color rgb="FFFFFFFF"/>
        <color rgb="FF57BB8A"/>
      </colorScale>
    </cfRule>
  </conditionalFormatting>
  <conditionalFormatting sqref="AF2:AF11">
    <cfRule type="colorScale" priority="5">
      <colorScale>
        <cfvo type="min"/>
        <cfvo type="max"/>
        <color rgb="FFFFFFFF"/>
        <color rgb="FF57BB8A"/>
      </colorScale>
    </cfRule>
  </conditionalFormatting>
  <conditionalFormatting sqref="AH2:AH11">
    <cfRule type="colorScale" priority="6">
      <colorScale>
        <cfvo type="min"/>
        <cfvo type="max"/>
        <color rgb="FFFFFFFF"/>
        <color rgb="FF57BB8A"/>
      </colorScale>
    </cfRule>
  </conditionalFormatting>
  <conditionalFormatting sqref="P2:S11">
    <cfRule type="colorScale" priority="7">
      <colorScale>
        <cfvo type="min"/>
        <cfvo type="percentile" val="50"/>
        <cfvo type="max"/>
        <color rgb="FFE67C73"/>
        <color rgb="FFFFFFFF"/>
        <color rgb="FF57BB8A"/>
      </colorScale>
    </cfRule>
  </conditionalFormatting>
  <conditionalFormatting sqref="X2:X11">
    <cfRule type="colorScale" priority="8">
      <colorScale>
        <cfvo type="min"/>
        <cfvo type="percentile" val="50"/>
        <cfvo type="max"/>
        <color rgb="FFE67C73"/>
        <color rgb="FFFFFFFF"/>
        <color rgb="FF57BB8A"/>
      </colorScale>
    </cfRule>
  </conditionalFormatting>
  <conditionalFormatting sqref="Z2:Z11">
    <cfRule type="colorScale" priority="9">
      <colorScale>
        <cfvo type="min"/>
        <cfvo type="percentile" val="50"/>
        <cfvo type="max"/>
        <color rgb="FFE67C73"/>
        <color rgb="FFFFFFFF"/>
        <color rgb="FF57BB8A"/>
      </colorScale>
    </cfRule>
  </conditionalFormatting>
  <conditionalFormatting sqref="J2:L11">
    <cfRule type="colorScale" priority="10">
      <colorScale>
        <cfvo type="min"/>
        <cfvo type="percentile" val="50"/>
        <cfvo type="max"/>
        <color rgb="FFE67C73"/>
        <color rgb="FFFFFFFF"/>
        <color rgb="FF57BB8A"/>
      </colorScale>
    </cfRule>
  </conditionalFormatting>
  <conditionalFormatting sqref="U2:U11">
    <cfRule type="colorScale" priority="11">
      <colorScale>
        <cfvo type="min"/>
        <cfvo type="percentile" val="50"/>
        <cfvo type="max"/>
        <color rgb="FFE67C73"/>
        <color rgb="FFFFFFFF"/>
        <color rgb="FF57BB8A"/>
      </colorScale>
    </cfRule>
  </conditionalFormatting>
  <conditionalFormatting sqref="AO2:AO11">
    <cfRule type="colorScale" priority="12">
      <colorScale>
        <cfvo type="min"/>
        <cfvo type="percentile" val="50"/>
        <cfvo type="max"/>
        <color rgb="FFE67C73"/>
        <color rgb="FFFFFFFF"/>
        <color rgb="FF57BB8A"/>
      </colorScale>
    </cfRule>
  </conditionalFormatting>
  <conditionalFormatting sqref="AP2:AP11">
    <cfRule type="colorScale" priority="13">
      <colorScale>
        <cfvo type="min"/>
        <cfvo type="percentile" val="50"/>
        <cfvo type="max"/>
        <color rgb="FF57BB8A"/>
        <color rgb="FFFFFFFF"/>
        <color rgb="FFE67C73"/>
      </colorScale>
    </cfRule>
  </conditionalFormatting>
  <conditionalFormatting sqref="AL2:AL11">
    <cfRule type="colorScale" priority="14">
      <colorScale>
        <cfvo type="min"/>
        <cfvo type="percentile" val="50"/>
        <cfvo type="max"/>
        <color rgb="FF57BB8A"/>
        <color rgb="FFFFFFFF"/>
        <color rgb="FFE67C73"/>
      </colorScale>
    </cfRule>
  </conditionalFormatting>
  <conditionalFormatting sqref="AK2:AK11">
    <cfRule type="colorScale" priority="15">
      <colorScale>
        <cfvo type="min"/>
        <cfvo type="percentile" val="50"/>
        <cfvo type="max"/>
        <color rgb="FFE67C73"/>
        <color rgb="FFFFFFFF"/>
        <color rgb="FF57BB8A"/>
      </colorScale>
    </cfRule>
  </conditionalFormatting>
  <conditionalFormatting sqref="F2:G11">
    <cfRule type="colorScale" priority="16">
      <colorScale>
        <cfvo type="min"/>
        <cfvo type="percentile" val="50"/>
        <cfvo type="max"/>
        <color rgb="FF57BB8A"/>
        <color rgb="FFFFFFFF"/>
        <color rgb="FFE67C73"/>
      </colorScale>
    </cfRule>
  </conditionalFormatting>
  <dataValidations>
    <dataValidation type="custom" allowBlank="1" showDropDown="1" sqref="I16:J25">
      <formula1>AND(ISNUMBER(I16),(NOT(OR(NOT(ISERROR(DATEVALUE(I16))), AND(ISNUMBER(I16), LEFT(CELL("format", I16))="D")))))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5.33"/>
    <col customWidth="1" min="5" max="5" width="11.78"/>
  </cols>
  <sheetData>
    <row r="1">
      <c r="A1" s="1" t="s">
        <v>0</v>
      </c>
      <c r="B1" s="1" t="s">
        <v>2</v>
      </c>
      <c r="C1" s="1" t="s">
        <v>3</v>
      </c>
      <c r="D1" s="1" t="s">
        <v>4</v>
      </c>
      <c r="E1" s="1" t="s">
        <v>5</v>
      </c>
      <c r="F1" s="1" t="s">
        <v>6</v>
      </c>
      <c r="G1" s="1" t="s">
        <v>8</v>
      </c>
      <c r="H1" s="7">
        <f>MAX($D$2:$D$11)</f>
        <v>6</v>
      </c>
      <c r="I1" s="7"/>
      <c r="J1" s="7"/>
      <c r="K1" s="1" t="s">
        <v>14</v>
      </c>
      <c r="L1" s="1" t="s">
        <v>15</v>
      </c>
      <c r="M1" s="1" t="s">
        <v>17</v>
      </c>
      <c r="N1" s="7"/>
      <c r="O1" s="7"/>
      <c r="P1" s="7"/>
      <c r="Q1" s="7"/>
      <c r="R1" s="7"/>
      <c r="S1" s="7"/>
      <c r="T1" s="7"/>
      <c r="U1" s="7"/>
      <c r="V1" s="7"/>
      <c r="W1" s="7"/>
      <c r="X1" s="7"/>
      <c r="Y1" s="7"/>
      <c r="Z1" s="7"/>
    </row>
    <row r="2">
      <c r="A2" s="13" t="str">
        <f>'League Standings'!B2:B11</f>
        <v>DECOUPES</v>
      </c>
      <c r="B2" s="15">
        <f t="array" ref="B2">INDEX('League Standings'!$J$2:$J$11, MATCH($A2,'League Standings'!$B$2:$B$11,0))</f>
        <v>0.625</v>
      </c>
      <c r="C2" s="13">
        <f t="array" ref="C2">INDEX('League Standings'!$H$2:$H$11, MATCH($A2,'League Standings'!$B$2:$B$11,0))</f>
        <v>5</v>
      </c>
      <c r="D2" s="13">
        <f t="array" ref="D2">INDEX('League Standings'!$I$2:$I$11, MATCH($A2,'League Standings'!$B$2:$B$11,0))</f>
        <v>3</v>
      </c>
      <c r="E2" s="13">
        <f t="array" ref="E2">INDEX('League Standings'!$P$2:$P$11, MATCH($A2,'League Standings'!$B$2:$B$11,0))</f>
        <v>8</v>
      </c>
      <c r="F2" s="13">
        <f t="shared" ref="F2:F11" si="1">IF($B2="","", $B2*1000000 + $C2*1000 + ($H$1-$D2))</f>
        <v>630003</v>
      </c>
      <c r="G2" s="13" t="str">
        <f t="shared" ref="G2:G11" si="2">$B2&amp;"|"&amp;$C2&amp;"|"&amp;$D2</f>
        <v>0.625|5|3</v>
      </c>
      <c r="I2" s="13">
        <f>MATCH($A2,'MVT SCORING'!$AD$19:$AD$28,0)</f>
        <v>1</v>
      </c>
      <c r="J2" s="13">
        <f>MATCH($A2,'MVT SCORING'!$AE$18:$AN$18,0)</f>
        <v>1</v>
      </c>
      <c r="K2" s="13">
        <f>IFERROR(__xludf.DUMMYFUNCTION("IF(COUNTIF($F$2:$F$11,$F2)=1,0,
  SUM( IFNA(
    INDEX('MVT SCORING'!$AE$19:$AN$28,
          $I2,
          MATCH(
            FILTER($A$2:$A$11,$F$2:$F$11=$F2,$A$2:$A$11&lt;&gt;$A2),
            'MVT SCORING'!$AE$18:$AN$18,0)
    ),
  0))
)
"),1.0)</f>
        <v>1</v>
      </c>
      <c r="L2" s="13">
        <f>IFERROR(__xludf.DUMMYFUNCTION("IF(COUNTIF($F$2:$F$11,$F2)=1,0,
  SUM( IFNA(
    INDEX('MVT SCORING'!$AE$19:$AN$28,
          MATCH(
            FILTER($A$2:$A$11,$F$2:$F$11=$F2,$A$2:$A$11&lt;&gt;$A2),
            'MVT SCORING'!$AD$19:$AD$28,0),
          $J2
    ),
  0))
)
"),1.0)</f>
        <v>1</v>
      </c>
      <c r="M2" s="13">
        <f t="shared" ref="M2:M11" si="3">K2-L2
</f>
        <v>0</v>
      </c>
      <c r="N2" s="13">
        <f t="shared" ref="N2:N11" si="4"> $F2*1000000000 + $M2*1000000 + $E2</f>
        <v>630003000000008</v>
      </c>
      <c r="O2" s="13">
        <f t="shared" ref="O2:O11" si="5">RANK($N2,$N$2:$N$11,0)</f>
        <v>3</v>
      </c>
    </row>
    <row r="3">
      <c r="A3" s="13" t="str">
        <f>'League Standings'!B3:B12</f>
        <v>POPEYES</v>
      </c>
      <c r="B3" s="15">
        <f t="array" ref="B3">INDEX('League Standings'!$J$2:$J$11, MATCH($A3,'League Standings'!$B$2:$B$11,0))</f>
        <v>0.25</v>
      </c>
      <c r="C3" s="13">
        <f t="array" ref="C3">INDEX('League Standings'!$H$2:$H$11, MATCH($A3,'League Standings'!$B$2:$B$11,0))</f>
        <v>2</v>
      </c>
      <c r="D3" s="13">
        <f t="array" ref="D3">INDEX('League Standings'!$I$2:$I$11, MATCH($A3,'League Standings'!$B$2:$B$11,0))</f>
        <v>6</v>
      </c>
      <c r="E3" s="13">
        <f t="array" ref="E3">INDEX('League Standings'!$P$2:$P$11, MATCH($A3,'League Standings'!$B$2:$B$11,0))</f>
        <v>5</v>
      </c>
      <c r="F3" s="13">
        <f t="shared" si="1"/>
        <v>252000</v>
      </c>
      <c r="G3" s="13" t="str">
        <f t="shared" si="2"/>
        <v>0.25|2|6</v>
      </c>
      <c r="I3" s="13">
        <f>MATCH($A3,'MVT SCORING'!$AD$19:$AD$28,0)</f>
        <v>2</v>
      </c>
      <c r="J3" s="13">
        <f>MATCH($A3,'MVT SCORING'!$AE$18:$AN$18,0)</f>
        <v>2</v>
      </c>
      <c r="K3" s="13">
        <f>IFERROR(__xludf.DUMMYFUNCTION("IF(COUNTIF($F$2:$F$11,$F3)=1,0,
  SUM( IFNA(
    INDEX('MVT SCORING'!$AE$19:$AN$28,
          $I3,
          MATCH(
            FILTER($A$2:$A$11,$F$2:$F$11=$F3,$A$2:$A$11&lt;&gt;$A3),
            'MVT SCORING'!$AE$18:$AN$18,0)
    ),
  0))
)
"),2.0)</f>
        <v>2</v>
      </c>
      <c r="L3" s="13">
        <f>IFERROR(__xludf.DUMMYFUNCTION("IF(COUNTIF($F$2:$F$11,$F3)=1,0,
  SUM( IFNA(
    INDEX('MVT SCORING'!$AE$19:$AN$28,
          MATCH(
            FILTER($A$2:$A$11,$F$2:$F$11=$F3,$A$2:$A$11&lt;&gt;$A3),
            'MVT SCORING'!$AD$19:$AD$28,0),
          $J3
    ),
  0))
)
"),0.0)</f>
        <v>0</v>
      </c>
      <c r="M3" s="13">
        <f t="shared" si="3"/>
        <v>2</v>
      </c>
      <c r="N3" s="13">
        <f t="shared" si="4"/>
        <v>252000002000005</v>
      </c>
      <c r="O3" s="13">
        <f t="shared" si="5"/>
        <v>8</v>
      </c>
    </row>
    <row r="4">
      <c r="A4" s="13" t="str">
        <f>'League Standings'!B4:B13</f>
        <v>GREEN</v>
      </c>
      <c r="B4" s="15">
        <f t="array" ref="B4">INDEX('League Standings'!$J$2:$J$11, MATCH($A4,'League Standings'!$B$2:$B$11,0))</f>
        <v>0.75</v>
      </c>
      <c r="C4" s="13">
        <f t="array" ref="C4">INDEX('League Standings'!$H$2:$H$11, MATCH($A4,'League Standings'!$B$2:$B$11,0))</f>
        <v>6</v>
      </c>
      <c r="D4" s="13">
        <f t="array" ref="D4">INDEX('League Standings'!$I$2:$I$11, MATCH($A4,'League Standings'!$B$2:$B$11,0))</f>
        <v>2</v>
      </c>
      <c r="E4" s="13">
        <f t="array" ref="E4">INDEX('League Standings'!$P$2:$P$11, MATCH($A4,'League Standings'!$B$2:$B$11,0))</f>
        <v>10</v>
      </c>
      <c r="F4" s="13">
        <f t="shared" si="1"/>
        <v>756004</v>
      </c>
      <c r="G4" s="13" t="str">
        <f t="shared" si="2"/>
        <v>0.75|6|2</v>
      </c>
      <c r="I4" s="13">
        <f>MATCH($A4,'MVT SCORING'!$AD$19:$AD$28,0)</f>
        <v>3</v>
      </c>
      <c r="J4" s="13">
        <f>MATCH($A4,'MVT SCORING'!$AE$18:$AN$18,0)</f>
        <v>3</v>
      </c>
      <c r="K4" s="13">
        <f>IFERROR(__xludf.DUMMYFUNCTION("IF(COUNTIF($F$2:$F$11,$F4)=1,0,
  SUM( IFNA(
    INDEX('MVT SCORING'!$AE$19:$AN$28,
          $I4,
          MATCH(
            FILTER($A$2:$A$11,$F$2:$F$11=$F4,$A$2:$A$11&lt;&gt;$A4),
            'MVT SCORING'!$AE$18:$AN$18,0)
    ),
  0))
)
"),0.0)</f>
        <v>0</v>
      </c>
      <c r="L4" s="13">
        <f>IFERROR(__xludf.DUMMYFUNCTION("IF(COUNTIF($F$2:$F$11,$F4)=1,0,
  SUM( IFNA(
    INDEX('MVT SCORING'!$AE$19:$AN$28,
          MATCH(
            FILTER($A$2:$A$11,$F$2:$F$11=$F4,$A$2:$A$11&lt;&gt;$A4),
            'MVT SCORING'!$AD$19:$AD$28,0),
          $J4
    ),
  0))
)
"),0.0)</f>
        <v>0</v>
      </c>
      <c r="M4" s="13">
        <f t="shared" si="3"/>
        <v>0</v>
      </c>
      <c r="N4" s="13">
        <f t="shared" si="4"/>
        <v>756004000000010</v>
      </c>
      <c r="O4" s="13">
        <f t="shared" si="5"/>
        <v>1</v>
      </c>
    </row>
    <row r="5">
      <c r="A5" s="13" t="str">
        <f>'League Standings'!B5:B15</f>
        <v>SAVAGES</v>
      </c>
      <c r="B5" s="15">
        <f t="array" ref="B5">INDEX('League Standings'!$J$2:$J$11, MATCH($A5,'League Standings'!$B$2:$B$11,0))</f>
        <v>0.25</v>
      </c>
      <c r="C5" s="13">
        <f t="array" ref="C5">INDEX('League Standings'!$H$2:$H$11, MATCH($A5,'League Standings'!$B$2:$B$11,0))</f>
        <v>2</v>
      </c>
      <c r="D5" s="13">
        <f t="array" ref="D5">INDEX('League Standings'!$I$2:$I$11, MATCH($A5,'League Standings'!$B$2:$B$11,0))</f>
        <v>6</v>
      </c>
      <c r="E5" s="13">
        <f t="array" ref="E5">INDEX('League Standings'!$P$2:$P$11, MATCH($A5,'League Standings'!$B$2:$B$11,0))</f>
        <v>1</v>
      </c>
      <c r="F5" s="13">
        <f t="shared" si="1"/>
        <v>252000</v>
      </c>
      <c r="G5" s="13" t="str">
        <f t="shared" si="2"/>
        <v>0.25|2|6</v>
      </c>
      <c r="I5" s="13">
        <f>MATCH($A5,'MVT SCORING'!$AD$19:$AD$28,0)</f>
        <v>4</v>
      </c>
      <c r="J5" s="13">
        <f>MATCH($A5,'MVT SCORING'!$AE$18:$AN$18,0)</f>
        <v>4</v>
      </c>
      <c r="K5" s="13">
        <f>IFERROR(__xludf.DUMMYFUNCTION("IF(COUNTIF($F$2:$F$11,$F5)=1,0,
  SUM( IFNA(
    INDEX('MVT SCORING'!$AE$19:$AN$28,
          $I5,
          MATCH(
            FILTER($A$2:$A$11,$F$2:$F$11=$F5,$A$2:$A$11&lt;&gt;$A5),
            'MVT SCORING'!$AE$18:$AN$18,0)
    ),
  0))
)
"),0.0)</f>
        <v>0</v>
      </c>
      <c r="L5" s="13">
        <f>IFERROR(__xludf.DUMMYFUNCTION("IF(COUNTIF($F$2:$F$11,$F5)=1,0,
  SUM( IFNA(
    INDEX('MVT SCORING'!$AE$19:$AN$28,
          MATCH(
            FILTER($A$2:$A$11,$F$2:$F$11=$F5,$A$2:$A$11&lt;&gt;$A5),
            'MVT SCORING'!$AD$19:$AD$28,0),
          $J5
    ),
  0))
)
"),2.0)</f>
        <v>2</v>
      </c>
      <c r="M5" s="13">
        <f t="shared" si="3"/>
        <v>-2</v>
      </c>
      <c r="N5" s="13">
        <f t="shared" si="4"/>
        <v>251999998000001</v>
      </c>
      <c r="O5" s="13">
        <f t="shared" si="5"/>
        <v>10</v>
      </c>
    </row>
    <row r="6">
      <c r="A6" s="13" t="str">
        <f>'League Standings'!B6:B16</f>
        <v>KINGS</v>
      </c>
      <c r="B6" s="15">
        <f t="array" ref="B6">INDEX('League Standings'!$J$2:$J$11, MATCH($A6,'League Standings'!$B$2:$B$11,0))</f>
        <v>0.625</v>
      </c>
      <c r="C6" s="13">
        <f t="array" ref="C6">INDEX('League Standings'!$H$2:$H$11, MATCH($A6,'League Standings'!$B$2:$B$11,0))</f>
        <v>5</v>
      </c>
      <c r="D6" s="13">
        <f t="array" ref="D6">INDEX('League Standings'!$I$2:$I$11, MATCH($A6,'League Standings'!$B$2:$B$11,0))</f>
        <v>3</v>
      </c>
      <c r="E6" s="13">
        <f t="array" ref="E6">INDEX('League Standings'!$P$2:$P$11, MATCH($A6,'League Standings'!$B$2:$B$11,0))</f>
        <v>2</v>
      </c>
      <c r="F6" s="13">
        <f t="shared" si="1"/>
        <v>630003</v>
      </c>
      <c r="G6" s="13" t="str">
        <f t="shared" si="2"/>
        <v>0.625|5|3</v>
      </c>
      <c r="I6" s="13">
        <f>MATCH($A6,'MVT SCORING'!$AD$19:$AD$28,0)</f>
        <v>5</v>
      </c>
      <c r="J6" s="13">
        <f>MATCH($A6,'MVT SCORING'!$AE$18:$AN$18,0)</f>
        <v>5</v>
      </c>
      <c r="K6" s="13">
        <f>IFERROR(__xludf.DUMMYFUNCTION("IF(COUNTIF($F$2:$F$11,$F6)=1,0,
  SUM( IFNA(
    INDEX('MVT SCORING'!$AE$19:$AN$28,
          $I6,
          MATCH(
            FILTER($A$2:$A$11,$F$2:$F$11=$F6,$A$2:$A$11&lt;&gt;$A6),
            'MVT SCORING'!$AE$18:$AN$18,0)
    ),
  0))
)
"),1.0)</f>
        <v>1</v>
      </c>
      <c r="L6" s="13">
        <f>IFERROR(__xludf.DUMMYFUNCTION("IF(COUNTIF($F$2:$F$11,$F6)=1,0,
  SUM( IFNA(
    INDEX('MVT SCORING'!$AE$19:$AN$28,
          MATCH(
            FILTER($A$2:$A$11,$F$2:$F$11=$F6,$A$2:$A$11&lt;&gt;$A6),
            'MVT SCORING'!$AD$19:$AD$28,0),
          $J6
    ),
  0))
)
"),1.0)</f>
        <v>1</v>
      </c>
      <c r="M6" s="13">
        <f t="shared" si="3"/>
        <v>0</v>
      </c>
      <c r="N6" s="13">
        <f t="shared" si="4"/>
        <v>630003000000002</v>
      </c>
      <c r="O6" s="13">
        <f t="shared" si="5"/>
        <v>4</v>
      </c>
    </row>
    <row r="7">
      <c r="A7" s="13" t="str">
        <f>'League Standings'!B7:B17</f>
        <v>CHAMPS</v>
      </c>
      <c r="B7" s="15">
        <f t="array" ref="B7">INDEX('League Standings'!$J$2:$J$11, MATCH($A7,'League Standings'!$B$2:$B$11,0))</f>
        <v>0.5</v>
      </c>
      <c r="C7" s="13">
        <f t="array" ref="C7">INDEX('League Standings'!$H$2:$H$11, MATCH($A7,'League Standings'!$B$2:$B$11,0))</f>
        <v>4</v>
      </c>
      <c r="D7" s="13">
        <f t="array" ref="D7">INDEX('League Standings'!$I$2:$I$11, MATCH($A7,'League Standings'!$B$2:$B$11,0))</f>
        <v>4</v>
      </c>
      <c r="E7" s="13">
        <f t="array" ref="E7">INDEX('League Standings'!$P$2:$P$11, MATCH($A7,'League Standings'!$B$2:$B$11,0))</f>
        <v>9</v>
      </c>
      <c r="F7" s="13">
        <f t="shared" si="1"/>
        <v>504002</v>
      </c>
      <c r="G7" s="13" t="str">
        <f t="shared" si="2"/>
        <v>0.5|4|4</v>
      </c>
      <c r="I7" s="13">
        <f>MATCH($A7,'MVT SCORING'!$AD$19:$AD$28,0)</f>
        <v>6</v>
      </c>
      <c r="J7" s="13">
        <f>MATCH($A7,'MVT SCORING'!$AE$18:$AN$18,0)</f>
        <v>6</v>
      </c>
      <c r="K7" s="13">
        <f>IFERROR(__xludf.DUMMYFUNCTION("IF(COUNTIF($F$2:$F$11,$F7)=1,0,
  SUM( IFNA(
    INDEX('MVT SCORING'!$AE$19:$AN$28,
          $I7,
          MATCH(
            FILTER($A$2:$A$11,$F$2:$F$11=$F7,$A$2:$A$11&lt;&gt;$A7),
            'MVT SCORING'!$AE$18:$AN$18,0)
    ),
  0))
)
"),1.0)</f>
        <v>1</v>
      </c>
      <c r="L7" s="13">
        <f>IFERROR(__xludf.DUMMYFUNCTION("IF(COUNTIF($F$2:$F$11,$F7)=1,0,
  SUM( IFNA(
    INDEX('MVT SCORING'!$AE$19:$AN$28,
          MATCH(
            FILTER($A$2:$A$11,$F$2:$F$11=$F7,$A$2:$A$11&lt;&gt;$A7),
            'MVT SCORING'!$AD$19:$AD$28,0),
          $J7
    ),
  0))
)
"),1.0)</f>
        <v>1</v>
      </c>
      <c r="M7" s="13">
        <f t="shared" si="3"/>
        <v>0</v>
      </c>
      <c r="N7" s="13">
        <f t="shared" si="4"/>
        <v>504002000000009</v>
      </c>
      <c r="O7" s="13">
        <f t="shared" si="5"/>
        <v>6</v>
      </c>
    </row>
    <row r="8">
      <c r="A8" s="13" t="str">
        <f>'League Standings'!B8:B18</f>
        <v>METAMOOKDAWGS</v>
      </c>
      <c r="B8" s="15">
        <f t="array" ref="B8">INDEX('League Standings'!$J$2:$J$11, MATCH($A8,'League Standings'!$B$2:$B$11,0))</f>
        <v>0.25</v>
      </c>
      <c r="C8" s="13">
        <f t="array" ref="C8">INDEX('League Standings'!$H$2:$H$11, MATCH($A8,'League Standings'!$B$2:$B$11,0))</f>
        <v>2</v>
      </c>
      <c r="D8" s="13">
        <f t="array" ref="D8">INDEX('League Standings'!$I$2:$I$11, MATCH($A8,'League Standings'!$B$2:$B$11,0))</f>
        <v>6</v>
      </c>
      <c r="E8" s="13">
        <f t="array" ref="E8">INDEX('League Standings'!$P$2:$P$11, MATCH($A8,'League Standings'!$B$2:$B$11,0))</f>
        <v>6</v>
      </c>
      <c r="F8" s="13">
        <f t="shared" si="1"/>
        <v>252000</v>
      </c>
      <c r="G8" s="13" t="str">
        <f t="shared" si="2"/>
        <v>0.25|2|6</v>
      </c>
      <c r="I8" s="13">
        <f>MATCH($A8,'MVT SCORING'!$AD$19:$AD$28,0)</f>
        <v>7</v>
      </c>
      <c r="J8" s="13">
        <f>MATCH($A8,'MVT SCORING'!$AE$18:$AN$18,0)</f>
        <v>7</v>
      </c>
      <c r="K8" s="13">
        <f>IFERROR(__xludf.DUMMYFUNCTION("IF(COUNTIF($F$2:$F$11,$F8)=1,0,
  SUM( IFNA(
    INDEX('MVT SCORING'!$AE$19:$AN$28,
          $I8,
          MATCH(
            FILTER($A$2:$A$11,$F$2:$F$11=$F8,$A$2:$A$11&lt;&gt;$A8),
            'MVT SCORING'!$AE$18:$AN$18,0)
    ),
  0))
)
"),0.0)</f>
        <v>0</v>
      </c>
      <c r="L8" s="13">
        <f>IFERROR(__xludf.DUMMYFUNCTION("IF(COUNTIF($F$2:$F$11,$F8)=1,0,
  SUM( IFNA(
    INDEX('MVT SCORING'!$AE$19:$AN$28,
          MATCH(
            FILTER($A$2:$A$11,$F$2:$F$11=$F8,$A$2:$A$11&lt;&gt;$A8),
            'MVT SCORING'!$AD$19:$AD$28,0),
          $J8
    ),
  0))
)
"),1.0)</f>
        <v>1</v>
      </c>
      <c r="M8" s="13">
        <f t="shared" si="3"/>
        <v>-1</v>
      </c>
      <c r="N8" s="13">
        <f t="shared" si="4"/>
        <v>251999999000006</v>
      </c>
      <c r="O8" s="13">
        <f t="shared" si="5"/>
        <v>9</v>
      </c>
    </row>
    <row r="9">
      <c r="A9" s="13" t="str">
        <f>'League Standings'!B9:B19</f>
        <v>YARDIES</v>
      </c>
      <c r="B9" s="15">
        <f t="array" ref="B9">INDEX('League Standings'!$J$2:$J$11, MATCH($A9,'League Standings'!$B$2:$B$11,0))</f>
        <v>0.625</v>
      </c>
      <c r="C9" s="13">
        <f t="array" ref="C9">INDEX('League Standings'!$H$2:$H$11, MATCH($A9,'League Standings'!$B$2:$B$11,0))</f>
        <v>5</v>
      </c>
      <c r="D9" s="13">
        <f t="array" ref="D9">INDEX('League Standings'!$I$2:$I$11, MATCH($A9,'League Standings'!$B$2:$B$11,0))</f>
        <v>3</v>
      </c>
      <c r="E9" s="13">
        <f t="array" ref="E9">INDEX('League Standings'!$P$2:$P$11, MATCH($A9,'League Standings'!$B$2:$B$11,0))</f>
        <v>4</v>
      </c>
      <c r="F9" s="13">
        <f t="shared" si="1"/>
        <v>630003</v>
      </c>
      <c r="G9" s="13" t="str">
        <f t="shared" si="2"/>
        <v>0.625|5|3</v>
      </c>
      <c r="I9" s="13">
        <f>MATCH($A9,'MVT SCORING'!$AD$19:$AD$28,0)</f>
        <v>8</v>
      </c>
      <c r="J9" s="13">
        <f>MATCH($A9,'MVT SCORING'!$AE$18:$AN$18,0)</f>
        <v>8</v>
      </c>
      <c r="K9" s="13">
        <f>IFERROR(__xludf.DUMMYFUNCTION("IF(COUNTIF($F$2:$F$11,$F9)=1,0,
  SUM( IFNA(
    INDEX('MVT SCORING'!$AE$19:$AN$28,
          $I9,
          MATCH(
            FILTER($A$2:$A$11,$F$2:$F$11=$F9,$A$2:$A$11&lt;&gt;$A9),
            'MVT SCORING'!$AE$18:$AN$18,0)
    ),
  0))
)
"),1.0)</f>
        <v>1</v>
      </c>
      <c r="L9" s="13">
        <f>IFERROR(__xludf.DUMMYFUNCTION("IF(COUNTIF($F$2:$F$11,$F9)=1,0,
  SUM( IFNA(
    INDEX('MVT SCORING'!$AE$19:$AN$28,
          MATCH(
            FILTER($A$2:$A$11,$F$2:$F$11=$F9,$A$2:$A$11&lt;&gt;$A9),
            'MVT SCORING'!$AD$19:$AD$28,0),
          $J9
    ),
  0))
)
"),0.0)</f>
        <v>0</v>
      </c>
      <c r="M9" s="13">
        <f t="shared" si="3"/>
        <v>1</v>
      </c>
      <c r="N9" s="13">
        <f t="shared" si="4"/>
        <v>630003001000004</v>
      </c>
      <c r="O9" s="13">
        <f t="shared" si="5"/>
        <v>2</v>
      </c>
    </row>
    <row r="10">
      <c r="A10" s="13" t="str">
        <f>'League Standings'!B10:B20</f>
        <v>MUTTS</v>
      </c>
      <c r="B10" s="15">
        <f t="array" ref="B10">INDEX('League Standings'!$J$2:$J$11, MATCH($A10,'League Standings'!$B$2:$B$11,0))</f>
        <v>0.625</v>
      </c>
      <c r="C10" s="13">
        <f t="array" ref="C10">INDEX('League Standings'!$H$2:$H$11, MATCH($A10,'League Standings'!$B$2:$B$11,0))</f>
        <v>5</v>
      </c>
      <c r="D10" s="13">
        <f t="array" ref="D10">INDEX('League Standings'!$I$2:$I$11, MATCH($A10,'League Standings'!$B$2:$B$11,0))</f>
        <v>3</v>
      </c>
      <c r="E10" s="13">
        <f t="array" ref="E10">INDEX('League Standings'!$P$2:$P$11, MATCH($A10,'League Standings'!$B$2:$B$11,0))</f>
        <v>7</v>
      </c>
      <c r="F10" s="13">
        <f t="shared" si="1"/>
        <v>630003</v>
      </c>
      <c r="G10" s="13" t="str">
        <f t="shared" si="2"/>
        <v>0.625|5|3</v>
      </c>
      <c r="I10" s="13">
        <f>MATCH($A10,'MVT SCORING'!$AD$19:$AD$28,0)</f>
        <v>9</v>
      </c>
      <c r="J10" s="13">
        <f>MATCH($A10,'MVT SCORING'!$AE$18:$AN$18,0)</f>
        <v>9</v>
      </c>
      <c r="K10" s="13">
        <f>IFERROR(__xludf.DUMMYFUNCTION("IF(COUNTIF($F$2:$F$11,$F10)=1,0,
  SUM( IFNA(
    INDEX('MVT SCORING'!$AE$19:$AN$28,
          $I10,
          MATCH(
            FILTER($A$2:$A$11,$F$2:$F$11=$F10,$A$2:$A$11&lt;&gt;$A10),
            'MVT SCORING'!$AE$18:$AN$18,0)
    ),
  0))
)
"),0.0)</f>
        <v>0</v>
      </c>
      <c r="L10" s="13">
        <f>IFERROR(__xludf.DUMMYFUNCTION("IF(COUNTIF($F$2:$F$11,$F10)=1,0,
  SUM( IFNA(
    INDEX('MVT SCORING'!$AE$19:$AN$28,
          MATCH(
            FILTER($A$2:$A$11,$F$2:$F$11=$F10,$A$2:$A$11&lt;&gt;$A10),
            'MVT SCORING'!$AD$19:$AD$28,0),
          $J10
    ),
  0))
)
"),2.0)</f>
        <v>2</v>
      </c>
      <c r="M10" s="13">
        <f t="shared" si="3"/>
        <v>-2</v>
      </c>
      <c r="N10" s="13">
        <f t="shared" si="4"/>
        <v>630002998000007</v>
      </c>
      <c r="O10" s="13">
        <f t="shared" si="5"/>
        <v>5</v>
      </c>
    </row>
    <row r="11">
      <c r="A11" s="13" t="str">
        <f>'League Standings'!B11:B21</f>
        <v>EAGLES</v>
      </c>
      <c r="B11" s="15">
        <f t="array" ref="B11">INDEX('League Standings'!$J$2:$J$11, MATCH($A11,'League Standings'!$B$2:$B$11,0))</f>
        <v>0.5</v>
      </c>
      <c r="C11" s="13">
        <f t="array" ref="C11">INDEX('League Standings'!$H$2:$H$11, MATCH($A11,'League Standings'!$B$2:$B$11,0))</f>
        <v>4</v>
      </c>
      <c r="D11" s="13">
        <f t="array" ref="D11">INDEX('League Standings'!$I$2:$I$11, MATCH($A11,'League Standings'!$B$2:$B$11,0))</f>
        <v>4</v>
      </c>
      <c r="E11" s="13">
        <f t="array" ref="E11">INDEX('League Standings'!$P$2:$P$11, MATCH($A11,'League Standings'!$B$2:$B$11,0))</f>
        <v>3</v>
      </c>
      <c r="F11" s="13">
        <f t="shared" si="1"/>
        <v>504002</v>
      </c>
      <c r="G11" s="13" t="str">
        <f t="shared" si="2"/>
        <v>0.5|4|4</v>
      </c>
      <c r="I11" s="13">
        <f>MATCH($A11,'MVT SCORING'!$AD$19:$AD$28,0)</f>
        <v>10</v>
      </c>
      <c r="J11" s="13">
        <f>MATCH($A11,'MVT SCORING'!$AE$18:$AN$18,0)</f>
        <v>10</v>
      </c>
      <c r="K11" s="13">
        <f>IFERROR(__xludf.DUMMYFUNCTION("IF(COUNTIF($F$2:$F$11,$F11)=1,0,
  SUM( IFNA(
    INDEX('MVT SCORING'!$AE$19:$AN$28,
          $I11,
          MATCH(
            FILTER($A$2:$A$11,$F$2:$F$11=$F11,$A$2:$A$11&lt;&gt;$A11),
            'MVT SCORING'!$AE$18:$AN$18,0)
    ),
  0))
)
"),1.0)</f>
        <v>1</v>
      </c>
      <c r="L11" s="13">
        <f>IFERROR(__xludf.DUMMYFUNCTION("IF(COUNTIF($F$2:$F$11,$F11)=1,0,
  SUM( IFNA(
    INDEX('MVT SCORING'!$AE$19:$AN$28,
          MATCH(
            FILTER($A$2:$A$11,$F$2:$F$11=$F11,$A$2:$A$11&lt;&gt;$A11),
            'MVT SCORING'!$AD$19:$AD$28,0),
          $J11
    ),
  0))
)
"),1.0)</f>
        <v>1</v>
      </c>
      <c r="M11" s="13">
        <f t="shared" si="3"/>
        <v>0</v>
      </c>
      <c r="N11" s="13">
        <f t="shared" si="4"/>
        <v>504002000000003</v>
      </c>
      <c r="O11" s="13">
        <f t="shared" si="5"/>
        <v>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5.33"/>
    <col customWidth="1" min="2" max="2" width="6.11"/>
    <col customWidth="1" min="3" max="3" width="6.0"/>
    <col customWidth="1" min="4" max="4" width="8.22"/>
    <col customWidth="1" min="5" max="5" width="7.22"/>
    <col customWidth="1" min="6" max="6" width="8.22"/>
    <col customWidth="1" min="7" max="7" width="8.78"/>
    <col customWidth="1" min="8" max="8" width="11.78"/>
    <col customWidth="1" min="9" max="9" width="12.0"/>
    <col customWidth="1" min="10" max="11" width="19.0"/>
    <col customWidth="1" min="17" max="17" width="31.44"/>
    <col customWidth="1" min="18" max="18" width="17.56"/>
  </cols>
  <sheetData>
    <row r="1">
      <c r="A1" s="174" t="s">
        <v>169</v>
      </c>
      <c r="B1" s="174" t="s">
        <v>44</v>
      </c>
      <c r="C1" s="174" t="s">
        <v>45</v>
      </c>
      <c r="D1" s="174" t="s">
        <v>2</v>
      </c>
      <c r="E1" s="174" t="s">
        <v>3</v>
      </c>
      <c r="F1" s="174" t="s">
        <v>4</v>
      </c>
      <c r="G1" s="174" t="s">
        <v>167</v>
      </c>
      <c r="H1" s="174" t="s">
        <v>170</v>
      </c>
      <c r="I1" s="176">
        <f>MAX($C$2:$C$11)</f>
        <v>10</v>
      </c>
      <c r="J1" s="176">
        <f>MAX($F$2:$F$11)</f>
        <v>6</v>
      </c>
      <c r="K1" s="176"/>
      <c r="L1" s="176"/>
      <c r="M1" s="176"/>
      <c r="N1" s="176"/>
      <c r="O1" s="176"/>
      <c r="P1" s="176"/>
      <c r="Q1" s="176"/>
      <c r="R1" s="176"/>
      <c r="S1" s="176"/>
      <c r="T1" s="176"/>
      <c r="U1" s="176"/>
      <c r="V1" s="176"/>
      <c r="W1" s="176"/>
      <c r="X1" s="176"/>
      <c r="Y1" s="176"/>
      <c r="Z1" s="176"/>
    </row>
    <row r="2">
      <c r="A2" s="13" t="str">
        <f>'League Standings'!B2</f>
        <v>DECOUPES</v>
      </c>
      <c r="B2" s="13">
        <f>'League Standings'!C2</f>
        <v>9</v>
      </c>
      <c r="C2" s="13">
        <f>'League Standings'!D2</f>
        <v>5</v>
      </c>
      <c r="D2" s="15">
        <f>'League Standings'!J2</f>
        <v>0.625</v>
      </c>
      <c r="E2" s="13">
        <f>'League Standings'!H2</f>
        <v>5</v>
      </c>
      <c r="F2" s="13">
        <f>'League Standings'!I2</f>
        <v>3</v>
      </c>
      <c r="G2" s="13">
        <f>'League Standings'!P2</f>
        <v>8</v>
      </c>
      <c r="H2" s="13" t="str">
        <f t="shared" ref="H2:H11" si="1">B2&amp;"|"&amp;C2&amp;"|"&amp;TEXT(D2,"0.000")&amp;"|"&amp;E2&amp;"|"&amp;F2</f>
        <v>9|5|0.625|5|3</v>
      </c>
      <c r="I2" s="13">
        <f t="shared" ref="I2:I11" si="2"> B2*10^12 + ($I$1-C2)*10^10 + D2*10^8 + E2*10^6 + ($J$1-F2)*10^4
</f>
        <v>9050067530000</v>
      </c>
      <c r="K2" s="18">
        <f>IFERROR(__xludf.DUMMYFUNCTION("IF(COUNTIF($H$2:$H$11,H2)=1, 0,
  SUMPRODUCT(
    IFNA(
      INDEX('MVT SCORING'!$AE$19:$AN$28,
            MATCH($A2,'MVT SCORING'!$AD$19:$AD$28,0),
            MATCH(FILTER($A$2:$A$11,$H$2:$H$11=H2,$A$2:$A$11&lt;&gt;$A2),
                  'MVT SCORING'!$AE$"&amp;"18:$AN$18,0)
      ), 0)))
"),0.0)</f>
        <v>0</v>
      </c>
      <c r="L2" s="13">
        <f>IFERROR(__xludf.DUMMYFUNCTION("IF(COUNTIF($H$2:$H$11,H2)=1, 0,
  SUMPRODUCT(
    IFNA(
      INDEX('MVT SCORING'!$AE$19:$AN$28,
            MATCH(FILTER($A$2:$A$11,$H$2:$H$11=H2,$A$2:$A$11&lt;&gt;$A2),
                  'MVT SCORING'!$AD$19:$AD$28,0),
            MATCH($A2,'MVT SCORING'!$AE$"&amp;"18:$AN$18,0)
      ), 0)))
"),1.0)</f>
        <v>1</v>
      </c>
      <c r="M2" s="13">
        <f t="shared" ref="M2:M11" si="3">K2-L2
</f>
        <v>-1</v>
      </c>
      <c r="N2" s="13">
        <f t="shared" ref="N2:N11" si="4"> I2*10^6 + M2*10^3 + G2
</f>
        <v>9.05007E+18</v>
      </c>
      <c r="O2" s="13">
        <f t="shared" ref="O2:O11" si="5">IF($A2="","",
  1
  +COUNTIFS($B$2:$B$11,"&gt;"&amp;$B2)
  +COUNTIFS($B$2:$B$11,$B2,$C$2:$C$11,"&lt;"&amp;$C2)
  +COUNTIFS($B$2:$B$11,$B2,$C$2:$C$11,$C2,$D$2:$D$11,"&gt;"&amp;$D2)
  +COUNTIFS($B$2:$B$11,$B2,$C$2:$C$11,$C2,$D$2:$D$11,$D2,$E$2:$E$11,"&gt;"&amp;$E2)
  +COUNTIFS($B$2:$B$11,$B2,$C$2:$C$11,$C2,$D$2:$D$11,$D2,$E$2:$E$11,$E2,$F$2:$F$11,"&lt;"&amp;$F2)
  +COUNTIFS($B$2:$B$11,$B2,$C$2:$C$11,$C2,$D$2:$D$11,$D2,$E$2:$E$11,$E2,$F$2:$F$11,$F2,$M$2:$M$11,"&gt;"&amp;$M2)
  +COUNTIFS($B$2:$B$11,$B2,$C$2:$C$11,$C2,$D$2:$D$11,$D2,$E$2:$E$11,$E2,$F$2:$F$11,$F2,$M$2:$M$11,$M2,$G$2:$G$11,"&gt;"&amp;$G2)
)
</f>
        <v>3</v>
      </c>
    </row>
    <row r="3">
      <c r="A3" s="13" t="str">
        <f>'League Standings'!B3</f>
        <v>POPEYES</v>
      </c>
      <c r="B3" s="13">
        <f>'League Standings'!C3</f>
        <v>7</v>
      </c>
      <c r="C3" s="13">
        <f>'League Standings'!D3</f>
        <v>7</v>
      </c>
      <c r="D3" s="15">
        <f>'League Standings'!J3</f>
        <v>0.25</v>
      </c>
      <c r="E3" s="13">
        <f>'League Standings'!H3</f>
        <v>2</v>
      </c>
      <c r="F3" s="13">
        <f>'League Standings'!I3</f>
        <v>6</v>
      </c>
      <c r="G3" s="13">
        <f>'League Standings'!P3</f>
        <v>5</v>
      </c>
      <c r="H3" s="13" t="str">
        <f t="shared" si="1"/>
        <v>7|7|0.250|2|6</v>
      </c>
      <c r="I3" s="13">
        <f t="shared" si="2"/>
        <v>7030027000000</v>
      </c>
      <c r="K3" s="18">
        <f>IFERROR(__xludf.DUMMYFUNCTION("IF(COUNTIF($H$2:$H$11,H3)=1, 0,
  SUMPRODUCT(
    IFNA(
      INDEX('MVT SCORING'!$AE$19:$AN$28,
            MATCH($A3,'MVT SCORING'!$AD$19:$AD$28,0),
            MATCH(FILTER($A$2:$A$11,$H$2:$H$11=H3,$A$2:$A$11&lt;&gt;$A3),
                  'MVT SCORING'!$AE$"&amp;"18:$AN$18,0)
      ), 0)))
"),0.0)</f>
        <v>0</v>
      </c>
      <c r="L3" s="13">
        <f>IFERROR(__xludf.DUMMYFUNCTION("IF(COUNTIF($H$2:$H$11,H3)=1, 0,
  SUMPRODUCT(
    IFNA(
      INDEX('MVT SCORING'!$AE$19:$AN$28,
            MATCH(FILTER($A$2:$A$11,$H$2:$H$11=H3,$A$2:$A$11&lt;&gt;$A3),
                  'MVT SCORING'!$AD$19:$AD$28,0),
            MATCH($A3,'MVT SCORING'!$AE$"&amp;"18:$AN$18,0)
      ), 0)))
"),0.0)</f>
        <v>0</v>
      </c>
      <c r="M3" s="13">
        <f t="shared" si="3"/>
        <v>0</v>
      </c>
      <c r="N3" s="13">
        <f t="shared" si="4"/>
        <v>7.03003E+18</v>
      </c>
      <c r="O3" s="13">
        <f t="shared" si="5"/>
        <v>5</v>
      </c>
    </row>
    <row r="4">
      <c r="A4" s="13" t="str">
        <f>'League Standings'!B4</f>
        <v>GREEN</v>
      </c>
      <c r="B4" s="13">
        <f>'League Standings'!C4</f>
        <v>12</v>
      </c>
      <c r="C4" s="13">
        <f>'League Standings'!D4</f>
        <v>2</v>
      </c>
      <c r="D4" s="15">
        <f>'League Standings'!J4</f>
        <v>0.75</v>
      </c>
      <c r="E4" s="13">
        <f>'League Standings'!H4</f>
        <v>6</v>
      </c>
      <c r="F4" s="13">
        <f>'League Standings'!I4</f>
        <v>2</v>
      </c>
      <c r="G4" s="13">
        <f>'League Standings'!P4</f>
        <v>10</v>
      </c>
      <c r="H4" s="13" t="str">
        <f t="shared" si="1"/>
        <v>12|2|0.750|6|2</v>
      </c>
      <c r="I4" s="13">
        <f t="shared" si="2"/>
        <v>12080081040000</v>
      </c>
      <c r="K4" s="18">
        <f>IFERROR(__xludf.DUMMYFUNCTION("IF(COUNTIF($H$2:$H$11,H4)=1, 0,
  SUMPRODUCT(
    IFNA(
      INDEX('MVT SCORING'!$AE$19:$AN$28,
            MATCH($A4,'MVT SCORING'!$AD$19:$AD$28,0),
            MATCH(FILTER($A$2:$A$11,$H$2:$H$11=H4,$A$2:$A$11&lt;&gt;$A4),
                  'MVT SCORING'!$AE$"&amp;"18:$AN$18,0)
      ), 0)))
"),0.0)</f>
        <v>0</v>
      </c>
      <c r="L4" s="13">
        <f>IFERROR(__xludf.DUMMYFUNCTION("IF(COUNTIF($H$2:$H$11,H4)=1, 0,
  SUMPRODUCT(
    IFNA(
      INDEX('MVT SCORING'!$AE$19:$AN$28,
            MATCH(FILTER($A$2:$A$11,$H$2:$H$11=H4,$A$2:$A$11&lt;&gt;$A4),
                  'MVT SCORING'!$AD$19:$AD$28,0),
            MATCH($A4,'MVT SCORING'!$AE$"&amp;"18:$AN$18,0)
      ), 0)))
"),0.0)</f>
        <v>0</v>
      </c>
      <c r="M4" s="13">
        <f t="shared" si="3"/>
        <v>0</v>
      </c>
      <c r="N4" s="13">
        <f t="shared" si="4"/>
        <v>1.20801E+19</v>
      </c>
      <c r="O4" s="13">
        <f t="shared" si="5"/>
        <v>1</v>
      </c>
    </row>
    <row r="5">
      <c r="A5" s="13" t="str">
        <f>'League Standings'!B5</f>
        <v>SAVAGES</v>
      </c>
      <c r="B5" s="13">
        <f>'League Standings'!C5</f>
        <v>5</v>
      </c>
      <c r="C5" s="13">
        <f>'League Standings'!D5</f>
        <v>9</v>
      </c>
      <c r="D5" s="15">
        <f>'League Standings'!J5</f>
        <v>0.25</v>
      </c>
      <c r="E5" s="13">
        <f>'League Standings'!H5</f>
        <v>2</v>
      </c>
      <c r="F5" s="13">
        <f>'League Standings'!I5</f>
        <v>6</v>
      </c>
      <c r="G5" s="13">
        <f>'League Standings'!P5</f>
        <v>1</v>
      </c>
      <c r="H5" s="13" t="str">
        <f t="shared" si="1"/>
        <v>5|9|0.250|2|6</v>
      </c>
      <c r="I5" s="13">
        <f t="shared" si="2"/>
        <v>5010027000000</v>
      </c>
      <c r="K5" s="18">
        <f>IFERROR(__xludf.DUMMYFUNCTION("IF(COUNTIF($H$2:$H$11,H5)=1, 0,
  SUMPRODUCT(
    IFNA(
      INDEX('MVT SCORING'!$AE$19:$AN$28,
            MATCH($A5,'MVT SCORING'!$AD$19:$AD$28,0),
            MATCH(FILTER($A$2:$A$11,$H$2:$H$11=H5,$A$2:$A$11&lt;&gt;$A5),
                  'MVT SCORING'!$AE$"&amp;"18:$AN$18,0)
      ), 0)))
"),0.0)</f>
        <v>0</v>
      </c>
      <c r="L5" s="13">
        <f>IFERROR(__xludf.DUMMYFUNCTION("IF(COUNTIF($H$2:$H$11,H5)=1, 0,
  SUMPRODUCT(
    IFNA(
      INDEX('MVT SCORING'!$AE$19:$AN$28,
            MATCH(FILTER($A$2:$A$11,$H$2:$H$11=H5,$A$2:$A$11&lt;&gt;$A5),
                  'MVT SCORING'!$AD$19:$AD$28,0),
            MATCH($A5,'MVT SCORING'!$AE$"&amp;"18:$AN$18,0)
      ), 0)))
"),0.0)</f>
        <v>0</v>
      </c>
      <c r="M5" s="13">
        <f t="shared" si="3"/>
        <v>0</v>
      </c>
      <c r="N5" s="13">
        <f t="shared" si="4"/>
        <v>5.01003E+18</v>
      </c>
      <c r="O5" s="13">
        <f t="shared" si="5"/>
        <v>9</v>
      </c>
    </row>
    <row r="6">
      <c r="A6" s="13" t="str">
        <f>'League Standings'!B6</f>
        <v>KINGS</v>
      </c>
      <c r="B6" s="13">
        <f>'League Standings'!C6</f>
        <v>5</v>
      </c>
      <c r="C6" s="13">
        <f>'League Standings'!D6</f>
        <v>9</v>
      </c>
      <c r="D6" s="15">
        <f>'League Standings'!J6</f>
        <v>0.625</v>
      </c>
      <c r="E6" s="13">
        <f>'League Standings'!H6</f>
        <v>5</v>
      </c>
      <c r="F6" s="13">
        <f>'League Standings'!I6</f>
        <v>3</v>
      </c>
      <c r="G6" s="13">
        <f>'League Standings'!P6</f>
        <v>2</v>
      </c>
      <c r="H6" s="13" t="str">
        <f t="shared" si="1"/>
        <v>5|9|0.625|5|3</v>
      </c>
      <c r="I6" s="13">
        <f t="shared" si="2"/>
        <v>5010067530000</v>
      </c>
      <c r="K6" s="18">
        <f>IFERROR(__xludf.DUMMYFUNCTION("IF(COUNTIF($H$2:$H$11,H6)=1, 0,
  SUMPRODUCT(
    IFNA(
      INDEX('MVT SCORING'!$AE$19:$AN$28,
            MATCH($A6,'MVT SCORING'!$AD$19:$AD$28,0),
            MATCH(FILTER($A$2:$A$11,$H$2:$H$11=H6,$A$2:$A$11&lt;&gt;$A6),
                  'MVT SCORING'!$AE$"&amp;"18:$AN$18,0)
      ), 0)))
"),0.0)</f>
        <v>0</v>
      </c>
      <c r="L6" s="13">
        <f>IFERROR(__xludf.DUMMYFUNCTION("IF(COUNTIF($H$2:$H$11,H6)=1, 0,
  SUMPRODUCT(
    IFNA(
      INDEX('MVT SCORING'!$AE$19:$AN$28,
            MATCH(FILTER($A$2:$A$11,$H$2:$H$11=H6,$A$2:$A$11&lt;&gt;$A6),
                  'MVT SCORING'!$AD$19:$AD$28,0),
            MATCH($A6,'MVT SCORING'!$AE$"&amp;"18:$AN$18,0)
      ), 0)))
"),0.0)</f>
        <v>0</v>
      </c>
      <c r="M6" s="13">
        <f t="shared" si="3"/>
        <v>0</v>
      </c>
      <c r="N6" s="13">
        <f t="shared" si="4"/>
        <v>5.01007E+18</v>
      </c>
      <c r="O6" s="13">
        <f t="shared" si="5"/>
        <v>8</v>
      </c>
    </row>
    <row r="7">
      <c r="A7" s="13" t="str">
        <f>'League Standings'!B7</f>
        <v>CHAMPS</v>
      </c>
      <c r="B7" s="13">
        <f>'League Standings'!C7</f>
        <v>6</v>
      </c>
      <c r="C7" s="13">
        <f>'League Standings'!D7</f>
        <v>8</v>
      </c>
      <c r="D7" s="15">
        <f>'League Standings'!J7</f>
        <v>0.5</v>
      </c>
      <c r="E7" s="13">
        <f>'League Standings'!H7</f>
        <v>4</v>
      </c>
      <c r="F7" s="13">
        <f>'League Standings'!I7</f>
        <v>4</v>
      </c>
      <c r="G7" s="13">
        <f>'League Standings'!P7</f>
        <v>9</v>
      </c>
      <c r="H7" s="13" t="str">
        <f t="shared" si="1"/>
        <v>6|8|0.500|4|4</v>
      </c>
      <c r="I7" s="13">
        <f t="shared" si="2"/>
        <v>6020054020000</v>
      </c>
      <c r="K7" s="18">
        <f>IFERROR(__xludf.DUMMYFUNCTION("IF(COUNTIF($H$2:$H$11,H7)=1, 0,
  SUMPRODUCT(
    IFNA(
      INDEX('MVT SCORING'!$AE$19:$AN$28,
            MATCH($A7,'MVT SCORING'!$AD$19:$AD$28,0),
            MATCH(FILTER($A$2:$A$11,$H$2:$H$11=H7,$A$2:$A$11&lt;&gt;$A7),
                  'MVT SCORING'!$AE$"&amp;"18:$AN$18,0)
      ), 0)))
"),1.0)</f>
        <v>1</v>
      </c>
      <c r="L7" s="13">
        <f>IFERROR(__xludf.DUMMYFUNCTION("IF(COUNTIF($H$2:$H$11,H7)=1, 0,
  SUMPRODUCT(
    IFNA(
      INDEX('MVT SCORING'!$AE$19:$AN$28,
            MATCH(FILTER($A$2:$A$11,$H$2:$H$11=H7,$A$2:$A$11&lt;&gt;$A7),
                  'MVT SCORING'!$AD$19:$AD$28,0),
            MATCH($A7,'MVT SCORING'!$AE$"&amp;"18:$AN$18,0)
      ), 0)))
"),1.0)</f>
        <v>1</v>
      </c>
      <c r="M7" s="13">
        <f t="shared" si="3"/>
        <v>0</v>
      </c>
      <c r="N7" s="13">
        <f t="shared" si="4"/>
        <v>6.02005E+18</v>
      </c>
      <c r="O7" s="13">
        <f t="shared" si="5"/>
        <v>6</v>
      </c>
    </row>
    <row r="8">
      <c r="A8" s="13" t="str">
        <f>'League Standings'!B8</f>
        <v>METAMOOKDAWGS</v>
      </c>
      <c r="B8" s="13">
        <f>'League Standings'!C8</f>
        <v>4</v>
      </c>
      <c r="C8" s="13">
        <f>'League Standings'!D8</f>
        <v>10</v>
      </c>
      <c r="D8" s="15">
        <f>'League Standings'!J8</f>
        <v>0.25</v>
      </c>
      <c r="E8" s="13">
        <f>'League Standings'!H8</f>
        <v>2</v>
      </c>
      <c r="F8" s="13">
        <f>'League Standings'!I8</f>
        <v>6</v>
      </c>
      <c r="G8" s="13">
        <f>'League Standings'!P8</f>
        <v>6</v>
      </c>
      <c r="H8" s="13" t="str">
        <f t="shared" si="1"/>
        <v>4|10|0.250|2|6</v>
      </c>
      <c r="I8" s="13">
        <f t="shared" si="2"/>
        <v>4000027000000</v>
      </c>
      <c r="K8" s="18">
        <f>IFERROR(__xludf.DUMMYFUNCTION("IF(COUNTIF($H$2:$H$11,H8)=1, 0,
  SUMPRODUCT(
    IFNA(
      INDEX('MVT SCORING'!$AE$19:$AN$28,
            MATCH($A8,'MVT SCORING'!$AD$19:$AD$28,0),
            MATCH(FILTER($A$2:$A$11,$H$2:$H$11=H8,$A$2:$A$11&lt;&gt;$A8),
                  'MVT SCORING'!$AE$"&amp;"18:$AN$18,0)
      ), 0)))
"),0.0)</f>
        <v>0</v>
      </c>
      <c r="L8" s="13">
        <f>IFERROR(__xludf.DUMMYFUNCTION("IF(COUNTIF($H$2:$H$11,H8)=1, 0,
  SUMPRODUCT(
    IFNA(
      INDEX('MVT SCORING'!$AE$19:$AN$28,
            MATCH(FILTER($A$2:$A$11,$H$2:$H$11=H8,$A$2:$A$11&lt;&gt;$A8),
                  'MVT SCORING'!$AD$19:$AD$28,0),
            MATCH($A8,'MVT SCORING'!$AE$"&amp;"18:$AN$18,0)
      ), 0)))
"),0.0)</f>
        <v>0</v>
      </c>
      <c r="M8" s="13">
        <f t="shared" si="3"/>
        <v>0</v>
      </c>
      <c r="N8" s="13">
        <f t="shared" si="4"/>
        <v>4.00003E+18</v>
      </c>
      <c r="O8" s="13">
        <f t="shared" si="5"/>
        <v>10</v>
      </c>
    </row>
    <row r="9">
      <c r="A9" s="13" t="str">
        <f>'League Standings'!B9</f>
        <v>YARDIES</v>
      </c>
      <c r="B9" s="13">
        <f>'League Standings'!C9</f>
        <v>9</v>
      </c>
      <c r="C9" s="13">
        <f>'League Standings'!D9</f>
        <v>5</v>
      </c>
      <c r="D9" s="15">
        <f>'League Standings'!J9</f>
        <v>0.625</v>
      </c>
      <c r="E9" s="13">
        <f>'League Standings'!H9</f>
        <v>5</v>
      </c>
      <c r="F9" s="13">
        <f>'League Standings'!I9</f>
        <v>3</v>
      </c>
      <c r="G9" s="13">
        <f>'League Standings'!P9</f>
        <v>4</v>
      </c>
      <c r="H9" s="13" t="str">
        <f t="shared" si="1"/>
        <v>9|5|0.625|5|3</v>
      </c>
      <c r="I9" s="13">
        <f t="shared" si="2"/>
        <v>9050067530000</v>
      </c>
      <c r="K9" s="18">
        <f>IFERROR(__xludf.DUMMYFUNCTION("IF(COUNTIF($H$2:$H$11,H9)=1, 0,
  SUMPRODUCT(
    IFNA(
      INDEX('MVT SCORING'!$AE$19:$AN$28,
            MATCH($A9,'MVT SCORING'!$AD$19:$AD$28,0),
            MATCH(FILTER($A$2:$A$11,$H$2:$H$11=H9,$A$2:$A$11&lt;&gt;$A9),
                  'MVT SCORING'!$AE$"&amp;"18:$AN$18,0)
      ), 0)))
"),1.0)</f>
        <v>1</v>
      </c>
      <c r="L9" s="13">
        <f>IFERROR(__xludf.DUMMYFUNCTION("IF(COUNTIF($H$2:$H$11,H9)=1, 0,
  SUMPRODUCT(
    IFNA(
      INDEX('MVT SCORING'!$AE$19:$AN$28,
            MATCH(FILTER($A$2:$A$11,$H$2:$H$11=H9,$A$2:$A$11&lt;&gt;$A9),
                  'MVT SCORING'!$AD$19:$AD$28,0),
            MATCH($A9,'MVT SCORING'!$AE$"&amp;"18:$AN$18,0)
      ), 0)))
"),0.0)</f>
        <v>0</v>
      </c>
      <c r="M9" s="13">
        <f t="shared" si="3"/>
        <v>1</v>
      </c>
      <c r="N9" s="13">
        <f t="shared" si="4"/>
        <v>9.05007E+18</v>
      </c>
      <c r="O9" s="13">
        <f t="shared" si="5"/>
        <v>2</v>
      </c>
    </row>
    <row r="10">
      <c r="A10" s="13" t="str">
        <f>'League Standings'!B10</f>
        <v>MUTTS</v>
      </c>
      <c r="B10" s="13">
        <f>'League Standings'!C10</f>
        <v>7</v>
      </c>
      <c r="C10" s="13">
        <f>'League Standings'!D10</f>
        <v>7</v>
      </c>
      <c r="D10" s="15">
        <f>'League Standings'!J10</f>
        <v>0.625</v>
      </c>
      <c r="E10" s="13">
        <f>'League Standings'!H10</f>
        <v>5</v>
      </c>
      <c r="F10" s="13">
        <f>'League Standings'!I10</f>
        <v>3</v>
      </c>
      <c r="G10" s="13">
        <f>'League Standings'!P10</f>
        <v>7</v>
      </c>
      <c r="H10" s="13" t="str">
        <f t="shared" si="1"/>
        <v>7|7|0.625|5|3</v>
      </c>
      <c r="I10" s="13">
        <f t="shared" si="2"/>
        <v>7030067530000</v>
      </c>
      <c r="K10" s="18">
        <f>IFERROR(__xludf.DUMMYFUNCTION("IF(COUNTIF($H$2:$H$11,H10)=1, 0,
  SUMPRODUCT(
    IFNA(
      INDEX('MVT SCORING'!$AE$19:$AN$28,
            MATCH($A10,'MVT SCORING'!$AD$19:$AD$28,0),
            MATCH(FILTER($A$2:$A$11,$H$2:$H$11=H10,$A$2:$A$11&lt;&gt;$A10),
                  'MVT SCORING'!"&amp;"$AE$18:$AN$18,0)
      ), 0)))
"),0.0)</f>
        <v>0</v>
      </c>
      <c r="L10" s="13">
        <f>IFERROR(__xludf.DUMMYFUNCTION("IF(COUNTIF($H$2:$H$11,H10)=1, 0,
  SUMPRODUCT(
    IFNA(
      INDEX('MVT SCORING'!$AE$19:$AN$28,
            MATCH(FILTER($A$2:$A$11,$H$2:$H$11=H10,$A$2:$A$11&lt;&gt;$A10),
                  'MVT SCORING'!$AD$19:$AD$28,0),
            MATCH($A10,'MVT SCORING'!"&amp;"$AE$18:$AN$18,0)
      ), 0)))
"),0.0)</f>
        <v>0</v>
      </c>
      <c r="M10" s="13">
        <f t="shared" si="3"/>
        <v>0</v>
      </c>
      <c r="N10" s="13">
        <f t="shared" si="4"/>
        <v>7.03007E+18</v>
      </c>
      <c r="O10" s="13">
        <f t="shared" si="5"/>
        <v>4</v>
      </c>
    </row>
    <row r="11">
      <c r="A11" s="13" t="str">
        <f>'League Standings'!B11</f>
        <v>EAGLES</v>
      </c>
      <c r="B11" s="13">
        <f>'League Standings'!C11</f>
        <v>6</v>
      </c>
      <c r="C11" s="13">
        <f>'League Standings'!D11</f>
        <v>8</v>
      </c>
      <c r="D11" s="15">
        <f>'League Standings'!J11</f>
        <v>0.5</v>
      </c>
      <c r="E11" s="13">
        <f>'League Standings'!H11</f>
        <v>4</v>
      </c>
      <c r="F11" s="13">
        <f>'League Standings'!I11</f>
        <v>4</v>
      </c>
      <c r="G11" s="13">
        <f>'League Standings'!P11</f>
        <v>3</v>
      </c>
      <c r="H11" s="13" t="str">
        <f t="shared" si="1"/>
        <v>6|8|0.500|4|4</v>
      </c>
      <c r="I11" s="13">
        <f t="shared" si="2"/>
        <v>6020054020000</v>
      </c>
      <c r="K11" s="18">
        <f>IFERROR(__xludf.DUMMYFUNCTION("IF(COUNTIF($H$2:$H$11,H11)=1, 0,
  SUMPRODUCT(
    IFNA(
      INDEX('MVT SCORING'!$AE$19:$AN$28,
            MATCH($A11,'MVT SCORING'!$AD$19:$AD$28,0),
            MATCH(FILTER($A$2:$A$11,$H$2:$H$11=H11,$A$2:$A$11&lt;&gt;$A11),
                  'MVT SCORING'!"&amp;"$AE$18:$AN$18,0)
      ), 0)))
"),1.0)</f>
        <v>1</v>
      </c>
      <c r="L11" s="13">
        <f>IFERROR(__xludf.DUMMYFUNCTION("IF(COUNTIF($H$2:$H$11,H11)=1, 0,
  SUMPRODUCT(
    IFNA(
      INDEX('MVT SCORING'!$AE$19:$AN$28,
            MATCH(FILTER($A$2:$A$11,$H$2:$H$11=H11,$A$2:$A$11&lt;&gt;$A11),
                  'MVT SCORING'!$AD$19:$AD$28,0),
            MATCH($A11,'MVT SCORING'!"&amp;"$AE$18:$AN$18,0)
      ), 0)))
"),1.0)</f>
        <v>1</v>
      </c>
      <c r="M11" s="13">
        <f t="shared" si="3"/>
        <v>0</v>
      </c>
      <c r="N11" s="13">
        <f t="shared" si="4"/>
        <v>6.02005E+18</v>
      </c>
      <c r="O11" s="13">
        <f t="shared" si="5"/>
        <v>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4.11"/>
    <col customWidth="1" min="4" max="17" width="10.56"/>
    <col customWidth="1" min="18" max="18" width="17.67"/>
    <col customWidth="1" min="19" max="19" width="17.0"/>
    <col customWidth="1" min="20" max="21" width="10.56"/>
    <col customWidth="1" min="22" max="22" width="18.33"/>
    <col customWidth="1" min="23" max="23" width="17.0"/>
    <col customWidth="1" min="24" max="28" width="10.56"/>
    <col customWidth="1" min="29" max="29" width="18.33"/>
    <col customWidth="1" min="30" max="41" width="10.56"/>
  </cols>
  <sheetData>
    <row r="1" ht="15.75" customHeight="1"/>
    <row r="2" ht="16.5" customHeight="1">
      <c r="A2" s="221" t="str">
        <f>'Entry Sheet'!A2</f>
        <v>DECOUPES</v>
      </c>
      <c r="B2" s="221"/>
      <c r="C2" s="221"/>
      <c r="D2" s="221"/>
      <c r="E2" s="221"/>
      <c r="F2" s="221"/>
      <c r="G2" s="221"/>
      <c r="H2" s="221"/>
      <c r="I2" s="221"/>
      <c r="J2" s="221"/>
      <c r="K2" s="221"/>
      <c r="L2" s="221"/>
      <c r="M2" s="221"/>
      <c r="N2" s="221"/>
      <c r="O2" s="221"/>
      <c r="P2" s="221"/>
      <c r="Q2" s="221"/>
      <c r="R2" s="221"/>
      <c r="S2" s="221"/>
      <c r="T2" s="221"/>
      <c r="X2" s="13" t="str">
        <f>$A$2</f>
        <v>DECOUPES</v>
      </c>
      <c r="Y2" s="13" t="str">
        <f>$A$40</f>
        <v>POPEYES</v>
      </c>
      <c r="Z2" s="13" t="str">
        <f>$A$78</f>
        <v>GREEN</v>
      </c>
      <c r="AA2" s="13" t="str">
        <f>$A$116</f>
        <v>SAVAGES</v>
      </c>
      <c r="AB2" s="13" t="str">
        <f>$A$154</f>
        <v>CHAMPS</v>
      </c>
      <c r="AC2" s="13" t="str">
        <f>$A$192</f>
        <v>METAMOOKDAWGS</v>
      </c>
      <c r="AD2" s="13" t="str">
        <f>$A$230</f>
        <v>YARDIES</v>
      </c>
      <c r="AE2" s="13" t="str">
        <f>$A$267</f>
        <v>MUTTS</v>
      </c>
      <c r="AF2" s="13" t="str">
        <f>$A$294</f>
        <v>EAGLES</v>
      </c>
    </row>
    <row r="3" ht="15.75" customHeight="1">
      <c r="B3" s="13" t="str">
        <f>'Entry Sheet'!B3</f>
        <v>Week 1</v>
      </c>
      <c r="C3" s="13" t="str">
        <f>'Entry Sheet'!D3</f>
        <v>Week 2</v>
      </c>
      <c r="D3" s="13" t="str">
        <f>'Entry Sheet'!F3</f>
        <v>Week 3</v>
      </c>
      <c r="E3" s="13" t="str">
        <f>'Entry Sheet'!H3</f>
        <v>Week 4</v>
      </c>
      <c r="F3" s="13" t="str">
        <f>'Entry Sheet'!J3</f>
        <v>Week 5</v>
      </c>
      <c r="G3" s="13" t="str">
        <f>'Entry Sheet'!L3</f>
        <v>Week 6</v>
      </c>
      <c r="H3" s="13" t="str">
        <f>'Entry Sheet'!N3</f>
        <v>Week 7</v>
      </c>
      <c r="I3" s="13" t="str">
        <f>'Entry Sheet'!P3</f>
        <v>Week 8</v>
      </c>
      <c r="J3" s="13" t="str">
        <f>'Entry Sheet'!R3</f>
        <v>Week 9</v>
      </c>
      <c r="K3" s="13" t="str">
        <f>'Entry Sheet'!T3</f>
        <v>Week 10</v>
      </c>
      <c r="L3" s="13" t="str">
        <f>'Entry Sheet'!V3</f>
        <v>Week 11</v>
      </c>
      <c r="M3" s="13" t="str">
        <f>'Entry Sheet'!X3</f>
        <v>Week 12</v>
      </c>
      <c r="N3" s="13" t="str">
        <f>'Entry Sheet'!Z3</f>
        <v>Week 13</v>
      </c>
      <c r="O3" s="13" t="str">
        <f>'Entry Sheet'!AB3</f>
        <v>Week 14</v>
      </c>
      <c r="P3" s="13" t="str">
        <f>'Entry Sheet'!AD3</f>
        <v>Finale</v>
      </c>
      <c r="R3" s="13" t="s">
        <v>100</v>
      </c>
      <c r="S3" s="13" t="s">
        <v>202</v>
      </c>
      <c r="T3" s="224">
        <f>AVERAGEIF(B5:O5,"&lt;&gt;0")</f>
        <v>26.93</v>
      </c>
      <c r="V3" s="13" t="s">
        <v>100</v>
      </c>
      <c r="W3" s="13" t="s">
        <v>202</v>
      </c>
      <c r="X3" s="224">
        <f t="shared" ref="X3:X25" si="1">T3</f>
        <v>26.93</v>
      </c>
      <c r="Y3" s="224">
        <f t="shared" ref="Y3:Y25" si="2">T41</f>
        <v>22.31428571</v>
      </c>
      <c r="Z3" s="224">
        <f t="shared" ref="Z3:Z25" si="3">T79</f>
        <v>25.23</v>
      </c>
      <c r="AA3" s="224">
        <f t="shared" ref="AA3:AA25" si="4">T117</f>
        <v>21.88428571</v>
      </c>
      <c r="AB3" s="224">
        <f t="shared" ref="AB3:AB25" si="5">T155</f>
        <v>23.38142857</v>
      </c>
      <c r="AC3" s="224">
        <f t="shared" ref="AC3:AC25" si="6">T193</f>
        <v>23.95857143</v>
      </c>
      <c r="AD3" s="224">
        <f t="shared" ref="AD3:AD25" si="7">T231</f>
        <v>21.79285714</v>
      </c>
      <c r="AE3" s="224">
        <f t="shared" ref="AE3:AE25" si="8">T268</f>
        <v>22.41076923</v>
      </c>
      <c r="AF3" s="224">
        <f t="shared" ref="AF3:AF25" si="9">T295</f>
        <v>28.89714286</v>
      </c>
      <c r="AG3" s="224">
        <f t="shared" ref="AG3:AG25" si="10">T322</f>
        <v>25.48857143</v>
      </c>
    </row>
    <row r="4" ht="15.75" customHeight="1">
      <c r="A4" s="13" t="str">
        <f>'Entry Sheet'!A4</f>
        <v>Team Rank</v>
      </c>
      <c r="B4" s="13">
        <f>'Entry Sheet'!B4</f>
        <v>5</v>
      </c>
      <c r="C4" s="13">
        <f>'Entry Sheet'!D4</f>
        <v>3</v>
      </c>
      <c r="D4" s="13">
        <f>'Entry Sheet'!F4</f>
        <v>2</v>
      </c>
      <c r="E4" s="13">
        <f>'Entry Sheet'!H4</f>
        <v>3</v>
      </c>
      <c r="F4" s="13">
        <f>'Entry Sheet'!J4</f>
        <v>4</v>
      </c>
      <c r="G4" s="13">
        <f>'Entry Sheet'!L4</f>
        <v>5</v>
      </c>
      <c r="H4" s="13">
        <f>'Entry Sheet'!N4</f>
        <v>5</v>
      </c>
      <c r="I4" s="13">
        <f>'Entry Sheet'!P4</f>
        <v>4</v>
      </c>
      <c r="J4" s="13">
        <f>'Entry Sheet'!R4</f>
        <v>5</v>
      </c>
      <c r="K4" s="13">
        <f>'Entry Sheet'!T4</f>
        <v>6</v>
      </c>
      <c r="L4" s="13">
        <f>'Entry Sheet'!V4</f>
        <v>6</v>
      </c>
      <c r="M4" s="13">
        <f>'Entry Sheet'!X4</f>
        <v>5</v>
      </c>
      <c r="N4" s="13">
        <f>'Entry Sheet'!Z4</f>
        <v>4</v>
      </c>
      <c r="O4" s="13">
        <f>'Entry Sheet'!AB4</f>
        <v>3</v>
      </c>
      <c r="P4" s="13" t="str">
        <f>'Entry Sheet'!AD4</f>
        <v/>
      </c>
      <c r="S4" s="13" t="s">
        <v>207</v>
      </c>
      <c r="T4" s="224">
        <f>MAX(B5:O5)</f>
        <v>36.12</v>
      </c>
      <c r="W4" s="13" t="s">
        <v>207</v>
      </c>
      <c r="X4" s="224">
        <f t="shared" si="1"/>
        <v>36.12</v>
      </c>
      <c r="Y4" s="224">
        <f t="shared" si="2"/>
        <v>39</v>
      </c>
      <c r="Z4" s="224">
        <f t="shared" si="3"/>
        <v>45.26</v>
      </c>
      <c r="AA4" s="224">
        <f t="shared" si="4"/>
        <v>35.2</v>
      </c>
      <c r="AB4" s="224">
        <f t="shared" si="5"/>
        <v>38.82</v>
      </c>
      <c r="AC4" s="224">
        <f t="shared" si="6"/>
        <v>37.94</v>
      </c>
      <c r="AD4" s="224">
        <f t="shared" si="7"/>
        <v>40.66</v>
      </c>
      <c r="AE4" s="224">
        <f t="shared" si="8"/>
        <v>36.72</v>
      </c>
      <c r="AF4" s="224">
        <f t="shared" si="9"/>
        <v>50.28</v>
      </c>
      <c r="AG4" s="224">
        <f t="shared" si="10"/>
        <v>41.28</v>
      </c>
    </row>
    <row r="5" ht="15.75" customHeight="1">
      <c r="A5" s="13" t="s">
        <v>100</v>
      </c>
      <c r="B5" s="230">
        <f>'Entry Sheet'!C5</f>
        <v>24.82</v>
      </c>
      <c r="C5" s="230">
        <f>'Entry Sheet'!E5</f>
        <v>25.6</v>
      </c>
      <c r="D5" s="13">
        <f>'Entry Sheet'!G5</f>
        <v>20.42</v>
      </c>
      <c r="E5" s="13">
        <f>'Entry Sheet'!I5</f>
        <v>32.44</v>
      </c>
      <c r="F5" s="13">
        <f>'Entry Sheet'!K5</f>
        <v>34.22</v>
      </c>
      <c r="G5" s="13">
        <f>'Entry Sheet'!M5</f>
        <v>31.74</v>
      </c>
      <c r="H5" s="13">
        <f>'Entry Sheet'!O5</f>
        <v>32.16</v>
      </c>
      <c r="I5" s="13">
        <f>'Entry Sheet'!Q5</f>
        <v>7.02</v>
      </c>
      <c r="J5" s="13">
        <f>'Entry Sheet'!S5</f>
        <v>18.8</v>
      </c>
      <c r="K5" s="13">
        <f>'Entry Sheet'!U5</f>
        <v>28.68</v>
      </c>
      <c r="L5" s="13">
        <f>'Entry Sheet'!W5</f>
        <v>36.12</v>
      </c>
      <c r="M5" s="13">
        <f>'Entry Sheet'!Y5</f>
        <v>33.76</v>
      </c>
      <c r="N5" s="13">
        <f>'Entry Sheet'!AA5</f>
        <v>28.1</v>
      </c>
      <c r="O5" s="13">
        <f>'Entry Sheet'!AC5</f>
        <v>23.14</v>
      </c>
      <c r="R5" s="13" t="s">
        <v>106</v>
      </c>
      <c r="S5" s="13" t="s">
        <v>202</v>
      </c>
      <c r="T5" s="224">
        <f>AVERAGEIF(B6:O8,"&lt;&gt;0")</f>
        <v>18.3</v>
      </c>
      <c r="V5" s="13" t="s">
        <v>106</v>
      </c>
      <c r="W5" s="13" t="s">
        <v>202</v>
      </c>
      <c r="X5" s="224">
        <f t="shared" si="1"/>
        <v>18.3</v>
      </c>
      <c r="Y5" s="224">
        <f t="shared" si="2"/>
        <v>17.7875</v>
      </c>
      <c r="Z5" s="224">
        <f t="shared" si="3"/>
        <v>23.17857143</v>
      </c>
      <c r="AA5" s="224">
        <f t="shared" si="4"/>
        <v>13.59642857</v>
      </c>
      <c r="AB5" s="224">
        <f t="shared" si="5"/>
        <v>18.73214286</v>
      </c>
      <c r="AC5" s="224">
        <f t="shared" si="6"/>
        <v>16.15535714</v>
      </c>
      <c r="AD5" s="224">
        <f t="shared" si="7"/>
        <v>15.48928571</v>
      </c>
      <c r="AE5" s="224">
        <f t="shared" si="8"/>
        <v>17.50928571</v>
      </c>
      <c r="AF5" s="224">
        <f t="shared" si="9"/>
        <v>12.97857143</v>
      </c>
      <c r="AG5" s="224">
        <f t="shared" si="10"/>
        <v>19.17857143</v>
      </c>
    </row>
    <row r="6" ht="15.75" customHeight="1">
      <c r="A6" s="13" t="s">
        <v>209</v>
      </c>
      <c r="B6" s="230">
        <f>'Entry Sheet'!C6</f>
        <v>15.2</v>
      </c>
      <c r="C6" s="230">
        <f>'Entry Sheet'!E6</f>
        <v>10.1</v>
      </c>
      <c r="D6" s="13">
        <f>'Entry Sheet'!G6</f>
        <v>7</v>
      </c>
      <c r="E6" s="13">
        <f>'Entry Sheet'!I6</f>
        <v>28</v>
      </c>
      <c r="F6" s="13">
        <f>'Entry Sheet'!K6</f>
        <v>3.1</v>
      </c>
      <c r="G6" s="13">
        <f>'Entry Sheet'!M6</f>
        <v>19.3</v>
      </c>
      <c r="H6" s="13">
        <f>'Entry Sheet'!O6</f>
        <v>39.5</v>
      </c>
      <c r="I6" s="13">
        <f>'Entry Sheet'!Q6</f>
        <v>9.4</v>
      </c>
      <c r="J6" s="13">
        <f>'Entry Sheet'!S6</f>
        <v>6.7</v>
      </c>
      <c r="K6" s="13">
        <f>'Entry Sheet'!U6</f>
        <v>40.7</v>
      </c>
      <c r="L6" s="13">
        <f>'Entry Sheet'!W6</f>
        <v>9.7</v>
      </c>
      <c r="M6" s="13">
        <f>'Entry Sheet'!Y6</f>
        <v>58.9</v>
      </c>
      <c r="N6" s="13">
        <f>'Entry Sheet'!AA6</f>
        <v>13.6</v>
      </c>
      <c r="O6" s="13">
        <f>'Entry Sheet'!AC6</f>
        <v>17.6</v>
      </c>
      <c r="S6" s="13" t="s">
        <v>207</v>
      </c>
      <c r="T6" s="224">
        <f>MAX(B6:O8)</f>
        <v>58.9</v>
      </c>
      <c r="W6" s="13" t="s">
        <v>207</v>
      </c>
      <c r="X6" s="224">
        <f t="shared" si="1"/>
        <v>58.9</v>
      </c>
      <c r="Y6" s="224">
        <f t="shared" si="2"/>
        <v>43.7</v>
      </c>
      <c r="Z6" s="224">
        <f t="shared" si="3"/>
        <v>54.8</v>
      </c>
      <c r="AA6" s="224">
        <f t="shared" si="4"/>
        <v>26.5</v>
      </c>
      <c r="AB6" s="224">
        <f t="shared" si="5"/>
        <v>33.9</v>
      </c>
      <c r="AC6" s="224">
        <f t="shared" si="6"/>
        <v>35.8</v>
      </c>
      <c r="AD6" s="224">
        <f t="shared" si="7"/>
        <v>32</v>
      </c>
      <c r="AE6" s="224">
        <f t="shared" si="8"/>
        <v>37.86</v>
      </c>
      <c r="AF6" s="224">
        <f t="shared" si="9"/>
        <v>29.5</v>
      </c>
      <c r="AG6" s="224">
        <f t="shared" si="10"/>
        <v>42.5</v>
      </c>
    </row>
    <row r="7" ht="15.75" customHeight="1">
      <c r="A7" s="13" t="s">
        <v>210</v>
      </c>
      <c r="B7" s="230">
        <f>'Entry Sheet'!C7</f>
        <v>15.9</v>
      </c>
      <c r="C7" s="230">
        <f>'Entry Sheet'!E7</f>
        <v>19.8</v>
      </c>
      <c r="D7" s="13">
        <f>'Entry Sheet'!G7</f>
        <v>16.4</v>
      </c>
      <c r="E7" s="13">
        <f>'Entry Sheet'!I7</f>
        <v>11.2</v>
      </c>
      <c r="F7" s="13">
        <f>'Entry Sheet'!K7</f>
        <v>24.5</v>
      </c>
      <c r="G7" s="13">
        <f>'Entry Sheet'!M7</f>
        <v>9.4</v>
      </c>
      <c r="H7" s="13">
        <f>'Entry Sheet'!O7</f>
        <v>22.4</v>
      </c>
      <c r="I7" s="13">
        <f>'Entry Sheet'!Q7</f>
        <v>10.6</v>
      </c>
      <c r="J7" s="13">
        <f>'Entry Sheet'!S7</f>
        <v>18.5</v>
      </c>
      <c r="K7" s="13">
        <f>'Entry Sheet'!U7</f>
        <v>9.5</v>
      </c>
      <c r="L7" s="13">
        <f>'Entry Sheet'!W7</f>
        <v>9.2</v>
      </c>
      <c r="M7" s="13">
        <f>'Entry Sheet'!Y7</f>
        <v>14.6</v>
      </c>
      <c r="N7" s="13">
        <f>'Entry Sheet'!AA7</f>
        <v>13.4</v>
      </c>
      <c r="O7" s="13">
        <f>'Entry Sheet'!AC7</f>
        <v>38.2</v>
      </c>
      <c r="Q7" s="224"/>
      <c r="R7" s="13" t="s">
        <v>117</v>
      </c>
      <c r="S7" s="13" t="s">
        <v>202</v>
      </c>
      <c r="T7" s="224">
        <f>AVERAGEIF(B9:O12,"&lt;&gt;0")</f>
        <v>13.59605263</v>
      </c>
      <c r="V7" s="13" t="s">
        <v>117</v>
      </c>
      <c r="W7" s="13" t="s">
        <v>202</v>
      </c>
      <c r="X7" s="224">
        <f t="shared" si="1"/>
        <v>13.59605263</v>
      </c>
      <c r="Y7" s="224">
        <f t="shared" si="2"/>
        <v>15.1547619</v>
      </c>
      <c r="Z7" s="224">
        <f t="shared" si="3"/>
        <v>13.47428571</v>
      </c>
      <c r="AA7" s="224">
        <f t="shared" si="4"/>
        <v>16.05128205</v>
      </c>
      <c r="AB7" s="224">
        <f t="shared" si="5"/>
        <v>14.61785714</v>
      </c>
      <c r="AC7" s="224">
        <f t="shared" si="6"/>
        <v>15.9575</v>
      </c>
      <c r="AD7" s="224">
        <f t="shared" si="7"/>
        <v>13.14875</v>
      </c>
      <c r="AE7" s="224">
        <f t="shared" si="8"/>
        <v>15.82051282</v>
      </c>
      <c r="AF7" s="224">
        <f t="shared" si="9"/>
        <v>12.1402439</v>
      </c>
      <c r="AG7" s="224">
        <f t="shared" si="10"/>
        <v>11.84825</v>
      </c>
    </row>
    <row r="8" ht="15.75" customHeight="1">
      <c r="A8" s="13" t="s">
        <v>211</v>
      </c>
      <c r="B8" s="230" t="str">
        <f>'Entry Sheet'!C8</f>
        <v/>
      </c>
      <c r="C8" s="230" t="str">
        <f>'Entry Sheet'!E8</f>
        <v/>
      </c>
      <c r="D8" s="13" t="str">
        <f>'Entry Sheet'!G8</f>
        <v/>
      </c>
      <c r="E8" s="13" t="str">
        <f>'Entry Sheet'!I8</f>
        <v/>
      </c>
      <c r="F8" s="13" t="str">
        <f>'Entry Sheet'!K8</f>
        <v/>
      </c>
      <c r="G8" s="13" t="str">
        <f>'Entry Sheet'!M8</f>
        <v/>
      </c>
      <c r="H8" s="13" t="str">
        <f>'Entry Sheet'!O8</f>
        <v/>
      </c>
      <c r="I8" s="13" t="str">
        <f>'Entry Sheet'!Q8</f>
        <v/>
      </c>
      <c r="J8" s="13" t="str">
        <f>'Entry Sheet'!S8</f>
        <v/>
      </c>
      <c r="K8" s="13" t="str">
        <f>'Entry Sheet'!U8</f>
        <v/>
      </c>
      <c r="L8" s="13" t="str">
        <f>'Entry Sheet'!W8</f>
        <v/>
      </c>
      <c r="M8" s="13" t="str">
        <f>'Entry Sheet'!Y8</f>
        <v/>
      </c>
      <c r="N8" s="13" t="str">
        <f>'Entry Sheet'!AA8</f>
        <v/>
      </c>
      <c r="O8" s="13" t="str">
        <f>'Entry Sheet'!AC8</f>
        <v/>
      </c>
      <c r="Q8" s="224"/>
      <c r="S8" s="13" t="s">
        <v>207</v>
      </c>
      <c r="T8" s="224">
        <f>MAX(B9:O12)</f>
        <v>31.7</v>
      </c>
      <c r="W8" s="13" t="s">
        <v>207</v>
      </c>
      <c r="X8" s="224">
        <f t="shared" si="1"/>
        <v>31.7</v>
      </c>
      <c r="Y8" s="224">
        <f t="shared" si="2"/>
        <v>37</v>
      </c>
      <c r="Z8" s="224">
        <f t="shared" si="3"/>
        <v>36.2</v>
      </c>
      <c r="AA8" s="224">
        <f t="shared" si="4"/>
        <v>39.8</v>
      </c>
      <c r="AB8" s="224">
        <f t="shared" si="5"/>
        <v>26.5</v>
      </c>
      <c r="AC8" s="224">
        <f t="shared" si="6"/>
        <v>38.2</v>
      </c>
      <c r="AD8" s="224">
        <f t="shared" si="7"/>
        <v>32.8</v>
      </c>
      <c r="AE8" s="224">
        <f t="shared" si="8"/>
        <v>40.4</v>
      </c>
      <c r="AF8" s="224">
        <f t="shared" si="9"/>
        <v>38.7</v>
      </c>
      <c r="AG8" s="224">
        <f t="shared" si="10"/>
        <v>25.28</v>
      </c>
    </row>
    <row r="9" ht="15.75" customHeight="1">
      <c r="A9" s="13" t="s">
        <v>212</v>
      </c>
      <c r="B9" s="230">
        <f>'Entry Sheet'!C9</f>
        <v>19</v>
      </c>
      <c r="C9" s="230">
        <f>'Entry Sheet'!E9</f>
        <v>21.2</v>
      </c>
      <c r="D9" s="13">
        <f>'Entry Sheet'!G9</f>
        <v>0</v>
      </c>
      <c r="E9" s="13">
        <f>'Entry Sheet'!I9</f>
        <v>7</v>
      </c>
      <c r="F9" s="13">
        <f>'Entry Sheet'!K9</f>
        <v>7.2</v>
      </c>
      <c r="G9" s="13">
        <f>'Entry Sheet'!M9</f>
        <v>7.9</v>
      </c>
      <c r="H9" s="13">
        <f>'Entry Sheet'!O9</f>
        <v>23</v>
      </c>
      <c r="I9" s="13">
        <f>'Entry Sheet'!Q9</f>
        <v>14.7</v>
      </c>
      <c r="J9" s="13">
        <f>'Entry Sheet'!S9</f>
        <v>15.5</v>
      </c>
      <c r="K9" s="13">
        <f>'Entry Sheet'!U9</f>
        <v>12.2</v>
      </c>
      <c r="L9" s="13">
        <f>'Entry Sheet'!W9</f>
        <v>17.6</v>
      </c>
      <c r="M9" s="13">
        <f>'Entry Sheet'!Y9</f>
        <v>11.5</v>
      </c>
      <c r="N9" s="13">
        <f>'Entry Sheet'!AA9</f>
        <v>25.2</v>
      </c>
      <c r="O9" s="13">
        <f>'Entry Sheet'!AC9</f>
        <v>19.1</v>
      </c>
      <c r="R9" s="13" t="s">
        <v>132</v>
      </c>
      <c r="S9" s="13" t="s">
        <v>202</v>
      </c>
      <c r="T9" s="224">
        <f>AVERAGEIF(B13:O13,"&lt;&gt;0")</f>
        <v>13.11428571</v>
      </c>
      <c r="V9" s="13" t="s">
        <v>132</v>
      </c>
      <c r="W9" s="13" t="s">
        <v>202</v>
      </c>
      <c r="X9" s="224">
        <f t="shared" si="1"/>
        <v>13.11428571</v>
      </c>
      <c r="Y9" s="224">
        <f t="shared" si="2"/>
        <v>10.02857143</v>
      </c>
      <c r="Z9" s="224">
        <f t="shared" si="3"/>
        <v>10.59285714</v>
      </c>
      <c r="AA9" s="224">
        <f t="shared" si="4"/>
        <v>18.17857143</v>
      </c>
      <c r="AB9" s="224">
        <f t="shared" si="5"/>
        <v>8.492857143</v>
      </c>
      <c r="AC9" s="224">
        <f t="shared" si="6"/>
        <v>8.178571429</v>
      </c>
      <c r="AD9" s="224">
        <f t="shared" si="7"/>
        <v>14.32857143</v>
      </c>
      <c r="AE9" s="224">
        <f t="shared" si="8"/>
        <v>13.2</v>
      </c>
      <c r="AF9" s="224">
        <f t="shared" si="9"/>
        <v>12.53333333</v>
      </c>
      <c r="AG9" s="224">
        <f t="shared" si="10"/>
        <v>10.56153846</v>
      </c>
    </row>
    <row r="10" ht="15.75" customHeight="1">
      <c r="A10" s="13" t="s">
        <v>213</v>
      </c>
      <c r="B10" s="230">
        <f>'Entry Sheet'!C10</f>
        <v>17.7</v>
      </c>
      <c r="C10" s="230">
        <f>'Entry Sheet'!E10</f>
        <v>12.8</v>
      </c>
      <c r="D10" s="13">
        <f>'Entry Sheet'!G10</f>
        <v>9.3</v>
      </c>
      <c r="E10" s="13">
        <f>'Entry Sheet'!I10</f>
        <v>5.6</v>
      </c>
      <c r="F10" s="13">
        <f>'Entry Sheet'!K10</f>
        <v>5.6</v>
      </c>
      <c r="G10" s="13">
        <f>'Entry Sheet'!M10</f>
        <v>7.85</v>
      </c>
      <c r="H10" s="13">
        <f>'Entry Sheet'!O10</f>
        <v>23.2</v>
      </c>
      <c r="I10" s="13">
        <f>'Entry Sheet'!Q10</f>
        <v>25.7</v>
      </c>
      <c r="J10" s="13">
        <f>'Entry Sheet'!S10</f>
        <v>18.8</v>
      </c>
      <c r="K10" s="13">
        <f>'Entry Sheet'!U10</f>
        <v>0</v>
      </c>
      <c r="L10" s="13">
        <f>'Entry Sheet'!W10</f>
        <v>9.8</v>
      </c>
      <c r="M10" s="13">
        <f>'Entry Sheet'!Y10</f>
        <v>25.1</v>
      </c>
      <c r="N10" s="13">
        <f>'Entry Sheet'!AA10</f>
        <v>29.5</v>
      </c>
      <c r="O10" s="13">
        <f>'Entry Sheet'!AC10</f>
        <v>7.4</v>
      </c>
      <c r="Q10" s="224"/>
      <c r="S10" s="13" t="s">
        <v>207</v>
      </c>
      <c r="T10" s="224">
        <f>MAX(B13:O13)</f>
        <v>34.3</v>
      </c>
      <c r="W10" s="13" t="s">
        <v>207</v>
      </c>
      <c r="X10" s="224">
        <f t="shared" si="1"/>
        <v>34.3</v>
      </c>
      <c r="Y10" s="224">
        <f t="shared" si="2"/>
        <v>26.4</v>
      </c>
      <c r="Z10" s="224">
        <f t="shared" si="3"/>
        <v>18.5</v>
      </c>
      <c r="AA10" s="224">
        <f t="shared" si="4"/>
        <v>29.4</v>
      </c>
      <c r="AB10" s="224">
        <f t="shared" si="5"/>
        <v>13.7</v>
      </c>
      <c r="AC10" s="224">
        <f t="shared" si="6"/>
        <v>27.1</v>
      </c>
      <c r="AD10" s="224">
        <f t="shared" si="7"/>
        <v>44.4</v>
      </c>
      <c r="AE10" s="224">
        <f t="shared" si="8"/>
        <v>23.9</v>
      </c>
      <c r="AF10" s="224">
        <f t="shared" si="9"/>
        <v>24.7</v>
      </c>
      <c r="AG10" s="224">
        <f t="shared" si="10"/>
        <v>29</v>
      </c>
    </row>
    <row r="11" ht="15.75" customHeight="1">
      <c r="A11" s="13" t="s">
        <v>214</v>
      </c>
      <c r="B11" s="230">
        <f>'Entry Sheet'!C11</f>
        <v>4.7</v>
      </c>
      <c r="C11" s="230">
        <f>'Entry Sheet'!E11</f>
        <v>9.8</v>
      </c>
      <c r="D11" s="13">
        <f>'Entry Sheet'!G11</f>
        <v>3.6</v>
      </c>
      <c r="E11" s="13">
        <f>'Entry Sheet'!I11</f>
        <v>2.5</v>
      </c>
      <c r="F11" s="13">
        <f>'Entry Sheet'!K11</f>
        <v>0</v>
      </c>
      <c r="G11" s="13">
        <f>'Entry Sheet'!M11</f>
        <v>16.65</v>
      </c>
      <c r="H11" s="13">
        <f>'Entry Sheet'!O11</f>
        <v>10.45</v>
      </c>
      <c r="I11" s="13">
        <f>'Entry Sheet'!Q11</f>
        <v>2.1</v>
      </c>
      <c r="J11" s="13">
        <f>'Entry Sheet'!S11</f>
        <v>0</v>
      </c>
      <c r="K11" s="13">
        <f>'Entry Sheet'!U11</f>
        <v>2.6</v>
      </c>
      <c r="L11" s="13">
        <f>'Entry Sheet'!W11</f>
        <v>7.6</v>
      </c>
      <c r="M11" s="13">
        <f>'Entry Sheet'!Y11</f>
        <v>31.7</v>
      </c>
      <c r="N11" s="13">
        <f>'Entry Sheet'!AA11</f>
        <v>10.4</v>
      </c>
      <c r="O11" s="13">
        <f>'Entry Sheet'!AC11</f>
        <v>15.1</v>
      </c>
      <c r="Q11" s="224"/>
      <c r="R11" s="13" t="s">
        <v>136</v>
      </c>
      <c r="S11" s="13" t="s">
        <v>202</v>
      </c>
      <c r="T11" s="224">
        <f>AVERAGEIF(B14:O14,"&lt;&gt;0")</f>
        <v>12.075</v>
      </c>
      <c r="V11" s="13" t="s">
        <v>136</v>
      </c>
      <c r="W11" s="13" t="s">
        <v>202</v>
      </c>
      <c r="X11" s="224">
        <f t="shared" si="1"/>
        <v>12.075</v>
      </c>
      <c r="Y11" s="224">
        <f t="shared" si="2"/>
        <v>11.32142857</v>
      </c>
      <c r="Z11" s="224">
        <f t="shared" si="3"/>
        <v>19.02857143</v>
      </c>
      <c r="AA11" s="224">
        <f t="shared" si="4"/>
        <v>12.79615385</v>
      </c>
      <c r="AB11" s="224">
        <f t="shared" si="5"/>
        <v>13.64428571</v>
      </c>
      <c r="AC11" s="224">
        <f t="shared" si="6"/>
        <v>13.20833333</v>
      </c>
      <c r="AD11" s="224">
        <f t="shared" si="7"/>
        <v>15.97857143</v>
      </c>
      <c r="AE11" s="224">
        <f t="shared" si="8"/>
        <v>13.90714286</v>
      </c>
      <c r="AF11" s="224">
        <f t="shared" si="9"/>
        <v>16.72857143</v>
      </c>
      <c r="AG11" s="224">
        <f t="shared" si="10"/>
        <v>8.65</v>
      </c>
    </row>
    <row r="12" ht="15.75" customHeight="1">
      <c r="A12" s="13" t="s">
        <v>215</v>
      </c>
      <c r="B12" s="230" t="str">
        <f>'Entry Sheet'!C12</f>
        <v/>
      </c>
      <c r="C12" s="230" t="str">
        <f>'Entry Sheet'!E12</f>
        <v/>
      </c>
      <c r="D12" s="13" t="str">
        <f>'Entry Sheet'!G12</f>
        <v/>
      </c>
      <c r="E12" s="13" t="str">
        <f>'Entry Sheet'!I12</f>
        <v/>
      </c>
      <c r="F12" s="13" t="str">
        <f>'Entry Sheet'!K12</f>
        <v/>
      </c>
      <c r="G12" s="13" t="str">
        <f>'Entry Sheet'!M12</f>
        <v/>
      </c>
      <c r="H12" s="13" t="str">
        <f>'Entry Sheet'!O12</f>
        <v/>
      </c>
      <c r="I12" s="13" t="str">
        <f>'Entry Sheet'!Q12</f>
        <v/>
      </c>
      <c r="J12" s="13" t="str">
        <f>'Entry Sheet'!S12</f>
        <v/>
      </c>
      <c r="K12" s="13" t="str">
        <f>'Entry Sheet'!U12</f>
        <v/>
      </c>
      <c r="L12" s="13" t="str">
        <f>'Entry Sheet'!W12</f>
        <v/>
      </c>
      <c r="M12" s="13" t="str">
        <f>'Entry Sheet'!Y12</f>
        <v/>
      </c>
      <c r="N12" s="13" t="str">
        <f>'Entry Sheet'!AA12</f>
        <v/>
      </c>
      <c r="O12" s="13" t="str">
        <f>'Entry Sheet'!AC12</f>
        <v/>
      </c>
      <c r="Q12" s="224"/>
      <c r="S12" s="13" t="s">
        <v>207</v>
      </c>
      <c r="T12" s="224">
        <f>MAX(B14:O14)</f>
        <v>21.8</v>
      </c>
      <c r="W12" s="13" t="s">
        <v>207</v>
      </c>
      <c r="X12" s="224">
        <f t="shared" si="1"/>
        <v>21.8</v>
      </c>
      <c r="Y12" s="224">
        <f t="shared" si="2"/>
        <v>26.2</v>
      </c>
      <c r="Z12" s="224">
        <f t="shared" si="3"/>
        <v>34</v>
      </c>
      <c r="AA12" s="224">
        <f t="shared" si="4"/>
        <v>26</v>
      </c>
      <c r="AB12" s="224">
        <f t="shared" si="5"/>
        <v>31.6</v>
      </c>
      <c r="AC12" s="224">
        <f t="shared" si="6"/>
        <v>28.2</v>
      </c>
      <c r="AD12" s="224">
        <f t="shared" si="7"/>
        <v>37.9</v>
      </c>
      <c r="AE12" s="224">
        <f t="shared" si="8"/>
        <v>29.6</v>
      </c>
      <c r="AF12" s="224">
        <f t="shared" si="9"/>
        <v>34.4</v>
      </c>
      <c r="AG12" s="224">
        <f t="shared" si="10"/>
        <v>18.75</v>
      </c>
    </row>
    <row r="13" ht="15.75" customHeight="1">
      <c r="A13" s="13" t="str">
        <f>'Entry Sheet'!A13</f>
        <v>TE</v>
      </c>
      <c r="B13" s="230">
        <f>'Entry Sheet'!C13</f>
        <v>12.7</v>
      </c>
      <c r="C13" s="230">
        <f>'Entry Sheet'!E13</f>
        <v>10.1</v>
      </c>
      <c r="D13" s="13">
        <f>'Entry Sheet'!G13</f>
        <v>6.6</v>
      </c>
      <c r="E13" s="13">
        <f>'Entry Sheet'!I13</f>
        <v>10.6</v>
      </c>
      <c r="F13" s="13">
        <f>'Entry Sheet'!K13</f>
        <v>19.1</v>
      </c>
      <c r="G13" s="13">
        <f>'Entry Sheet'!M13</f>
        <v>13.8</v>
      </c>
      <c r="H13" s="13">
        <f>'Entry Sheet'!O13</f>
        <v>16.8</v>
      </c>
      <c r="I13" s="13">
        <f>'Entry Sheet'!Q13</f>
        <v>34.3</v>
      </c>
      <c r="J13" s="13">
        <f>'Entry Sheet'!S13</f>
        <v>4</v>
      </c>
      <c r="K13" s="13">
        <f>'Entry Sheet'!U13</f>
        <v>5.7</v>
      </c>
      <c r="L13" s="13">
        <f>'Entry Sheet'!W13</f>
        <v>24.1</v>
      </c>
      <c r="M13" s="13">
        <f>'Entry Sheet'!Y13</f>
        <v>8.5</v>
      </c>
      <c r="N13" s="13">
        <f>'Entry Sheet'!AA13</f>
        <v>15.5</v>
      </c>
      <c r="O13" s="13">
        <f>'Entry Sheet'!AC13</f>
        <v>1.8</v>
      </c>
      <c r="R13" s="13" t="s">
        <v>139</v>
      </c>
      <c r="S13" s="13" t="s">
        <v>202</v>
      </c>
      <c r="T13" s="224">
        <f>AVERAGEIF(B15:O15,"&lt;&gt;0")</f>
        <v>17.39285714</v>
      </c>
      <c r="V13" s="13" t="s">
        <v>139</v>
      </c>
      <c r="W13" s="13" t="s">
        <v>202</v>
      </c>
      <c r="X13" s="224">
        <f t="shared" si="1"/>
        <v>17.39285714</v>
      </c>
      <c r="Y13" s="224">
        <f t="shared" si="2"/>
        <v>18.695</v>
      </c>
      <c r="Z13" s="224">
        <f t="shared" si="3"/>
        <v>14.03</v>
      </c>
      <c r="AA13" s="224">
        <f t="shared" si="4"/>
        <v>15.43571429</v>
      </c>
      <c r="AB13" s="224">
        <f t="shared" si="5"/>
        <v>18.09</v>
      </c>
      <c r="AC13" s="224">
        <f t="shared" si="6"/>
        <v>21.66214286</v>
      </c>
      <c r="AD13" s="224">
        <f t="shared" si="7"/>
        <v>18.78357143</v>
      </c>
      <c r="AE13" s="224">
        <f t="shared" si="8"/>
        <v>14.85571429</v>
      </c>
      <c r="AF13" s="224">
        <f t="shared" si="9"/>
        <v>19.39571429</v>
      </c>
      <c r="AG13" s="224">
        <f t="shared" si="10"/>
        <v>15.38142857</v>
      </c>
    </row>
    <row r="14" ht="15.75" customHeight="1">
      <c r="A14" s="13" t="str">
        <f>'Entry Sheet'!A14</f>
        <v>FLEX</v>
      </c>
      <c r="B14" s="230">
        <f>'Entry Sheet'!C14</f>
        <v>11.7</v>
      </c>
      <c r="C14" s="230">
        <f>'Entry Sheet'!E14</f>
        <v>7.2</v>
      </c>
      <c r="D14" s="13">
        <f>'Entry Sheet'!G14</f>
        <v>5.9</v>
      </c>
      <c r="E14" s="13">
        <f>'Entry Sheet'!I14</f>
        <v>11.1</v>
      </c>
      <c r="F14" s="13">
        <f>'Entry Sheet'!K14</f>
        <v>12.6</v>
      </c>
      <c r="G14" s="13">
        <f>'Entry Sheet'!M14</f>
        <v>9.2</v>
      </c>
      <c r="H14" s="13">
        <f>'Entry Sheet'!O14</f>
        <v>9.4</v>
      </c>
      <c r="I14" s="13">
        <f>'Entry Sheet'!Q14</f>
        <v>7.1</v>
      </c>
      <c r="J14" s="13">
        <f>'Entry Sheet'!S14</f>
        <v>7.2</v>
      </c>
      <c r="K14" s="13">
        <f>'Entry Sheet'!U14</f>
        <v>12.5</v>
      </c>
      <c r="L14" s="13">
        <f>'Entry Sheet'!W14</f>
        <v>21.8</v>
      </c>
      <c r="M14" s="13">
        <f>'Entry Sheet'!Y14</f>
        <v>15</v>
      </c>
      <c r="N14" s="13">
        <f>'Entry Sheet'!AA14</f>
        <v>21.4</v>
      </c>
      <c r="O14" s="13">
        <f>'Entry Sheet'!AC14</f>
        <v>16.95</v>
      </c>
      <c r="S14" s="13" t="s">
        <v>207</v>
      </c>
      <c r="T14" s="224">
        <f>MAX(B15:O15)</f>
        <v>25.11</v>
      </c>
      <c r="W14" s="13" t="s">
        <v>207</v>
      </c>
      <c r="X14" s="224">
        <f t="shared" si="1"/>
        <v>25.11</v>
      </c>
      <c r="Y14" s="224">
        <f t="shared" si="2"/>
        <v>39.18</v>
      </c>
      <c r="Z14" s="224">
        <f t="shared" si="3"/>
        <v>29.87</v>
      </c>
      <c r="AA14" s="224">
        <f t="shared" si="4"/>
        <v>36.13</v>
      </c>
      <c r="AB14" s="224">
        <f t="shared" si="5"/>
        <v>54.64</v>
      </c>
      <c r="AC14" s="224">
        <f t="shared" si="6"/>
        <v>34.72</v>
      </c>
      <c r="AD14" s="224">
        <f t="shared" si="7"/>
        <v>27.98</v>
      </c>
      <c r="AE14" s="224">
        <f t="shared" si="8"/>
        <v>27.2</v>
      </c>
      <c r="AF14" s="224">
        <f t="shared" si="9"/>
        <v>33.08</v>
      </c>
      <c r="AG14" s="224">
        <f t="shared" si="10"/>
        <v>37.27</v>
      </c>
    </row>
    <row r="15" ht="15.75" customHeight="1">
      <c r="A15" s="13" t="str">
        <f>'Entry Sheet'!A15</f>
        <v>D/ST</v>
      </c>
      <c r="B15" s="230">
        <f>'Entry Sheet'!C15</f>
        <v>21.68</v>
      </c>
      <c r="C15" s="230">
        <f>'Entry Sheet'!E15</f>
        <v>25.11</v>
      </c>
      <c r="D15" s="13">
        <f>'Entry Sheet'!G15</f>
        <v>10.95</v>
      </c>
      <c r="E15" s="13">
        <f>'Entry Sheet'!I15</f>
        <v>18.23</v>
      </c>
      <c r="F15" s="13">
        <f>'Entry Sheet'!K15</f>
        <v>4.78</v>
      </c>
      <c r="G15" s="13">
        <f>'Entry Sheet'!M15</f>
        <v>24.25</v>
      </c>
      <c r="H15" s="13">
        <f>'Entry Sheet'!O15</f>
        <v>15.2</v>
      </c>
      <c r="I15" s="13">
        <f>'Entry Sheet'!Q15</f>
        <v>20.34</v>
      </c>
      <c r="J15" s="13">
        <f>'Entry Sheet'!S15</f>
        <v>13.88</v>
      </c>
      <c r="K15" s="13">
        <f>'Entry Sheet'!U15</f>
        <v>18.5</v>
      </c>
      <c r="L15" s="13">
        <f>'Entry Sheet'!W15</f>
        <v>8.29</v>
      </c>
      <c r="M15" s="13">
        <f>'Entry Sheet'!Y15</f>
        <v>19.39</v>
      </c>
      <c r="N15" s="13">
        <f>'Entry Sheet'!AA15</f>
        <v>25.02</v>
      </c>
      <c r="O15" s="13">
        <f>'Entry Sheet'!AC15</f>
        <v>17.88</v>
      </c>
      <c r="R15" s="13" t="s">
        <v>146</v>
      </c>
      <c r="S15" s="13" t="s">
        <v>202</v>
      </c>
      <c r="T15" s="224">
        <f>AVERAGEIF(B16:O16,"&lt;&gt;0")</f>
        <v>9.428571429</v>
      </c>
      <c r="V15" s="13" t="s">
        <v>146</v>
      </c>
      <c r="W15" s="13" t="s">
        <v>202</v>
      </c>
      <c r="X15" s="224">
        <f t="shared" si="1"/>
        <v>9.428571429</v>
      </c>
      <c r="Y15" s="224">
        <f t="shared" si="2"/>
        <v>8.464285714</v>
      </c>
      <c r="Z15" s="224">
        <f t="shared" si="3"/>
        <v>10.67857143</v>
      </c>
      <c r="AA15" s="224">
        <f t="shared" si="4"/>
        <v>7.5</v>
      </c>
      <c r="AB15" s="224">
        <f t="shared" si="5"/>
        <v>10.03571429</v>
      </c>
      <c r="AC15" s="224">
        <f t="shared" si="6"/>
        <v>11.57692308</v>
      </c>
      <c r="AD15" s="224">
        <f t="shared" si="7"/>
        <v>9.964285714</v>
      </c>
      <c r="AE15" s="224">
        <f t="shared" si="8"/>
        <v>11.82142857</v>
      </c>
      <c r="AF15" s="224">
        <f t="shared" si="9"/>
        <v>8.392857143</v>
      </c>
      <c r="AG15" s="224">
        <f t="shared" si="10"/>
        <v>10.78571429</v>
      </c>
    </row>
    <row r="16" ht="15.75" customHeight="1">
      <c r="A16" s="13" t="str">
        <f>'Entry Sheet'!A16</f>
        <v>K</v>
      </c>
      <c r="B16" s="230">
        <f>'Entry Sheet'!C16</f>
        <v>9</v>
      </c>
      <c r="C16" s="230">
        <f>'Entry Sheet'!E16</f>
        <v>14</v>
      </c>
      <c r="D16" s="13">
        <f>'Entry Sheet'!G16</f>
        <v>3</v>
      </c>
      <c r="E16" s="13">
        <f>'Entry Sheet'!I16</f>
        <v>7</v>
      </c>
      <c r="F16" s="13">
        <f>'Entry Sheet'!K16</f>
        <v>2</v>
      </c>
      <c r="G16" s="13">
        <f>'Entry Sheet'!M16</f>
        <v>2</v>
      </c>
      <c r="H16" s="13">
        <f>'Entry Sheet'!O16</f>
        <v>8</v>
      </c>
      <c r="I16" s="13">
        <f>'Entry Sheet'!Q16</f>
        <v>14</v>
      </c>
      <c r="J16" s="13">
        <f>'Entry Sheet'!S16</f>
        <v>17</v>
      </c>
      <c r="K16" s="13">
        <f>'Entry Sheet'!U16</f>
        <v>9</v>
      </c>
      <c r="L16" s="13">
        <f>'Entry Sheet'!W16</f>
        <v>13</v>
      </c>
      <c r="M16" s="13">
        <f>'Entry Sheet'!Y16</f>
        <v>17</v>
      </c>
      <c r="N16" s="13">
        <f>'Entry Sheet'!AA16</f>
        <v>8</v>
      </c>
      <c r="O16" s="13">
        <f>'Entry Sheet'!AC16</f>
        <v>9</v>
      </c>
      <c r="S16" s="13" t="s">
        <v>207</v>
      </c>
      <c r="T16" s="224">
        <f>MAX(B16:O16)</f>
        <v>17</v>
      </c>
      <c r="W16" s="13" t="s">
        <v>207</v>
      </c>
      <c r="X16" s="224">
        <f t="shared" si="1"/>
        <v>17</v>
      </c>
      <c r="Y16" s="224">
        <f t="shared" si="2"/>
        <v>14</v>
      </c>
      <c r="Z16" s="224">
        <f t="shared" si="3"/>
        <v>19</v>
      </c>
      <c r="AA16" s="224">
        <f t="shared" si="4"/>
        <v>14</v>
      </c>
      <c r="AB16" s="224">
        <f t="shared" si="5"/>
        <v>21</v>
      </c>
      <c r="AC16" s="224">
        <f t="shared" si="6"/>
        <v>23</v>
      </c>
      <c r="AD16" s="224">
        <f t="shared" si="7"/>
        <v>23</v>
      </c>
      <c r="AE16" s="224">
        <f t="shared" si="8"/>
        <v>29</v>
      </c>
      <c r="AF16" s="224">
        <f t="shared" si="9"/>
        <v>19</v>
      </c>
      <c r="AG16" s="224">
        <f t="shared" si="10"/>
        <v>21</v>
      </c>
    </row>
    <row r="17" ht="15.75" customHeight="1">
      <c r="A17" s="13" t="str">
        <f>'Entry Sheet'!A17</f>
        <v>HC</v>
      </c>
      <c r="B17" s="230">
        <f>'Entry Sheet'!C17</f>
        <v>9.2</v>
      </c>
      <c r="C17" s="230">
        <f>'Entry Sheet'!E17</f>
        <v>10</v>
      </c>
      <c r="D17" s="13">
        <f>'Entry Sheet'!G17</f>
        <v>12.9</v>
      </c>
      <c r="E17" s="13">
        <f>'Entry Sheet'!I17</f>
        <v>3.4</v>
      </c>
      <c r="F17" s="13">
        <f>'Entry Sheet'!K17</f>
        <v>3.1</v>
      </c>
      <c r="G17" s="13">
        <f>'Entry Sheet'!M17</f>
        <v>-0.9</v>
      </c>
      <c r="H17" s="13">
        <f>'Entry Sheet'!O17</f>
        <v>15.3</v>
      </c>
      <c r="I17" s="13">
        <f>'Entry Sheet'!Q17</f>
        <v>15.6</v>
      </c>
      <c r="J17" s="13">
        <f>'Entry Sheet'!S17</f>
        <v>11.1</v>
      </c>
      <c r="K17" s="13">
        <f>'Entry Sheet'!U17</f>
        <v>21.2</v>
      </c>
      <c r="L17" s="13">
        <f>'Entry Sheet'!W17</f>
        <v>12.1</v>
      </c>
      <c r="M17" s="13">
        <f>'Entry Sheet'!Y17</f>
        <v>12</v>
      </c>
      <c r="N17" s="13">
        <f>'Entry Sheet'!AA17</f>
        <v>19.8</v>
      </c>
      <c r="O17" s="13">
        <f>'Entry Sheet'!AC17</f>
        <v>23.1</v>
      </c>
      <c r="R17" s="13" t="s">
        <v>162</v>
      </c>
      <c r="S17" s="13" t="s">
        <v>202</v>
      </c>
      <c r="T17" s="224">
        <f>AVERAGEIF(B17:O17,"&lt;&gt;0")</f>
        <v>11.99285714</v>
      </c>
      <c r="V17" s="13" t="s">
        <v>162</v>
      </c>
      <c r="W17" s="13" t="s">
        <v>202</v>
      </c>
      <c r="X17" s="224">
        <f t="shared" si="1"/>
        <v>11.99285714</v>
      </c>
      <c r="Y17" s="224">
        <f t="shared" si="2"/>
        <v>9.492857143</v>
      </c>
      <c r="Z17" s="224">
        <f t="shared" si="3"/>
        <v>13.52142857</v>
      </c>
      <c r="AA17" s="224">
        <f t="shared" si="4"/>
        <v>4.541666667</v>
      </c>
      <c r="AB17" s="224">
        <f t="shared" si="5"/>
        <v>10.06428571</v>
      </c>
      <c r="AC17" s="224">
        <f t="shared" si="6"/>
        <v>9.353846154</v>
      </c>
      <c r="AD17" s="224">
        <f t="shared" si="7"/>
        <v>10.37142857</v>
      </c>
      <c r="AE17" s="224">
        <f t="shared" si="8"/>
        <v>11.3</v>
      </c>
      <c r="AF17" s="224">
        <f t="shared" si="9"/>
        <v>9.728571429</v>
      </c>
      <c r="AG17" s="224">
        <f t="shared" si="10"/>
        <v>9.421428571</v>
      </c>
    </row>
    <row r="18" ht="15.75" customHeight="1">
      <c r="A18" s="13" t="str">
        <f>'Entry Sheet'!A18</f>
        <v>Total Score</v>
      </c>
      <c r="B18" s="230">
        <f>'Entry Sheet'!B18</f>
        <v>161.6</v>
      </c>
      <c r="C18" s="230">
        <f>'Entry Sheet'!D18</f>
        <v>165.71</v>
      </c>
      <c r="D18" s="13">
        <f>'Entry Sheet'!F18</f>
        <v>96.07</v>
      </c>
      <c r="E18" s="13">
        <f>'Entry Sheet'!H18</f>
        <v>137.07</v>
      </c>
      <c r="F18" s="13">
        <f>'Entry Sheet'!J18</f>
        <v>116.2</v>
      </c>
      <c r="G18" s="13">
        <f>'Entry Sheet'!L18</f>
        <v>141.19</v>
      </c>
      <c r="H18" s="13">
        <f>'Entry Sheet'!N18</f>
        <v>215.41</v>
      </c>
      <c r="I18" s="13">
        <f>'Entry Sheet'!P18</f>
        <v>160.86</v>
      </c>
      <c r="J18" s="13">
        <f>'Entry Sheet'!R18</f>
        <v>131.48</v>
      </c>
      <c r="K18" s="13">
        <f>'Entry Sheet'!T18</f>
        <v>160.58</v>
      </c>
      <c r="L18" s="13">
        <f>'Entry Sheet'!V18</f>
        <v>169.31</v>
      </c>
      <c r="M18" s="13">
        <f>'Entry Sheet'!X18</f>
        <v>247.45</v>
      </c>
      <c r="N18" s="13">
        <f>'Entry Sheet'!Z18</f>
        <v>209.92</v>
      </c>
      <c r="O18" s="13">
        <f>'Entry Sheet'!AB18</f>
        <v>189.27</v>
      </c>
      <c r="S18" s="13" t="s">
        <v>207</v>
      </c>
      <c r="T18" s="224">
        <f>MAX(B17:O17)</f>
        <v>23.1</v>
      </c>
      <c r="W18" s="13" t="s">
        <v>207</v>
      </c>
      <c r="X18" s="224">
        <f t="shared" si="1"/>
        <v>23.1</v>
      </c>
      <c r="Y18" s="224">
        <f t="shared" si="2"/>
        <v>25.2</v>
      </c>
      <c r="Z18" s="224">
        <f t="shared" si="3"/>
        <v>25.5</v>
      </c>
      <c r="AA18" s="224">
        <f t="shared" si="4"/>
        <v>20.3</v>
      </c>
      <c r="AB18" s="224">
        <f t="shared" si="5"/>
        <v>20.3</v>
      </c>
      <c r="AC18" s="224">
        <f t="shared" si="6"/>
        <v>21.2</v>
      </c>
      <c r="AD18" s="224">
        <f t="shared" si="7"/>
        <v>27.6</v>
      </c>
      <c r="AE18" s="224">
        <f t="shared" si="8"/>
        <v>24</v>
      </c>
      <c r="AF18" s="224">
        <f t="shared" si="9"/>
        <v>21.3</v>
      </c>
      <c r="AG18" s="224">
        <f t="shared" si="10"/>
        <v>24</v>
      </c>
    </row>
    <row r="19" ht="15.75" customHeight="1">
      <c r="A19" s="13" t="str">
        <f>'Entry Sheet'!A19</f>
        <v>MVP</v>
      </c>
      <c r="B19" s="13">
        <f>IFERROR('Entry Sheet'!C19,0)</f>
        <v>24.82</v>
      </c>
      <c r="C19" s="13">
        <f>IFERROR('Entry Sheet'!E19,0)</f>
        <v>25.6</v>
      </c>
      <c r="D19" s="13">
        <f>IFERROR('Entry Sheet'!G19,0)</f>
        <v>20.42</v>
      </c>
      <c r="E19" s="13">
        <f>IFERROR('Entry Sheet'!I19,0)</f>
        <v>32.44</v>
      </c>
      <c r="F19" s="13">
        <f>IFERROR('Entry Sheet'!K19,0)</f>
        <v>34.22</v>
      </c>
      <c r="G19" s="13">
        <f>IFERROR('Entry Sheet'!M19,0)</f>
        <v>31.74</v>
      </c>
      <c r="H19" s="13">
        <f>IFERROR('Entry Sheet'!O19,0)</f>
        <v>39.5</v>
      </c>
      <c r="I19" s="13">
        <f>IFERROR('Entry Sheet'!Q19,0)</f>
        <v>34.3</v>
      </c>
      <c r="J19" s="13">
        <f>IFERROR('Entry Sheet'!S19,0)</f>
        <v>18.8</v>
      </c>
      <c r="K19" s="13">
        <f>IFERROR('Entry Sheet'!U19,0)</f>
        <v>40.7</v>
      </c>
      <c r="L19" s="13">
        <f>IFERROR('Entry Sheet'!W19,0)</f>
        <v>36.12</v>
      </c>
      <c r="M19" s="13">
        <f>IFERROR('Entry Sheet'!Y19,0)</f>
        <v>58.9</v>
      </c>
      <c r="N19" s="13">
        <f>IFERROR('Entry Sheet'!AA19,0)</f>
        <v>29.5</v>
      </c>
      <c r="O19" s="13">
        <f>IFERROR('Entry Sheet'!AC19,0)</f>
        <v>38.2</v>
      </c>
      <c r="Q19" s="224"/>
      <c r="R19" s="13" t="s">
        <v>168</v>
      </c>
      <c r="S19" s="13" t="s">
        <v>207</v>
      </c>
      <c r="T19" s="224">
        <f>MAX(B19:O19)</f>
        <v>58.9</v>
      </c>
      <c r="V19" s="13" t="s">
        <v>168</v>
      </c>
      <c r="W19" s="13" t="s">
        <v>207</v>
      </c>
      <c r="X19" s="224">
        <f t="shared" si="1"/>
        <v>58.9</v>
      </c>
      <c r="Y19" s="224">
        <f t="shared" si="2"/>
        <v>43.7</v>
      </c>
      <c r="Z19" s="224">
        <f t="shared" si="3"/>
        <v>54.8</v>
      </c>
      <c r="AA19" s="224">
        <f t="shared" si="4"/>
        <v>39.8</v>
      </c>
      <c r="AB19" s="224">
        <f t="shared" si="5"/>
        <v>54.64</v>
      </c>
      <c r="AC19" s="224">
        <f t="shared" si="6"/>
        <v>38.2</v>
      </c>
      <c r="AD19" s="224">
        <f t="shared" si="7"/>
        <v>44.4</v>
      </c>
      <c r="AE19" s="224">
        <f t="shared" si="8"/>
        <v>40.4</v>
      </c>
      <c r="AF19" s="224">
        <f t="shared" si="9"/>
        <v>50.28</v>
      </c>
      <c r="AG19" s="224">
        <f t="shared" si="10"/>
        <v>42.5</v>
      </c>
    </row>
    <row r="20" ht="15.75" customHeight="1">
      <c r="R20" s="13" t="s">
        <v>167</v>
      </c>
      <c r="S20" s="13" t="s">
        <v>202</v>
      </c>
      <c r="T20" s="224">
        <f>AVERAGEIF(B18:O18,"&lt;&gt;0")</f>
        <v>164.4371429</v>
      </c>
      <c r="V20" s="13" t="s">
        <v>167</v>
      </c>
      <c r="W20" s="13" t="s">
        <v>202</v>
      </c>
      <c r="X20" s="224">
        <f t="shared" si="1"/>
        <v>164.4371429</v>
      </c>
      <c r="Y20" s="224">
        <f t="shared" si="2"/>
        <v>161.3557143</v>
      </c>
      <c r="Z20" s="224">
        <f t="shared" si="3"/>
        <v>179.8614286</v>
      </c>
      <c r="AA20" s="224">
        <f t="shared" si="4"/>
        <v>150.6807143</v>
      </c>
      <c r="AB20" s="224">
        <f t="shared" si="5"/>
        <v>165.0264286</v>
      </c>
      <c r="AC20" s="224">
        <f t="shared" si="6"/>
        <v>162.46</v>
      </c>
      <c r="AD20" s="224">
        <f t="shared" si="7"/>
        <v>159.7657143</v>
      </c>
      <c r="AE20" s="224">
        <f t="shared" si="8"/>
        <v>164.0414286</v>
      </c>
      <c r="AF20" s="224">
        <f t="shared" si="9"/>
        <v>155.3964286</v>
      </c>
      <c r="AG20" s="224">
        <f t="shared" si="10"/>
        <v>151.7435714</v>
      </c>
    </row>
    <row r="21" ht="15.75" customHeight="1">
      <c r="S21" s="13" t="s">
        <v>207</v>
      </c>
      <c r="T21" s="224">
        <f>MAX(B18:O18)</f>
        <v>247.45</v>
      </c>
      <c r="W21" s="13" t="s">
        <v>207</v>
      </c>
      <c r="X21" s="224">
        <f t="shared" si="1"/>
        <v>247.45</v>
      </c>
      <c r="Y21" s="224">
        <f t="shared" si="2"/>
        <v>219.36</v>
      </c>
      <c r="Z21" s="224">
        <f t="shared" si="3"/>
        <v>216.6</v>
      </c>
      <c r="AA21" s="224">
        <f t="shared" si="4"/>
        <v>192.42</v>
      </c>
      <c r="AB21" s="224">
        <f t="shared" si="5"/>
        <v>232.94</v>
      </c>
      <c r="AC21" s="224">
        <f t="shared" si="6"/>
        <v>230.16</v>
      </c>
      <c r="AD21" s="224">
        <f t="shared" si="7"/>
        <v>204.92</v>
      </c>
      <c r="AE21" s="224">
        <f t="shared" si="8"/>
        <v>234.4</v>
      </c>
      <c r="AF21" s="224">
        <f t="shared" si="9"/>
        <v>216.31</v>
      </c>
      <c r="AG21" s="224">
        <f t="shared" si="10"/>
        <v>206.24</v>
      </c>
    </row>
    <row r="22" ht="15.75" customHeight="1">
      <c r="S22" s="13" t="s">
        <v>228</v>
      </c>
      <c r="T22" s="230">
        <f>SUM(B18:O18)</f>
        <v>2302.12</v>
      </c>
      <c r="W22" s="13" t="s">
        <v>228</v>
      </c>
      <c r="X22" s="224">
        <f t="shared" si="1"/>
        <v>2302.12</v>
      </c>
      <c r="Y22" s="224">
        <f t="shared" si="2"/>
        <v>2258.98</v>
      </c>
      <c r="Z22" s="224">
        <f t="shared" si="3"/>
        <v>2518.06</v>
      </c>
      <c r="AA22" s="224">
        <f t="shared" si="4"/>
        <v>2109.53</v>
      </c>
      <c r="AB22" s="224">
        <f t="shared" si="5"/>
        <v>2310.37</v>
      </c>
      <c r="AC22" s="224">
        <f t="shared" si="6"/>
        <v>2274.44</v>
      </c>
      <c r="AD22" s="224">
        <f t="shared" si="7"/>
        <v>2236.72</v>
      </c>
      <c r="AE22" s="224">
        <f t="shared" si="8"/>
        <v>2296.58</v>
      </c>
      <c r="AF22" s="224">
        <f t="shared" si="9"/>
        <v>2175.55</v>
      </c>
      <c r="AG22" s="224">
        <f t="shared" si="10"/>
        <v>2124.41</v>
      </c>
    </row>
    <row r="23" ht="15.75" customHeight="1">
      <c r="R23" s="13" t="s">
        <v>42</v>
      </c>
      <c r="S23" s="13" t="s">
        <v>202</v>
      </c>
      <c r="T23" s="13">
        <f>AVERAGE(C4:P4)</f>
        <v>4.230769231</v>
      </c>
      <c r="V23" s="13" t="s">
        <v>42</v>
      </c>
      <c r="W23" s="13" t="s">
        <v>202</v>
      </c>
      <c r="X23" s="224">
        <f t="shared" si="1"/>
        <v>4.230769231</v>
      </c>
      <c r="Y23" s="224">
        <f t="shared" si="2"/>
        <v>3.153846154</v>
      </c>
      <c r="Z23" s="224">
        <f t="shared" si="3"/>
        <v>3.923076923</v>
      </c>
      <c r="AA23" s="224">
        <f t="shared" si="4"/>
        <v>7.923076923</v>
      </c>
      <c r="AB23" s="224">
        <f t="shared" si="5"/>
        <v>5.461538462</v>
      </c>
      <c r="AC23" s="224">
        <f t="shared" si="6"/>
        <v>8</v>
      </c>
      <c r="AD23" s="224">
        <f t="shared" si="7"/>
        <v>3.076923077</v>
      </c>
      <c r="AE23" s="224">
        <f t="shared" si="8"/>
        <v>2.230769231</v>
      </c>
      <c r="AF23" s="224">
        <f t="shared" si="9"/>
        <v>8.923076923</v>
      </c>
      <c r="AG23" s="224">
        <f t="shared" si="10"/>
        <v>8.076923077</v>
      </c>
    </row>
    <row r="24" ht="15.75" customHeight="1">
      <c r="S24" s="13" t="s">
        <v>231</v>
      </c>
      <c r="T24" s="13">
        <f>MIN(C4:P4)</f>
        <v>2</v>
      </c>
      <c r="W24" s="13" t="s">
        <v>231</v>
      </c>
      <c r="X24" s="224">
        <f t="shared" si="1"/>
        <v>2</v>
      </c>
      <c r="Y24" s="224">
        <f t="shared" si="2"/>
        <v>1</v>
      </c>
      <c r="Z24" s="224">
        <f t="shared" si="3"/>
        <v>1</v>
      </c>
      <c r="AA24" s="224">
        <f t="shared" si="4"/>
        <v>6</v>
      </c>
      <c r="AB24" s="224">
        <f t="shared" si="5"/>
        <v>1</v>
      </c>
      <c r="AC24" s="224">
        <f t="shared" si="6"/>
        <v>7</v>
      </c>
      <c r="AD24" s="224">
        <f t="shared" si="7"/>
        <v>2</v>
      </c>
      <c r="AE24" s="224">
        <f t="shared" si="8"/>
        <v>1</v>
      </c>
      <c r="AF24" s="224">
        <f t="shared" si="9"/>
        <v>7</v>
      </c>
      <c r="AG24" s="224">
        <f t="shared" si="10"/>
        <v>6</v>
      </c>
    </row>
    <row r="25" ht="15.75" customHeight="1">
      <c r="S25" s="13" t="s">
        <v>234</v>
      </c>
      <c r="T25" s="13">
        <f>STDEV(C4:P4)</f>
        <v>1.23516842</v>
      </c>
      <c r="W25" s="13" t="s">
        <v>234</v>
      </c>
      <c r="X25" s="224">
        <f t="shared" si="1"/>
        <v>1.23516842</v>
      </c>
      <c r="Y25" s="224">
        <f t="shared" si="2"/>
        <v>1.463224399</v>
      </c>
      <c r="Z25" s="224">
        <f t="shared" si="3"/>
        <v>3.546395787</v>
      </c>
      <c r="AA25" s="224">
        <f t="shared" si="4"/>
        <v>1.705947364</v>
      </c>
      <c r="AB25" s="224">
        <f t="shared" si="5"/>
        <v>1.613246448</v>
      </c>
      <c r="AC25" s="224">
        <f t="shared" si="6"/>
        <v>1</v>
      </c>
      <c r="AD25" s="224">
        <f t="shared" si="7"/>
        <v>1.037749043</v>
      </c>
      <c r="AE25" s="224">
        <f t="shared" si="8"/>
        <v>1.012739367</v>
      </c>
      <c r="AF25" s="224">
        <f t="shared" si="9"/>
        <v>1.187542172</v>
      </c>
      <c r="AG25" s="224">
        <f t="shared" si="10"/>
        <v>1.320450584</v>
      </c>
    </row>
    <row r="26" ht="15.75" customHeight="1"/>
    <row r="27" ht="15.75" customHeight="1"/>
    <row r="28" ht="15.75" customHeight="1">
      <c r="W28" s="13" t="str">
        <f t="shared" ref="W28:AK28" si="11">B3</f>
        <v>Week 1</v>
      </c>
      <c r="X28" s="13" t="str">
        <f t="shared" si="11"/>
        <v>Week 2</v>
      </c>
      <c r="Y28" s="13" t="str">
        <f t="shared" si="11"/>
        <v>Week 3</v>
      </c>
      <c r="Z28" s="13" t="str">
        <f t="shared" si="11"/>
        <v>Week 4</v>
      </c>
      <c r="AA28" s="13" t="str">
        <f t="shared" si="11"/>
        <v>Week 5</v>
      </c>
      <c r="AB28" s="13" t="str">
        <f t="shared" si="11"/>
        <v>Week 6</v>
      </c>
      <c r="AC28" s="13" t="str">
        <f t="shared" si="11"/>
        <v>Week 7</v>
      </c>
      <c r="AD28" s="13" t="str">
        <f t="shared" si="11"/>
        <v>Week 8</v>
      </c>
      <c r="AE28" s="13" t="str">
        <f t="shared" si="11"/>
        <v>Week 9</v>
      </c>
      <c r="AF28" s="13" t="str">
        <f t="shared" si="11"/>
        <v>Week 10</v>
      </c>
      <c r="AG28" s="13" t="str">
        <f t="shared" si="11"/>
        <v>Week 11</v>
      </c>
      <c r="AH28" s="13" t="str">
        <f t="shared" si="11"/>
        <v>Week 12</v>
      </c>
      <c r="AI28" s="13" t="str">
        <f t="shared" si="11"/>
        <v>Week 13</v>
      </c>
      <c r="AJ28" s="13" t="str">
        <f t="shared" si="11"/>
        <v>Week 14</v>
      </c>
      <c r="AK28" s="13" t="str">
        <f t="shared" si="11"/>
        <v>Finale</v>
      </c>
    </row>
    <row r="29" ht="15.75" customHeight="1">
      <c r="V29" s="13" t="str">
        <f>$A$2</f>
        <v>DECOUPES</v>
      </c>
      <c r="W29" s="13">
        <f>IF(B4=0,"",B4)</f>
        <v>5</v>
      </c>
      <c r="X29" s="13">
        <f t="shared" ref="X29:AK29" si="12">IF(C4=0,"-",C4)</f>
        <v>3</v>
      </c>
      <c r="Y29" s="13">
        <f t="shared" si="12"/>
        <v>2</v>
      </c>
      <c r="Z29" s="13">
        <f t="shared" si="12"/>
        <v>3</v>
      </c>
      <c r="AA29" s="13">
        <f t="shared" si="12"/>
        <v>4</v>
      </c>
      <c r="AB29" s="13">
        <f t="shared" si="12"/>
        <v>5</v>
      </c>
      <c r="AC29" s="13">
        <f t="shared" si="12"/>
        <v>5</v>
      </c>
      <c r="AD29" s="13">
        <f t="shared" si="12"/>
        <v>4</v>
      </c>
      <c r="AE29" s="13">
        <f t="shared" si="12"/>
        <v>5</v>
      </c>
      <c r="AF29" s="13">
        <f t="shared" si="12"/>
        <v>6</v>
      </c>
      <c r="AG29" s="13">
        <f t="shared" si="12"/>
        <v>6</v>
      </c>
      <c r="AH29" s="13">
        <f t="shared" si="12"/>
        <v>5</v>
      </c>
      <c r="AI29" s="13">
        <f t="shared" si="12"/>
        <v>4</v>
      </c>
      <c r="AJ29" s="13">
        <f t="shared" si="12"/>
        <v>3</v>
      </c>
      <c r="AK29" s="13" t="str">
        <f t="shared" si="12"/>
        <v>-</v>
      </c>
      <c r="AL29" s="288" t="str">
        <f t="shared" ref="AL29:AL38" si="14">W29-AK29</f>
        <v>#VALUE!</v>
      </c>
    </row>
    <row r="30" ht="15.75" customHeight="1">
      <c r="V30" s="13" t="str">
        <f>$A$40</f>
        <v>POPEYES</v>
      </c>
      <c r="W30" s="13">
        <f>IF(B42=0,"",B42)</f>
        <v>1</v>
      </c>
      <c r="X30" s="13">
        <f t="shared" ref="X30:AK30" si="13">IF(C42=0,"-",C42)</f>
        <v>4</v>
      </c>
      <c r="Y30" s="13">
        <f t="shared" si="13"/>
        <v>4</v>
      </c>
      <c r="Z30" s="13">
        <f t="shared" si="13"/>
        <v>1</v>
      </c>
      <c r="AA30" s="13">
        <f t="shared" si="13"/>
        <v>1</v>
      </c>
      <c r="AB30" s="13">
        <f t="shared" si="13"/>
        <v>1</v>
      </c>
      <c r="AC30" s="13">
        <f t="shared" si="13"/>
        <v>2</v>
      </c>
      <c r="AD30" s="13">
        <f t="shared" si="13"/>
        <v>3</v>
      </c>
      <c r="AE30" s="13">
        <f t="shared" si="13"/>
        <v>4</v>
      </c>
      <c r="AF30" s="13">
        <f t="shared" si="13"/>
        <v>4</v>
      </c>
      <c r="AG30" s="13">
        <f t="shared" si="13"/>
        <v>4</v>
      </c>
      <c r="AH30" s="13">
        <f t="shared" si="13"/>
        <v>3</v>
      </c>
      <c r="AI30" s="13">
        <f t="shared" si="13"/>
        <v>5</v>
      </c>
      <c r="AJ30" s="13">
        <f t="shared" si="13"/>
        <v>5</v>
      </c>
      <c r="AK30" s="13" t="str">
        <f t="shared" si="13"/>
        <v>-</v>
      </c>
      <c r="AL30" s="288" t="str">
        <f t="shared" si="14"/>
        <v>#VALUE!</v>
      </c>
    </row>
    <row r="31" ht="15.75" customHeight="1">
      <c r="V31" s="13" t="str">
        <f>$A$78</f>
        <v>GREEN</v>
      </c>
      <c r="W31" s="13">
        <f>IF(B80=0,"",B80)</f>
        <v>4</v>
      </c>
      <c r="X31" s="13">
        <f t="shared" ref="X31:AK31" si="15">IF(C80=0,"-",C80)</f>
        <v>9</v>
      </c>
      <c r="Y31" s="13">
        <f t="shared" si="15"/>
        <v>10</v>
      </c>
      <c r="Z31" s="13">
        <f t="shared" si="15"/>
        <v>8</v>
      </c>
      <c r="AA31" s="13">
        <f t="shared" si="15"/>
        <v>8</v>
      </c>
      <c r="AB31" s="13">
        <f t="shared" si="15"/>
        <v>4</v>
      </c>
      <c r="AC31" s="13">
        <f t="shared" si="15"/>
        <v>4</v>
      </c>
      <c r="AD31" s="13">
        <f t="shared" si="15"/>
        <v>2</v>
      </c>
      <c r="AE31" s="13">
        <f t="shared" si="15"/>
        <v>1</v>
      </c>
      <c r="AF31" s="13">
        <f t="shared" si="15"/>
        <v>1</v>
      </c>
      <c r="AG31" s="13">
        <f t="shared" si="15"/>
        <v>1</v>
      </c>
      <c r="AH31" s="13">
        <f t="shared" si="15"/>
        <v>1</v>
      </c>
      <c r="AI31" s="13">
        <f t="shared" si="15"/>
        <v>1</v>
      </c>
      <c r="AJ31" s="13">
        <f t="shared" si="15"/>
        <v>1</v>
      </c>
      <c r="AK31" s="13" t="str">
        <f t="shared" si="15"/>
        <v>-</v>
      </c>
      <c r="AL31" s="288" t="str">
        <f t="shared" si="14"/>
        <v>#VALUE!</v>
      </c>
    </row>
    <row r="32" ht="15.75" customHeight="1">
      <c r="V32" s="13" t="str">
        <f>$A$116</f>
        <v>SAVAGES</v>
      </c>
      <c r="W32" s="13">
        <f>IF(B118=0,"",B118)</f>
        <v>2</v>
      </c>
      <c r="X32" s="13">
        <f t="shared" ref="X32:AK32" si="16">IF(C118=0,"-",C118)</f>
        <v>10</v>
      </c>
      <c r="Y32" s="13">
        <f t="shared" si="16"/>
        <v>6</v>
      </c>
      <c r="Z32" s="13">
        <f t="shared" si="16"/>
        <v>6</v>
      </c>
      <c r="AA32" s="13">
        <f t="shared" si="16"/>
        <v>6</v>
      </c>
      <c r="AB32" s="13">
        <f t="shared" si="16"/>
        <v>7</v>
      </c>
      <c r="AC32" s="13">
        <f t="shared" si="16"/>
        <v>6</v>
      </c>
      <c r="AD32" s="13">
        <f t="shared" si="16"/>
        <v>7</v>
      </c>
      <c r="AE32" s="13">
        <f t="shared" si="16"/>
        <v>10</v>
      </c>
      <c r="AF32" s="13">
        <f t="shared" si="16"/>
        <v>8</v>
      </c>
      <c r="AG32" s="13">
        <f t="shared" si="16"/>
        <v>8</v>
      </c>
      <c r="AH32" s="13">
        <f t="shared" si="16"/>
        <v>9</v>
      </c>
      <c r="AI32" s="13">
        <f t="shared" si="16"/>
        <v>10</v>
      </c>
      <c r="AJ32" s="13">
        <f t="shared" si="16"/>
        <v>10</v>
      </c>
      <c r="AK32" s="13" t="str">
        <f t="shared" si="16"/>
        <v>-</v>
      </c>
      <c r="AL32" s="288" t="str">
        <f t="shared" si="14"/>
        <v>#VALUE!</v>
      </c>
    </row>
    <row r="33" ht="15.75" customHeight="1">
      <c r="V33" s="13" t="str">
        <f>$A$154</f>
        <v>CHAMPS</v>
      </c>
      <c r="W33" s="13">
        <f>IF(B156=0,"",B156)</f>
        <v>6</v>
      </c>
      <c r="X33" s="13">
        <f t="shared" ref="X33:AK33" si="17">IF(C156=0,"-",C156)</f>
        <v>1</v>
      </c>
      <c r="Y33" s="13">
        <f t="shared" si="17"/>
        <v>5</v>
      </c>
      <c r="Z33" s="13">
        <f t="shared" si="17"/>
        <v>5</v>
      </c>
      <c r="AA33" s="13">
        <f t="shared" si="17"/>
        <v>5</v>
      </c>
      <c r="AB33" s="13">
        <f t="shared" si="17"/>
        <v>6</v>
      </c>
      <c r="AC33" s="13">
        <f t="shared" si="17"/>
        <v>7</v>
      </c>
      <c r="AD33" s="13">
        <f t="shared" si="17"/>
        <v>6</v>
      </c>
      <c r="AE33" s="13">
        <f t="shared" si="17"/>
        <v>8</v>
      </c>
      <c r="AF33" s="13">
        <f t="shared" si="17"/>
        <v>5</v>
      </c>
      <c r="AG33" s="13">
        <f t="shared" si="17"/>
        <v>5</v>
      </c>
      <c r="AH33" s="13">
        <f t="shared" si="17"/>
        <v>6</v>
      </c>
      <c r="AI33" s="13">
        <f t="shared" si="17"/>
        <v>6</v>
      </c>
      <c r="AJ33" s="13">
        <f t="shared" si="17"/>
        <v>6</v>
      </c>
      <c r="AK33" s="13" t="str">
        <f t="shared" si="17"/>
        <v>-</v>
      </c>
      <c r="AL33" s="288" t="str">
        <f t="shared" si="14"/>
        <v>#VALUE!</v>
      </c>
    </row>
    <row r="34" ht="15.75" customHeight="1">
      <c r="V34" s="13" t="str">
        <f>$A$192</f>
        <v>METAMOOKDAWGS</v>
      </c>
      <c r="W34" s="13">
        <f>IF(B194=0,"",B194)</f>
        <v>3</v>
      </c>
      <c r="X34" s="13">
        <f t="shared" ref="X34:AK34" si="18">IF(C194=0,"-",C194)</f>
        <v>7</v>
      </c>
      <c r="Y34" s="13">
        <f t="shared" si="18"/>
        <v>9</v>
      </c>
      <c r="Z34" s="13">
        <f t="shared" si="18"/>
        <v>7</v>
      </c>
      <c r="AA34" s="13">
        <f t="shared" si="18"/>
        <v>7</v>
      </c>
      <c r="AB34" s="13">
        <f t="shared" si="18"/>
        <v>8</v>
      </c>
      <c r="AC34" s="13">
        <f t="shared" si="18"/>
        <v>8</v>
      </c>
      <c r="AD34" s="13">
        <f t="shared" si="18"/>
        <v>10</v>
      </c>
      <c r="AE34" s="13">
        <f t="shared" si="18"/>
        <v>9</v>
      </c>
      <c r="AF34" s="13">
        <f t="shared" si="18"/>
        <v>7</v>
      </c>
      <c r="AG34" s="13">
        <f t="shared" si="18"/>
        <v>7</v>
      </c>
      <c r="AH34" s="13">
        <f t="shared" si="18"/>
        <v>8</v>
      </c>
      <c r="AI34" s="13">
        <f t="shared" si="18"/>
        <v>8</v>
      </c>
      <c r="AJ34" s="13">
        <f t="shared" si="18"/>
        <v>9</v>
      </c>
      <c r="AK34" s="13" t="str">
        <f t="shared" si="18"/>
        <v>-</v>
      </c>
      <c r="AL34" s="288" t="str">
        <f t="shared" si="14"/>
        <v>#VALUE!</v>
      </c>
    </row>
    <row r="35" ht="15.75" customHeight="1">
      <c r="V35" s="13" t="str">
        <f>$A$230</f>
        <v>YARDIES</v>
      </c>
      <c r="W35" s="13">
        <f>IF(B232=0,"",B232)</f>
        <v>9</v>
      </c>
      <c r="X35" s="13">
        <f t="shared" ref="X35:AK35" si="19">IF(C232=0,"-",C232)</f>
        <v>5</v>
      </c>
      <c r="Y35" s="13">
        <f t="shared" si="19"/>
        <v>3</v>
      </c>
      <c r="Z35" s="13">
        <f t="shared" si="19"/>
        <v>4</v>
      </c>
      <c r="AA35" s="13">
        <f t="shared" si="19"/>
        <v>3</v>
      </c>
      <c r="AB35" s="13">
        <f t="shared" si="19"/>
        <v>3</v>
      </c>
      <c r="AC35" s="13">
        <f t="shared" si="19"/>
        <v>3</v>
      </c>
      <c r="AD35" s="13">
        <f t="shared" si="19"/>
        <v>5</v>
      </c>
      <c r="AE35" s="13">
        <f t="shared" si="19"/>
        <v>3</v>
      </c>
      <c r="AF35" s="13">
        <f t="shared" si="19"/>
        <v>2</v>
      </c>
      <c r="AG35" s="13">
        <f t="shared" si="19"/>
        <v>3</v>
      </c>
      <c r="AH35" s="13">
        <f t="shared" si="19"/>
        <v>2</v>
      </c>
      <c r="AI35" s="13">
        <f t="shared" si="19"/>
        <v>2</v>
      </c>
      <c r="AJ35" s="13">
        <f t="shared" si="19"/>
        <v>2</v>
      </c>
      <c r="AK35" s="13" t="str">
        <f t="shared" si="19"/>
        <v>-</v>
      </c>
      <c r="AL35" s="288" t="str">
        <f t="shared" si="14"/>
        <v>#VALUE!</v>
      </c>
    </row>
    <row r="36" ht="15.75" customHeight="1">
      <c r="V36" s="13" t="str">
        <f>$A$267</f>
        <v>MUTTS</v>
      </c>
      <c r="W36" s="13">
        <f>IF(B269=0,"",B269)</f>
        <v>8</v>
      </c>
      <c r="X36" s="13">
        <f t="shared" ref="X36:AK36" si="20">IF(C269=0,"-",C269)</f>
        <v>2</v>
      </c>
      <c r="Y36" s="13">
        <f t="shared" si="20"/>
        <v>1</v>
      </c>
      <c r="Z36" s="13">
        <f t="shared" si="20"/>
        <v>2</v>
      </c>
      <c r="AA36" s="13">
        <f t="shared" si="20"/>
        <v>2</v>
      </c>
      <c r="AB36" s="13">
        <f t="shared" si="20"/>
        <v>2</v>
      </c>
      <c r="AC36" s="13">
        <f t="shared" si="20"/>
        <v>1</v>
      </c>
      <c r="AD36" s="13">
        <f t="shared" si="20"/>
        <v>1</v>
      </c>
      <c r="AE36" s="13">
        <f t="shared" si="20"/>
        <v>2</v>
      </c>
      <c r="AF36" s="13">
        <f t="shared" si="20"/>
        <v>3</v>
      </c>
      <c r="AG36" s="13">
        <f t="shared" si="20"/>
        <v>2</v>
      </c>
      <c r="AH36" s="13">
        <f t="shared" si="20"/>
        <v>4</v>
      </c>
      <c r="AI36" s="13">
        <f t="shared" si="20"/>
        <v>3</v>
      </c>
      <c r="AJ36" s="13">
        <f t="shared" si="20"/>
        <v>4</v>
      </c>
      <c r="AK36" s="13" t="str">
        <f t="shared" si="20"/>
        <v>-</v>
      </c>
      <c r="AL36" s="288" t="str">
        <f t="shared" si="14"/>
        <v>#VALUE!</v>
      </c>
    </row>
    <row r="37" ht="15.75" customHeight="1">
      <c r="V37" s="13" t="str">
        <f>$A$294</f>
        <v>EAGLES</v>
      </c>
      <c r="W37" s="13">
        <f>IF(B296=0,"",B296)</f>
        <v>7</v>
      </c>
      <c r="X37" s="13">
        <f t="shared" ref="X37:AK37" si="21">IF(C296=0,"-",C296)</f>
        <v>8</v>
      </c>
      <c r="Y37" s="13">
        <f t="shared" si="21"/>
        <v>8</v>
      </c>
      <c r="Z37" s="13">
        <f t="shared" si="21"/>
        <v>10</v>
      </c>
      <c r="AA37" s="13">
        <f t="shared" si="21"/>
        <v>10</v>
      </c>
      <c r="AB37" s="13">
        <f t="shared" si="21"/>
        <v>10</v>
      </c>
      <c r="AC37" s="13">
        <f t="shared" si="21"/>
        <v>10</v>
      </c>
      <c r="AD37" s="13">
        <f t="shared" si="21"/>
        <v>9</v>
      </c>
      <c r="AE37" s="13">
        <f t="shared" si="21"/>
        <v>7</v>
      </c>
      <c r="AF37" s="13">
        <f t="shared" si="21"/>
        <v>10</v>
      </c>
      <c r="AG37" s="13">
        <f t="shared" si="21"/>
        <v>10</v>
      </c>
      <c r="AH37" s="13">
        <f t="shared" si="21"/>
        <v>7</v>
      </c>
      <c r="AI37" s="13">
        <f t="shared" si="21"/>
        <v>9</v>
      </c>
      <c r="AJ37" s="13">
        <f t="shared" si="21"/>
        <v>8</v>
      </c>
      <c r="AK37" s="13" t="str">
        <f t="shared" si="21"/>
        <v>-</v>
      </c>
      <c r="AL37" s="288" t="str">
        <f t="shared" si="14"/>
        <v>#VALUE!</v>
      </c>
    </row>
    <row r="38" ht="15.75" customHeight="1">
      <c r="V38" s="13" t="str">
        <f>$A$321</f>
        <v>KINGS</v>
      </c>
      <c r="W38" s="13">
        <f>IF(B323=0,"",B323)</f>
        <v>10</v>
      </c>
      <c r="X38" s="13">
        <f t="shared" ref="X38:AK38" si="22">IF(C323=0,"-",C323)</f>
        <v>6</v>
      </c>
      <c r="Y38" s="13">
        <f t="shared" si="22"/>
        <v>7</v>
      </c>
      <c r="Z38" s="13">
        <f t="shared" si="22"/>
        <v>9</v>
      </c>
      <c r="AA38" s="13">
        <f t="shared" si="22"/>
        <v>9</v>
      </c>
      <c r="AB38" s="13">
        <f t="shared" si="22"/>
        <v>9</v>
      </c>
      <c r="AC38" s="13">
        <f t="shared" si="22"/>
        <v>9</v>
      </c>
      <c r="AD38" s="13">
        <f t="shared" si="22"/>
        <v>8</v>
      </c>
      <c r="AE38" s="13">
        <f t="shared" si="22"/>
        <v>6</v>
      </c>
      <c r="AF38" s="230">
        <f t="shared" si="22"/>
        <v>9</v>
      </c>
      <c r="AG38" s="13">
        <f t="shared" si="22"/>
        <v>9</v>
      </c>
      <c r="AH38" s="13">
        <f t="shared" si="22"/>
        <v>10</v>
      </c>
      <c r="AI38" s="13">
        <f t="shared" si="22"/>
        <v>7</v>
      </c>
      <c r="AJ38" s="13">
        <f t="shared" si="22"/>
        <v>7</v>
      </c>
      <c r="AK38" s="13" t="str">
        <f t="shared" si="22"/>
        <v>-</v>
      </c>
      <c r="AL38" s="288" t="str">
        <f t="shared" si="14"/>
        <v>#VALUE!</v>
      </c>
    </row>
    <row r="39" ht="15.75" customHeight="1"/>
    <row r="40" ht="15.75" customHeight="1">
      <c r="A40" s="221" t="str">
        <f>'Entry Sheet'!A23</f>
        <v>POPEYES</v>
      </c>
      <c r="B40" s="221"/>
      <c r="C40" s="221"/>
      <c r="D40" s="221"/>
      <c r="E40" s="221"/>
      <c r="F40" s="221"/>
      <c r="G40" s="221"/>
      <c r="H40" s="221"/>
      <c r="I40" s="221"/>
      <c r="J40" s="221"/>
      <c r="K40" s="221"/>
      <c r="L40" s="221"/>
      <c r="M40" s="221"/>
      <c r="N40" s="221"/>
      <c r="O40" s="221"/>
      <c r="P40" s="221"/>
      <c r="Q40" s="221"/>
      <c r="R40" s="221"/>
      <c r="S40" s="221"/>
      <c r="T40" s="221"/>
      <c r="W40" s="13" t="str">
        <f t="shared" ref="W40:AJ40" si="23">B3</f>
        <v>Week 1</v>
      </c>
      <c r="X40" s="13" t="str">
        <f t="shared" si="23"/>
        <v>Week 2</v>
      </c>
      <c r="Y40" s="13" t="str">
        <f t="shared" si="23"/>
        <v>Week 3</v>
      </c>
      <c r="Z40" s="13" t="str">
        <f t="shared" si="23"/>
        <v>Week 4</v>
      </c>
      <c r="AA40" s="13" t="str">
        <f t="shared" si="23"/>
        <v>Week 5</v>
      </c>
      <c r="AB40" s="13" t="str">
        <f t="shared" si="23"/>
        <v>Week 6</v>
      </c>
      <c r="AC40" s="13" t="str">
        <f t="shared" si="23"/>
        <v>Week 7</v>
      </c>
      <c r="AD40" s="13" t="str">
        <f t="shared" si="23"/>
        <v>Week 8</v>
      </c>
      <c r="AE40" s="13" t="str">
        <f t="shared" si="23"/>
        <v>Week 9</v>
      </c>
      <c r="AF40" s="13" t="str">
        <f t="shared" si="23"/>
        <v>Week 10</v>
      </c>
      <c r="AG40" s="13" t="str">
        <f t="shared" si="23"/>
        <v>Week 11</v>
      </c>
      <c r="AH40" s="13" t="str">
        <f t="shared" si="23"/>
        <v>Week 12</v>
      </c>
      <c r="AI40" s="13" t="str">
        <f t="shared" si="23"/>
        <v>Week 13</v>
      </c>
      <c r="AJ40" s="13" t="str">
        <f t="shared" si="23"/>
        <v>Week 14</v>
      </c>
    </row>
    <row r="41" ht="15.75" customHeight="1">
      <c r="B41" s="13" t="str">
        <f>'Entry Sheet'!B24</f>
        <v>Week 1</v>
      </c>
      <c r="C41" s="13" t="str">
        <f>'Entry Sheet'!D24</f>
        <v>Week 2</v>
      </c>
      <c r="D41" s="13" t="str">
        <f>'Entry Sheet'!F24</f>
        <v>Week 3</v>
      </c>
      <c r="E41" s="13" t="str">
        <f>'Entry Sheet'!H24</f>
        <v>Week 4</v>
      </c>
      <c r="F41" s="13" t="str">
        <f>'Entry Sheet'!J24</f>
        <v>Week 5</v>
      </c>
      <c r="G41" s="13" t="str">
        <f>'Entry Sheet'!L24</f>
        <v>Week 6</v>
      </c>
      <c r="H41" s="13" t="str">
        <f>'Entry Sheet'!N24</f>
        <v>Week 7</v>
      </c>
      <c r="I41" s="13" t="str">
        <f>'Entry Sheet'!P24</f>
        <v>Week 8</v>
      </c>
      <c r="J41" s="13" t="str">
        <f>'Entry Sheet'!R24</f>
        <v>Week 9</v>
      </c>
      <c r="K41" s="13" t="str">
        <f>'Entry Sheet'!T24</f>
        <v>Week 10</v>
      </c>
      <c r="L41" s="13" t="str">
        <f>'Entry Sheet'!V24</f>
        <v>Week 11</v>
      </c>
      <c r="M41" s="13" t="str">
        <f>'Entry Sheet'!X24</f>
        <v>Week 12</v>
      </c>
      <c r="N41" s="13" t="str">
        <f>'Entry Sheet'!Z24</f>
        <v>Week 13</v>
      </c>
      <c r="O41" s="13" t="str">
        <f>'Entry Sheet'!AB24</f>
        <v>Week 14</v>
      </c>
      <c r="P41" s="13" t="str">
        <f>'Entry Sheet'!AD24</f>
        <v>Finale</v>
      </c>
      <c r="R41" s="13" t="s">
        <v>100</v>
      </c>
      <c r="S41" s="13" t="s">
        <v>202</v>
      </c>
      <c r="T41" s="224">
        <f>AVERAGEIF(B43:O43,"&lt;&gt;0")</f>
        <v>22.31428571</v>
      </c>
      <c r="V41" s="13" t="str">
        <f t="shared" ref="V41:V50" si="25">V29</f>
        <v>DECOUPES</v>
      </c>
      <c r="W41" s="230">
        <f t="shared" ref="W41:AJ41" si="24">B18</f>
        <v>161.6</v>
      </c>
      <c r="X41" s="230">
        <f t="shared" si="24"/>
        <v>165.71</v>
      </c>
      <c r="Y41" s="13">
        <f t="shared" si="24"/>
        <v>96.07</v>
      </c>
      <c r="Z41" s="13">
        <f t="shared" si="24"/>
        <v>137.07</v>
      </c>
      <c r="AA41" s="13">
        <f t="shared" si="24"/>
        <v>116.2</v>
      </c>
      <c r="AB41" s="13">
        <f t="shared" si="24"/>
        <v>141.19</v>
      </c>
      <c r="AC41" s="13">
        <f t="shared" si="24"/>
        <v>215.41</v>
      </c>
      <c r="AD41" s="13">
        <f t="shared" si="24"/>
        <v>160.86</v>
      </c>
      <c r="AE41" s="13">
        <f t="shared" si="24"/>
        <v>131.48</v>
      </c>
      <c r="AF41" s="13">
        <f t="shared" si="24"/>
        <v>160.58</v>
      </c>
      <c r="AG41" s="13">
        <f t="shared" si="24"/>
        <v>169.31</v>
      </c>
      <c r="AH41" s="13">
        <f t="shared" si="24"/>
        <v>247.45</v>
      </c>
      <c r="AI41" s="13">
        <f t="shared" si="24"/>
        <v>209.92</v>
      </c>
      <c r="AJ41" s="13">
        <f t="shared" si="24"/>
        <v>189.27</v>
      </c>
    </row>
    <row r="42" ht="15.75" customHeight="1">
      <c r="A42" s="13" t="str">
        <f>'Entry Sheet'!A25</f>
        <v>Team Rank</v>
      </c>
      <c r="B42" s="13">
        <f>'Entry Sheet'!B25</f>
        <v>1</v>
      </c>
      <c r="C42" s="13">
        <f>'Entry Sheet'!D25</f>
        <v>4</v>
      </c>
      <c r="D42" s="13">
        <f>'Entry Sheet'!F25</f>
        <v>4</v>
      </c>
      <c r="E42" s="13">
        <f>'Entry Sheet'!H25</f>
        <v>1</v>
      </c>
      <c r="F42" s="13">
        <f>'Entry Sheet'!J25</f>
        <v>1</v>
      </c>
      <c r="G42" s="13">
        <f>'Entry Sheet'!L25</f>
        <v>1</v>
      </c>
      <c r="H42" s="13">
        <f>'Entry Sheet'!N25</f>
        <v>2</v>
      </c>
      <c r="I42" s="13">
        <f>'Entry Sheet'!P25</f>
        <v>3</v>
      </c>
      <c r="J42" s="13">
        <f>'Entry Sheet'!R25</f>
        <v>4</v>
      </c>
      <c r="K42" s="13">
        <f>'Entry Sheet'!T25</f>
        <v>4</v>
      </c>
      <c r="L42" s="13">
        <f>'Entry Sheet'!V25</f>
        <v>4</v>
      </c>
      <c r="M42" s="13">
        <f>'Entry Sheet'!X25</f>
        <v>3</v>
      </c>
      <c r="N42" s="13">
        <f>'Entry Sheet'!Z25</f>
        <v>5</v>
      </c>
      <c r="O42" s="13">
        <f>'Entry Sheet'!AB25</f>
        <v>5</v>
      </c>
      <c r="P42" s="13" t="str">
        <f>'Entry Sheet'!AD25</f>
        <v/>
      </c>
      <c r="S42" s="13" t="s">
        <v>207</v>
      </c>
      <c r="T42" s="224">
        <f>MAX(B43:O43)</f>
        <v>39</v>
      </c>
      <c r="V42" s="13" t="str">
        <f t="shared" si="25"/>
        <v>POPEYES</v>
      </c>
      <c r="W42" s="13">
        <f t="shared" ref="W42:AJ42" si="26">B56</f>
        <v>156.56</v>
      </c>
      <c r="X42" s="13">
        <f t="shared" si="26"/>
        <v>156.22</v>
      </c>
      <c r="Y42" s="13">
        <f t="shared" si="26"/>
        <v>196.22</v>
      </c>
      <c r="Z42" s="13">
        <f t="shared" si="26"/>
        <v>219.36</v>
      </c>
      <c r="AA42" s="13">
        <f t="shared" si="26"/>
        <v>202.46</v>
      </c>
      <c r="AB42" s="13">
        <f t="shared" si="26"/>
        <v>110.89</v>
      </c>
      <c r="AC42" s="13">
        <f t="shared" si="26"/>
        <v>156.92</v>
      </c>
      <c r="AD42" s="13">
        <f t="shared" si="26"/>
        <v>114.52</v>
      </c>
      <c r="AE42" s="13">
        <f t="shared" si="26"/>
        <v>162.87</v>
      </c>
      <c r="AF42" s="13">
        <f t="shared" si="26"/>
        <v>202.13</v>
      </c>
      <c r="AG42" s="13">
        <f t="shared" si="26"/>
        <v>169.09</v>
      </c>
      <c r="AH42" s="13">
        <f t="shared" si="26"/>
        <v>155.64</v>
      </c>
      <c r="AI42" s="13">
        <f t="shared" si="26"/>
        <v>102.49</v>
      </c>
      <c r="AJ42" s="13">
        <f t="shared" si="26"/>
        <v>153.61</v>
      </c>
    </row>
    <row r="43" ht="15.75" customHeight="1">
      <c r="A43" s="13" t="str">
        <f>'Entry Sheet'!A26</f>
        <v>QB</v>
      </c>
      <c r="B43" s="13">
        <f>'Entry Sheet'!C26</f>
        <v>29.48</v>
      </c>
      <c r="C43" s="13">
        <f>'Entry Sheet'!E26</f>
        <v>26.6</v>
      </c>
      <c r="D43" s="13">
        <f>'Entry Sheet'!G26</f>
        <v>21.92</v>
      </c>
      <c r="E43" s="13">
        <f>'Entry Sheet'!I26</f>
        <v>38.2</v>
      </c>
      <c r="F43" s="13">
        <f>'Entry Sheet'!K26</f>
        <v>35.26</v>
      </c>
      <c r="G43" s="13">
        <f>'Entry Sheet'!M26</f>
        <v>13.34</v>
      </c>
      <c r="H43" s="13">
        <f>'Entry Sheet'!O26</f>
        <v>13.52</v>
      </c>
      <c r="I43" s="13">
        <f>'Entry Sheet'!Q26</f>
        <v>5.28</v>
      </c>
      <c r="J43" s="13">
        <f>'Entry Sheet'!S26</f>
        <v>39</v>
      </c>
      <c r="K43" s="13">
        <f>'Entry Sheet'!U26</f>
        <v>31.52</v>
      </c>
      <c r="L43" s="13">
        <f>'Entry Sheet'!W26</f>
        <v>19.32</v>
      </c>
      <c r="M43" s="13">
        <f>'Entry Sheet'!Y26</f>
        <v>22.96</v>
      </c>
      <c r="N43" s="13">
        <f>'Entry Sheet'!AA26</f>
        <v>3.52</v>
      </c>
      <c r="O43" s="13">
        <f>'Entry Sheet'!AC26</f>
        <v>12.48</v>
      </c>
      <c r="Q43" s="224"/>
      <c r="R43" s="13" t="s">
        <v>106</v>
      </c>
      <c r="S43" s="13" t="s">
        <v>202</v>
      </c>
      <c r="T43" s="224">
        <f>AVERAGEIF(B44:O46,"&lt;&gt;0")</f>
        <v>17.7875</v>
      </c>
      <c r="V43" s="13" t="str">
        <f t="shared" si="25"/>
        <v>GREEN</v>
      </c>
      <c r="W43" s="13">
        <f t="shared" ref="W43:AJ43" si="27">B94</f>
        <v>132.31</v>
      </c>
      <c r="X43" s="13">
        <f t="shared" si="27"/>
        <v>136.5</v>
      </c>
      <c r="Y43" s="13">
        <f t="shared" si="27"/>
        <v>204.24</v>
      </c>
      <c r="Z43" s="13">
        <f t="shared" si="27"/>
        <v>194.64</v>
      </c>
      <c r="AA43" s="13">
        <f t="shared" si="27"/>
        <v>167.16</v>
      </c>
      <c r="AB43" s="13">
        <f t="shared" si="27"/>
        <v>191</v>
      </c>
      <c r="AC43" s="13">
        <f t="shared" si="27"/>
        <v>216.6</v>
      </c>
      <c r="AD43" s="13">
        <f t="shared" si="27"/>
        <v>183.51</v>
      </c>
      <c r="AE43" s="13">
        <f t="shared" si="27"/>
        <v>175.49</v>
      </c>
      <c r="AF43" s="13">
        <f t="shared" si="27"/>
        <v>203.56</v>
      </c>
      <c r="AG43" s="13">
        <f t="shared" si="27"/>
        <v>164.25</v>
      </c>
      <c r="AH43" s="13">
        <f t="shared" si="27"/>
        <v>189.22</v>
      </c>
      <c r="AI43" s="13">
        <f t="shared" si="27"/>
        <v>202.79</v>
      </c>
      <c r="AJ43" s="13">
        <f t="shared" si="27"/>
        <v>156.79</v>
      </c>
    </row>
    <row r="44" ht="15.75" customHeight="1">
      <c r="A44" s="13" t="str">
        <f>'Entry Sheet'!A27</f>
        <v>RB</v>
      </c>
      <c r="B44" s="13">
        <f>'Entry Sheet'!C27</f>
        <v>17.2</v>
      </c>
      <c r="C44" s="13">
        <f>'Entry Sheet'!E27</f>
        <v>27.3</v>
      </c>
      <c r="D44" s="13">
        <f>'Entry Sheet'!G27</f>
        <v>17.3</v>
      </c>
      <c r="E44" s="13">
        <f>'Entry Sheet'!I27</f>
        <v>19.1</v>
      </c>
      <c r="F44" s="13">
        <f>'Entry Sheet'!K27</f>
        <v>17.6</v>
      </c>
      <c r="G44" s="13">
        <f>'Entry Sheet'!M27</f>
        <v>33.6</v>
      </c>
      <c r="H44" s="13">
        <f>'Entry Sheet'!O27</f>
        <v>14.1</v>
      </c>
      <c r="I44" s="13">
        <f>'Entry Sheet'!Q27</f>
        <v>21.9</v>
      </c>
      <c r="J44" s="13">
        <f>'Entry Sheet'!S27</f>
        <v>18</v>
      </c>
      <c r="K44" s="13">
        <f>'Entry Sheet'!U27</f>
        <v>43.7</v>
      </c>
      <c r="L44" s="13">
        <f>'Entry Sheet'!W27</f>
        <v>24.6</v>
      </c>
      <c r="M44" s="13">
        <f>'Entry Sheet'!Y27</f>
        <v>14.2</v>
      </c>
      <c r="N44" s="13">
        <f>'Entry Sheet'!AA27</f>
        <v>22.6</v>
      </c>
      <c r="O44" s="13">
        <f>'Entry Sheet'!AC27</f>
        <v>18.2</v>
      </c>
      <c r="Q44" s="224"/>
      <c r="S44" s="13" t="s">
        <v>207</v>
      </c>
      <c r="T44" s="224">
        <f>MAX(B44:O46)</f>
        <v>43.7</v>
      </c>
      <c r="V44" s="13" t="str">
        <f t="shared" si="25"/>
        <v>SAVAGES</v>
      </c>
      <c r="W44" s="13">
        <f t="shared" ref="W44:AJ44" si="28">B132</f>
        <v>116.99</v>
      </c>
      <c r="X44" s="13">
        <f t="shared" si="28"/>
        <v>181.62</v>
      </c>
      <c r="Y44" s="13">
        <f t="shared" si="28"/>
        <v>147.28</v>
      </c>
      <c r="Z44" s="13">
        <f t="shared" si="28"/>
        <v>175.05</v>
      </c>
      <c r="AA44" s="13">
        <f t="shared" si="28"/>
        <v>156.15</v>
      </c>
      <c r="AB44" s="13">
        <f t="shared" si="28"/>
        <v>154.82</v>
      </c>
      <c r="AC44" s="13">
        <f t="shared" si="28"/>
        <v>163.44</v>
      </c>
      <c r="AD44" s="13">
        <f t="shared" si="28"/>
        <v>123.41</v>
      </c>
      <c r="AE44" s="13">
        <f t="shared" si="28"/>
        <v>192.42</v>
      </c>
      <c r="AF44" s="13">
        <f t="shared" si="28"/>
        <v>156.44</v>
      </c>
      <c r="AG44" s="13">
        <f t="shared" si="28"/>
        <v>130.98</v>
      </c>
      <c r="AH44" s="13">
        <f t="shared" si="28"/>
        <v>132.31</v>
      </c>
      <c r="AI44" s="13">
        <f t="shared" si="28"/>
        <v>125.37</v>
      </c>
      <c r="AJ44" s="13">
        <f t="shared" si="28"/>
        <v>153.25</v>
      </c>
    </row>
    <row r="45" ht="15.75" customHeight="1">
      <c r="A45" s="13" t="str">
        <f>'Entry Sheet'!A28</f>
        <v>RB</v>
      </c>
      <c r="B45" s="13">
        <f>'Entry Sheet'!C28</f>
        <v>13.75</v>
      </c>
      <c r="C45" s="13">
        <f>'Entry Sheet'!E28</f>
        <v>6.3</v>
      </c>
      <c r="D45" s="13">
        <f>'Entry Sheet'!G28</f>
        <v>19.6</v>
      </c>
      <c r="E45" s="13">
        <f>'Entry Sheet'!I28</f>
        <v>11.8</v>
      </c>
      <c r="F45" s="13">
        <f>'Entry Sheet'!K28</f>
        <v>13.9</v>
      </c>
      <c r="G45" s="13">
        <f>'Entry Sheet'!M28</f>
        <v>5.5</v>
      </c>
      <c r="H45" s="13">
        <f>'Entry Sheet'!O28</f>
        <v>13.2</v>
      </c>
      <c r="I45" s="13">
        <f>'Entry Sheet'!Q28</f>
        <v>2</v>
      </c>
      <c r="J45" s="13">
        <f>'Entry Sheet'!S28</f>
        <v>7.6</v>
      </c>
      <c r="K45" s="13">
        <f>'Entry Sheet'!U28</f>
        <v>30.4</v>
      </c>
      <c r="L45" s="13">
        <f>'Entry Sheet'!W28</f>
        <v>34.2</v>
      </c>
      <c r="M45" s="13">
        <f>'Entry Sheet'!Y28</f>
        <v>12.9</v>
      </c>
      <c r="N45" s="13">
        <f>'Entry Sheet'!AA28</f>
        <v>12.7</v>
      </c>
      <c r="O45" s="13">
        <f>'Entry Sheet'!AC28</f>
        <v>4.8</v>
      </c>
      <c r="Q45" s="224"/>
      <c r="R45" s="13" t="s">
        <v>117</v>
      </c>
      <c r="S45" s="13" t="s">
        <v>202</v>
      </c>
      <c r="T45" s="224">
        <f>AVERAGEIF(B47:O50,"&lt;&gt;0")</f>
        <v>15.1547619</v>
      </c>
      <c r="V45" s="13" t="str">
        <f t="shared" si="25"/>
        <v>CHAMPS</v>
      </c>
      <c r="W45" s="13">
        <f t="shared" ref="W45:AJ45" si="29">B170</f>
        <v>177.91</v>
      </c>
      <c r="X45" s="13">
        <f t="shared" si="29"/>
        <v>154.71</v>
      </c>
      <c r="Y45" s="13">
        <f t="shared" si="29"/>
        <v>232.94</v>
      </c>
      <c r="Z45" s="13">
        <f t="shared" si="29"/>
        <v>159.16</v>
      </c>
      <c r="AA45" s="13">
        <f t="shared" si="29"/>
        <v>164.86</v>
      </c>
      <c r="AB45" s="13">
        <f t="shared" si="29"/>
        <v>149.44</v>
      </c>
      <c r="AC45" s="13">
        <f t="shared" si="29"/>
        <v>169.29</v>
      </c>
      <c r="AD45" s="13">
        <f t="shared" si="29"/>
        <v>175.97</v>
      </c>
      <c r="AE45" s="13">
        <f t="shared" si="29"/>
        <v>203.6</v>
      </c>
      <c r="AF45" s="13">
        <f t="shared" si="29"/>
        <v>167.97</v>
      </c>
      <c r="AG45" s="13">
        <f t="shared" si="29"/>
        <v>118.22</v>
      </c>
      <c r="AH45" s="13">
        <f t="shared" si="29"/>
        <v>152.31</v>
      </c>
      <c r="AI45" s="13">
        <f t="shared" si="29"/>
        <v>137.66</v>
      </c>
      <c r="AJ45" s="13">
        <f t="shared" si="29"/>
        <v>146.33</v>
      </c>
    </row>
    <row r="46" ht="15.75" customHeight="1">
      <c r="A46" s="13" t="str">
        <f>'Entry Sheet'!A29</f>
        <v>RB</v>
      </c>
      <c r="B46" s="13" t="str">
        <f>'Entry Sheet'!C29</f>
        <v/>
      </c>
      <c r="C46" s="13" t="str">
        <f>'Entry Sheet'!E29</f>
        <v/>
      </c>
      <c r="D46" s="13" t="str">
        <f>'Entry Sheet'!G29</f>
        <v/>
      </c>
      <c r="E46" s="13" t="str">
        <f>'Entry Sheet'!I29</f>
        <v/>
      </c>
      <c r="F46" s="13" t="str">
        <f>'Entry Sheet'!K29</f>
        <v/>
      </c>
      <c r="G46" s="13" t="str">
        <f>'Entry Sheet'!M29</f>
        <v/>
      </c>
      <c r="H46" s="13" t="str">
        <f>'Entry Sheet'!O29</f>
        <v/>
      </c>
      <c r="I46" s="13" t="str">
        <f>'Entry Sheet'!Q29</f>
        <v/>
      </c>
      <c r="J46" s="13" t="str">
        <f>'Entry Sheet'!S29</f>
        <v/>
      </c>
      <c r="K46" s="13" t="str">
        <f>'Entry Sheet'!U29</f>
        <v/>
      </c>
      <c r="L46" s="13" t="str">
        <f>'Entry Sheet'!W29</f>
        <v/>
      </c>
      <c r="M46" s="13" t="str">
        <f>'Entry Sheet'!Y29</f>
        <v/>
      </c>
      <c r="N46" s="13" t="str">
        <f>'Entry Sheet'!AA29</f>
        <v/>
      </c>
      <c r="O46" s="13" t="str">
        <f>'Entry Sheet'!AC29</f>
        <v/>
      </c>
      <c r="Q46" s="224"/>
      <c r="S46" s="13" t="s">
        <v>207</v>
      </c>
      <c r="T46" s="224">
        <f>MAX(B47:O50)</f>
        <v>37</v>
      </c>
      <c r="V46" s="13" t="str">
        <f t="shared" si="25"/>
        <v>METAMOOKDAWGS</v>
      </c>
      <c r="W46" s="13">
        <f t="shared" ref="W46:AJ46" si="30">B208</f>
        <v>151.79</v>
      </c>
      <c r="X46" s="13">
        <f t="shared" si="30"/>
        <v>133.69</v>
      </c>
      <c r="Y46" s="13">
        <f t="shared" si="30"/>
        <v>230.16</v>
      </c>
      <c r="Z46" s="13">
        <f t="shared" si="30"/>
        <v>201.65</v>
      </c>
      <c r="AA46" s="13">
        <f t="shared" si="30"/>
        <v>143.9</v>
      </c>
      <c r="AB46" s="13">
        <f t="shared" si="30"/>
        <v>153.82</v>
      </c>
      <c r="AC46" s="13">
        <f t="shared" si="30"/>
        <v>139.8</v>
      </c>
      <c r="AD46" s="13">
        <f t="shared" si="30"/>
        <v>171.25</v>
      </c>
      <c r="AE46" s="13">
        <f t="shared" si="30"/>
        <v>150.66</v>
      </c>
      <c r="AF46" s="13">
        <f t="shared" si="30"/>
        <v>165.52</v>
      </c>
      <c r="AG46" s="13">
        <f t="shared" si="30"/>
        <v>154.98</v>
      </c>
      <c r="AH46" s="13">
        <f t="shared" si="30"/>
        <v>175.06</v>
      </c>
      <c r="AI46" s="13">
        <f t="shared" si="30"/>
        <v>128.36</v>
      </c>
      <c r="AJ46" s="13">
        <f t="shared" si="30"/>
        <v>173.8</v>
      </c>
    </row>
    <row r="47" ht="15.75" customHeight="1">
      <c r="A47" s="13" t="str">
        <f>'Entry Sheet'!A30</f>
        <v>WR</v>
      </c>
      <c r="B47" s="13">
        <f>'Entry Sheet'!C30</f>
        <v>14.9</v>
      </c>
      <c r="C47" s="13">
        <f>'Entry Sheet'!E30</f>
        <v>11.1</v>
      </c>
      <c r="D47" s="13">
        <f>'Entry Sheet'!G30</f>
        <v>12.5</v>
      </c>
      <c r="E47" s="13">
        <f>'Entry Sheet'!I30</f>
        <v>23.6</v>
      </c>
      <c r="F47" s="13">
        <f>'Entry Sheet'!K30</f>
        <v>20.3</v>
      </c>
      <c r="G47" s="13">
        <f>'Entry Sheet'!M30</f>
        <v>4.8</v>
      </c>
      <c r="H47" s="13">
        <f>'Entry Sheet'!O30</f>
        <v>12.9</v>
      </c>
      <c r="I47" s="13">
        <f>'Entry Sheet'!Q30</f>
        <v>14.4</v>
      </c>
      <c r="J47" s="13">
        <f>'Entry Sheet'!S30</f>
        <v>16.7</v>
      </c>
      <c r="K47" s="13">
        <f>'Entry Sheet'!U30</f>
        <v>7.7</v>
      </c>
      <c r="L47" s="13">
        <f>'Entry Sheet'!W30</f>
        <v>11.1</v>
      </c>
      <c r="M47" s="13">
        <f>'Entry Sheet'!Y30</f>
        <v>8.8</v>
      </c>
      <c r="N47" s="13">
        <f>'Entry Sheet'!AA30</f>
        <v>2.4</v>
      </c>
      <c r="O47" s="13">
        <f>'Entry Sheet'!AC30</f>
        <v>3.1</v>
      </c>
      <c r="Q47" s="224"/>
      <c r="R47" s="13" t="s">
        <v>132</v>
      </c>
      <c r="S47" s="13" t="s">
        <v>202</v>
      </c>
      <c r="T47" s="224">
        <f>AVERAGEIF(B51:O51,"&lt;&gt;0")</f>
        <v>10.02857143</v>
      </c>
      <c r="V47" s="13" t="str">
        <f t="shared" si="25"/>
        <v>YARDIES</v>
      </c>
      <c r="W47" s="13">
        <f t="shared" ref="W47:AJ47" si="31">B246</f>
        <v>156.47</v>
      </c>
      <c r="X47" s="13">
        <f t="shared" si="31"/>
        <v>178.73</v>
      </c>
      <c r="Y47" s="13">
        <f t="shared" si="31"/>
        <v>107.2</v>
      </c>
      <c r="Z47" s="13">
        <f t="shared" si="31"/>
        <v>169.98</v>
      </c>
      <c r="AA47" s="13">
        <f t="shared" si="31"/>
        <v>204.92</v>
      </c>
      <c r="AB47" s="13">
        <f t="shared" si="31"/>
        <v>127.98</v>
      </c>
      <c r="AC47" s="13">
        <f t="shared" si="31"/>
        <v>131.61</v>
      </c>
      <c r="AD47" s="13">
        <f t="shared" si="31"/>
        <v>204.31</v>
      </c>
      <c r="AE47" s="13">
        <f t="shared" si="31"/>
        <v>166.25</v>
      </c>
      <c r="AF47" s="13">
        <f t="shared" si="31"/>
        <v>177.99</v>
      </c>
      <c r="AG47" s="13">
        <f t="shared" si="31"/>
        <v>139.71</v>
      </c>
      <c r="AH47" s="13">
        <f t="shared" si="31"/>
        <v>169.1</v>
      </c>
      <c r="AI47" s="13">
        <f t="shared" si="31"/>
        <v>126.53</v>
      </c>
      <c r="AJ47" s="13">
        <f t="shared" si="31"/>
        <v>175.94</v>
      </c>
    </row>
    <row r="48" ht="15.75" customHeight="1">
      <c r="A48" s="13" t="str">
        <f>'Entry Sheet'!A31</f>
        <v>WR</v>
      </c>
      <c r="B48" s="13">
        <f>'Entry Sheet'!C31</f>
        <v>24.2</v>
      </c>
      <c r="C48" s="13">
        <f>'Entry Sheet'!E31</f>
        <v>27.7</v>
      </c>
      <c r="D48" s="13">
        <f>'Entry Sheet'!G31</f>
        <v>23.9</v>
      </c>
      <c r="E48" s="13">
        <f>'Entry Sheet'!I31</f>
        <v>37</v>
      </c>
      <c r="F48" s="13">
        <f>'Entry Sheet'!K31</f>
        <v>24.5</v>
      </c>
      <c r="G48" s="13">
        <f>'Entry Sheet'!M31</f>
        <v>4.4</v>
      </c>
      <c r="H48" s="13">
        <f>'Entry Sheet'!O31</f>
        <v>6.1</v>
      </c>
      <c r="I48" s="13">
        <f>'Entry Sheet'!Q31</f>
        <v>6.5</v>
      </c>
      <c r="J48" s="13">
        <f>'Entry Sheet'!S31</f>
        <v>22.9</v>
      </c>
      <c r="K48" s="13">
        <f>'Entry Sheet'!U31</f>
        <v>17.4</v>
      </c>
      <c r="L48" s="13">
        <f>'Entry Sheet'!W31</f>
        <v>14.5</v>
      </c>
      <c r="M48" s="13">
        <f>'Entry Sheet'!Y31</f>
        <v>16.7</v>
      </c>
      <c r="N48" s="13">
        <f>'Entry Sheet'!AA31</f>
        <v>13.2</v>
      </c>
      <c r="O48" s="13">
        <f>'Entry Sheet'!AC31</f>
        <v>36.7</v>
      </c>
      <c r="Q48" s="224"/>
      <c r="S48" s="13" t="s">
        <v>207</v>
      </c>
      <c r="T48" s="224">
        <f>MAX(B51:O51)</f>
        <v>26.4</v>
      </c>
      <c r="V48" s="13" t="str">
        <f t="shared" si="25"/>
        <v>MUTTS</v>
      </c>
      <c r="W48" s="13">
        <f t="shared" ref="W48:AJ48" si="32">B283</f>
        <v>175.61</v>
      </c>
      <c r="X48" s="13">
        <f t="shared" si="32"/>
        <v>234.4</v>
      </c>
      <c r="Y48" s="13">
        <f t="shared" si="32"/>
        <v>185.71</v>
      </c>
      <c r="Z48" s="13">
        <f t="shared" si="32"/>
        <v>191.2</v>
      </c>
      <c r="AA48" s="13">
        <f t="shared" si="32"/>
        <v>161.98</v>
      </c>
      <c r="AB48" s="13">
        <f t="shared" si="32"/>
        <v>162.92</v>
      </c>
      <c r="AC48" s="13">
        <f t="shared" si="32"/>
        <v>173.25</v>
      </c>
      <c r="AD48" s="13">
        <f t="shared" si="32"/>
        <v>131.89</v>
      </c>
      <c r="AE48" s="13">
        <f t="shared" si="32"/>
        <v>140.08</v>
      </c>
      <c r="AF48" s="13">
        <f t="shared" si="32"/>
        <v>156.64</v>
      </c>
      <c r="AG48" s="13">
        <f t="shared" si="32"/>
        <v>126.67</v>
      </c>
      <c r="AH48" s="13">
        <f t="shared" si="32"/>
        <v>157.19</v>
      </c>
      <c r="AI48" s="13">
        <f t="shared" si="32"/>
        <v>140.08</v>
      </c>
      <c r="AJ48" s="13">
        <f t="shared" si="32"/>
        <v>158.96</v>
      </c>
    </row>
    <row r="49" ht="15.75" customHeight="1">
      <c r="A49" s="13" t="str">
        <f>'Entry Sheet'!A32</f>
        <v>WR</v>
      </c>
      <c r="B49" s="13">
        <f>'Entry Sheet'!C32</f>
        <v>9.1</v>
      </c>
      <c r="C49" s="13">
        <f>'Entry Sheet'!E32</f>
        <v>8.9</v>
      </c>
      <c r="D49" s="13">
        <f>'Entry Sheet'!G32</f>
        <v>7.5</v>
      </c>
      <c r="E49" s="13">
        <f>'Entry Sheet'!I32</f>
        <v>21.2</v>
      </c>
      <c r="F49" s="13">
        <f>'Entry Sheet'!K32</f>
        <v>32.3</v>
      </c>
      <c r="G49" s="13">
        <f>'Entry Sheet'!M32</f>
        <v>8.9</v>
      </c>
      <c r="H49" s="13">
        <f>'Entry Sheet'!O32</f>
        <v>34.3</v>
      </c>
      <c r="I49" s="13">
        <f>'Entry Sheet'!Q32</f>
        <v>14.4</v>
      </c>
      <c r="J49" s="13">
        <f>'Entry Sheet'!S32</f>
        <v>8.5</v>
      </c>
      <c r="K49" s="13">
        <f>'Entry Sheet'!U32</f>
        <v>24.5</v>
      </c>
      <c r="L49" s="13">
        <f>'Entry Sheet'!W32</f>
        <v>9</v>
      </c>
      <c r="M49" s="13">
        <f>'Entry Sheet'!Y32</f>
        <v>6.2</v>
      </c>
      <c r="N49" s="13">
        <f>'Entry Sheet'!AA32</f>
        <v>8.2</v>
      </c>
      <c r="O49" s="13">
        <f>'Entry Sheet'!AC32</f>
        <v>3.5</v>
      </c>
      <c r="Q49" s="224"/>
      <c r="R49" s="13" t="s">
        <v>136</v>
      </c>
      <c r="S49" s="13" t="s">
        <v>202</v>
      </c>
      <c r="T49" s="224">
        <f>AVERAGEIF(B52:O52,"&lt;&gt;0")</f>
        <v>11.32142857</v>
      </c>
      <c r="V49" s="13" t="str">
        <f t="shared" si="25"/>
        <v>EAGLES</v>
      </c>
      <c r="W49" s="13">
        <f t="shared" ref="W49:AJ49" si="33">B310</f>
        <v>151.12</v>
      </c>
      <c r="X49" s="13">
        <f t="shared" si="33"/>
        <v>120.12</v>
      </c>
      <c r="Y49" s="13">
        <f t="shared" si="33"/>
        <v>135.25</v>
      </c>
      <c r="Z49" s="13">
        <f t="shared" si="33"/>
        <v>183.68</v>
      </c>
      <c r="AA49" s="13">
        <f t="shared" si="33"/>
        <v>141.58</v>
      </c>
      <c r="AB49" s="13">
        <f t="shared" si="33"/>
        <v>175.13</v>
      </c>
      <c r="AC49" s="13">
        <f t="shared" si="33"/>
        <v>153.49</v>
      </c>
      <c r="AD49" s="13">
        <f t="shared" si="33"/>
        <v>169.16</v>
      </c>
      <c r="AE49" s="13">
        <f t="shared" si="33"/>
        <v>109.13</v>
      </c>
      <c r="AF49" s="13">
        <f t="shared" si="33"/>
        <v>151.36</v>
      </c>
      <c r="AG49" s="13">
        <f t="shared" si="33"/>
        <v>216.31</v>
      </c>
      <c r="AH49" s="13">
        <f t="shared" si="33"/>
        <v>122.72</v>
      </c>
      <c r="AI49" s="13">
        <f t="shared" si="33"/>
        <v>160.82</v>
      </c>
      <c r="AJ49" s="13">
        <f t="shared" si="33"/>
        <v>185.68</v>
      </c>
    </row>
    <row r="50" ht="15.75" customHeight="1">
      <c r="A50" s="13" t="str">
        <f>'Entry Sheet'!A33</f>
        <v>WR</v>
      </c>
      <c r="B50" s="13" t="str">
        <f>'Entry Sheet'!C33</f>
        <v/>
      </c>
      <c r="C50" s="13" t="str">
        <f>'Entry Sheet'!E33</f>
        <v/>
      </c>
      <c r="D50" s="13" t="str">
        <f>'Entry Sheet'!G33</f>
        <v/>
      </c>
      <c r="E50" s="13" t="str">
        <f>'Entry Sheet'!I33</f>
        <v/>
      </c>
      <c r="F50" s="13" t="str">
        <f>'Entry Sheet'!K33</f>
        <v/>
      </c>
      <c r="G50" s="13" t="str">
        <f>'Entry Sheet'!M33</f>
        <v/>
      </c>
      <c r="H50" s="13" t="str">
        <f>'Entry Sheet'!O33</f>
        <v/>
      </c>
      <c r="I50" s="13" t="str">
        <f>'Entry Sheet'!Q33</f>
        <v/>
      </c>
      <c r="J50" s="13" t="str">
        <f>'Entry Sheet'!S33</f>
        <v/>
      </c>
      <c r="K50" s="13" t="str">
        <f>'Entry Sheet'!U33</f>
        <v/>
      </c>
      <c r="L50" s="13" t="str">
        <f>'Entry Sheet'!W33</f>
        <v/>
      </c>
      <c r="M50" s="13" t="str">
        <f>'Entry Sheet'!Y33</f>
        <v/>
      </c>
      <c r="N50" s="13" t="str">
        <f>'Entry Sheet'!AA33</f>
        <v/>
      </c>
      <c r="O50" s="13" t="str">
        <f>'Entry Sheet'!AC33</f>
        <v/>
      </c>
      <c r="Q50" s="224"/>
      <c r="S50" s="13" t="s">
        <v>207</v>
      </c>
      <c r="T50" s="224">
        <f>MAX(B52:O52)</f>
        <v>26.2</v>
      </c>
      <c r="V50" s="13" t="str">
        <f t="shared" si="25"/>
        <v>KINGS</v>
      </c>
      <c r="W50" s="13">
        <f t="shared" ref="W50:AJ50" si="34">B337</f>
        <v>142.22</v>
      </c>
      <c r="X50" s="13">
        <f t="shared" si="34"/>
        <v>136.3</v>
      </c>
      <c r="Y50" s="13">
        <f t="shared" si="34"/>
        <v>167.91</v>
      </c>
      <c r="Z50" s="13">
        <f t="shared" si="34"/>
        <v>157.59</v>
      </c>
      <c r="AA50" s="13">
        <f t="shared" si="34"/>
        <v>172.82</v>
      </c>
      <c r="AB50" s="13">
        <f t="shared" si="34"/>
        <v>154.16</v>
      </c>
      <c r="AC50" s="13">
        <f t="shared" si="34"/>
        <v>206.24</v>
      </c>
      <c r="AD50" s="13">
        <f t="shared" si="34"/>
        <v>165.17</v>
      </c>
      <c r="AE50" s="13">
        <f t="shared" si="34"/>
        <v>142.6</v>
      </c>
      <c r="AF50" s="230">
        <f t="shared" si="34"/>
        <v>105.98</v>
      </c>
      <c r="AG50" s="13">
        <f t="shared" si="34"/>
        <v>149.76</v>
      </c>
      <c r="AH50" s="13">
        <f t="shared" si="34"/>
        <v>181.23</v>
      </c>
      <c r="AI50" s="13">
        <f t="shared" si="34"/>
        <v>144.36</v>
      </c>
      <c r="AJ50" s="13">
        <f t="shared" si="34"/>
        <v>98.07</v>
      </c>
    </row>
    <row r="51" ht="15.75" customHeight="1">
      <c r="A51" s="13" t="str">
        <f>'Entry Sheet'!A34</f>
        <v>TE</v>
      </c>
      <c r="B51" s="13">
        <f>'Entry Sheet'!C34</f>
        <v>4.5</v>
      </c>
      <c r="C51" s="13">
        <f>'Entry Sheet'!E34</f>
        <v>2.2</v>
      </c>
      <c r="D51" s="13">
        <f>'Entry Sheet'!G34</f>
        <v>7.9</v>
      </c>
      <c r="E51" s="13">
        <f>'Entry Sheet'!I34</f>
        <v>7.9</v>
      </c>
      <c r="F51" s="13">
        <f>'Entry Sheet'!K34</f>
        <v>9.8</v>
      </c>
      <c r="G51" s="13">
        <f>'Entry Sheet'!M34</f>
        <v>9.2</v>
      </c>
      <c r="H51" s="13">
        <f>'Entry Sheet'!O34</f>
        <v>13.2</v>
      </c>
      <c r="I51" s="13">
        <f>'Entry Sheet'!Q34</f>
        <v>14.9</v>
      </c>
      <c r="J51" s="13">
        <f>'Entry Sheet'!S34</f>
        <v>7.8</v>
      </c>
      <c r="K51" s="13">
        <f>'Entry Sheet'!U34</f>
        <v>5.8</v>
      </c>
      <c r="L51" s="13">
        <f>'Entry Sheet'!W34</f>
        <v>11.1</v>
      </c>
      <c r="M51" s="13">
        <f>'Entry Sheet'!Y34</f>
        <v>4.5</v>
      </c>
      <c r="N51" s="13">
        <f>'Entry Sheet'!AA34</f>
        <v>15.2</v>
      </c>
      <c r="O51" s="13">
        <f>'Entry Sheet'!AC34</f>
        <v>26.4</v>
      </c>
      <c r="Q51" s="224"/>
      <c r="R51" s="13" t="s">
        <v>139</v>
      </c>
      <c r="S51" s="13" t="s">
        <v>202</v>
      </c>
      <c r="T51" s="224">
        <f>AVERAGEIF(B53:O53,"&lt;&gt;0")</f>
        <v>18.695</v>
      </c>
    </row>
    <row r="52" ht="15.75" customHeight="1">
      <c r="A52" s="13" t="str">
        <f>'Entry Sheet'!A35</f>
        <v>FLEX</v>
      </c>
      <c r="B52" s="13">
        <f>'Entry Sheet'!C35</f>
        <v>6.4</v>
      </c>
      <c r="C52" s="13">
        <f>'Entry Sheet'!E35</f>
        <v>12.9</v>
      </c>
      <c r="D52" s="13">
        <f>'Entry Sheet'!G35</f>
        <v>26.2</v>
      </c>
      <c r="E52" s="13">
        <f>'Entry Sheet'!I35</f>
        <v>13.9</v>
      </c>
      <c r="F52" s="13">
        <f>'Entry Sheet'!K35</f>
        <v>10.6</v>
      </c>
      <c r="G52" s="13">
        <f>'Entry Sheet'!M35</f>
        <v>5.7</v>
      </c>
      <c r="H52" s="13">
        <f>'Entry Sheet'!O35</f>
        <v>8.3</v>
      </c>
      <c r="I52" s="13">
        <f>'Entry Sheet'!Q35</f>
        <v>4.6</v>
      </c>
      <c r="J52" s="13">
        <f>'Entry Sheet'!S35</f>
        <v>9.2</v>
      </c>
      <c r="K52" s="13">
        <f>'Entry Sheet'!U35</f>
        <v>16.9</v>
      </c>
      <c r="L52" s="13">
        <f>'Entry Sheet'!W35</f>
        <v>1.8</v>
      </c>
      <c r="M52" s="13">
        <f>'Entry Sheet'!Y35</f>
        <v>14.9</v>
      </c>
      <c r="N52" s="13">
        <f>'Entry Sheet'!AA35</f>
        <v>9.8</v>
      </c>
      <c r="O52" s="13">
        <f>'Entry Sheet'!AC35</f>
        <v>17.3</v>
      </c>
      <c r="Q52" s="224"/>
      <c r="S52" s="13" t="s">
        <v>207</v>
      </c>
      <c r="T52" s="224">
        <f>MAX(B53:O53)</f>
        <v>39.18</v>
      </c>
    </row>
    <row r="53" ht="15.75" customHeight="1">
      <c r="A53" s="13" t="str">
        <f>'Entry Sheet'!A36</f>
        <v>D/ST</v>
      </c>
      <c r="B53" s="13">
        <f>'Entry Sheet'!C36</f>
        <v>15.83</v>
      </c>
      <c r="C53" s="13">
        <f>'Entry Sheet'!E36</f>
        <v>7.32</v>
      </c>
      <c r="D53" s="13">
        <f>'Entry Sheet'!G36</f>
        <v>27.2</v>
      </c>
      <c r="E53" s="13">
        <f>'Entry Sheet'!I36</f>
        <v>28.76</v>
      </c>
      <c r="F53" s="13">
        <f>'Entry Sheet'!K36</f>
        <v>26.7</v>
      </c>
      <c r="G53" s="13">
        <f>'Entry Sheet'!M36</f>
        <v>8.75</v>
      </c>
      <c r="H53" s="13">
        <f>'Entry Sheet'!O36</f>
        <v>27</v>
      </c>
      <c r="I53" s="13">
        <f>'Entry Sheet'!Q36</f>
        <v>16.74</v>
      </c>
      <c r="J53" s="13">
        <f>'Entry Sheet'!S36</f>
        <v>12.07</v>
      </c>
      <c r="K53" s="13">
        <f>'Entry Sheet'!U36</f>
        <v>6.21</v>
      </c>
      <c r="L53" s="13">
        <f>'Entry Sheet'!W36</f>
        <v>23.67</v>
      </c>
      <c r="M53" s="13">
        <f>'Entry Sheet'!Y36</f>
        <v>39.18</v>
      </c>
      <c r="N53" s="13">
        <f>'Entry Sheet'!AA36</f>
        <v>11.37</v>
      </c>
      <c r="O53" s="13">
        <f>'Entry Sheet'!AC36</f>
        <v>10.93</v>
      </c>
      <c r="Q53" s="224"/>
      <c r="R53" s="13" t="s">
        <v>146</v>
      </c>
      <c r="S53" s="13" t="s">
        <v>202</v>
      </c>
      <c r="T53" s="224">
        <f>AVERAGEIF(B54:O54,"&lt;&gt;0")</f>
        <v>8.464285714</v>
      </c>
    </row>
    <row r="54" ht="15.75" customHeight="1">
      <c r="A54" s="13" t="str">
        <f>'Entry Sheet'!A37</f>
        <v>K</v>
      </c>
      <c r="B54" s="13">
        <f>'Entry Sheet'!C37</f>
        <v>14</v>
      </c>
      <c r="C54" s="13">
        <f>'Entry Sheet'!E37</f>
        <v>12</v>
      </c>
      <c r="D54" s="13">
        <f>'Entry Sheet'!G37</f>
        <v>7</v>
      </c>
      <c r="E54" s="13">
        <f>'Entry Sheet'!I37</f>
        <v>9</v>
      </c>
      <c r="F54" s="13">
        <f>'Entry Sheet'!K37</f>
        <v>3</v>
      </c>
      <c r="G54" s="13">
        <f>'Entry Sheet'!M37</f>
        <v>6</v>
      </c>
      <c r="H54" s="13">
        <f>'Entry Sheet'!O37</f>
        <v>2.5</v>
      </c>
      <c r="I54" s="13">
        <f>'Entry Sheet'!Q37</f>
        <v>13</v>
      </c>
      <c r="J54" s="13">
        <f>'Entry Sheet'!S37</f>
        <v>4</v>
      </c>
      <c r="K54" s="13">
        <f>'Entry Sheet'!U37</f>
        <v>13</v>
      </c>
      <c r="L54" s="13">
        <f>'Entry Sheet'!W37</f>
        <v>12</v>
      </c>
      <c r="M54" s="13">
        <f>'Entry Sheet'!Y37</f>
        <v>11</v>
      </c>
      <c r="N54" s="13">
        <f>'Entry Sheet'!AA37</f>
        <v>2</v>
      </c>
      <c r="O54" s="13">
        <f>'Entry Sheet'!AC37</f>
        <v>10</v>
      </c>
      <c r="Q54" s="224"/>
      <c r="S54" s="13" t="s">
        <v>207</v>
      </c>
      <c r="T54" s="224">
        <f>MAX(B54:O54)</f>
        <v>14</v>
      </c>
      <c r="V54" s="331"/>
      <c r="W54" s="332">
        <v>1.0</v>
      </c>
      <c r="X54" s="332">
        <v>2.0</v>
      </c>
      <c r="Y54" s="332">
        <v>3.0</v>
      </c>
      <c r="Z54" s="332">
        <v>4.0</v>
      </c>
      <c r="AA54" s="332">
        <v>5.0</v>
      </c>
      <c r="AB54" s="332">
        <v>6.0</v>
      </c>
      <c r="AC54" s="332">
        <v>7.0</v>
      </c>
      <c r="AD54" s="332">
        <v>8.0</v>
      </c>
      <c r="AE54" s="332">
        <v>9.0</v>
      </c>
      <c r="AF54" s="332">
        <v>10.0</v>
      </c>
      <c r="AJ54" s="13" t="s">
        <v>275</v>
      </c>
    </row>
    <row r="55" ht="15.75" customHeight="1">
      <c r="A55" s="13" t="str">
        <f>'Entry Sheet'!A38</f>
        <v>HC</v>
      </c>
      <c r="B55" s="13">
        <f>'Entry Sheet'!C38</f>
        <v>7.2</v>
      </c>
      <c r="C55" s="13">
        <f>'Entry Sheet'!E38</f>
        <v>13.9</v>
      </c>
      <c r="D55" s="13">
        <f>'Entry Sheet'!G38</f>
        <v>25.2</v>
      </c>
      <c r="E55" s="13">
        <f>'Entry Sheet'!I38</f>
        <v>8.9</v>
      </c>
      <c r="F55" s="13">
        <f>'Entry Sheet'!K38</f>
        <v>8.5</v>
      </c>
      <c r="G55" s="13">
        <f>'Entry Sheet'!M38</f>
        <v>10.7</v>
      </c>
      <c r="H55" s="13">
        <f>'Entry Sheet'!O38</f>
        <v>11.8</v>
      </c>
      <c r="I55" s="13">
        <f>'Entry Sheet'!Q38</f>
        <v>0.8</v>
      </c>
      <c r="J55" s="13">
        <f>'Entry Sheet'!S38</f>
        <v>17.1</v>
      </c>
      <c r="K55" s="13">
        <f>'Entry Sheet'!U38</f>
        <v>5</v>
      </c>
      <c r="L55" s="13">
        <f>'Entry Sheet'!W38</f>
        <v>7.8</v>
      </c>
      <c r="M55" s="13">
        <f>'Entry Sheet'!Y38</f>
        <v>4.3</v>
      </c>
      <c r="N55" s="13">
        <f>'Entry Sheet'!AA38</f>
        <v>1.5</v>
      </c>
      <c r="O55" s="13">
        <f>'Entry Sheet'!AC38</f>
        <v>10.2</v>
      </c>
      <c r="Q55" s="224"/>
      <c r="R55" s="13" t="s">
        <v>162</v>
      </c>
      <c r="S55" s="13" t="s">
        <v>202</v>
      </c>
      <c r="T55" s="224">
        <f>AVERAGEIF(B55:O55,"&lt;&gt;0")</f>
        <v>9.492857143</v>
      </c>
      <c r="V55" s="332">
        <v>1.0</v>
      </c>
      <c r="W55" s="334"/>
      <c r="X55" s="334">
        <f t="shared" ref="X55:AF55" si="35">STDEV(X67:X68)+ABS(X67-X68)+LARGE(X67:X68,1)</f>
        <v>3.707106781</v>
      </c>
      <c r="Y55" s="334">
        <f t="shared" si="35"/>
        <v>6.414213562</v>
      </c>
      <c r="Z55" s="334">
        <f t="shared" si="35"/>
        <v>9.121320344</v>
      </c>
      <c r="AA55" s="334">
        <f t="shared" si="35"/>
        <v>11.82842712</v>
      </c>
      <c r="AB55" s="334">
        <f t="shared" si="35"/>
        <v>14.53553391</v>
      </c>
      <c r="AC55" s="334">
        <f t="shared" si="35"/>
        <v>17.24264069</v>
      </c>
      <c r="AD55" s="334">
        <f t="shared" si="35"/>
        <v>19.94974747</v>
      </c>
      <c r="AE55" s="334">
        <f t="shared" si="35"/>
        <v>22.65685425</v>
      </c>
      <c r="AF55" s="334">
        <f t="shared" si="35"/>
        <v>25.36396103</v>
      </c>
      <c r="AJ55" s="13" t="str">
        <f>Settings!A3</f>
        <v>DECOUPES</v>
      </c>
    </row>
    <row r="56" ht="15.75" customHeight="1">
      <c r="A56" s="13" t="str">
        <f>'Entry Sheet'!A39</f>
        <v>Total Score</v>
      </c>
      <c r="B56" s="13">
        <f>'Entry Sheet'!B39</f>
        <v>156.56</v>
      </c>
      <c r="C56" s="13">
        <f>'Entry Sheet'!D39</f>
        <v>156.22</v>
      </c>
      <c r="D56" s="13">
        <f>'Entry Sheet'!F39</f>
        <v>196.22</v>
      </c>
      <c r="E56" s="13">
        <f>'Entry Sheet'!H39</f>
        <v>219.36</v>
      </c>
      <c r="F56" s="13">
        <f>'Entry Sheet'!J39</f>
        <v>202.46</v>
      </c>
      <c r="G56" s="13">
        <f>'Entry Sheet'!L39</f>
        <v>110.89</v>
      </c>
      <c r="H56" s="13">
        <f>'Entry Sheet'!N39</f>
        <v>156.92</v>
      </c>
      <c r="I56" s="13">
        <f>'Entry Sheet'!P39</f>
        <v>114.52</v>
      </c>
      <c r="J56" s="13">
        <f>'Entry Sheet'!R39</f>
        <v>162.87</v>
      </c>
      <c r="K56" s="13">
        <f>'Entry Sheet'!T39</f>
        <v>202.13</v>
      </c>
      <c r="L56" s="13">
        <f>'Entry Sheet'!V39</f>
        <v>169.09</v>
      </c>
      <c r="M56" s="13">
        <f>'Entry Sheet'!X39</f>
        <v>155.64</v>
      </c>
      <c r="N56" s="13">
        <f>'Entry Sheet'!Z39</f>
        <v>102.49</v>
      </c>
      <c r="O56" s="13">
        <f>'Entry Sheet'!AB39</f>
        <v>153.61</v>
      </c>
      <c r="Q56" s="224"/>
      <c r="S56" s="13" t="s">
        <v>207</v>
      </c>
      <c r="T56" s="224">
        <f>MAX(B55:O55)</f>
        <v>25.2</v>
      </c>
      <c r="V56" s="332">
        <v>2.0</v>
      </c>
      <c r="W56" s="334">
        <f>STDEV(W70:W71)+ABS(W70-W71)+LARGE(W70:W71,1)</f>
        <v>3.707106781</v>
      </c>
      <c r="X56" s="334"/>
      <c r="Y56" s="334">
        <f t="shared" ref="Y56:AF56" si="36">STDEV(Y70:Y71)+ABS(Y70-Y71)+LARGE(Y70:Y71,1)</f>
        <v>4.707106781</v>
      </c>
      <c r="Z56" s="334">
        <f t="shared" si="36"/>
        <v>7.414213562</v>
      </c>
      <c r="AA56" s="334">
        <f t="shared" si="36"/>
        <v>10.12132034</v>
      </c>
      <c r="AB56" s="334">
        <f t="shared" si="36"/>
        <v>12.82842712</v>
      </c>
      <c r="AC56" s="334">
        <f t="shared" si="36"/>
        <v>15.53553391</v>
      </c>
      <c r="AD56" s="334">
        <f t="shared" si="36"/>
        <v>18.24264069</v>
      </c>
      <c r="AE56" s="334">
        <f t="shared" si="36"/>
        <v>20.94974747</v>
      </c>
      <c r="AF56" s="334">
        <f t="shared" si="36"/>
        <v>23.65685425</v>
      </c>
      <c r="AJ56" s="13" t="str">
        <f>Settings!A4</f>
        <v>POPEYES</v>
      </c>
    </row>
    <row r="57" ht="15.75" customHeight="1">
      <c r="A57" s="13" t="str">
        <f>'Entry Sheet'!A40</f>
        <v>MVP</v>
      </c>
      <c r="B57" s="13">
        <f>IFERROR('Entry Sheet'!C40,0)</f>
        <v>29.48</v>
      </c>
      <c r="C57" s="13">
        <f>IFERROR('Entry Sheet'!E40,0)</f>
        <v>27.7</v>
      </c>
      <c r="D57" s="13">
        <f>IFERROR('Entry Sheet'!G40,0)</f>
        <v>27.2</v>
      </c>
      <c r="E57" s="13">
        <f>IFERROR('Entry Sheet'!I40,0)</f>
        <v>38.2</v>
      </c>
      <c r="F57" s="13">
        <f>IFERROR('Entry Sheet'!K40,0)</f>
        <v>35.26</v>
      </c>
      <c r="G57" s="13">
        <f>IFERROR('Entry Sheet'!M40,0)</f>
        <v>33.6</v>
      </c>
      <c r="H57" s="13">
        <f>IFERROR('Entry Sheet'!O40,0)</f>
        <v>34.3</v>
      </c>
      <c r="I57" s="13">
        <f>IFERROR('Entry Sheet'!Q40,0)</f>
        <v>21.9</v>
      </c>
      <c r="J57" s="13">
        <f>'Entry Sheet'!S40</f>
        <v>39</v>
      </c>
      <c r="K57" s="13">
        <f>'Entry Sheet'!U40</f>
        <v>43.7</v>
      </c>
      <c r="L57" s="13">
        <f>'Entry Sheet'!W40</f>
        <v>34.2</v>
      </c>
      <c r="M57" s="13">
        <f>'Entry Sheet'!Y40</f>
        <v>39.18</v>
      </c>
      <c r="N57" s="13">
        <f>'Entry Sheet'!AA40</f>
        <v>22.6</v>
      </c>
      <c r="O57" s="13">
        <f>'Entry Sheet'!AC40</f>
        <v>36.7</v>
      </c>
      <c r="Q57" s="224"/>
      <c r="R57" s="13" t="s">
        <v>168</v>
      </c>
      <c r="S57" s="13" t="s">
        <v>207</v>
      </c>
      <c r="T57" s="224">
        <f>MAX(B57:O57)</f>
        <v>43.7</v>
      </c>
      <c r="V57" s="332">
        <v>3.0</v>
      </c>
      <c r="W57" s="334">
        <f t="shared" ref="W57:X57" si="37">STDEV(W73:W74)+ABS(W73-W74)+LARGE(W73:W74,1)</f>
        <v>6.414213562</v>
      </c>
      <c r="X57" s="334">
        <f t="shared" si="37"/>
        <v>4.707106781</v>
      </c>
      <c r="Y57" s="334"/>
      <c r="Z57" s="334">
        <f t="shared" ref="Z57:AF57" si="38">STDEV(Z73:Z74)+ABS(Z73-Z74)+LARGE(Z73:Z74,1)</f>
        <v>5.707106781</v>
      </c>
      <c r="AA57" s="334">
        <f t="shared" si="38"/>
        <v>8.414213562</v>
      </c>
      <c r="AB57" s="334">
        <f t="shared" si="38"/>
        <v>11.12132034</v>
      </c>
      <c r="AC57" s="334">
        <f t="shared" si="38"/>
        <v>13.82842712</v>
      </c>
      <c r="AD57" s="334">
        <f t="shared" si="38"/>
        <v>16.53553391</v>
      </c>
      <c r="AE57" s="334">
        <f t="shared" si="38"/>
        <v>19.24264069</v>
      </c>
      <c r="AF57" s="334">
        <f t="shared" si="38"/>
        <v>21.94974747</v>
      </c>
      <c r="AJ57" s="13" t="str">
        <f>Settings!A5</f>
        <v>GREEN</v>
      </c>
    </row>
    <row r="58" ht="15.75" customHeight="1">
      <c r="R58" s="13" t="s">
        <v>167</v>
      </c>
      <c r="S58" s="13" t="s">
        <v>202</v>
      </c>
      <c r="T58" s="224">
        <f>AVERAGEIF(B56:O56,"&lt;&gt;0")</f>
        <v>161.3557143</v>
      </c>
      <c r="V58" s="332">
        <v>4.0</v>
      </c>
      <c r="W58" s="334">
        <f t="shared" ref="W58:Y58" si="39">STDEV(W76:W77)+ABS(W76-W77)+LARGE(W76:W77,1)</f>
        <v>9.121320344</v>
      </c>
      <c r="X58" s="334">
        <f t="shared" si="39"/>
        <v>7.414213562</v>
      </c>
      <c r="Y58" s="334">
        <f t="shared" si="39"/>
        <v>5.707106781</v>
      </c>
      <c r="Z58" s="334"/>
      <c r="AA58" s="334">
        <f t="shared" ref="AA58:AF58" si="40">STDEV(AA76:AA77)+ABS(AA76-AA77)+LARGE(AA76:AA77,1)</f>
        <v>6.707106781</v>
      </c>
      <c r="AB58" s="334">
        <f t="shared" si="40"/>
        <v>9.414213562</v>
      </c>
      <c r="AC58" s="334">
        <f t="shared" si="40"/>
        <v>12.12132034</v>
      </c>
      <c r="AD58" s="334">
        <f t="shared" si="40"/>
        <v>14.82842712</v>
      </c>
      <c r="AE58" s="334">
        <f t="shared" si="40"/>
        <v>17.53553391</v>
      </c>
      <c r="AF58" s="334">
        <f t="shared" si="40"/>
        <v>20.24264069</v>
      </c>
      <c r="AJ58" s="13" t="str">
        <f>Settings!A6</f>
        <v>SAVAGES</v>
      </c>
    </row>
    <row r="59" ht="15.75" customHeight="1">
      <c r="S59" s="13" t="s">
        <v>207</v>
      </c>
      <c r="T59" s="224">
        <f>MAX(B56:O56)</f>
        <v>219.36</v>
      </c>
      <c r="V59" s="332">
        <v>5.0</v>
      </c>
      <c r="W59" s="334">
        <f t="shared" ref="W59:Z59" si="41">STDEV(W79:W80)+ABS(W79-W80)+LARGE(W79:W80,1)</f>
        <v>11.82842712</v>
      </c>
      <c r="X59" s="334">
        <f t="shared" si="41"/>
        <v>10.12132034</v>
      </c>
      <c r="Y59" s="334">
        <f t="shared" si="41"/>
        <v>8.414213562</v>
      </c>
      <c r="Z59" s="334">
        <f t="shared" si="41"/>
        <v>6.707106781</v>
      </c>
      <c r="AA59" s="334"/>
      <c r="AB59" s="334">
        <f t="shared" ref="AB59:AF59" si="42">STDEV(AB79:AB80)+ABS(AB79-AB80)+LARGE(AB79:AB80,1)</f>
        <v>7.707106781</v>
      </c>
      <c r="AC59" s="334">
        <f t="shared" si="42"/>
        <v>10.41421356</v>
      </c>
      <c r="AD59" s="334">
        <f t="shared" si="42"/>
        <v>13.12132034</v>
      </c>
      <c r="AE59" s="334">
        <f t="shared" si="42"/>
        <v>15.82842712</v>
      </c>
      <c r="AF59" s="334">
        <f t="shared" si="42"/>
        <v>18.53553391</v>
      </c>
      <c r="AJ59" s="13" t="str">
        <f>Settings!A7</f>
        <v>CHAMPS</v>
      </c>
    </row>
    <row r="60" ht="15.75" customHeight="1">
      <c r="S60" s="13" t="s">
        <v>228</v>
      </c>
      <c r="T60" s="13">
        <f>SUM(B56:O56)</f>
        <v>2258.98</v>
      </c>
      <c r="V60" s="332">
        <v>6.0</v>
      </c>
      <c r="W60" s="334">
        <f t="shared" ref="W60:AA60" si="43">STDEV(W82:W83)+ABS(W82-W83)+LARGE(W82:W83,1)</f>
        <v>14.53553391</v>
      </c>
      <c r="X60" s="334">
        <f t="shared" si="43"/>
        <v>12.82842712</v>
      </c>
      <c r="Y60" s="334">
        <f t="shared" si="43"/>
        <v>11.12132034</v>
      </c>
      <c r="Z60" s="334">
        <f t="shared" si="43"/>
        <v>9.414213562</v>
      </c>
      <c r="AA60" s="334">
        <f t="shared" si="43"/>
        <v>7.707106781</v>
      </c>
      <c r="AB60" s="334"/>
      <c r="AC60" s="334">
        <f t="shared" ref="AC60:AF60" si="44">STDEV(AC82:AC83)+ABS(AC82-AC83)+LARGE(AC82:AC83,1)</f>
        <v>8.707106781</v>
      </c>
      <c r="AD60" s="334">
        <f t="shared" si="44"/>
        <v>11.41421356</v>
      </c>
      <c r="AE60" s="334">
        <f t="shared" si="44"/>
        <v>14.12132034</v>
      </c>
      <c r="AF60" s="334">
        <f t="shared" si="44"/>
        <v>16.82842712</v>
      </c>
      <c r="AJ60" s="13" t="str">
        <f>Settings!A8</f>
        <v>METAMOOKDAWGS</v>
      </c>
    </row>
    <row r="61" ht="15.75" customHeight="1">
      <c r="R61" s="13" t="s">
        <v>42</v>
      </c>
      <c r="S61" s="13" t="s">
        <v>202</v>
      </c>
      <c r="T61" s="13">
        <f>AVERAGE(C42:P42)</f>
        <v>3.153846154</v>
      </c>
      <c r="V61" s="332">
        <v>7.0</v>
      </c>
      <c r="W61" s="334">
        <f t="shared" ref="W61:AB61" si="45">STDEV(W85:W86)+ABS(W85-W86)+LARGE(W85:W86,1)</f>
        <v>17.24264069</v>
      </c>
      <c r="X61" s="334">
        <f t="shared" si="45"/>
        <v>15.53553391</v>
      </c>
      <c r="Y61" s="334">
        <f t="shared" si="45"/>
        <v>13.82842712</v>
      </c>
      <c r="Z61" s="334">
        <f t="shared" si="45"/>
        <v>12.12132034</v>
      </c>
      <c r="AA61" s="334">
        <f t="shared" si="45"/>
        <v>10.41421356</v>
      </c>
      <c r="AB61" s="334">
        <f t="shared" si="45"/>
        <v>8.707106781</v>
      </c>
      <c r="AC61" s="334"/>
      <c r="AD61" s="334">
        <f t="shared" ref="AD61:AF61" si="46">STDEV(AD85:AD86)+ABS(AD85-AD86)+LARGE(AD85:AD86,1)</f>
        <v>9.707106781</v>
      </c>
      <c r="AE61" s="334">
        <f t="shared" si="46"/>
        <v>12.41421356</v>
      </c>
      <c r="AF61" s="334">
        <f t="shared" si="46"/>
        <v>15.12132034</v>
      </c>
      <c r="AJ61" s="13" t="str">
        <f>Settings!A9</f>
        <v>YARDIES</v>
      </c>
    </row>
    <row r="62" ht="15.75" customHeight="1">
      <c r="S62" s="13" t="s">
        <v>231</v>
      </c>
      <c r="T62" s="13">
        <f>MIN(C42:P42)</f>
        <v>1</v>
      </c>
      <c r="V62" s="332">
        <v>8.0</v>
      </c>
      <c r="W62" s="334">
        <f t="shared" ref="W62:AC62" si="47">STDEV(W88:W89)+ABS(W88-W89)+LARGE(W88:W89,1)</f>
        <v>19.94974747</v>
      </c>
      <c r="X62" s="334">
        <f t="shared" si="47"/>
        <v>18.24264069</v>
      </c>
      <c r="Y62" s="334">
        <f t="shared" si="47"/>
        <v>16.53553391</v>
      </c>
      <c r="Z62" s="334">
        <f t="shared" si="47"/>
        <v>14.82842712</v>
      </c>
      <c r="AA62" s="334">
        <f t="shared" si="47"/>
        <v>13.12132034</v>
      </c>
      <c r="AB62" s="334">
        <f t="shared" si="47"/>
        <v>11.41421356</v>
      </c>
      <c r="AC62" s="334">
        <f t="shared" si="47"/>
        <v>9.707106781</v>
      </c>
      <c r="AD62" s="334"/>
      <c r="AE62" s="334">
        <f t="shared" ref="AE62:AF62" si="48">STDEV(AE88:AE89)+ABS(AE88-AE89)+LARGE(AE88:AE89,1)</f>
        <v>10.70710678</v>
      </c>
      <c r="AF62" s="334">
        <f t="shared" si="48"/>
        <v>13.41421356</v>
      </c>
      <c r="AJ62" s="13" t="str">
        <f>Settings!A10</f>
        <v>MUTTS</v>
      </c>
    </row>
    <row r="63" ht="15.75" customHeight="1">
      <c r="S63" s="13" t="s">
        <v>234</v>
      </c>
      <c r="T63" s="13">
        <f>STDEV(C42:P42)</f>
        <v>1.463224399</v>
      </c>
      <c r="V63" s="332">
        <v>9.0</v>
      </c>
      <c r="W63" s="334">
        <f t="shared" ref="W63:AD63" si="49">STDEV(W91:W92)+ABS(W91-W92)+LARGE(W91:W92,1)</f>
        <v>22.65685425</v>
      </c>
      <c r="X63" s="334">
        <f t="shared" si="49"/>
        <v>20.94974747</v>
      </c>
      <c r="Y63" s="334">
        <f t="shared" si="49"/>
        <v>19.24264069</v>
      </c>
      <c r="Z63" s="334">
        <f t="shared" si="49"/>
        <v>17.53553391</v>
      </c>
      <c r="AA63" s="334">
        <f t="shared" si="49"/>
        <v>15.82842712</v>
      </c>
      <c r="AB63" s="334">
        <f t="shared" si="49"/>
        <v>14.12132034</v>
      </c>
      <c r="AC63" s="334">
        <f t="shared" si="49"/>
        <v>12.41421356</v>
      </c>
      <c r="AD63" s="334">
        <f t="shared" si="49"/>
        <v>10.70710678</v>
      </c>
      <c r="AE63" s="334"/>
      <c r="AF63" s="334">
        <f>STDEV(AF91:AF92)+ABS(AF91-AF92)+LARGE(AF91:AF92,1)</f>
        <v>11.70710678</v>
      </c>
      <c r="AJ63" s="13" t="str">
        <f>Settings!A11</f>
        <v>EAGLES</v>
      </c>
    </row>
    <row r="64" ht="15.75" customHeight="1">
      <c r="V64" s="332">
        <v>10.0</v>
      </c>
      <c r="W64" s="334">
        <f t="shared" ref="W64:AE64" si="50">STDEV(W94:W95)+ABS(W94-W95)+LARGE(W94:W95,1)</f>
        <v>25.36396103</v>
      </c>
      <c r="X64" s="334">
        <f t="shared" si="50"/>
        <v>23.65685425</v>
      </c>
      <c r="Y64" s="334">
        <f t="shared" si="50"/>
        <v>21.94974747</v>
      </c>
      <c r="Z64" s="334">
        <f t="shared" si="50"/>
        <v>20.24264069</v>
      </c>
      <c r="AA64" s="334">
        <f t="shared" si="50"/>
        <v>18.53553391</v>
      </c>
      <c r="AB64" s="334">
        <f t="shared" si="50"/>
        <v>16.82842712</v>
      </c>
      <c r="AC64" s="334">
        <f t="shared" si="50"/>
        <v>15.12132034</v>
      </c>
      <c r="AD64" s="334">
        <f t="shared" si="50"/>
        <v>13.41421356</v>
      </c>
      <c r="AE64" s="334">
        <f t="shared" si="50"/>
        <v>11.70710678</v>
      </c>
      <c r="AF64" s="334"/>
      <c r="AJ64" s="13" t="str">
        <f>Settings!A12</f>
        <v>KINGS</v>
      </c>
    </row>
    <row r="65" ht="15.75" customHeight="1">
      <c r="V65" s="336"/>
      <c r="W65" s="337"/>
      <c r="X65" s="337"/>
      <c r="Y65" s="337"/>
      <c r="Z65" s="337"/>
      <c r="AA65" s="337"/>
      <c r="AB65" s="337"/>
      <c r="AC65" s="337"/>
      <c r="AD65" s="337"/>
    </row>
    <row r="66" ht="15.75" customHeight="1"/>
    <row r="67" ht="15.75" customHeight="1">
      <c r="W67" s="13">
        <v>1.0</v>
      </c>
      <c r="X67" s="13">
        <v>1.0</v>
      </c>
      <c r="Y67" s="13">
        <v>1.0</v>
      </c>
      <c r="Z67" s="13">
        <v>1.0</v>
      </c>
      <c r="AA67" s="13">
        <v>1.0</v>
      </c>
      <c r="AB67" s="13">
        <v>1.0</v>
      </c>
      <c r="AC67" s="13">
        <v>1.0</v>
      </c>
      <c r="AD67" s="13">
        <v>1.0</v>
      </c>
      <c r="AE67" s="13">
        <v>1.0</v>
      </c>
      <c r="AF67" s="13">
        <v>1.0</v>
      </c>
    </row>
    <row r="68" ht="15.75" customHeight="1">
      <c r="W68" s="13">
        <v>1.0</v>
      </c>
      <c r="X68" s="13">
        <v>2.0</v>
      </c>
      <c r="Y68" s="13">
        <v>3.0</v>
      </c>
      <c r="Z68" s="13">
        <v>4.0</v>
      </c>
      <c r="AA68" s="13">
        <v>5.0</v>
      </c>
      <c r="AB68" s="13">
        <v>6.0</v>
      </c>
      <c r="AC68" s="13">
        <v>7.0</v>
      </c>
      <c r="AD68" s="13">
        <v>8.0</v>
      </c>
      <c r="AE68" s="13">
        <v>9.0</v>
      </c>
      <c r="AF68" s="13">
        <v>10.0</v>
      </c>
    </row>
    <row r="69" ht="15.75" customHeight="1"/>
    <row r="70" ht="15.75" customHeight="1">
      <c r="W70" s="13">
        <v>2.0</v>
      </c>
      <c r="X70" s="13">
        <v>2.0</v>
      </c>
      <c r="Y70" s="13">
        <v>2.0</v>
      </c>
      <c r="Z70" s="13">
        <v>2.0</v>
      </c>
      <c r="AA70" s="13">
        <v>2.0</v>
      </c>
      <c r="AB70" s="13">
        <v>2.0</v>
      </c>
      <c r="AC70" s="13">
        <v>2.0</v>
      </c>
      <c r="AD70" s="13">
        <v>2.0</v>
      </c>
      <c r="AE70" s="13">
        <v>2.0</v>
      </c>
      <c r="AF70" s="13">
        <v>2.0</v>
      </c>
    </row>
    <row r="71" ht="15.75" customHeight="1">
      <c r="W71" s="13">
        <v>1.0</v>
      </c>
      <c r="X71" s="13">
        <v>2.0</v>
      </c>
      <c r="Y71" s="13">
        <v>3.0</v>
      </c>
      <c r="Z71" s="13">
        <v>4.0</v>
      </c>
      <c r="AA71" s="13">
        <v>5.0</v>
      </c>
      <c r="AB71" s="13">
        <v>6.0</v>
      </c>
      <c r="AC71" s="13">
        <v>7.0</v>
      </c>
      <c r="AD71" s="13">
        <v>8.0</v>
      </c>
      <c r="AE71" s="13">
        <v>9.0</v>
      </c>
      <c r="AF71" s="13">
        <v>10.0</v>
      </c>
    </row>
    <row r="72" ht="15.75" customHeight="1"/>
    <row r="73" ht="15.75" customHeight="1">
      <c r="W73" s="13">
        <v>3.0</v>
      </c>
      <c r="X73" s="13">
        <v>3.0</v>
      </c>
      <c r="Y73" s="13">
        <v>3.0</v>
      </c>
      <c r="Z73" s="13">
        <v>3.0</v>
      </c>
      <c r="AA73" s="13">
        <v>3.0</v>
      </c>
      <c r="AB73" s="13">
        <v>3.0</v>
      </c>
      <c r="AC73" s="13">
        <v>3.0</v>
      </c>
      <c r="AD73" s="13">
        <v>3.0</v>
      </c>
      <c r="AE73" s="13">
        <v>3.0</v>
      </c>
      <c r="AF73" s="13">
        <v>3.0</v>
      </c>
    </row>
    <row r="74" ht="15.75" customHeight="1">
      <c r="W74" s="13">
        <v>1.0</v>
      </c>
      <c r="X74" s="13">
        <v>2.0</v>
      </c>
      <c r="Y74" s="13">
        <v>3.0</v>
      </c>
      <c r="Z74" s="13">
        <v>4.0</v>
      </c>
      <c r="AA74" s="13">
        <v>5.0</v>
      </c>
      <c r="AB74" s="13">
        <v>6.0</v>
      </c>
      <c r="AC74" s="13">
        <v>7.0</v>
      </c>
      <c r="AD74" s="13">
        <v>8.0</v>
      </c>
      <c r="AE74" s="13">
        <v>9.0</v>
      </c>
      <c r="AF74" s="13">
        <v>10.0</v>
      </c>
    </row>
    <row r="75" ht="15.75" customHeight="1"/>
    <row r="76" ht="15.75" customHeight="1">
      <c r="W76" s="13">
        <v>4.0</v>
      </c>
      <c r="X76" s="13">
        <v>4.0</v>
      </c>
      <c r="Y76" s="13">
        <v>4.0</v>
      </c>
      <c r="Z76" s="13">
        <v>4.0</v>
      </c>
      <c r="AA76" s="13">
        <v>4.0</v>
      </c>
      <c r="AB76" s="13">
        <v>4.0</v>
      </c>
      <c r="AC76" s="13">
        <v>4.0</v>
      </c>
      <c r="AD76" s="13">
        <v>4.0</v>
      </c>
      <c r="AE76" s="13">
        <v>4.0</v>
      </c>
      <c r="AF76" s="13">
        <v>4.0</v>
      </c>
    </row>
    <row r="77" ht="15.75" customHeight="1">
      <c r="W77" s="13">
        <v>1.0</v>
      </c>
      <c r="X77" s="13">
        <v>2.0</v>
      </c>
      <c r="Y77" s="13">
        <v>3.0</v>
      </c>
      <c r="Z77" s="13">
        <v>4.0</v>
      </c>
      <c r="AA77" s="13">
        <v>5.0</v>
      </c>
      <c r="AB77" s="13">
        <v>6.0</v>
      </c>
      <c r="AC77" s="13">
        <v>7.0</v>
      </c>
      <c r="AD77" s="13">
        <v>8.0</v>
      </c>
      <c r="AE77" s="13">
        <v>9.0</v>
      </c>
      <c r="AF77" s="13">
        <v>10.0</v>
      </c>
    </row>
    <row r="78" ht="15.75" customHeight="1">
      <c r="A78" s="221" t="str">
        <f>'Entry Sheet'!A44</f>
        <v>GREEN</v>
      </c>
      <c r="B78" s="221"/>
      <c r="C78" s="221"/>
      <c r="D78" s="221"/>
      <c r="E78" s="221"/>
      <c r="F78" s="221"/>
      <c r="G78" s="221"/>
      <c r="H78" s="221"/>
      <c r="I78" s="221"/>
      <c r="J78" s="221"/>
      <c r="K78" s="221"/>
      <c r="L78" s="221"/>
      <c r="M78" s="221"/>
      <c r="N78" s="221"/>
      <c r="O78" s="221"/>
      <c r="P78" s="221"/>
      <c r="Q78" s="221"/>
      <c r="R78" s="221"/>
      <c r="S78" s="221"/>
      <c r="T78" s="221"/>
    </row>
    <row r="79" ht="15.75" customHeight="1">
      <c r="A79" s="13" t="str">
        <f>'Entry Sheet'!A45</f>
        <v/>
      </c>
      <c r="B79" s="13" t="str">
        <f>'Entry Sheet'!B45</f>
        <v>Week 1</v>
      </c>
      <c r="C79" s="13" t="str">
        <f>'Entry Sheet'!D45</f>
        <v>Week 2</v>
      </c>
      <c r="D79" s="13" t="str">
        <f>'Entry Sheet'!F45</f>
        <v>Week 3</v>
      </c>
      <c r="E79" s="13" t="str">
        <f>'Entry Sheet'!H45</f>
        <v>Week 4</v>
      </c>
      <c r="F79" s="13" t="str">
        <f>'Entry Sheet'!J45</f>
        <v>Week 5</v>
      </c>
      <c r="G79" s="13" t="str">
        <f>'Entry Sheet'!L45</f>
        <v>Week 6</v>
      </c>
      <c r="H79" s="13" t="str">
        <f>'Entry Sheet'!N45</f>
        <v>Week 7</v>
      </c>
      <c r="I79" s="13" t="str">
        <f>'Entry Sheet'!P45</f>
        <v>Week 8</v>
      </c>
      <c r="J79" s="13" t="str">
        <f>'Entry Sheet'!R45</f>
        <v>Week 9</v>
      </c>
      <c r="K79" s="13" t="str">
        <f>'Entry Sheet'!T45</f>
        <v>Week 10</v>
      </c>
      <c r="L79" s="13" t="str">
        <f>'Entry Sheet'!V45</f>
        <v>Week 11</v>
      </c>
      <c r="M79" s="13" t="str">
        <f>'Entry Sheet'!X45</f>
        <v>Week 12</v>
      </c>
      <c r="N79" s="13" t="str">
        <f>'Entry Sheet'!Z45</f>
        <v>Week 13</v>
      </c>
      <c r="O79" s="13" t="str">
        <f>'Entry Sheet'!AB45</f>
        <v>Week 14</v>
      </c>
      <c r="P79" s="13" t="str">
        <f>'Entry Sheet'!AD45</f>
        <v>Finale</v>
      </c>
      <c r="R79" s="13" t="s">
        <v>100</v>
      </c>
      <c r="S79" s="13" t="s">
        <v>202</v>
      </c>
      <c r="T79" s="224">
        <f>AVERAGEIF(B81:O81,"&lt;&gt;0")</f>
        <v>25.23</v>
      </c>
      <c r="W79" s="13">
        <v>5.0</v>
      </c>
      <c r="X79" s="13">
        <v>5.0</v>
      </c>
      <c r="Y79" s="13">
        <v>5.0</v>
      </c>
      <c r="Z79" s="13">
        <v>5.0</v>
      </c>
      <c r="AA79" s="13">
        <v>5.0</v>
      </c>
      <c r="AB79" s="13">
        <v>5.0</v>
      </c>
      <c r="AC79" s="13">
        <v>5.0</v>
      </c>
      <c r="AD79" s="13">
        <v>5.0</v>
      </c>
      <c r="AE79" s="13">
        <v>5.0</v>
      </c>
      <c r="AF79" s="13">
        <v>5.0</v>
      </c>
    </row>
    <row r="80" ht="15.75" customHeight="1">
      <c r="A80" s="13" t="str">
        <f>'Entry Sheet'!A46</f>
        <v>Team Rank</v>
      </c>
      <c r="B80" s="13">
        <f>'Entry Sheet'!B46</f>
        <v>4</v>
      </c>
      <c r="C80" s="13">
        <f>'Entry Sheet'!D46</f>
        <v>9</v>
      </c>
      <c r="D80" s="13">
        <f>'Entry Sheet'!F46</f>
        <v>10</v>
      </c>
      <c r="E80" s="13">
        <f>'Entry Sheet'!H46</f>
        <v>8</v>
      </c>
      <c r="F80" s="13">
        <f>'Entry Sheet'!J46</f>
        <v>8</v>
      </c>
      <c r="G80" s="13">
        <f>'Entry Sheet'!L46</f>
        <v>4</v>
      </c>
      <c r="H80" s="13">
        <f>'Entry Sheet'!N46</f>
        <v>4</v>
      </c>
      <c r="I80" s="13">
        <f>'Entry Sheet'!P46</f>
        <v>2</v>
      </c>
      <c r="J80" s="13">
        <f>'Entry Sheet'!R46</f>
        <v>1</v>
      </c>
      <c r="K80" s="13">
        <f>'Entry Sheet'!T46</f>
        <v>1</v>
      </c>
      <c r="L80" s="13">
        <f>'Entry Sheet'!V46</f>
        <v>1</v>
      </c>
      <c r="M80" s="13">
        <f>'Entry Sheet'!X46</f>
        <v>1</v>
      </c>
      <c r="N80" s="13">
        <f>'Entry Sheet'!Z46</f>
        <v>1</v>
      </c>
      <c r="O80" s="13">
        <f>'Entry Sheet'!AB46</f>
        <v>1</v>
      </c>
      <c r="P80" s="13" t="str">
        <f>'Entry Sheet'!AD46</f>
        <v/>
      </c>
      <c r="S80" s="13" t="s">
        <v>207</v>
      </c>
      <c r="T80" s="224">
        <f>MAX(B81:O81)</f>
        <v>45.26</v>
      </c>
      <c r="W80" s="13">
        <v>1.0</v>
      </c>
      <c r="X80" s="13">
        <v>2.0</v>
      </c>
      <c r="Y80" s="13">
        <v>3.0</v>
      </c>
      <c r="Z80" s="13">
        <v>4.0</v>
      </c>
      <c r="AA80" s="13">
        <v>5.0</v>
      </c>
      <c r="AB80" s="13">
        <v>6.0</v>
      </c>
      <c r="AC80" s="13">
        <v>7.0</v>
      </c>
      <c r="AD80" s="13">
        <v>8.0</v>
      </c>
      <c r="AE80" s="13">
        <v>9.0</v>
      </c>
      <c r="AF80" s="13">
        <v>10.0</v>
      </c>
    </row>
    <row r="81" ht="15.75" customHeight="1">
      <c r="A81" s="13" t="str">
        <f>'Entry Sheet'!A47</f>
        <v>QB</v>
      </c>
      <c r="B81" s="13">
        <f>'Entry Sheet'!C47</f>
        <v>10.04</v>
      </c>
      <c r="C81" s="13">
        <f>'Entry Sheet'!E47</f>
        <v>1.92</v>
      </c>
      <c r="D81" s="13">
        <f>'Entry Sheet'!G47</f>
        <v>16.82</v>
      </c>
      <c r="E81" s="13">
        <f>'Entry Sheet'!I47</f>
        <v>33.74</v>
      </c>
      <c r="F81" s="13">
        <f>'Entry Sheet'!K47</f>
        <v>21.98</v>
      </c>
      <c r="G81" s="13">
        <f>'Entry Sheet'!M47</f>
        <v>17.46</v>
      </c>
      <c r="H81" s="13">
        <f>'Entry Sheet'!O47</f>
        <v>45.26</v>
      </c>
      <c r="I81" s="13">
        <f>'Entry Sheet'!Q47</f>
        <v>32.88</v>
      </c>
      <c r="J81" s="13">
        <f>'Entry Sheet'!S47</f>
        <v>38.44</v>
      </c>
      <c r="K81" s="13">
        <f>'Entry Sheet'!U47</f>
        <v>37.6</v>
      </c>
      <c r="L81" s="13">
        <f>'Entry Sheet'!W47</f>
        <v>17.6</v>
      </c>
      <c r="M81" s="13">
        <f>'Entry Sheet'!Y47</f>
        <v>31.92</v>
      </c>
      <c r="N81" s="13">
        <f>'Entry Sheet'!AA47</f>
        <v>15.72</v>
      </c>
      <c r="O81" s="13">
        <f>'Entry Sheet'!AC47</f>
        <v>31.84</v>
      </c>
      <c r="Q81" s="224"/>
      <c r="R81" s="13" t="s">
        <v>106</v>
      </c>
      <c r="S81" s="13" t="s">
        <v>202</v>
      </c>
      <c r="T81" s="224">
        <f>AVERAGEIF(B82:O84,"&lt;&gt;0")</f>
        <v>23.17857143</v>
      </c>
    </row>
    <row r="82" ht="15.75" customHeight="1">
      <c r="A82" s="13" t="str">
        <f>'Entry Sheet'!A48</f>
        <v>RB</v>
      </c>
      <c r="B82" s="13">
        <f>'Entry Sheet'!C48</f>
        <v>26.6</v>
      </c>
      <c r="C82" s="13">
        <f>'Entry Sheet'!E48</f>
        <v>23</v>
      </c>
      <c r="D82" s="13">
        <f>'Entry Sheet'!G48</f>
        <v>17.4</v>
      </c>
      <c r="E82" s="13">
        <f>'Entry Sheet'!I48</f>
        <v>30.8</v>
      </c>
      <c r="F82" s="13">
        <f>'Entry Sheet'!K48</f>
        <v>33.3</v>
      </c>
      <c r="G82" s="13">
        <f>'Entry Sheet'!M48</f>
        <v>38.7</v>
      </c>
      <c r="H82" s="13">
        <f>'Entry Sheet'!O48</f>
        <v>22.6</v>
      </c>
      <c r="I82" s="13">
        <f>'Entry Sheet'!Q48</f>
        <v>6.7</v>
      </c>
      <c r="J82" s="13">
        <f>'Entry Sheet'!S48</f>
        <v>18.8</v>
      </c>
      <c r="K82" s="13">
        <f>'Entry Sheet'!U48</f>
        <v>12.5</v>
      </c>
      <c r="L82" s="13">
        <f>'Entry Sheet'!W48</f>
        <v>33.6</v>
      </c>
      <c r="M82" s="13">
        <f>'Entry Sheet'!Y48</f>
        <v>16.1</v>
      </c>
      <c r="N82" s="13">
        <f>'Entry Sheet'!AA48</f>
        <v>33.6</v>
      </c>
      <c r="O82" s="13">
        <f>'Entry Sheet'!AC48</f>
        <v>11.4</v>
      </c>
      <c r="Q82" s="224"/>
      <c r="S82" s="13" t="s">
        <v>207</v>
      </c>
      <c r="T82" s="224">
        <f>MAX(B82:O84)</f>
        <v>54.8</v>
      </c>
      <c r="W82" s="13">
        <v>6.0</v>
      </c>
      <c r="X82" s="13">
        <v>6.0</v>
      </c>
      <c r="Y82" s="13">
        <v>6.0</v>
      </c>
      <c r="Z82" s="13">
        <v>6.0</v>
      </c>
      <c r="AA82" s="13">
        <v>6.0</v>
      </c>
      <c r="AB82" s="13">
        <v>6.0</v>
      </c>
      <c r="AC82" s="13">
        <v>6.0</v>
      </c>
      <c r="AD82" s="13">
        <v>6.0</v>
      </c>
      <c r="AE82" s="13">
        <v>6.0</v>
      </c>
      <c r="AF82" s="13">
        <v>6.0</v>
      </c>
    </row>
    <row r="83" ht="15.75" customHeight="1">
      <c r="A83" s="13" t="str">
        <f>'Entry Sheet'!A49</f>
        <v>RB</v>
      </c>
      <c r="B83" s="13">
        <f>'Entry Sheet'!C49</f>
        <v>14.6</v>
      </c>
      <c r="C83" s="13">
        <f>'Entry Sheet'!E49</f>
        <v>33</v>
      </c>
      <c r="D83" s="13">
        <f>'Entry Sheet'!G49</f>
        <v>35.5</v>
      </c>
      <c r="E83" s="13">
        <f>'Entry Sheet'!I49</f>
        <v>16.3</v>
      </c>
      <c r="F83" s="13">
        <f>'Entry Sheet'!K49</f>
        <v>6.4</v>
      </c>
      <c r="G83" s="13">
        <f>'Entry Sheet'!M49</f>
        <v>26.8</v>
      </c>
      <c r="H83" s="13">
        <f>'Entry Sheet'!O49</f>
        <v>35.8</v>
      </c>
      <c r="I83" s="13">
        <f>'Entry Sheet'!Q49</f>
        <v>39.6</v>
      </c>
      <c r="J83" s="13">
        <f>'Entry Sheet'!S49</f>
        <v>9.1</v>
      </c>
      <c r="K83" s="13">
        <f>'Entry Sheet'!U49</f>
        <v>54.8</v>
      </c>
      <c r="L83" s="13">
        <f>'Entry Sheet'!W49</f>
        <v>11.1</v>
      </c>
      <c r="M83" s="13">
        <f>'Entry Sheet'!Y49</f>
        <v>10.2</v>
      </c>
      <c r="N83" s="13">
        <f>'Entry Sheet'!AA49</f>
        <v>17.2</v>
      </c>
      <c r="O83" s="13">
        <f>'Entry Sheet'!AC49</f>
        <v>13.5</v>
      </c>
      <c r="Q83" s="224"/>
      <c r="R83" s="13" t="s">
        <v>117</v>
      </c>
      <c r="S83" s="13" t="s">
        <v>202</v>
      </c>
      <c r="T83" s="224">
        <f>AVERAGEIF(B85:O88,"&lt;&gt;0")</f>
        <v>13.47428571</v>
      </c>
      <c r="W83" s="13">
        <v>1.0</v>
      </c>
      <c r="X83" s="13">
        <v>2.0</v>
      </c>
      <c r="Y83" s="13">
        <v>3.0</v>
      </c>
      <c r="Z83" s="13">
        <v>4.0</v>
      </c>
      <c r="AA83" s="13">
        <v>5.0</v>
      </c>
      <c r="AB83" s="13">
        <v>6.0</v>
      </c>
      <c r="AC83" s="13">
        <v>7.0</v>
      </c>
      <c r="AD83" s="13">
        <v>8.0</v>
      </c>
      <c r="AE83" s="13">
        <v>9.0</v>
      </c>
      <c r="AF83" s="13">
        <v>10.0</v>
      </c>
    </row>
    <row r="84" ht="15.75" customHeight="1">
      <c r="A84" s="13" t="str">
        <f>'Entry Sheet'!A50</f>
        <v>RB</v>
      </c>
      <c r="B84" s="13" t="str">
        <f>'Entry Sheet'!C50</f>
        <v/>
      </c>
      <c r="C84" s="13" t="str">
        <f>'Entry Sheet'!E50</f>
        <v/>
      </c>
      <c r="D84" s="13" t="str">
        <f>'Entry Sheet'!G50</f>
        <v/>
      </c>
      <c r="E84" s="13" t="str">
        <f>'Entry Sheet'!I50</f>
        <v/>
      </c>
      <c r="F84" s="13" t="str">
        <f>'Entry Sheet'!K50</f>
        <v/>
      </c>
      <c r="G84" s="13" t="str">
        <f>'Entry Sheet'!M50</f>
        <v/>
      </c>
      <c r="H84" s="13" t="str">
        <f>'Entry Sheet'!O50</f>
        <v/>
      </c>
      <c r="I84" s="13" t="str">
        <f>'Entry Sheet'!Q50</f>
        <v/>
      </c>
      <c r="J84" s="13" t="str">
        <f>'Entry Sheet'!S50</f>
        <v/>
      </c>
      <c r="K84" s="13" t="str">
        <f>'Entry Sheet'!U50</f>
        <v/>
      </c>
      <c r="L84" s="13" t="str">
        <f>'Entry Sheet'!W50</f>
        <v/>
      </c>
      <c r="M84" s="13" t="str">
        <f>'Entry Sheet'!Y50</f>
        <v/>
      </c>
      <c r="N84" s="13" t="str">
        <f>'Entry Sheet'!AA50</f>
        <v/>
      </c>
      <c r="O84" s="13" t="str">
        <f>'Entry Sheet'!AC50</f>
        <v/>
      </c>
      <c r="Q84" s="224"/>
      <c r="S84" s="13" t="s">
        <v>207</v>
      </c>
      <c r="T84" s="224">
        <f>MAX(B85:O88)</f>
        <v>36.2</v>
      </c>
    </row>
    <row r="85" ht="15.75" customHeight="1">
      <c r="A85" s="13" t="str">
        <f>'Entry Sheet'!A51</f>
        <v>WR</v>
      </c>
      <c r="B85" s="13">
        <f>'Entry Sheet'!C51</f>
        <v>1.8</v>
      </c>
      <c r="C85" s="13">
        <f>'Entry Sheet'!E51</f>
        <v>7.7</v>
      </c>
      <c r="D85" s="13">
        <f>'Entry Sheet'!G51</f>
        <v>23.9</v>
      </c>
      <c r="E85" s="13">
        <f>'Entry Sheet'!I51</f>
        <v>2.7</v>
      </c>
      <c r="F85" s="13">
        <f>'Entry Sheet'!K51</f>
        <v>9.3</v>
      </c>
      <c r="G85" s="13">
        <f>'Entry Sheet'!M51</f>
        <v>14</v>
      </c>
      <c r="H85" s="13">
        <f>'Entry Sheet'!O51</f>
        <v>29.1</v>
      </c>
      <c r="I85" s="13">
        <f>'Entry Sheet'!Q51</f>
        <v>20.9</v>
      </c>
      <c r="J85" s="13">
        <f>'Entry Sheet'!S51</f>
        <v>14.2</v>
      </c>
      <c r="K85" s="13">
        <f>'Entry Sheet'!U51</f>
        <v>3.3</v>
      </c>
      <c r="L85" s="13">
        <f>'Entry Sheet'!W51</f>
        <v>11.9</v>
      </c>
      <c r="M85" s="13">
        <f>'Entry Sheet'!Y51</f>
        <v>26</v>
      </c>
      <c r="N85" s="13">
        <f>'Entry Sheet'!AA51</f>
        <v>36.2</v>
      </c>
      <c r="O85" s="13">
        <f>'Entry Sheet'!AC51</f>
        <v>17</v>
      </c>
      <c r="Q85" s="224"/>
      <c r="R85" s="13" t="s">
        <v>132</v>
      </c>
      <c r="S85" s="13" t="s">
        <v>202</v>
      </c>
      <c r="T85" s="224">
        <f>AVERAGEIF(B89:O89,"&lt;&gt;0")</f>
        <v>10.59285714</v>
      </c>
      <c r="W85" s="13">
        <v>7.0</v>
      </c>
      <c r="X85" s="13">
        <v>7.0</v>
      </c>
      <c r="Y85" s="13">
        <v>7.0</v>
      </c>
      <c r="Z85" s="13">
        <v>7.0</v>
      </c>
      <c r="AA85" s="13">
        <v>7.0</v>
      </c>
      <c r="AB85" s="13">
        <v>7.0</v>
      </c>
      <c r="AC85" s="13">
        <v>7.0</v>
      </c>
      <c r="AD85" s="13">
        <v>7.0</v>
      </c>
      <c r="AE85" s="13">
        <v>7.0</v>
      </c>
      <c r="AF85" s="13">
        <v>7.0</v>
      </c>
    </row>
    <row r="86" ht="15.75" customHeight="1">
      <c r="A86" s="13" t="str">
        <f>'Entry Sheet'!A52</f>
        <v>WR</v>
      </c>
      <c r="B86" s="13">
        <f>'Entry Sheet'!C52</f>
        <v>7</v>
      </c>
      <c r="C86" s="13">
        <f>'Entry Sheet'!E52</f>
        <v>17</v>
      </c>
      <c r="D86" s="13">
        <f>'Entry Sheet'!G52</f>
        <v>7.8</v>
      </c>
      <c r="E86" s="13">
        <f>'Entry Sheet'!I52</f>
        <v>10.2</v>
      </c>
      <c r="F86" s="13">
        <f>'Entry Sheet'!K52</f>
        <v>13.3</v>
      </c>
      <c r="G86" s="13">
        <f>'Entry Sheet'!M52</f>
        <v>16.02</v>
      </c>
      <c r="H86" s="13">
        <f>'Entry Sheet'!O52</f>
        <v>2.5</v>
      </c>
      <c r="I86" s="13">
        <f>'Entry Sheet'!Q52</f>
        <v>16.9</v>
      </c>
      <c r="J86" s="13">
        <f>'Entry Sheet'!S52</f>
        <v>8.6</v>
      </c>
      <c r="K86" s="13">
        <f>'Entry Sheet'!U52</f>
        <v>19.4</v>
      </c>
      <c r="L86" s="13">
        <f>'Entry Sheet'!W52</f>
        <v>8.2</v>
      </c>
      <c r="M86" s="13">
        <f>'Entry Sheet'!Y52</f>
        <v>11.5</v>
      </c>
      <c r="N86" s="13">
        <f>'Entry Sheet'!AA52</f>
        <v>11.3</v>
      </c>
      <c r="O86" s="13">
        <f>'Entry Sheet'!AC52</f>
        <v>18.2</v>
      </c>
      <c r="Q86" s="224"/>
      <c r="S86" s="13" t="s">
        <v>207</v>
      </c>
      <c r="T86" s="224">
        <f>MAX(B89:O89)</f>
        <v>18.5</v>
      </c>
      <c r="W86" s="13">
        <v>1.0</v>
      </c>
      <c r="X86" s="13">
        <v>2.0</v>
      </c>
      <c r="Y86" s="13">
        <v>3.0</v>
      </c>
      <c r="Z86" s="13">
        <v>4.0</v>
      </c>
      <c r="AA86" s="13">
        <v>5.0</v>
      </c>
      <c r="AB86" s="13">
        <v>6.0</v>
      </c>
      <c r="AC86" s="13">
        <v>7.0</v>
      </c>
      <c r="AD86" s="13">
        <v>8.0</v>
      </c>
      <c r="AE86" s="13">
        <v>9.0</v>
      </c>
      <c r="AF86" s="13">
        <v>10.0</v>
      </c>
    </row>
    <row r="87" ht="15.75" customHeight="1">
      <c r="A87" s="13" t="str">
        <f>'Entry Sheet'!A53</f>
        <v>WR</v>
      </c>
      <c r="B87" s="13">
        <f>'Entry Sheet'!C53</f>
        <v>18.1</v>
      </c>
      <c r="C87" s="13">
        <f>'Entry Sheet'!E53</f>
        <v>1.6</v>
      </c>
      <c r="D87" s="13">
        <f>'Entry Sheet'!G53</f>
        <v>24.8</v>
      </c>
      <c r="E87" s="13">
        <f>'Entry Sheet'!I53</f>
        <v>19.1</v>
      </c>
      <c r="F87" s="13">
        <f>'Entry Sheet'!K53</f>
        <v>17.9</v>
      </c>
      <c r="G87" s="13">
        <f>'Entry Sheet'!M53</f>
        <v>2.7</v>
      </c>
      <c r="H87" s="13">
        <f>'Entry Sheet'!O53</f>
        <v>16.7</v>
      </c>
      <c r="I87" s="13">
        <f>'Entry Sheet'!Q53</f>
        <v>10.7</v>
      </c>
      <c r="J87" s="13">
        <f>'Entry Sheet'!S53</f>
        <v>10</v>
      </c>
      <c r="K87" s="13">
        <f>'Entry Sheet'!U53</f>
        <v>15</v>
      </c>
      <c r="L87" s="13">
        <f>'Entry Sheet'!W53</f>
        <v>12.4</v>
      </c>
      <c r="M87" s="13">
        <f>'Entry Sheet'!Y53</f>
        <v>22.8</v>
      </c>
      <c r="N87" s="13">
        <f>'Entry Sheet'!AA53</f>
        <v>4.1</v>
      </c>
      <c r="O87" s="13">
        <f>'Entry Sheet'!AC53</f>
        <v>4.1</v>
      </c>
      <c r="Q87" s="224"/>
      <c r="R87" s="13" t="s">
        <v>136</v>
      </c>
      <c r="S87" s="13" t="s">
        <v>202</v>
      </c>
      <c r="T87" s="224">
        <f>AVERAGEIF(B90:O90,"&lt;&gt;0")</f>
        <v>19.02857143</v>
      </c>
    </row>
    <row r="88" ht="15.75" customHeight="1">
      <c r="A88" s="13" t="str">
        <f>'Entry Sheet'!A54</f>
        <v>WR</v>
      </c>
      <c r="B88" s="13" t="str">
        <f>'Entry Sheet'!C54</f>
        <v/>
      </c>
      <c r="C88" s="13" t="str">
        <f>'Entry Sheet'!E54</f>
        <v/>
      </c>
      <c r="D88" s="13" t="str">
        <f>'Entry Sheet'!G54</f>
        <v/>
      </c>
      <c r="E88" s="13" t="str">
        <f>'Entry Sheet'!I54</f>
        <v/>
      </c>
      <c r="F88" s="13" t="str">
        <f>'Entry Sheet'!K54</f>
        <v/>
      </c>
      <c r="G88" s="13" t="str">
        <f>'Entry Sheet'!M54</f>
        <v/>
      </c>
      <c r="H88" s="13" t="str">
        <f>'Entry Sheet'!O54</f>
        <v/>
      </c>
      <c r="I88" s="13" t="str">
        <f>'Entry Sheet'!Q54</f>
        <v/>
      </c>
      <c r="J88" s="13" t="str">
        <f>'Entry Sheet'!S54</f>
        <v/>
      </c>
      <c r="K88" s="13" t="str">
        <f>'Entry Sheet'!U54</f>
        <v/>
      </c>
      <c r="L88" s="13" t="str">
        <f>'Entry Sheet'!W54</f>
        <v/>
      </c>
      <c r="M88" s="13" t="str">
        <f>'Entry Sheet'!Y54</f>
        <v/>
      </c>
      <c r="N88" s="13" t="str">
        <f>'Entry Sheet'!AA54</f>
        <v/>
      </c>
      <c r="O88" s="13" t="str">
        <f>'Entry Sheet'!AC54</f>
        <v/>
      </c>
      <c r="Q88" s="224"/>
      <c r="S88" s="13" t="s">
        <v>207</v>
      </c>
      <c r="T88" s="224">
        <f>MAX(B90:O90)</f>
        <v>34</v>
      </c>
      <c r="W88" s="13">
        <v>8.0</v>
      </c>
      <c r="X88" s="13">
        <v>8.0</v>
      </c>
      <c r="Y88" s="13">
        <v>8.0</v>
      </c>
      <c r="Z88" s="13">
        <v>8.0</v>
      </c>
      <c r="AA88" s="13">
        <v>8.0</v>
      </c>
      <c r="AB88" s="13">
        <v>8.0</v>
      </c>
      <c r="AC88" s="13">
        <v>8.0</v>
      </c>
      <c r="AD88" s="13">
        <v>8.0</v>
      </c>
      <c r="AE88" s="13">
        <v>8.0</v>
      </c>
      <c r="AF88" s="13">
        <v>8.0</v>
      </c>
    </row>
    <row r="89" ht="15.75" customHeight="1">
      <c r="A89" s="13" t="str">
        <f>'Entry Sheet'!A55</f>
        <v>TE</v>
      </c>
      <c r="B89" s="13">
        <f>'Entry Sheet'!C55</f>
        <v>13.9</v>
      </c>
      <c r="C89" s="13">
        <f>'Entry Sheet'!E55</f>
        <v>5.6</v>
      </c>
      <c r="D89" s="13">
        <f>'Entry Sheet'!G55</f>
        <v>7.3</v>
      </c>
      <c r="E89" s="13">
        <f>'Entry Sheet'!I55</f>
        <v>18.5</v>
      </c>
      <c r="F89" s="13">
        <f>'Entry Sheet'!K55</f>
        <v>14.2</v>
      </c>
      <c r="G89" s="13">
        <f>'Entry Sheet'!M55</f>
        <v>18.3</v>
      </c>
      <c r="H89" s="13">
        <f>'Entry Sheet'!O55</f>
        <v>4.5</v>
      </c>
      <c r="I89" s="13">
        <f>'Entry Sheet'!Q55</f>
        <v>9.3</v>
      </c>
      <c r="J89" s="13">
        <f>'Entry Sheet'!S55</f>
        <v>7.6</v>
      </c>
      <c r="K89" s="13">
        <f>'Entry Sheet'!U55</f>
        <v>17.9</v>
      </c>
      <c r="L89" s="13">
        <f>'Entry Sheet'!W55</f>
        <v>6.6</v>
      </c>
      <c r="M89" s="13">
        <f>'Entry Sheet'!Y55</f>
        <v>9.5</v>
      </c>
      <c r="N89" s="13">
        <f>'Entry Sheet'!AA55</f>
        <v>11.3</v>
      </c>
      <c r="O89" s="13">
        <f>'Entry Sheet'!AC55</f>
        <v>3.8</v>
      </c>
      <c r="Q89" s="224"/>
      <c r="R89" s="13" t="s">
        <v>139</v>
      </c>
      <c r="S89" s="13" t="s">
        <v>202</v>
      </c>
      <c r="T89" s="224">
        <f>AVERAGEIF(B91:O91,"&lt;&gt;0")</f>
        <v>14.03</v>
      </c>
      <c r="W89" s="13">
        <v>1.0</v>
      </c>
      <c r="X89" s="13">
        <v>2.0</v>
      </c>
      <c r="Y89" s="13">
        <v>3.0</v>
      </c>
      <c r="Z89" s="13">
        <v>4.0</v>
      </c>
      <c r="AA89" s="13">
        <v>5.0</v>
      </c>
      <c r="AB89" s="13">
        <v>6.0</v>
      </c>
      <c r="AC89" s="13">
        <v>7.0</v>
      </c>
      <c r="AD89" s="13">
        <v>8.0</v>
      </c>
      <c r="AE89" s="13">
        <v>9.0</v>
      </c>
      <c r="AF89" s="13">
        <v>10.0</v>
      </c>
    </row>
    <row r="90" ht="15.75" customHeight="1">
      <c r="A90" s="13" t="str">
        <f>'Entry Sheet'!A56</f>
        <v>FLEX</v>
      </c>
      <c r="B90" s="13">
        <f>'Entry Sheet'!C56</f>
        <v>15</v>
      </c>
      <c r="C90" s="13">
        <f>'Entry Sheet'!E56</f>
        <v>18.8</v>
      </c>
      <c r="D90" s="13">
        <f>'Entry Sheet'!G56</f>
        <v>14.9</v>
      </c>
      <c r="E90" s="13">
        <f>'Entry Sheet'!I56</f>
        <v>17.4</v>
      </c>
      <c r="F90" s="13">
        <f>'Entry Sheet'!K56</f>
        <v>24</v>
      </c>
      <c r="G90" s="13">
        <f>'Entry Sheet'!M56</f>
        <v>27.9</v>
      </c>
      <c r="H90" s="13">
        <f>'Entry Sheet'!O56</f>
        <v>16.9</v>
      </c>
      <c r="I90" s="13">
        <f>'Entry Sheet'!Q56</f>
        <v>16.2</v>
      </c>
      <c r="J90" s="13">
        <f>'Entry Sheet'!S56</f>
        <v>26.4</v>
      </c>
      <c r="K90" s="13">
        <f>'Entry Sheet'!U56</f>
        <v>16.1</v>
      </c>
      <c r="L90" s="13">
        <f>'Entry Sheet'!W56</f>
        <v>34</v>
      </c>
      <c r="M90" s="13">
        <f>'Entry Sheet'!Y56</f>
        <v>2.7</v>
      </c>
      <c r="N90" s="13">
        <f>'Entry Sheet'!AA56</f>
        <v>23.6</v>
      </c>
      <c r="O90" s="13">
        <f>'Entry Sheet'!AC56</f>
        <v>12.5</v>
      </c>
      <c r="Q90" s="224"/>
      <c r="S90" s="13" t="s">
        <v>207</v>
      </c>
      <c r="T90" s="224">
        <f>MAX(B91:O91)</f>
        <v>29.87</v>
      </c>
    </row>
    <row r="91" ht="15.75" customHeight="1">
      <c r="A91" s="13" t="str">
        <f>'Entry Sheet'!A57</f>
        <v>D/ST</v>
      </c>
      <c r="B91" s="13">
        <f>'Entry Sheet'!C57</f>
        <v>8.37</v>
      </c>
      <c r="C91" s="13">
        <f>'Entry Sheet'!E57</f>
        <v>11.88</v>
      </c>
      <c r="D91" s="13">
        <f>'Entry Sheet'!G57</f>
        <v>27.12</v>
      </c>
      <c r="E91" s="13">
        <f>'Entry Sheet'!I57</f>
        <v>20.8</v>
      </c>
      <c r="F91" s="13">
        <f>'Entry Sheet'!K57</f>
        <v>18.38</v>
      </c>
      <c r="G91" s="13">
        <f>'Entry Sheet'!M57</f>
        <v>9.02</v>
      </c>
      <c r="H91" s="13">
        <f>'Entry Sheet'!O57</f>
        <v>11.74</v>
      </c>
      <c r="I91" s="13">
        <f>'Entry Sheet'!Q57</f>
        <v>6.43</v>
      </c>
      <c r="J91" s="13">
        <f>'Entry Sheet'!S57</f>
        <v>10.15</v>
      </c>
      <c r="K91" s="13">
        <f>'Entry Sheet'!U57</f>
        <v>1.36</v>
      </c>
      <c r="L91" s="13">
        <f>'Entry Sheet'!W57</f>
        <v>12.05</v>
      </c>
      <c r="M91" s="13">
        <f>'Entry Sheet'!Y57</f>
        <v>17.3</v>
      </c>
      <c r="N91" s="13">
        <f>'Entry Sheet'!AA57</f>
        <v>29.87</v>
      </c>
      <c r="O91" s="13">
        <f>'Entry Sheet'!AC57</f>
        <v>11.95</v>
      </c>
      <c r="Q91" s="224"/>
      <c r="R91" s="13" t="s">
        <v>146</v>
      </c>
      <c r="S91" s="13" t="s">
        <v>202</v>
      </c>
      <c r="T91" s="224">
        <f>AVERAGEIF(B92:O92,"&lt;&gt;0")</f>
        <v>10.67857143</v>
      </c>
      <c r="W91" s="13">
        <v>9.0</v>
      </c>
      <c r="X91" s="13">
        <v>9.0</v>
      </c>
      <c r="Y91" s="13">
        <v>9.0</v>
      </c>
      <c r="Z91" s="13">
        <v>9.0</v>
      </c>
      <c r="AA91" s="13">
        <v>9.0</v>
      </c>
      <c r="AB91" s="13">
        <v>9.0</v>
      </c>
      <c r="AC91" s="13">
        <v>9.0</v>
      </c>
      <c r="AD91" s="13">
        <v>9.0</v>
      </c>
      <c r="AE91" s="13">
        <v>9.0</v>
      </c>
      <c r="AF91" s="13">
        <v>9.0</v>
      </c>
    </row>
    <row r="92" ht="15.75" customHeight="1">
      <c r="A92" s="13" t="str">
        <f>'Entry Sheet'!A58</f>
        <v>K</v>
      </c>
      <c r="B92" s="13">
        <f>'Entry Sheet'!C58</f>
        <v>8</v>
      </c>
      <c r="C92" s="13">
        <f>'Entry Sheet'!E58</f>
        <v>8</v>
      </c>
      <c r="D92" s="13">
        <f>'Entry Sheet'!G58</f>
        <v>18</v>
      </c>
      <c r="E92" s="13">
        <f>'Entry Sheet'!I58</f>
        <v>14</v>
      </c>
      <c r="F92" s="13">
        <f>'Entry Sheet'!K58</f>
        <v>3.5</v>
      </c>
      <c r="G92" s="13">
        <f>'Entry Sheet'!M58</f>
        <v>11</v>
      </c>
      <c r="H92" s="13">
        <f>'Entry Sheet'!O58</f>
        <v>9</v>
      </c>
      <c r="I92" s="13">
        <f>'Entry Sheet'!Q58</f>
        <v>9</v>
      </c>
      <c r="J92" s="13">
        <f>'Entry Sheet'!S58</f>
        <v>14</v>
      </c>
      <c r="K92" s="13">
        <f>'Entry Sheet'!U58</f>
        <v>7</v>
      </c>
      <c r="L92" s="13">
        <f>'Entry Sheet'!W58</f>
        <v>8.5</v>
      </c>
      <c r="M92" s="13">
        <f>'Entry Sheet'!Y58</f>
        <v>19</v>
      </c>
      <c r="N92" s="13">
        <f>'Entry Sheet'!AA58</f>
        <v>13.5</v>
      </c>
      <c r="O92" s="13">
        <f>'Entry Sheet'!AC58</f>
        <v>7</v>
      </c>
      <c r="Q92" s="224"/>
      <c r="S92" s="13" t="s">
        <v>207</v>
      </c>
      <c r="T92" s="224">
        <f>MAX(B92:O92)</f>
        <v>19</v>
      </c>
      <c r="W92" s="13">
        <v>1.0</v>
      </c>
      <c r="X92" s="13">
        <v>2.0</v>
      </c>
      <c r="Y92" s="13">
        <v>3.0</v>
      </c>
      <c r="Z92" s="13">
        <v>4.0</v>
      </c>
      <c r="AA92" s="13">
        <v>5.0</v>
      </c>
      <c r="AB92" s="13">
        <v>6.0</v>
      </c>
      <c r="AC92" s="13">
        <v>7.0</v>
      </c>
      <c r="AD92" s="13">
        <v>8.0</v>
      </c>
      <c r="AE92" s="13">
        <v>9.0</v>
      </c>
      <c r="AF92" s="13">
        <v>10.0</v>
      </c>
    </row>
    <row r="93" ht="15.75" customHeight="1">
      <c r="A93" s="13" t="str">
        <f>'Entry Sheet'!A59</f>
        <v>HC</v>
      </c>
      <c r="B93" s="13">
        <f>'Entry Sheet'!C59</f>
        <v>8.9</v>
      </c>
      <c r="C93" s="13">
        <f>'Entry Sheet'!E59</f>
        <v>8</v>
      </c>
      <c r="D93" s="13">
        <f>'Entry Sheet'!G59</f>
        <v>10.7</v>
      </c>
      <c r="E93" s="13">
        <f>'Entry Sheet'!I59</f>
        <v>11.1</v>
      </c>
      <c r="F93" s="13">
        <f>'Entry Sheet'!K59</f>
        <v>4.9</v>
      </c>
      <c r="G93" s="13">
        <f>'Entry Sheet'!M59</f>
        <v>9.1</v>
      </c>
      <c r="H93" s="13">
        <f>'Entry Sheet'!O59</f>
        <v>22.5</v>
      </c>
      <c r="I93" s="13">
        <f>'Entry Sheet'!Q59</f>
        <v>14.9</v>
      </c>
      <c r="J93" s="13">
        <f>'Entry Sheet'!S59</f>
        <v>18.2</v>
      </c>
      <c r="K93" s="13">
        <f>'Entry Sheet'!U59</f>
        <v>18.6</v>
      </c>
      <c r="L93" s="13">
        <f>'Entry Sheet'!W59</f>
        <v>8.3</v>
      </c>
      <c r="M93" s="13">
        <f>'Entry Sheet'!Y59</f>
        <v>22.2</v>
      </c>
      <c r="N93" s="13">
        <f>'Entry Sheet'!AA59</f>
        <v>6.4</v>
      </c>
      <c r="O93" s="13">
        <f>'Entry Sheet'!AC59</f>
        <v>25.5</v>
      </c>
      <c r="Q93" s="224"/>
      <c r="R93" s="13" t="s">
        <v>162</v>
      </c>
      <c r="S93" s="13" t="s">
        <v>202</v>
      </c>
      <c r="T93" s="224">
        <f>AVERAGEIF(B93:O93,"&lt;&gt;0")</f>
        <v>13.52142857</v>
      </c>
    </row>
    <row r="94" ht="15.75" customHeight="1">
      <c r="A94" s="13" t="str">
        <f>'Entry Sheet'!A60</f>
        <v>Total Score</v>
      </c>
      <c r="B94" s="13">
        <f>'Entry Sheet'!B60</f>
        <v>132.31</v>
      </c>
      <c r="C94" s="13">
        <f>'Entry Sheet'!D60</f>
        <v>136.5</v>
      </c>
      <c r="D94" s="13">
        <f>'Entry Sheet'!F60</f>
        <v>204.24</v>
      </c>
      <c r="E94" s="13">
        <f>'Entry Sheet'!H60</f>
        <v>194.64</v>
      </c>
      <c r="F94" s="13">
        <f>'Entry Sheet'!J60</f>
        <v>167.16</v>
      </c>
      <c r="G94" s="13">
        <f>'Entry Sheet'!L60</f>
        <v>191</v>
      </c>
      <c r="H94" s="13">
        <f>'Entry Sheet'!N60</f>
        <v>216.6</v>
      </c>
      <c r="I94" s="13">
        <f>'Entry Sheet'!P60</f>
        <v>183.51</v>
      </c>
      <c r="J94" s="13">
        <f>'Entry Sheet'!R60</f>
        <v>175.49</v>
      </c>
      <c r="K94" s="13">
        <f>'Entry Sheet'!T60</f>
        <v>203.56</v>
      </c>
      <c r="L94" s="13">
        <f>'Entry Sheet'!V60</f>
        <v>164.25</v>
      </c>
      <c r="M94" s="13">
        <f>'Entry Sheet'!X60</f>
        <v>189.22</v>
      </c>
      <c r="N94" s="13">
        <f>'Entry Sheet'!Z60</f>
        <v>202.79</v>
      </c>
      <c r="O94" s="13">
        <f>'Entry Sheet'!AB60</f>
        <v>156.79</v>
      </c>
      <c r="Q94" s="224"/>
      <c r="S94" s="13" t="s">
        <v>207</v>
      </c>
      <c r="T94" s="224">
        <f>MAX(B93:O93)</f>
        <v>25.5</v>
      </c>
      <c r="W94" s="13">
        <v>10.0</v>
      </c>
      <c r="X94" s="13">
        <v>10.0</v>
      </c>
      <c r="Y94" s="13">
        <v>10.0</v>
      </c>
      <c r="Z94" s="13">
        <v>10.0</v>
      </c>
      <c r="AA94" s="13">
        <v>10.0</v>
      </c>
      <c r="AB94" s="13">
        <v>10.0</v>
      </c>
      <c r="AC94" s="13">
        <v>10.0</v>
      </c>
      <c r="AD94" s="13">
        <v>10.0</v>
      </c>
      <c r="AE94" s="13">
        <v>10.0</v>
      </c>
      <c r="AF94" s="13">
        <v>10.0</v>
      </c>
    </row>
    <row r="95" ht="15.75" customHeight="1">
      <c r="A95" s="13" t="str">
        <f>'Entry Sheet'!A61</f>
        <v>MVP</v>
      </c>
      <c r="B95" s="13">
        <f>'Entry Sheet'!C61</f>
        <v>26.6</v>
      </c>
      <c r="C95" s="13">
        <f>'Entry Sheet'!E61</f>
        <v>33</v>
      </c>
      <c r="D95" s="13">
        <f>'Entry Sheet'!G61</f>
        <v>35.5</v>
      </c>
      <c r="E95" s="13">
        <f>'Entry Sheet'!I61</f>
        <v>33.74</v>
      </c>
      <c r="F95" s="13">
        <f>'Entry Sheet'!K61</f>
        <v>33.3</v>
      </c>
      <c r="G95" s="13">
        <f>'Entry Sheet'!M61</f>
        <v>38.7</v>
      </c>
      <c r="H95" s="13">
        <f>'Entry Sheet'!O61</f>
        <v>45.26</v>
      </c>
      <c r="I95" s="13">
        <f>'Entry Sheet'!Q61</f>
        <v>39.6</v>
      </c>
      <c r="J95" s="13">
        <f>'Entry Sheet'!S61</f>
        <v>38.44</v>
      </c>
      <c r="K95" s="13">
        <f>'Entry Sheet'!U61</f>
        <v>54.8</v>
      </c>
      <c r="L95" s="13">
        <f>'Entry Sheet'!W61</f>
        <v>34</v>
      </c>
      <c r="M95" s="13">
        <f>'Entry Sheet'!Y61</f>
        <v>31.92</v>
      </c>
      <c r="N95" s="13">
        <f>'Entry Sheet'!AA61</f>
        <v>36.2</v>
      </c>
      <c r="O95" s="13">
        <f>'Entry Sheet'!AC61</f>
        <v>31.84</v>
      </c>
      <c r="Q95" s="224"/>
      <c r="R95" s="13" t="s">
        <v>168</v>
      </c>
      <c r="S95" s="13" t="s">
        <v>207</v>
      </c>
      <c r="T95" s="224">
        <f>MAX(B95:O95)</f>
        <v>54.8</v>
      </c>
      <c r="W95" s="13">
        <v>1.0</v>
      </c>
      <c r="X95" s="13">
        <v>2.0</v>
      </c>
      <c r="Y95" s="13">
        <v>3.0</v>
      </c>
      <c r="Z95" s="13">
        <v>4.0</v>
      </c>
      <c r="AA95" s="13">
        <v>5.0</v>
      </c>
      <c r="AB95" s="13">
        <v>6.0</v>
      </c>
      <c r="AC95" s="13">
        <v>7.0</v>
      </c>
      <c r="AD95" s="13">
        <v>8.0</v>
      </c>
      <c r="AE95" s="13">
        <v>9.0</v>
      </c>
      <c r="AF95" s="13">
        <v>10.0</v>
      </c>
    </row>
    <row r="96" ht="15.75" customHeight="1">
      <c r="R96" s="13" t="s">
        <v>167</v>
      </c>
      <c r="S96" s="13" t="s">
        <v>202</v>
      </c>
      <c r="T96" s="224">
        <f>AVERAGEIF(B94:O94,"&lt;&gt;0")</f>
        <v>179.8614286</v>
      </c>
    </row>
    <row r="97" ht="15.75" customHeight="1">
      <c r="S97" s="13" t="s">
        <v>207</v>
      </c>
      <c r="T97" s="224">
        <f>MAX(B94:O94)</f>
        <v>216.6</v>
      </c>
    </row>
    <row r="98" ht="15.75" customHeight="1">
      <c r="S98" s="13" t="s">
        <v>228</v>
      </c>
      <c r="T98" s="13">
        <f>SUM(B94:O94)</f>
        <v>2518.06</v>
      </c>
    </row>
    <row r="99" ht="15.75" customHeight="1">
      <c r="R99" s="13" t="s">
        <v>42</v>
      </c>
      <c r="S99" s="13" t="s">
        <v>202</v>
      </c>
      <c r="T99" s="13">
        <f>AVERAGE(C80:P80)</f>
        <v>3.923076923</v>
      </c>
    </row>
    <row r="100" ht="15.75" customHeight="1">
      <c r="S100" s="13" t="s">
        <v>231</v>
      </c>
      <c r="T100" s="13">
        <f>MIN(C80:P80)</f>
        <v>1</v>
      </c>
    </row>
    <row r="101" ht="15.75" customHeight="1">
      <c r="S101" s="13" t="s">
        <v>234</v>
      </c>
      <c r="T101" s="13">
        <f>STDEV(C80:P80)</f>
        <v>3.546395787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c r="A116" s="221" t="str">
        <f>'Entry Sheet'!A65</f>
        <v>SAVAGES</v>
      </c>
      <c r="B116" s="221"/>
      <c r="C116" s="221"/>
      <c r="D116" s="221"/>
      <c r="E116" s="221"/>
      <c r="F116" s="221"/>
      <c r="G116" s="221"/>
      <c r="H116" s="221"/>
      <c r="I116" s="221"/>
      <c r="J116" s="221"/>
      <c r="K116" s="221"/>
      <c r="L116" s="221"/>
      <c r="M116" s="221"/>
      <c r="N116" s="221"/>
      <c r="O116" s="221"/>
      <c r="P116" s="221"/>
      <c r="Q116" s="221"/>
      <c r="R116" s="221"/>
      <c r="S116" s="221"/>
      <c r="T116" s="221"/>
    </row>
    <row r="117" ht="15.75" customHeight="1">
      <c r="A117" s="13" t="str">
        <f>'Entry Sheet'!A66</f>
        <v/>
      </c>
      <c r="B117" s="13" t="str">
        <f>'Entry Sheet'!B66</f>
        <v>Week 1</v>
      </c>
      <c r="C117" s="13" t="str">
        <f>'Entry Sheet'!D66</f>
        <v>Week 2</v>
      </c>
      <c r="D117" s="13" t="str">
        <f>'Entry Sheet'!F66</f>
        <v>Week 3</v>
      </c>
      <c r="E117" s="13" t="str">
        <f>'Entry Sheet'!H66</f>
        <v>Week 4</v>
      </c>
      <c r="F117" s="13" t="str">
        <f>'Entry Sheet'!J66</f>
        <v>Week 5</v>
      </c>
      <c r="G117" s="13" t="str">
        <f>'Entry Sheet'!L66</f>
        <v>Week 6</v>
      </c>
      <c r="H117" s="13" t="str">
        <f>'Entry Sheet'!N66</f>
        <v>Week 7</v>
      </c>
      <c r="I117" s="13" t="str">
        <f>'Entry Sheet'!P66</f>
        <v>Week 8</v>
      </c>
      <c r="J117" s="13" t="str">
        <f>'Entry Sheet'!R66</f>
        <v>Week 9</v>
      </c>
      <c r="K117" s="13" t="str">
        <f>'Entry Sheet'!T66</f>
        <v>Week 10</v>
      </c>
      <c r="L117" s="13" t="str">
        <f>'Entry Sheet'!V66</f>
        <v>Week 11</v>
      </c>
      <c r="M117" s="13" t="str">
        <f>'Entry Sheet'!X66</f>
        <v>Week 12</v>
      </c>
      <c r="N117" s="13" t="str">
        <f>'Entry Sheet'!Z66</f>
        <v>Week 13</v>
      </c>
      <c r="O117" s="13" t="str">
        <f>'Entry Sheet'!AB66</f>
        <v>Week 14</v>
      </c>
      <c r="P117" s="13" t="str">
        <f>'Entry Sheet'!AD66</f>
        <v>Finale</v>
      </c>
      <c r="R117" s="13" t="s">
        <v>100</v>
      </c>
      <c r="S117" s="13" t="s">
        <v>202</v>
      </c>
      <c r="T117" s="224">
        <f>AVERAGEIF(B119:O119,"&lt;&gt;0")</f>
        <v>21.88428571</v>
      </c>
    </row>
    <row r="118" ht="15.75" customHeight="1">
      <c r="A118" s="13" t="str">
        <f>'Entry Sheet'!A67</f>
        <v>Team Rank</v>
      </c>
      <c r="B118" s="13">
        <f>'Entry Sheet'!B67</f>
        <v>2</v>
      </c>
      <c r="C118" s="13">
        <f>'Entry Sheet'!D67</f>
        <v>10</v>
      </c>
      <c r="D118" s="13">
        <f>'Entry Sheet'!F67</f>
        <v>6</v>
      </c>
      <c r="E118" s="13">
        <f>'Entry Sheet'!H67</f>
        <v>6</v>
      </c>
      <c r="F118" s="13">
        <f>'Entry Sheet'!J67</f>
        <v>6</v>
      </c>
      <c r="G118" s="13">
        <f>'Entry Sheet'!L67</f>
        <v>7</v>
      </c>
      <c r="H118" s="13">
        <f>'Entry Sheet'!N67</f>
        <v>6</v>
      </c>
      <c r="I118" s="13">
        <f>'Entry Sheet'!P67</f>
        <v>7</v>
      </c>
      <c r="J118" s="13">
        <f>'Entry Sheet'!R67</f>
        <v>10</v>
      </c>
      <c r="K118" s="13">
        <f>'Entry Sheet'!T67</f>
        <v>8</v>
      </c>
      <c r="L118" s="13">
        <f>'Entry Sheet'!V67</f>
        <v>8</v>
      </c>
      <c r="M118" s="13">
        <f>'Entry Sheet'!X67</f>
        <v>9</v>
      </c>
      <c r="N118" s="13">
        <f>'Entry Sheet'!Z67</f>
        <v>10</v>
      </c>
      <c r="O118" s="13">
        <f>'Entry Sheet'!AB67</f>
        <v>10</v>
      </c>
      <c r="P118" s="13" t="str">
        <f>'Entry Sheet'!AD67</f>
        <v/>
      </c>
      <c r="S118" s="13" t="s">
        <v>207</v>
      </c>
      <c r="T118" s="224">
        <f>MAX(B119:O119)</f>
        <v>35.2</v>
      </c>
    </row>
    <row r="119" ht="15.75" customHeight="1">
      <c r="A119" s="13" t="str">
        <f>'Entry Sheet'!A68</f>
        <v>QB</v>
      </c>
      <c r="B119" s="13">
        <f>'Entry Sheet'!C68</f>
        <v>25.62</v>
      </c>
      <c r="C119" s="13">
        <f>'Entry Sheet'!E68</f>
        <v>17.7</v>
      </c>
      <c r="D119" s="13">
        <f>'Entry Sheet'!G68</f>
        <v>17.48</v>
      </c>
      <c r="E119" s="13">
        <f>'Entry Sheet'!I68</f>
        <v>16.92</v>
      </c>
      <c r="F119" s="13">
        <f>'Entry Sheet'!K68</f>
        <v>29.32</v>
      </c>
      <c r="G119" s="13">
        <f>'Entry Sheet'!M68</f>
        <v>24.32</v>
      </c>
      <c r="H119" s="13">
        <f>'Entry Sheet'!O68</f>
        <v>13.94</v>
      </c>
      <c r="I119" s="13">
        <f>'Entry Sheet'!Q68</f>
        <v>23.16</v>
      </c>
      <c r="J119" s="13">
        <f>'Entry Sheet'!S68</f>
        <v>17.32</v>
      </c>
      <c r="K119" s="13">
        <f>'Entry Sheet'!U68</f>
        <v>35.2</v>
      </c>
      <c r="L119" s="13">
        <f>'Entry Sheet'!W68</f>
        <v>12.14</v>
      </c>
      <c r="M119" s="13">
        <f>'Entry Sheet'!Y68</f>
        <v>23.16</v>
      </c>
      <c r="N119" s="13">
        <f>'Entry Sheet'!AA68</f>
        <v>27.54</v>
      </c>
      <c r="O119" s="13">
        <f>'Entry Sheet'!AC68</f>
        <v>22.56</v>
      </c>
      <c r="Q119" s="224"/>
      <c r="R119" s="13" t="s">
        <v>106</v>
      </c>
      <c r="S119" s="13" t="s">
        <v>202</v>
      </c>
      <c r="T119" s="224">
        <f>AVERAGEIF(B120:O122,"&lt;&gt;0")</f>
        <v>13.59642857</v>
      </c>
    </row>
    <row r="120" ht="15.75" customHeight="1">
      <c r="A120" s="13" t="str">
        <f>'Entry Sheet'!A69</f>
        <v>RB</v>
      </c>
      <c r="B120" s="13">
        <f>'Entry Sheet'!C69</f>
        <v>13.9</v>
      </c>
      <c r="C120" s="13">
        <f>'Entry Sheet'!E69</f>
        <v>8.5</v>
      </c>
      <c r="D120" s="13">
        <f>'Entry Sheet'!G69</f>
        <v>13.2</v>
      </c>
      <c r="E120" s="13">
        <f>'Entry Sheet'!I69</f>
        <v>22.4</v>
      </c>
      <c r="F120" s="13">
        <f>'Entry Sheet'!K69</f>
        <v>10</v>
      </c>
      <c r="G120" s="13">
        <f>'Entry Sheet'!M69</f>
        <v>10.7</v>
      </c>
      <c r="H120" s="13">
        <f>'Entry Sheet'!O69</f>
        <v>5</v>
      </c>
      <c r="I120" s="13">
        <f>'Entry Sheet'!Q69</f>
        <v>16.6</v>
      </c>
      <c r="J120" s="13">
        <f>'Entry Sheet'!S69</f>
        <v>18.7</v>
      </c>
      <c r="K120" s="13">
        <f>'Entry Sheet'!U69</f>
        <v>17.2</v>
      </c>
      <c r="L120" s="13">
        <f>'Entry Sheet'!W69</f>
        <v>10</v>
      </c>
      <c r="M120" s="13">
        <f>'Entry Sheet'!Y69</f>
        <v>26.5</v>
      </c>
      <c r="N120" s="13">
        <f>'Entry Sheet'!AA69</f>
        <v>13.6</v>
      </c>
      <c r="O120" s="13">
        <f>'Entry Sheet'!AC69</f>
        <v>6.8</v>
      </c>
      <c r="Q120" s="224"/>
      <c r="S120" s="13" t="s">
        <v>207</v>
      </c>
      <c r="T120" s="224">
        <f>MAX(B120:O122)</f>
        <v>26.5</v>
      </c>
    </row>
    <row r="121" ht="15.75" customHeight="1">
      <c r="A121" s="13" t="str">
        <f>'Entry Sheet'!A70</f>
        <v>RB</v>
      </c>
      <c r="B121" s="13">
        <f>'Entry Sheet'!C70</f>
        <v>6.5</v>
      </c>
      <c r="C121" s="13">
        <f>'Entry Sheet'!E70</f>
        <v>18.3</v>
      </c>
      <c r="D121" s="13">
        <f>'Entry Sheet'!G70</f>
        <v>16.4</v>
      </c>
      <c r="E121" s="13">
        <f>'Entry Sheet'!I70</f>
        <v>14.1</v>
      </c>
      <c r="F121" s="13">
        <f>'Entry Sheet'!K70</f>
        <v>17.4</v>
      </c>
      <c r="G121" s="13">
        <f>'Entry Sheet'!M70</f>
        <v>5.4</v>
      </c>
      <c r="H121" s="13">
        <f>'Entry Sheet'!O70</f>
        <v>7.3</v>
      </c>
      <c r="I121" s="13">
        <f>'Entry Sheet'!Q70</f>
        <v>9.8</v>
      </c>
      <c r="J121" s="13">
        <f>'Entry Sheet'!S70</f>
        <v>8.4</v>
      </c>
      <c r="K121" s="13">
        <f>'Entry Sheet'!U70</f>
        <v>11.2</v>
      </c>
      <c r="L121" s="13">
        <f>'Entry Sheet'!W70</f>
        <v>21.2</v>
      </c>
      <c r="M121" s="13">
        <f>'Entry Sheet'!Y70</f>
        <v>22.1</v>
      </c>
      <c r="N121" s="13">
        <f>'Entry Sheet'!AA70</f>
        <v>6.3</v>
      </c>
      <c r="O121" s="13">
        <f>'Entry Sheet'!AC70</f>
        <v>23.2</v>
      </c>
      <c r="Q121" s="224"/>
      <c r="R121" s="13" t="s">
        <v>117</v>
      </c>
      <c r="S121" s="13" t="s">
        <v>202</v>
      </c>
      <c r="T121" s="224">
        <f>AVERAGEIF(B123:O126,"&lt;&gt;0")</f>
        <v>16.05128205</v>
      </c>
    </row>
    <row r="122" ht="15.75" customHeight="1">
      <c r="A122" s="13" t="str">
        <f>'Entry Sheet'!A71</f>
        <v>RB</v>
      </c>
      <c r="B122" s="13" t="str">
        <f>'Entry Sheet'!C71</f>
        <v/>
      </c>
      <c r="C122" s="13" t="str">
        <f>'Entry Sheet'!E71</f>
        <v/>
      </c>
      <c r="D122" s="13" t="str">
        <f>'Entry Sheet'!G71</f>
        <v/>
      </c>
      <c r="E122" s="13" t="str">
        <f>'Entry Sheet'!I71</f>
        <v/>
      </c>
      <c r="F122" s="13" t="str">
        <f>'Entry Sheet'!K71</f>
        <v/>
      </c>
      <c r="G122" s="13" t="str">
        <f>'Entry Sheet'!M71</f>
        <v/>
      </c>
      <c r="H122" s="13" t="str">
        <f>'Entry Sheet'!O71</f>
        <v/>
      </c>
      <c r="I122" s="13" t="str">
        <f>'Entry Sheet'!Q71</f>
        <v/>
      </c>
      <c r="J122" s="13" t="str">
        <f>'Entry Sheet'!S71</f>
        <v/>
      </c>
      <c r="K122" s="13" t="str">
        <f>'Entry Sheet'!U71</f>
        <v/>
      </c>
      <c r="L122" s="13" t="str">
        <f>'Entry Sheet'!W71</f>
        <v/>
      </c>
      <c r="M122" s="13" t="str">
        <f>'Entry Sheet'!Y71</f>
        <v/>
      </c>
      <c r="N122" s="13" t="str">
        <f>'Entry Sheet'!AA71</f>
        <v/>
      </c>
      <c r="O122" s="13" t="str">
        <f>'Entry Sheet'!AC71</f>
        <v/>
      </c>
      <c r="Q122" s="224"/>
      <c r="S122" s="13" t="s">
        <v>207</v>
      </c>
      <c r="T122" s="224">
        <f>MAX(B123:O126)</f>
        <v>39.8</v>
      </c>
    </row>
    <row r="123" ht="15.75" customHeight="1">
      <c r="A123" s="13" t="str">
        <f>'Entry Sheet'!A72</f>
        <v>WR</v>
      </c>
      <c r="B123" s="13">
        <f>'Entry Sheet'!C72</f>
        <v>4.6</v>
      </c>
      <c r="C123" s="13">
        <f>'Entry Sheet'!E72</f>
        <v>37.5</v>
      </c>
      <c r="D123" s="13">
        <f>'Entry Sheet'!G72</f>
        <v>9</v>
      </c>
      <c r="E123" s="13">
        <f>'Entry Sheet'!I72</f>
        <v>7.3</v>
      </c>
      <c r="F123" s="13">
        <f>'Entry Sheet'!K72</f>
        <v>30</v>
      </c>
      <c r="G123" s="13">
        <f>'Entry Sheet'!M72</f>
        <v>25.2</v>
      </c>
      <c r="H123" s="13">
        <f>'Entry Sheet'!O72</f>
        <v>39.1</v>
      </c>
      <c r="I123" s="13">
        <f>'Entry Sheet'!Q72</f>
        <v>21.1</v>
      </c>
      <c r="J123" s="13">
        <f>'Entry Sheet'!S72</f>
        <v>18.1</v>
      </c>
      <c r="K123" s="13">
        <f>'Entry Sheet'!U72</f>
        <v>25.4</v>
      </c>
      <c r="L123" s="13">
        <f>'Entry Sheet'!W72</f>
        <v>6</v>
      </c>
      <c r="M123" s="13">
        <f>'Entry Sheet'!Y72</f>
        <v>0</v>
      </c>
      <c r="N123" s="13">
        <f>'Entry Sheet'!AA72</f>
        <v>19</v>
      </c>
      <c r="O123" s="13">
        <f>'Entry Sheet'!AC72</f>
        <v>10.3</v>
      </c>
      <c r="Q123" s="224"/>
      <c r="R123" s="13" t="s">
        <v>132</v>
      </c>
      <c r="S123" s="13" t="s">
        <v>202</v>
      </c>
      <c r="T123" s="224">
        <f>AVERAGEIF(B127:O127,"&lt;&gt;0")</f>
        <v>18.17857143</v>
      </c>
    </row>
    <row r="124" ht="15.75" customHeight="1">
      <c r="A124" s="13" t="str">
        <f>'Entry Sheet'!A73</f>
        <v>WR</v>
      </c>
      <c r="B124" s="13">
        <f>'Entry Sheet'!C73</f>
        <v>13.5</v>
      </c>
      <c r="C124" s="13">
        <f>'Entry Sheet'!E73</f>
        <v>14.6</v>
      </c>
      <c r="D124" s="13">
        <f>'Entry Sheet'!G73</f>
        <v>10.5</v>
      </c>
      <c r="E124" s="13">
        <f>'Entry Sheet'!I73</f>
        <v>23.8</v>
      </c>
      <c r="F124" s="13">
        <f>'Entry Sheet'!K73</f>
        <v>7</v>
      </c>
      <c r="G124" s="13">
        <f>'Entry Sheet'!M73</f>
        <v>32.8</v>
      </c>
      <c r="H124" s="13">
        <f>'Entry Sheet'!O73</f>
        <v>8.2</v>
      </c>
      <c r="I124" s="13">
        <f>'Entry Sheet'!Q73</f>
        <v>0</v>
      </c>
      <c r="J124" s="13">
        <f>'Entry Sheet'!S73</f>
        <v>39.8</v>
      </c>
      <c r="K124" s="13">
        <f>'Entry Sheet'!U73</f>
        <v>9.2</v>
      </c>
      <c r="L124" s="13">
        <f>'Entry Sheet'!W73</f>
        <v>19.9</v>
      </c>
      <c r="M124" s="13">
        <f>'Entry Sheet'!Y73</f>
        <v>8.1</v>
      </c>
      <c r="N124" s="13">
        <f>'Entry Sheet'!AA73</f>
        <v>0</v>
      </c>
      <c r="O124" s="13">
        <f>'Entry Sheet'!AC73</f>
        <v>27.2</v>
      </c>
      <c r="Q124" s="224"/>
      <c r="S124" s="13" t="s">
        <v>207</v>
      </c>
      <c r="T124" s="224">
        <f>MAX(B127:O127)</f>
        <v>29.4</v>
      </c>
    </row>
    <row r="125" ht="15.75" customHeight="1">
      <c r="A125" s="13" t="str">
        <f>'Entry Sheet'!A74</f>
        <v>WR</v>
      </c>
      <c r="B125" s="13">
        <f>'Entry Sheet'!C74</f>
        <v>6.3</v>
      </c>
      <c r="C125" s="13">
        <f>'Entry Sheet'!E74</f>
        <v>17.1</v>
      </c>
      <c r="D125" s="13">
        <f>'Entry Sheet'!G74</f>
        <v>19.5</v>
      </c>
      <c r="E125" s="13">
        <f>'Entry Sheet'!I74</f>
        <v>8.7</v>
      </c>
      <c r="F125" s="13">
        <f>'Entry Sheet'!K74</f>
        <v>10.8</v>
      </c>
      <c r="G125" s="13">
        <f>'Entry Sheet'!M74</f>
        <v>6.7</v>
      </c>
      <c r="H125" s="13">
        <f>'Entry Sheet'!O74</f>
        <v>29.9</v>
      </c>
      <c r="I125" s="13">
        <f>'Entry Sheet'!Q74</f>
        <v>8.4</v>
      </c>
      <c r="J125" s="13">
        <f>'Entry Sheet'!S74</f>
        <v>6.1</v>
      </c>
      <c r="K125" s="13">
        <f>'Entry Sheet'!U74</f>
        <v>3.9</v>
      </c>
      <c r="L125" s="13">
        <f>'Entry Sheet'!W74</f>
        <v>15.3</v>
      </c>
      <c r="M125" s="13">
        <f>'Entry Sheet'!Y74</f>
        <v>16.4</v>
      </c>
      <c r="N125" s="13">
        <f>'Entry Sheet'!AA74</f>
        <v>4.5</v>
      </c>
      <c r="O125" s="13">
        <f>'Entry Sheet'!AC74</f>
        <v>5.2</v>
      </c>
      <c r="Q125" s="224"/>
      <c r="R125" s="13" t="s">
        <v>136</v>
      </c>
      <c r="S125" s="13" t="s">
        <v>202</v>
      </c>
      <c r="T125" s="224">
        <f>AVERAGEIF(B128:O128,"&lt;&gt;0")</f>
        <v>12.79615385</v>
      </c>
    </row>
    <row r="126" ht="15.75" customHeight="1">
      <c r="A126" s="13" t="str">
        <f>'Entry Sheet'!A75</f>
        <v>WR</v>
      </c>
      <c r="B126" s="13" t="str">
        <f>'Entry Sheet'!C75</f>
        <v/>
      </c>
      <c r="C126" s="13" t="str">
        <f>'Entry Sheet'!E75</f>
        <v/>
      </c>
      <c r="D126" s="13" t="str">
        <f>'Entry Sheet'!G75</f>
        <v/>
      </c>
      <c r="E126" s="13" t="str">
        <f>'Entry Sheet'!I75</f>
        <v/>
      </c>
      <c r="F126" s="13" t="str">
        <f>'Entry Sheet'!K75</f>
        <v/>
      </c>
      <c r="G126" s="13" t="str">
        <f>'Entry Sheet'!M75</f>
        <v/>
      </c>
      <c r="H126" s="13" t="str">
        <f>'Entry Sheet'!O75</f>
        <v/>
      </c>
      <c r="I126" s="13" t="str">
        <f>'Entry Sheet'!Q75</f>
        <v/>
      </c>
      <c r="J126" s="13" t="str">
        <f>'Entry Sheet'!S75</f>
        <v/>
      </c>
      <c r="K126" s="13" t="str">
        <f>'Entry Sheet'!U75</f>
        <v/>
      </c>
      <c r="L126" s="13" t="str">
        <f>'Entry Sheet'!W75</f>
        <v/>
      </c>
      <c r="M126" s="13" t="str">
        <f>'Entry Sheet'!Y75</f>
        <v/>
      </c>
      <c r="N126" s="13" t="str">
        <f>'Entry Sheet'!AA75</f>
        <v/>
      </c>
      <c r="O126" s="13" t="str">
        <f>'Entry Sheet'!AC75</f>
        <v/>
      </c>
      <c r="Q126" s="224"/>
      <c r="S126" s="13" t="s">
        <v>207</v>
      </c>
      <c r="T126" s="224">
        <f>MAX(B128:O128)</f>
        <v>26</v>
      </c>
    </row>
    <row r="127" ht="15.75" customHeight="1">
      <c r="A127" s="13" t="str">
        <f>'Entry Sheet'!A76</f>
        <v>TE</v>
      </c>
      <c r="B127" s="13">
        <f>'Entry Sheet'!C76</f>
        <v>12.1</v>
      </c>
      <c r="C127" s="13">
        <f>'Entry Sheet'!E76</f>
        <v>13.8</v>
      </c>
      <c r="D127" s="13">
        <f>'Entry Sheet'!G76</f>
        <v>15.3</v>
      </c>
      <c r="E127" s="13">
        <f>'Entry Sheet'!I76</f>
        <v>12.2</v>
      </c>
      <c r="F127" s="13">
        <f>'Entry Sheet'!K76</f>
        <v>9.1</v>
      </c>
      <c r="G127" s="13">
        <f>'Entry Sheet'!M76</f>
        <v>21.2</v>
      </c>
      <c r="H127" s="13">
        <f>'Entry Sheet'!O76</f>
        <v>29.4</v>
      </c>
      <c r="I127" s="13">
        <f>'Entry Sheet'!Q76</f>
        <v>17.8</v>
      </c>
      <c r="J127" s="13">
        <f>'Entry Sheet'!S76</f>
        <v>16.5</v>
      </c>
      <c r="K127" s="13">
        <f>'Entry Sheet'!U76</f>
        <v>28.7</v>
      </c>
      <c r="L127" s="13">
        <f>'Entry Sheet'!W76</f>
        <v>28.5</v>
      </c>
      <c r="M127" s="13">
        <f>'Entry Sheet'!Y76</f>
        <v>16.9</v>
      </c>
      <c r="N127" s="13">
        <f>'Entry Sheet'!AA76</f>
        <v>22.2</v>
      </c>
      <c r="O127" s="13">
        <f>'Entry Sheet'!AC76</f>
        <v>10.8</v>
      </c>
      <c r="Q127" s="224"/>
      <c r="R127" s="13" t="s">
        <v>139</v>
      </c>
      <c r="S127" s="13" t="s">
        <v>202</v>
      </c>
      <c r="T127" s="224">
        <f>AVERAGEIF(B129:O129,"&lt;&gt;0")</f>
        <v>15.43571429</v>
      </c>
    </row>
    <row r="128" ht="15.75" customHeight="1">
      <c r="A128" s="13" t="str">
        <f>'Entry Sheet'!A77</f>
        <v>FLEX</v>
      </c>
      <c r="B128" s="13">
        <f>'Entry Sheet'!C77</f>
        <v>4.15</v>
      </c>
      <c r="C128" s="13">
        <f>'Entry Sheet'!E77</f>
        <v>5.9</v>
      </c>
      <c r="D128" s="13">
        <f>'Entry Sheet'!G77</f>
        <v>14.9</v>
      </c>
      <c r="E128" s="13">
        <f>'Entry Sheet'!I77</f>
        <v>26</v>
      </c>
      <c r="F128" s="13">
        <f>'Entry Sheet'!K77</f>
        <v>17.3</v>
      </c>
      <c r="G128" s="13">
        <f>'Entry Sheet'!M77</f>
        <v>18.9</v>
      </c>
      <c r="H128" s="13">
        <f>'Entry Sheet'!O77</f>
        <v>4.8</v>
      </c>
      <c r="I128" s="13">
        <f>'Entry Sheet'!Q77</f>
        <v>11.4</v>
      </c>
      <c r="J128" s="13">
        <f>'Entry Sheet'!S77</f>
        <v>21.2</v>
      </c>
      <c r="K128" s="13">
        <f>'Entry Sheet'!U77</f>
        <v>17.3</v>
      </c>
      <c r="L128" s="13">
        <f>'Entry Sheet'!W77</f>
        <v>0</v>
      </c>
      <c r="M128" s="13">
        <f>'Entry Sheet'!Y77</f>
        <v>4</v>
      </c>
      <c r="N128" s="13">
        <f>'Entry Sheet'!AA77</f>
        <v>4.7</v>
      </c>
      <c r="O128" s="13">
        <f>'Entry Sheet'!AC77</f>
        <v>15.8</v>
      </c>
      <c r="Q128" s="224"/>
      <c r="S128" s="13" t="s">
        <v>207</v>
      </c>
      <c r="T128" s="224">
        <f>MAX(B129:O129)</f>
        <v>36.13</v>
      </c>
    </row>
    <row r="129" ht="15.75" customHeight="1">
      <c r="A129" s="13" t="str">
        <f>'Entry Sheet'!A78</f>
        <v>D/ST</v>
      </c>
      <c r="B129" s="13">
        <f>'Entry Sheet'!C78</f>
        <v>8.32</v>
      </c>
      <c r="C129" s="13">
        <f>'Entry Sheet'!E78</f>
        <v>17.92</v>
      </c>
      <c r="D129" s="13">
        <f>'Entry Sheet'!G78</f>
        <v>21.5</v>
      </c>
      <c r="E129" s="13">
        <f>'Entry Sheet'!I78</f>
        <v>36.13</v>
      </c>
      <c r="F129" s="13">
        <f>'Entry Sheet'!K78</f>
        <v>24.23</v>
      </c>
      <c r="G129" s="13">
        <f>'Entry Sheet'!M78</f>
        <v>10</v>
      </c>
      <c r="H129" s="13">
        <f>'Entry Sheet'!O78</f>
        <v>23.7</v>
      </c>
      <c r="I129" s="13">
        <f>'Entry Sheet'!Q78</f>
        <v>4.75</v>
      </c>
      <c r="J129" s="13">
        <f>'Entry Sheet'!S78</f>
        <v>23.7</v>
      </c>
      <c r="K129" s="13">
        <f>'Entry Sheet'!U78</f>
        <v>8.24</v>
      </c>
      <c r="L129" s="13">
        <f>'Entry Sheet'!W78</f>
        <v>8.34</v>
      </c>
      <c r="M129" s="13">
        <f>'Entry Sheet'!Y78</f>
        <v>4.15</v>
      </c>
      <c r="N129" s="13">
        <f>'Entry Sheet'!AA78</f>
        <v>2.73</v>
      </c>
      <c r="O129" s="13">
        <f>'Entry Sheet'!AC78</f>
        <v>22.39</v>
      </c>
      <c r="Q129" s="224"/>
      <c r="R129" s="13" t="s">
        <v>146</v>
      </c>
      <c r="S129" s="13" t="s">
        <v>202</v>
      </c>
      <c r="T129" s="224">
        <f>AVERAGEIF(B130:O130,"&lt;&gt;0")</f>
        <v>7.5</v>
      </c>
    </row>
    <row r="130" ht="15.75" customHeight="1">
      <c r="A130" s="13" t="str">
        <f>'Entry Sheet'!A79</f>
        <v>K</v>
      </c>
      <c r="B130" s="13">
        <f>'Entry Sheet'!C79</f>
        <v>12</v>
      </c>
      <c r="C130" s="13">
        <f>'Entry Sheet'!E79</f>
        <v>10</v>
      </c>
      <c r="D130" s="13">
        <f>'Entry Sheet'!G79</f>
        <v>3.5</v>
      </c>
      <c r="E130" s="13">
        <f>'Entry Sheet'!I79</f>
        <v>7.5</v>
      </c>
      <c r="F130" s="13">
        <f>'Entry Sheet'!K79</f>
        <v>10</v>
      </c>
      <c r="G130" s="13">
        <f>'Entry Sheet'!M79</f>
        <v>-1</v>
      </c>
      <c r="H130" s="13">
        <f>'Entry Sheet'!O79</f>
        <v>12</v>
      </c>
      <c r="I130" s="13">
        <f>'Entry Sheet'!Q79</f>
        <v>1</v>
      </c>
      <c r="J130" s="13">
        <f>'Entry Sheet'!S79</f>
        <v>13</v>
      </c>
      <c r="K130" s="13">
        <f>'Entry Sheet'!U79</f>
        <v>2</v>
      </c>
      <c r="L130" s="13">
        <f>'Entry Sheet'!W79</f>
        <v>14</v>
      </c>
      <c r="M130" s="13">
        <f>'Entry Sheet'!Y79</f>
        <v>1</v>
      </c>
      <c r="N130" s="13">
        <f>'Entry Sheet'!AA79</f>
        <v>11</v>
      </c>
      <c r="O130" s="13">
        <f>'Entry Sheet'!AC79</f>
        <v>9</v>
      </c>
      <c r="Q130" s="224"/>
      <c r="S130" s="13" t="s">
        <v>207</v>
      </c>
      <c r="T130" s="224">
        <f>MAX(B130:O130)</f>
        <v>14</v>
      </c>
    </row>
    <row r="131" ht="15.75" customHeight="1">
      <c r="A131" s="13" t="str">
        <f>'Entry Sheet'!A80</f>
        <v>HC</v>
      </c>
      <c r="B131" s="13">
        <f>'Entry Sheet'!C80</f>
        <v>10</v>
      </c>
      <c r="C131" s="13">
        <f>'Entry Sheet'!E80</f>
        <v>20.3</v>
      </c>
      <c r="D131" s="13">
        <f>'Entry Sheet'!G80</f>
        <v>6</v>
      </c>
      <c r="E131" s="13">
        <f>'Entry Sheet'!I80</f>
        <v>0</v>
      </c>
      <c r="F131" s="13">
        <f>'Entry Sheet'!K80</f>
        <v>-9</v>
      </c>
      <c r="G131" s="13">
        <f>'Entry Sheet'!M80</f>
        <v>0.6</v>
      </c>
      <c r="H131" s="13">
        <f>'Entry Sheet'!O80</f>
        <v>-9.9</v>
      </c>
      <c r="I131" s="13">
        <f>'Entry Sheet'!Q80</f>
        <v>9.4</v>
      </c>
      <c r="J131" s="13">
        <f>'Entry Sheet'!S80</f>
        <v>9.6</v>
      </c>
      <c r="K131" s="13">
        <f>'Entry Sheet'!U80</f>
        <v>-1.9</v>
      </c>
      <c r="L131" s="13">
        <f>'Entry Sheet'!W80</f>
        <v>-4.4</v>
      </c>
      <c r="M131" s="13">
        <f>'Entry Sheet'!Y80</f>
        <v>10</v>
      </c>
      <c r="N131" s="13">
        <f>'Entry Sheet'!AA80</f>
        <v>13.8</v>
      </c>
      <c r="O131" s="13">
        <f>'Entry Sheet'!AC80</f>
        <v>0</v>
      </c>
      <c r="Q131" s="224"/>
      <c r="R131" s="13" t="s">
        <v>162</v>
      </c>
      <c r="S131" s="13" t="s">
        <v>202</v>
      </c>
      <c r="T131" s="224">
        <f>AVERAGEIF(B131:O131,"&lt;&gt;0")</f>
        <v>4.541666667</v>
      </c>
    </row>
    <row r="132" ht="15.75" customHeight="1">
      <c r="A132" s="13" t="str">
        <f>'Entry Sheet'!A81</f>
        <v>Total Score</v>
      </c>
      <c r="B132" s="13">
        <f>'Entry Sheet'!B81</f>
        <v>116.99</v>
      </c>
      <c r="C132" s="13">
        <f>'Entry Sheet'!D81</f>
        <v>181.62</v>
      </c>
      <c r="D132" s="13">
        <f>'Entry Sheet'!F81</f>
        <v>147.28</v>
      </c>
      <c r="E132" s="13">
        <f>'Entry Sheet'!H81</f>
        <v>175.05</v>
      </c>
      <c r="F132" s="13">
        <f>'Entry Sheet'!J81</f>
        <v>156.15</v>
      </c>
      <c r="G132" s="13">
        <f>'Entry Sheet'!L81</f>
        <v>154.82</v>
      </c>
      <c r="H132" s="13">
        <f>'Entry Sheet'!N81</f>
        <v>163.44</v>
      </c>
      <c r="I132" s="13">
        <f>'Entry Sheet'!P81</f>
        <v>123.41</v>
      </c>
      <c r="J132" s="13">
        <f>'Entry Sheet'!R81</f>
        <v>192.42</v>
      </c>
      <c r="K132" s="13">
        <f>'Entry Sheet'!T81</f>
        <v>156.44</v>
      </c>
      <c r="L132" s="13">
        <f>'Entry Sheet'!V81</f>
        <v>130.98</v>
      </c>
      <c r="M132" s="13">
        <f>'Entry Sheet'!X81</f>
        <v>132.31</v>
      </c>
      <c r="N132" s="13">
        <f>'Entry Sheet'!Z81</f>
        <v>125.37</v>
      </c>
      <c r="O132" s="13">
        <f>'Entry Sheet'!AB81</f>
        <v>153.25</v>
      </c>
      <c r="Q132" s="224"/>
      <c r="S132" s="13" t="s">
        <v>207</v>
      </c>
      <c r="T132" s="224">
        <f>MAX(B131:O131)</f>
        <v>20.3</v>
      </c>
    </row>
    <row r="133" ht="15.75" customHeight="1">
      <c r="A133" s="13" t="str">
        <f>'Entry Sheet'!A82</f>
        <v>MVP</v>
      </c>
      <c r="B133" s="13">
        <f>'Entry Sheet'!C82</f>
        <v>25.62</v>
      </c>
      <c r="C133" s="13">
        <f>'Entry Sheet'!E82</f>
        <v>37.5</v>
      </c>
      <c r="D133" s="13">
        <f>'Entry Sheet'!G82</f>
        <v>21.5</v>
      </c>
      <c r="E133" s="13">
        <f>'Entry Sheet'!I82</f>
        <v>36.13</v>
      </c>
      <c r="F133" s="13">
        <f>'Entry Sheet'!K82</f>
        <v>30</v>
      </c>
      <c r="G133" s="13">
        <f>'Entry Sheet'!M82</f>
        <v>32.8</v>
      </c>
      <c r="H133" s="13">
        <f>'Entry Sheet'!O82</f>
        <v>39.1</v>
      </c>
      <c r="I133" s="13">
        <f>'Entry Sheet'!Q82</f>
        <v>23.16</v>
      </c>
      <c r="J133" s="13">
        <f>'Entry Sheet'!S82</f>
        <v>39.8</v>
      </c>
      <c r="K133" s="13">
        <f>'Entry Sheet'!U82</f>
        <v>35.2</v>
      </c>
      <c r="L133" s="13">
        <f>'Entry Sheet'!W82</f>
        <v>28.5</v>
      </c>
      <c r="M133" s="13">
        <f>'Entry Sheet'!Y82</f>
        <v>26.5</v>
      </c>
      <c r="N133" s="13">
        <f>'Entry Sheet'!AA82</f>
        <v>27.54</v>
      </c>
      <c r="O133" s="13">
        <f>'Entry Sheet'!AC82</f>
        <v>27.2</v>
      </c>
      <c r="Q133" s="224"/>
      <c r="R133" s="13" t="s">
        <v>168</v>
      </c>
      <c r="S133" s="13" t="s">
        <v>207</v>
      </c>
      <c r="T133" s="224">
        <f>MAX(B133:O133)</f>
        <v>39.8</v>
      </c>
    </row>
    <row r="134" ht="15.75" customHeight="1">
      <c r="R134" s="13" t="s">
        <v>167</v>
      </c>
      <c r="S134" s="13" t="s">
        <v>202</v>
      </c>
      <c r="T134" s="224">
        <f>AVERAGEIF(B132:O132,"&lt;&gt;0")</f>
        <v>150.6807143</v>
      </c>
    </row>
    <row r="135" ht="15.75" customHeight="1">
      <c r="S135" s="13" t="s">
        <v>207</v>
      </c>
      <c r="T135" s="224">
        <f>MAX(B132:O132)</f>
        <v>192.42</v>
      </c>
    </row>
    <row r="136" ht="15.75" customHeight="1">
      <c r="S136" s="13" t="s">
        <v>228</v>
      </c>
      <c r="T136" s="13">
        <f>SUM(B132:O132)</f>
        <v>2109.53</v>
      </c>
    </row>
    <row r="137" ht="15.75" customHeight="1">
      <c r="R137" s="13" t="s">
        <v>42</v>
      </c>
      <c r="S137" s="13" t="s">
        <v>202</v>
      </c>
      <c r="T137" s="13">
        <f>AVERAGE(C118:P118)</f>
        <v>7.923076923</v>
      </c>
    </row>
    <row r="138" ht="15.75" customHeight="1">
      <c r="S138" s="13" t="s">
        <v>231</v>
      </c>
      <c r="T138" s="13">
        <f>MIN(C118:P118)</f>
        <v>6</v>
      </c>
    </row>
    <row r="139" ht="15.75" customHeight="1">
      <c r="S139" s="13" t="s">
        <v>234</v>
      </c>
      <c r="T139" s="13">
        <f>STDEV(C118:P118)</f>
        <v>1.705947364</v>
      </c>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c r="A154" s="221" t="str">
        <f>'Entry Sheet'!A86</f>
        <v>CHAMPS</v>
      </c>
      <c r="B154" s="221"/>
      <c r="C154" s="221"/>
      <c r="D154" s="221"/>
      <c r="E154" s="221"/>
      <c r="F154" s="221"/>
      <c r="G154" s="221"/>
      <c r="H154" s="221"/>
      <c r="I154" s="221"/>
      <c r="J154" s="221"/>
      <c r="K154" s="221"/>
      <c r="L154" s="221"/>
      <c r="M154" s="221"/>
      <c r="N154" s="221"/>
      <c r="O154" s="221"/>
      <c r="P154" s="221"/>
      <c r="Q154" s="221"/>
      <c r="R154" s="221"/>
      <c r="S154" s="221"/>
      <c r="T154" s="221"/>
    </row>
    <row r="155" ht="15.75" customHeight="1">
      <c r="B155" s="13" t="str">
        <f>'Entry Sheet'!B87</f>
        <v>Week 1</v>
      </c>
      <c r="C155" s="13" t="str">
        <f>'Entry Sheet'!D87</f>
        <v>Week 2</v>
      </c>
      <c r="D155" s="13" t="str">
        <f>'Entry Sheet'!F87</f>
        <v>Week 3</v>
      </c>
      <c r="E155" s="13" t="str">
        <f>'Entry Sheet'!H87</f>
        <v>Week 4</v>
      </c>
      <c r="F155" s="13" t="str">
        <f>'Entry Sheet'!J87</f>
        <v>Week 5</v>
      </c>
      <c r="G155" s="13" t="str">
        <f>'Entry Sheet'!L87</f>
        <v>Week 6</v>
      </c>
      <c r="H155" s="13" t="str">
        <f>'Entry Sheet'!N87</f>
        <v>Week 7</v>
      </c>
      <c r="I155" s="13" t="str">
        <f>'Entry Sheet'!P87</f>
        <v>Week 8</v>
      </c>
      <c r="J155" s="13" t="str">
        <f>'Entry Sheet'!R87</f>
        <v>Week 9</v>
      </c>
      <c r="K155" s="13" t="str">
        <f>'Entry Sheet'!T87</f>
        <v>Week 10</v>
      </c>
      <c r="L155" s="13" t="str">
        <f>'Entry Sheet'!V87</f>
        <v>Week 11</v>
      </c>
      <c r="M155" s="13" t="str">
        <f>'Entry Sheet'!X87</f>
        <v>Week 12</v>
      </c>
      <c r="N155" s="13" t="str">
        <f>'Entry Sheet'!Z87</f>
        <v>Week 13</v>
      </c>
      <c r="O155" s="13" t="str">
        <f>'Entry Sheet'!AB87</f>
        <v>Week 14</v>
      </c>
      <c r="P155" s="13" t="str">
        <f>'Entry Sheet'!AD87</f>
        <v>Finale</v>
      </c>
      <c r="R155" s="13" t="s">
        <v>100</v>
      </c>
      <c r="S155" s="13" t="s">
        <v>202</v>
      </c>
      <c r="T155" s="224">
        <f>AVERAGEIF(B157:O157,"&lt;&gt;0")</f>
        <v>23.38142857</v>
      </c>
    </row>
    <row r="156" ht="15.75" customHeight="1">
      <c r="A156" s="13" t="str">
        <f>'Entry Sheet'!A88</f>
        <v>Team Rank</v>
      </c>
      <c r="B156" s="13">
        <f>'Entry Sheet'!B88</f>
        <v>6</v>
      </c>
      <c r="C156" s="13">
        <f>'Entry Sheet'!D88</f>
        <v>1</v>
      </c>
      <c r="D156" s="13">
        <f>'Entry Sheet'!F88</f>
        <v>5</v>
      </c>
      <c r="E156" s="13">
        <f>'Entry Sheet'!H88</f>
        <v>5</v>
      </c>
      <c r="F156" s="13">
        <f>'Entry Sheet'!J88</f>
        <v>5</v>
      </c>
      <c r="G156" s="13">
        <f>'Entry Sheet'!L88</f>
        <v>6</v>
      </c>
      <c r="H156" s="13">
        <f>'Entry Sheet'!N88</f>
        <v>7</v>
      </c>
      <c r="I156" s="13">
        <f>'Entry Sheet'!P88</f>
        <v>6</v>
      </c>
      <c r="J156" s="13">
        <f>'Entry Sheet'!R88</f>
        <v>8</v>
      </c>
      <c r="K156" s="13">
        <f>'Entry Sheet'!T88</f>
        <v>5</v>
      </c>
      <c r="L156" s="13">
        <f>'Entry Sheet'!V88</f>
        <v>5</v>
      </c>
      <c r="M156" s="13">
        <f>'Entry Sheet'!X88</f>
        <v>6</v>
      </c>
      <c r="N156" s="13">
        <f>'Entry Sheet'!Z88</f>
        <v>6</v>
      </c>
      <c r="O156" s="13">
        <f>'Entry Sheet'!AB88</f>
        <v>6</v>
      </c>
      <c r="P156" s="13" t="str">
        <f>'Entry Sheet'!AD88</f>
        <v/>
      </c>
      <c r="S156" s="13" t="s">
        <v>207</v>
      </c>
      <c r="T156" s="224">
        <f>MAX(B157:O157)</f>
        <v>38.82</v>
      </c>
    </row>
    <row r="157" ht="15.75" customHeight="1">
      <c r="A157" s="13" t="str">
        <f>'Entry Sheet'!A89</f>
        <v>QB</v>
      </c>
      <c r="B157" s="13">
        <f>'Entry Sheet'!C89</f>
        <v>38.82</v>
      </c>
      <c r="C157" s="13">
        <f>'Entry Sheet'!E89</f>
        <v>25.88</v>
      </c>
      <c r="D157" s="13">
        <f>'Entry Sheet'!G89</f>
        <v>18.8</v>
      </c>
      <c r="E157" s="13">
        <f>'Entry Sheet'!I89</f>
        <v>14.02</v>
      </c>
      <c r="F157" s="13">
        <f>'Entry Sheet'!K89</f>
        <v>19.24</v>
      </c>
      <c r="G157" s="13">
        <f>'Entry Sheet'!M89</f>
        <v>30.24</v>
      </c>
      <c r="H157" s="13">
        <f>'Entry Sheet'!O89</f>
        <v>20.94</v>
      </c>
      <c r="I157" s="13">
        <f>'Entry Sheet'!Q89</f>
        <v>33.38</v>
      </c>
      <c r="J157" s="13">
        <f>'Entry Sheet'!S89</f>
        <v>33.6</v>
      </c>
      <c r="K157" s="13">
        <f>'Entry Sheet'!U89</f>
        <v>18.6</v>
      </c>
      <c r="L157" s="13">
        <f>'Entry Sheet'!W89</f>
        <v>3.24</v>
      </c>
      <c r="M157" s="13">
        <f>'Entry Sheet'!Y89</f>
        <v>8.76</v>
      </c>
      <c r="N157" s="13">
        <f>'Entry Sheet'!AA89</f>
        <v>35.46</v>
      </c>
      <c r="O157" s="13">
        <f>'Entry Sheet'!AC89</f>
        <v>26.36</v>
      </c>
      <c r="Q157" s="224"/>
      <c r="R157" s="13" t="s">
        <v>106</v>
      </c>
      <c r="S157" s="13" t="s">
        <v>202</v>
      </c>
      <c r="T157" s="224">
        <f>AVERAGEIF(B158:O160,"&lt;&gt;0")</f>
        <v>18.73214286</v>
      </c>
    </row>
    <row r="158" ht="15.75" customHeight="1">
      <c r="A158" s="13" t="str">
        <f>'Entry Sheet'!A90</f>
        <v>RB</v>
      </c>
      <c r="B158" s="13">
        <f>'Entry Sheet'!C90</f>
        <v>15.9</v>
      </c>
      <c r="C158" s="13">
        <f>'Entry Sheet'!E90</f>
        <v>20.6</v>
      </c>
      <c r="D158" s="13">
        <f>'Entry Sheet'!G90</f>
        <v>29.1</v>
      </c>
      <c r="E158" s="13">
        <f>'Entry Sheet'!I90</f>
        <v>19.2</v>
      </c>
      <c r="F158" s="13">
        <f>'Entry Sheet'!K90</f>
        <v>17.9</v>
      </c>
      <c r="G158" s="13">
        <f>'Entry Sheet'!M90</f>
        <v>33.8</v>
      </c>
      <c r="H158" s="13">
        <f>'Entry Sheet'!O90</f>
        <v>20.1</v>
      </c>
      <c r="I158" s="13">
        <f>'Entry Sheet'!Q90</f>
        <v>14.8</v>
      </c>
      <c r="J158" s="13">
        <f>'Entry Sheet'!S90</f>
        <v>20.9</v>
      </c>
      <c r="K158" s="13">
        <f>'Entry Sheet'!U90</f>
        <v>21.8</v>
      </c>
      <c r="L158" s="13">
        <f>'Entry Sheet'!W90</f>
        <v>4.7</v>
      </c>
      <c r="M158" s="13">
        <f>'Entry Sheet'!Y90</f>
        <v>7.4</v>
      </c>
      <c r="N158" s="13">
        <f>'Entry Sheet'!AA90</f>
        <v>14.5</v>
      </c>
      <c r="O158" s="13">
        <f>'Entry Sheet'!AC90</f>
        <v>19</v>
      </c>
      <c r="Q158" s="224"/>
      <c r="S158" s="13" t="s">
        <v>207</v>
      </c>
      <c r="T158" s="224">
        <f>MAX(B158:O160)</f>
        <v>33.9</v>
      </c>
    </row>
    <row r="159" ht="15.75" customHeight="1">
      <c r="A159" s="13" t="str">
        <f>'Entry Sheet'!A91</f>
        <v>RB</v>
      </c>
      <c r="B159" s="13">
        <f>'Entry Sheet'!C91</f>
        <v>15.9</v>
      </c>
      <c r="C159" s="13">
        <f>'Entry Sheet'!E91</f>
        <v>16.7</v>
      </c>
      <c r="D159" s="13">
        <f>'Entry Sheet'!G91</f>
        <v>14</v>
      </c>
      <c r="E159" s="13">
        <f>'Entry Sheet'!I91</f>
        <v>33.9</v>
      </c>
      <c r="F159" s="13">
        <f>'Entry Sheet'!K91</f>
        <v>32.5</v>
      </c>
      <c r="G159" s="13">
        <f>'Entry Sheet'!M91</f>
        <v>18</v>
      </c>
      <c r="H159" s="13">
        <f>'Entry Sheet'!O91</f>
        <v>9.7</v>
      </c>
      <c r="I159" s="13">
        <f>'Entry Sheet'!Q91</f>
        <v>26.7</v>
      </c>
      <c r="J159" s="13">
        <f>'Entry Sheet'!S91</f>
        <v>20.3</v>
      </c>
      <c r="K159" s="13">
        <f>'Entry Sheet'!U91</f>
        <v>23.8</v>
      </c>
      <c r="L159" s="13">
        <f>'Entry Sheet'!W91</f>
        <v>17.8</v>
      </c>
      <c r="M159" s="13">
        <f>'Entry Sheet'!Y91</f>
        <v>7.2</v>
      </c>
      <c r="N159" s="13">
        <f>'Entry Sheet'!AA91</f>
        <v>13.4</v>
      </c>
      <c r="O159" s="13">
        <f>'Entry Sheet'!AC91</f>
        <v>14.9</v>
      </c>
      <c r="Q159" s="224"/>
      <c r="R159" s="13" t="s">
        <v>117</v>
      </c>
      <c r="S159" s="13" t="s">
        <v>202</v>
      </c>
      <c r="T159" s="224">
        <f>AVERAGEIF(B161:O164,"&lt;&gt;0")</f>
        <v>14.61785714</v>
      </c>
    </row>
    <row r="160" ht="15.75" customHeight="1">
      <c r="A160" s="13" t="str">
        <f>'Entry Sheet'!A92</f>
        <v>RB</v>
      </c>
      <c r="B160" s="13" t="str">
        <f>'Entry Sheet'!C92</f>
        <v/>
      </c>
      <c r="C160" s="13" t="str">
        <f>'Entry Sheet'!E92</f>
        <v/>
      </c>
      <c r="D160" s="13" t="str">
        <f>'Entry Sheet'!G92</f>
        <v/>
      </c>
      <c r="E160" s="13" t="str">
        <f>'Entry Sheet'!I92</f>
        <v/>
      </c>
      <c r="F160" s="13" t="str">
        <f>'Entry Sheet'!K92</f>
        <v/>
      </c>
      <c r="G160" s="13" t="str">
        <f>'Entry Sheet'!M92</f>
        <v/>
      </c>
      <c r="H160" s="13" t="str">
        <f>'Entry Sheet'!O92</f>
        <v/>
      </c>
      <c r="I160" s="13" t="str">
        <f>'Entry Sheet'!Q92</f>
        <v/>
      </c>
      <c r="J160" s="13" t="str">
        <f>'Entry Sheet'!S92</f>
        <v/>
      </c>
      <c r="K160" s="13" t="str">
        <f>'Entry Sheet'!U92</f>
        <v/>
      </c>
      <c r="L160" s="13" t="str">
        <f>'Entry Sheet'!W92</f>
        <v/>
      </c>
      <c r="M160" s="13" t="str">
        <f>'Entry Sheet'!Y92</f>
        <v/>
      </c>
      <c r="N160" s="13" t="str">
        <f>'Entry Sheet'!AA92</f>
        <v/>
      </c>
      <c r="O160" s="13" t="str">
        <f>'Entry Sheet'!AC92</f>
        <v/>
      </c>
      <c r="Q160" s="224"/>
      <c r="S160" s="13" t="s">
        <v>207</v>
      </c>
      <c r="T160" s="224">
        <f>MAX(B161:O164)</f>
        <v>26.5</v>
      </c>
    </row>
    <row r="161" ht="15.75" customHeight="1">
      <c r="A161" s="13" t="str">
        <f>'Entry Sheet'!A93</f>
        <v>WR</v>
      </c>
      <c r="B161" s="13">
        <f>'Entry Sheet'!C93</f>
        <v>9.1</v>
      </c>
      <c r="C161" s="13">
        <f>'Entry Sheet'!E93</f>
        <v>23.6</v>
      </c>
      <c r="D161" s="13">
        <f>'Entry Sheet'!G93</f>
        <v>14.6</v>
      </c>
      <c r="E161" s="13">
        <f>'Entry Sheet'!I93</f>
        <v>15.6</v>
      </c>
      <c r="F161" s="13">
        <f>'Entry Sheet'!K93</f>
        <v>13.8</v>
      </c>
      <c r="G161" s="13">
        <f>'Entry Sheet'!M93</f>
        <v>7.9</v>
      </c>
      <c r="H161" s="13">
        <f>'Entry Sheet'!O93</f>
        <v>26.5</v>
      </c>
      <c r="I161" s="13">
        <f>'Entry Sheet'!Q93</f>
        <v>23.5</v>
      </c>
      <c r="J161" s="13">
        <f>'Entry Sheet'!S93</f>
        <v>23</v>
      </c>
      <c r="K161" s="13">
        <f>'Entry Sheet'!U93</f>
        <v>19.7</v>
      </c>
      <c r="L161" s="13">
        <f>'Entry Sheet'!W93</f>
        <v>7.1</v>
      </c>
      <c r="M161" s="13">
        <f>'Entry Sheet'!Y93</f>
        <v>23.2</v>
      </c>
      <c r="N161" s="13">
        <f>'Entry Sheet'!AA93</f>
        <v>21.8</v>
      </c>
      <c r="O161" s="13">
        <f>'Entry Sheet'!AC93</f>
        <v>6.9</v>
      </c>
      <c r="Q161" s="224"/>
      <c r="R161" s="13" t="s">
        <v>132</v>
      </c>
      <c r="S161" s="13" t="s">
        <v>202</v>
      </c>
      <c r="T161" s="224">
        <f>AVERAGEIF(B165:O165,"&lt;&gt;0")</f>
        <v>8.492857143</v>
      </c>
    </row>
    <row r="162" ht="15.75" customHeight="1">
      <c r="A162" s="13" t="str">
        <f>'Entry Sheet'!A94</f>
        <v>WR</v>
      </c>
      <c r="B162" s="13">
        <f>'Entry Sheet'!C94</f>
        <v>18.1</v>
      </c>
      <c r="C162" s="13">
        <f>'Entry Sheet'!E94</f>
        <v>4.7</v>
      </c>
      <c r="D162" s="13">
        <f>'Entry Sheet'!G94</f>
        <v>7.4</v>
      </c>
      <c r="E162" s="13">
        <f>'Entry Sheet'!I94</f>
        <v>18.6</v>
      </c>
      <c r="F162" s="13">
        <f>'Entry Sheet'!K94</f>
        <v>13.8</v>
      </c>
      <c r="G162" s="13">
        <f>'Entry Sheet'!M94</f>
        <v>5.2</v>
      </c>
      <c r="H162" s="13">
        <f>'Entry Sheet'!O94</f>
        <v>7.8</v>
      </c>
      <c r="I162" s="13">
        <f>'Entry Sheet'!Q94</f>
        <v>14.4</v>
      </c>
      <c r="J162" s="13">
        <f>'Entry Sheet'!S94</f>
        <v>22.6</v>
      </c>
      <c r="K162" s="13">
        <f>'Entry Sheet'!U94</f>
        <v>14.3</v>
      </c>
      <c r="L162" s="13">
        <f>'Entry Sheet'!W94</f>
        <v>25.1</v>
      </c>
      <c r="M162" s="13">
        <f>'Entry Sheet'!Y94</f>
        <v>13.7</v>
      </c>
      <c r="N162" s="13">
        <f>'Entry Sheet'!AA94</f>
        <v>2.3</v>
      </c>
      <c r="O162" s="13">
        <f>'Entry Sheet'!AC94</f>
        <v>16.9</v>
      </c>
      <c r="Q162" s="224"/>
      <c r="S162" s="13" t="s">
        <v>207</v>
      </c>
      <c r="T162" s="224">
        <f>MAX(B165:O165)</f>
        <v>13.7</v>
      </c>
    </row>
    <row r="163" ht="15.75" customHeight="1">
      <c r="A163" s="13" t="str">
        <f>'Entry Sheet'!A95</f>
        <v>WR</v>
      </c>
      <c r="B163" s="13">
        <f>'Entry Sheet'!C95</f>
        <v>22.5</v>
      </c>
      <c r="C163" s="13">
        <f>'Entry Sheet'!E95</f>
        <v>9</v>
      </c>
      <c r="D163" s="13">
        <f>'Entry Sheet'!G95</f>
        <v>24.4</v>
      </c>
      <c r="E163" s="13">
        <f>'Entry Sheet'!I95</f>
        <v>20.2</v>
      </c>
      <c r="F163" s="13">
        <f>'Entry Sheet'!K95</f>
        <v>19.1</v>
      </c>
      <c r="G163" s="13">
        <f>'Entry Sheet'!M95</f>
        <v>4</v>
      </c>
      <c r="H163" s="13">
        <f>'Entry Sheet'!O95</f>
        <v>20.8</v>
      </c>
      <c r="I163" s="13">
        <f>'Entry Sheet'!Q95</f>
        <v>11.85</v>
      </c>
      <c r="J163" s="13">
        <f>'Entry Sheet'!S95</f>
        <v>21.5</v>
      </c>
      <c r="K163" s="13">
        <f>'Entry Sheet'!U95</f>
        <v>3.9</v>
      </c>
      <c r="L163" s="13">
        <f>'Entry Sheet'!W95</f>
        <v>2.25</v>
      </c>
      <c r="M163" s="13">
        <f>'Entry Sheet'!Y95</f>
        <v>23.35</v>
      </c>
      <c r="N163" s="13">
        <f>'Entry Sheet'!AA95</f>
        <v>5.2</v>
      </c>
      <c r="O163" s="13">
        <f>'Entry Sheet'!AC95</f>
        <v>4.7</v>
      </c>
      <c r="Q163" s="224"/>
      <c r="R163" s="13" t="s">
        <v>136</v>
      </c>
      <c r="S163" s="13" t="s">
        <v>202</v>
      </c>
      <c r="T163" s="224">
        <f>AVERAGEIF(B166:O166,"&lt;&gt;0")</f>
        <v>13.64428571</v>
      </c>
    </row>
    <row r="164" ht="15.75" customHeight="1">
      <c r="A164" s="13" t="str">
        <f>'Entry Sheet'!A96</f>
        <v>WR</v>
      </c>
      <c r="B164" s="13" t="str">
        <f>'Entry Sheet'!C96</f>
        <v/>
      </c>
      <c r="C164" s="13" t="str">
        <f>'Entry Sheet'!E96</f>
        <v/>
      </c>
      <c r="D164" s="13" t="str">
        <f>'Entry Sheet'!G96</f>
        <v/>
      </c>
      <c r="E164" s="13" t="str">
        <f>'Entry Sheet'!I96</f>
        <v/>
      </c>
      <c r="F164" s="13" t="str">
        <f>'Entry Sheet'!K96</f>
        <v/>
      </c>
      <c r="G164" s="13" t="str">
        <f>'Entry Sheet'!M96</f>
        <v/>
      </c>
      <c r="H164" s="13" t="str">
        <f>'Entry Sheet'!O96</f>
        <v/>
      </c>
      <c r="I164" s="13" t="str">
        <f>'Entry Sheet'!Q96</f>
        <v/>
      </c>
      <c r="J164" s="13" t="str">
        <f>'Entry Sheet'!S96</f>
        <v/>
      </c>
      <c r="K164" s="13" t="str">
        <f>'Entry Sheet'!U96</f>
        <v/>
      </c>
      <c r="L164" s="13" t="str">
        <f>'Entry Sheet'!W96</f>
        <v/>
      </c>
      <c r="M164" s="13" t="str">
        <f>'Entry Sheet'!Y96</f>
        <v/>
      </c>
      <c r="N164" s="13" t="str">
        <f>'Entry Sheet'!AA96</f>
        <v/>
      </c>
      <c r="O164" s="13" t="str">
        <f>'Entry Sheet'!AC96</f>
        <v/>
      </c>
      <c r="Q164" s="224"/>
      <c r="S164" s="13" t="s">
        <v>207</v>
      </c>
      <c r="T164" s="224">
        <f>MAX(B166:O166)</f>
        <v>31.6</v>
      </c>
    </row>
    <row r="165" ht="15.75" customHeight="1">
      <c r="A165" s="13" t="str">
        <f>'Entry Sheet'!A97</f>
        <v>TE</v>
      </c>
      <c r="B165" s="13">
        <f>'Entry Sheet'!C97</f>
        <v>6.7</v>
      </c>
      <c r="C165" s="13">
        <f>'Entry Sheet'!E97</f>
        <v>8</v>
      </c>
      <c r="D165" s="13">
        <f>'Entry Sheet'!G97</f>
        <v>11.1</v>
      </c>
      <c r="E165" s="13">
        <f>'Entry Sheet'!I97</f>
        <v>5.8</v>
      </c>
      <c r="F165" s="13">
        <f>'Entry Sheet'!K97</f>
        <v>3.7</v>
      </c>
      <c r="G165" s="13">
        <f>'Entry Sheet'!M97</f>
        <v>5.8</v>
      </c>
      <c r="H165" s="13">
        <f>'Entry Sheet'!O97</f>
        <v>12.9</v>
      </c>
      <c r="I165" s="13">
        <f>'Entry Sheet'!Q97</f>
        <v>13.7</v>
      </c>
      <c r="J165" s="13">
        <f>'Entry Sheet'!S97</f>
        <v>12.1</v>
      </c>
      <c r="K165" s="13">
        <f>'Entry Sheet'!U97</f>
        <v>10.1</v>
      </c>
      <c r="L165" s="13">
        <f>'Entry Sheet'!W97</f>
        <v>1.7</v>
      </c>
      <c r="M165" s="13">
        <f>'Entry Sheet'!Y97</f>
        <v>10.6</v>
      </c>
      <c r="N165" s="13">
        <f>'Entry Sheet'!AA97</f>
        <v>8.9</v>
      </c>
      <c r="O165" s="13">
        <f>'Entry Sheet'!AC97</f>
        <v>7.8</v>
      </c>
      <c r="Q165" s="224"/>
      <c r="R165" s="13" t="s">
        <v>139</v>
      </c>
      <c r="S165" s="13" t="s">
        <v>202</v>
      </c>
      <c r="T165" s="224">
        <f>AVERAGEIF(B167:O167,"&lt;&gt;0")</f>
        <v>18.09</v>
      </c>
    </row>
    <row r="166" ht="15.75" customHeight="1">
      <c r="A166" s="13" t="str">
        <f>'Entry Sheet'!A98</f>
        <v>FLEX</v>
      </c>
      <c r="B166" s="13">
        <f>'Entry Sheet'!C98</f>
        <v>15.7</v>
      </c>
      <c r="C166" s="13">
        <f>'Entry Sheet'!E98</f>
        <v>11.7</v>
      </c>
      <c r="D166" s="13">
        <f>'Entry Sheet'!G98</f>
        <v>31.6</v>
      </c>
      <c r="E166" s="13">
        <f>'Entry Sheet'!I98</f>
        <v>2.1</v>
      </c>
      <c r="F166" s="13">
        <f>'Entry Sheet'!K98</f>
        <v>22.22</v>
      </c>
      <c r="G166" s="13">
        <f>'Entry Sheet'!M98</f>
        <v>4.3</v>
      </c>
      <c r="H166" s="13">
        <f>'Entry Sheet'!O98</f>
        <v>7.2</v>
      </c>
      <c r="I166" s="13">
        <f>'Entry Sheet'!Q98</f>
        <v>10.3</v>
      </c>
      <c r="J166" s="13">
        <f>'Entry Sheet'!S98</f>
        <v>12.1</v>
      </c>
      <c r="K166" s="13">
        <f>'Entry Sheet'!U98</f>
        <v>11.6</v>
      </c>
      <c r="L166" s="13">
        <f>'Entry Sheet'!W98</f>
        <v>5.3</v>
      </c>
      <c r="M166" s="13">
        <f>'Entry Sheet'!Y98</f>
        <v>17.9</v>
      </c>
      <c r="N166" s="13">
        <f>'Entry Sheet'!AA98</f>
        <v>19.8</v>
      </c>
      <c r="O166" s="13">
        <f>'Entry Sheet'!AC98</f>
        <v>19.2</v>
      </c>
      <c r="Q166" s="224"/>
      <c r="S166" s="13" t="s">
        <v>207</v>
      </c>
      <c r="T166" s="224">
        <f>MAX(B167:O167)</f>
        <v>54.64</v>
      </c>
    </row>
    <row r="167" ht="15.75" customHeight="1">
      <c r="A167" s="13" t="str">
        <f>'Entry Sheet'!A99</f>
        <v>D/ST</v>
      </c>
      <c r="B167" s="13">
        <f>'Entry Sheet'!C99</f>
        <v>19.09</v>
      </c>
      <c r="C167" s="13">
        <f>'Entry Sheet'!E99</f>
        <v>15.23</v>
      </c>
      <c r="D167" s="13">
        <f>'Entry Sheet'!G99</f>
        <v>54.64</v>
      </c>
      <c r="E167" s="13">
        <f>'Entry Sheet'!I99</f>
        <v>15.24</v>
      </c>
      <c r="F167" s="13">
        <f>'Entry Sheet'!K99</f>
        <v>11.3</v>
      </c>
      <c r="G167" s="13">
        <f>'Entry Sheet'!M99</f>
        <v>12.3</v>
      </c>
      <c r="H167" s="13">
        <f>'Entry Sheet'!O99</f>
        <v>29.05</v>
      </c>
      <c r="I167" s="13">
        <f>'Entry Sheet'!Q99</f>
        <v>5.54</v>
      </c>
      <c r="J167" s="13">
        <f>'Entry Sheet'!S99</f>
        <v>11.6</v>
      </c>
      <c r="K167" s="13">
        <f>'Entry Sheet'!U99</f>
        <v>19.07</v>
      </c>
      <c r="L167" s="13">
        <f>'Entry Sheet'!W99</f>
        <v>24.83</v>
      </c>
      <c r="M167" s="13">
        <f>'Entry Sheet'!Y99</f>
        <v>21.3</v>
      </c>
      <c r="N167" s="13">
        <f>'Entry Sheet'!AA99</f>
        <v>8.1</v>
      </c>
      <c r="O167" s="13">
        <f>'Entry Sheet'!AC99</f>
        <v>5.97</v>
      </c>
      <c r="Q167" s="224"/>
      <c r="R167" s="13" t="s">
        <v>146</v>
      </c>
      <c r="S167" s="13" t="s">
        <v>202</v>
      </c>
      <c r="T167" s="224">
        <f>AVERAGEIF(B168:O168,"&lt;&gt;0")</f>
        <v>10.03571429</v>
      </c>
    </row>
    <row r="168" ht="15.75" customHeight="1">
      <c r="A168" s="13" t="str">
        <f>'Entry Sheet'!A100</f>
        <v>K</v>
      </c>
      <c r="B168" s="13">
        <f>'Entry Sheet'!C100</f>
        <v>9</v>
      </c>
      <c r="C168" s="13">
        <f>'Entry Sheet'!E100</f>
        <v>8</v>
      </c>
      <c r="D168" s="13">
        <f>'Entry Sheet'!G100</f>
        <v>7</v>
      </c>
      <c r="E168" s="13">
        <f>'Entry Sheet'!I100</f>
        <v>5</v>
      </c>
      <c r="F168" s="13">
        <f>'Entry Sheet'!K100</f>
        <v>7</v>
      </c>
      <c r="G168" s="13">
        <f>'Entry Sheet'!M100</f>
        <v>17</v>
      </c>
      <c r="H168" s="13">
        <f>'Entry Sheet'!O100</f>
        <v>7</v>
      </c>
      <c r="I168" s="13">
        <f>'Entry Sheet'!Q100</f>
        <v>10</v>
      </c>
      <c r="J168" s="13">
        <f>'Entry Sheet'!S100</f>
        <v>9.5</v>
      </c>
      <c r="K168" s="13">
        <f>'Entry Sheet'!U100</f>
        <v>14</v>
      </c>
      <c r="L168" s="13">
        <f>'Entry Sheet'!W100</f>
        <v>8</v>
      </c>
      <c r="M168" s="13">
        <f>'Entry Sheet'!Y100</f>
        <v>8</v>
      </c>
      <c r="N168" s="13">
        <f>'Entry Sheet'!AA100</f>
        <v>10</v>
      </c>
      <c r="O168" s="13">
        <f>'Entry Sheet'!AC100</f>
        <v>21</v>
      </c>
      <c r="Q168" s="224"/>
      <c r="S168" s="13" t="s">
        <v>207</v>
      </c>
      <c r="T168" s="224">
        <f>MAX(B168:O168)</f>
        <v>21</v>
      </c>
    </row>
    <row r="169" ht="15.75" customHeight="1">
      <c r="A169" s="13" t="str">
        <f>'Entry Sheet'!A101</f>
        <v>HC</v>
      </c>
      <c r="B169" s="13">
        <f>'Entry Sheet'!C101</f>
        <v>7.1</v>
      </c>
      <c r="C169" s="13">
        <f>'Entry Sheet'!E101</f>
        <v>11.3</v>
      </c>
      <c r="D169" s="13">
        <f>'Entry Sheet'!G101</f>
        <v>20.3</v>
      </c>
      <c r="E169" s="13">
        <f>'Entry Sheet'!I101</f>
        <v>9.5</v>
      </c>
      <c r="F169" s="13">
        <f>'Entry Sheet'!K101</f>
        <v>4.3</v>
      </c>
      <c r="G169" s="13">
        <f>'Entry Sheet'!M101</f>
        <v>10.9</v>
      </c>
      <c r="H169" s="13">
        <f>'Entry Sheet'!O101</f>
        <v>7.3</v>
      </c>
      <c r="I169" s="13">
        <f>'Entry Sheet'!Q101</f>
        <v>11.8</v>
      </c>
      <c r="J169" s="13">
        <f>'Entry Sheet'!S101</f>
        <v>16.4</v>
      </c>
      <c r="K169" s="13">
        <f>'Entry Sheet'!U101</f>
        <v>11.1</v>
      </c>
      <c r="L169" s="13">
        <f>'Entry Sheet'!W101</f>
        <v>18.2</v>
      </c>
      <c r="M169" s="13">
        <f>'Entry Sheet'!Y101</f>
        <v>10.9</v>
      </c>
      <c r="N169" s="13">
        <f>'Entry Sheet'!AA101</f>
        <v>-1.8</v>
      </c>
      <c r="O169" s="13">
        <f>'Entry Sheet'!AC101</f>
        <v>3.6</v>
      </c>
      <c r="Q169" s="224"/>
      <c r="R169" s="13" t="s">
        <v>162</v>
      </c>
      <c r="S169" s="13" t="s">
        <v>202</v>
      </c>
      <c r="T169" s="224">
        <f>AVERAGEIF(B169:O169,"&lt;&gt;0")</f>
        <v>10.06428571</v>
      </c>
    </row>
    <row r="170" ht="15.75" customHeight="1">
      <c r="A170" s="13" t="str">
        <f>'Entry Sheet'!A102</f>
        <v>Total Score</v>
      </c>
      <c r="B170" s="13">
        <f>'Entry Sheet'!B102</f>
        <v>177.91</v>
      </c>
      <c r="C170" s="13">
        <f>'Entry Sheet'!D102</f>
        <v>154.71</v>
      </c>
      <c r="D170" s="13">
        <f>'Entry Sheet'!F102</f>
        <v>232.94</v>
      </c>
      <c r="E170" s="13">
        <f>'Entry Sheet'!H102</f>
        <v>159.16</v>
      </c>
      <c r="F170" s="13">
        <f>'Entry Sheet'!J102</f>
        <v>164.86</v>
      </c>
      <c r="G170" s="13">
        <f>'Entry Sheet'!L102</f>
        <v>149.44</v>
      </c>
      <c r="H170" s="13">
        <f>'Entry Sheet'!N102</f>
        <v>169.29</v>
      </c>
      <c r="I170" s="13">
        <f>'Entry Sheet'!P102</f>
        <v>175.97</v>
      </c>
      <c r="J170" s="13">
        <f>'Entry Sheet'!R102</f>
        <v>203.6</v>
      </c>
      <c r="K170" s="13">
        <f>'Entry Sheet'!T102</f>
        <v>167.97</v>
      </c>
      <c r="L170" s="13">
        <f>'Entry Sheet'!V102</f>
        <v>118.22</v>
      </c>
      <c r="M170" s="13">
        <f>'Entry Sheet'!X102</f>
        <v>152.31</v>
      </c>
      <c r="N170" s="13">
        <f>'Entry Sheet'!Z102</f>
        <v>137.66</v>
      </c>
      <c r="O170" s="13">
        <f>'Entry Sheet'!AB102</f>
        <v>146.33</v>
      </c>
      <c r="Q170" s="224"/>
      <c r="S170" s="13" t="s">
        <v>207</v>
      </c>
      <c r="T170" s="224">
        <f>MAX(B169:O169)</f>
        <v>20.3</v>
      </c>
    </row>
    <row r="171" ht="15.75" customHeight="1">
      <c r="A171" s="13" t="str">
        <f>'Entry Sheet'!A103</f>
        <v>MVP</v>
      </c>
      <c r="B171" s="13">
        <f>'Entry Sheet'!C103</f>
        <v>38.82</v>
      </c>
      <c r="C171" s="13">
        <f>'Entry Sheet'!E103</f>
        <v>25.88</v>
      </c>
      <c r="D171" s="13">
        <f>'Entry Sheet'!G103</f>
        <v>54.64</v>
      </c>
      <c r="E171" s="13">
        <f>'Entry Sheet'!I103</f>
        <v>33.9</v>
      </c>
      <c r="F171" s="13">
        <f>'Entry Sheet'!K103</f>
        <v>32.5</v>
      </c>
      <c r="G171" s="13">
        <f>'Entry Sheet'!M103</f>
        <v>33.8</v>
      </c>
      <c r="H171" s="13">
        <f>'Entry Sheet'!O103</f>
        <v>29.05</v>
      </c>
      <c r="I171" s="13">
        <f>'Entry Sheet'!Q103</f>
        <v>33.38</v>
      </c>
      <c r="J171" s="13">
        <f>'Entry Sheet'!S103</f>
        <v>33.6</v>
      </c>
      <c r="K171" s="13">
        <f>'Entry Sheet'!U103</f>
        <v>23.8</v>
      </c>
      <c r="L171" s="13">
        <f>'Entry Sheet'!W103</f>
        <v>25.1</v>
      </c>
      <c r="M171" s="13">
        <f>'Entry Sheet'!Y103</f>
        <v>23.35</v>
      </c>
      <c r="N171" s="13">
        <f>'Entry Sheet'!AA103</f>
        <v>35.46</v>
      </c>
      <c r="O171" s="13">
        <f>'Entry Sheet'!AC103</f>
        <v>26.36</v>
      </c>
      <c r="Q171" s="224"/>
      <c r="R171" s="13" t="s">
        <v>168</v>
      </c>
      <c r="S171" s="13" t="s">
        <v>207</v>
      </c>
      <c r="T171" s="224">
        <f>MAX(B171:O171)</f>
        <v>54.64</v>
      </c>
    </row>
    <row r="172" ht="15.75" customHeight="1">
      <c r="R172" s="13" t="s">
        <v>167</v>
      </c>
      <c r="S172" s="13" t="s">
        <v>202</v>
      </c>
      <c r="T172" s="224">
        <f>AVERAGEIF(B170:O170,"&lt;&gt;0")</f>
        <v>165.0264286</v>
      </c>
    </row>
    <row r="173" ht="15.75" customHeight="1">
      <c r="S173" s="13" t="s">
        <v>207</v>
      </c>
      <c r="T173" s="224">
        <f>MAX(B170:O170)</f>
        <v>232.94</v>
      </c>
    </row>
    <row r="174" ht="15.75" customHeight="1">
      <c r="S174" s="13" t="s">
        <v>228</v>
      </c>
      <c r="T174" s="13">
        <f>SUM(B170:O170)</f>
        <v>2310.37</v>
      </c>
    </row>
    <row r="175" ht="15.75" customHeight="1">
      <c r="R175" s="13" t="s">
        <v>42</v>
      </c>
      <c r="S175" s="13" t="s">
        <v>202</v>
      </c>
      <c r="T175" s="13">
        <f>AVERAGE(C156:P156)</f>
        <v>5.461538462</v>
      </c>
    </row>
    <row r="176" ht="15.75" customHeight="1">
      <c r="S176" s="13" t="s">
        <v>231</v>
      </c>
      <c r="T176" s="13">
        <f>MIN(C156:P156)</f>
        <v>1</v>
      </c>
    </row>
    <row r="177" ht="15.75" customHeight="1">
      <c r="S177" s="13" t="s">
        <v>234</v>
      </c>
      <c r="T177" s="13">
        <f>STDEV(C156:P156)</f>
        <v>1.613246448</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c r="A192" s="221" t="str">
        <f>'Entry Sheet'!A107</f>
        <v>METAMOOKDAWGS</v>
      </c>
      <c r="B192" s="221"/>
      <c r="C192" s="221"/>
      <c r="D192" s="221"/>
      <c r="E192" s="221"/>
      <c r="F192" s="221"/>
      <c r="G192" s="221"/>
      <c r="H192" s="221"/>
      <c r="I192" s="221"/>
      <c r="J192" s="221"/>
      <c r="K192" s="221"/>
      <c r="L192" s="221"/>
      <c r="M192" s="221"/>
      <c r="N192" s="221"/>
      <c r="O192" s="221"/>
      <c r="P192" s="221"/>
      <c r="Q192" s="221"/>
      <c r="R192" s="221"/>
      <c r="S192" s="221"/>
      <c r="T192" s="221"/>
    </row>
    <row r="193" ht="15.75" customHeight="1">
      <c r="B193" s="13" t="str">
        <f>'Entry Sheet'!B108</f>
        <v>Week 1</v>
      </c>
      <c r="C193" s="13" t="str">
        <f>'Entry Sheet'!D108</f>
        <v>Week 2</v>
      </c>
      <c r="D193" s="13" t="str">
        <f>'Entry Sheet'!F108</f>
        <v>Week 3</v>
      </c>
      <c r="E193" s="13" t="str">
        <f>'Entry Sheet'!H108</f>
        <v>Week 4</v>
      </c>
      <c r="F193" s="13" t="str">
        <f>'Entry Sheet'!J108</f>
        <v>Week 5</v>
      </c>
      <c r="G193" s="13" t="str">
        <f>'Entry Sheet'!L108</f>
        <v>Week 6</v>
      </c>
      <c r="H193" s="13" t="str">
        <f>'Entry Sheet'!N108</f>
        <v>Week 7</v>
      </c>
      <c r="I193" s="13" t="str">
        <f>'Entry Sheet'!P108</f>
        <v>Week 8</v>
      </c>
      <c r="J193" s="13" t="str">
        <f>'Entry Sheet'!R108</f>
        <v>Week 9</v>
      </c>
      <c r="K193" s="13" t="str">
        <f>'Entry Sheet'!T108</f>
        <v>Week 10</v>
      </c>
      <c r="L193" s="13" t="str">
        <f>'Entry Sheet'!V108</f>
        <v>Week 11</v>
      </c>
      <c r="M193" s="13" t="str">
        <f>'Entry Sheet'!X108</f>
        <v>Week 12</v>
      </c>
      <c r="N193" s="13" t="str">
        <f>'Entry Sheet'!Z108</f>
        <v>Week 13</v>
      </c>
      <c r="O193" s="13" t="str">
        <f>'Entry Sheet'!AB108</f>
        <v>Week 14</v>
      </c>
      <c r="P193" s="13" t="str">
        <f>'Entry Sheet'!AD108</f>
        <v>Finale</v>
      </c>
      <c r="R193" s="13" t="s">
        <v>100</v>
      </c>
      <c r="S193" s="13" t="s">
        <v>202</v>
      </c>
      <c r="T193" s="224">
        <f>AVERAGEIF(B195:O195,"&lt;&gt;0")</f>
        <v>23.95857143</v>
      </c>
    </row>
    <row r="194" ht="15.75" customHeight="1">
      <c r="A194" s="13" t="str">
        <f>'Entry Sheet'!A109</f>
        <v>Team Rank</v>
      </c>
      <c r="B194" s="13">
        <f>'Entry Sheet'!B109</f>
        <v>3</v>
      </c>
      <c r="C194" s="13">
        <f>'Entry Sheet'!D109</f>
        <v>7</v>
      </c>
      <c r="D194" s="13">
        <f>'Entry Sheet'!F109</f>
        <v>9</v>
      </c>
      <c r="E194" s="13">
        <f>'Entry Sheet'!H109</f>
        <v>7</v>
      </c>
      <c r="F194" s="13">
        <f>'Entry Sheet'!J109</f>
        <v>7</v>
      </c>
      <c r="G194" s="13">
        <f>'Entry Sheet'!L109</f>
        <v>8</v>
      </c>
      <c r="H194" s="13">
        <f>'Entry Sheet'!N109</f>
        <v>8</v>
      </c>
      <c r="I194" s="13">
        <f>'Entry Sheet'!P109</f>
        <v>10</v>
      </c>
      <c r="J194" s="13">
        <f>'Entry Sheet'!R109</f>
        <v>9</v>
      </c>
      <c r="K194" s="13">
        <f>'Entry Sheet'!T109</f>
        <v>7</v>
      </c>
      <c r="L194" s="13">
        <f>'Entry Sheet'!V109</f>
        <v>7</v>
      </c>
      <c r="M194" s="13">
        <f>'Entry Sheet'!X109</f>
        <v>8</v>
      </c>
      <c r="N194" s="13">
        <f>'Entry Sheet'!Z109</f>
        <v>8</v>
      </c>
      <c r="O194" s="13">
        <f>'Entry Sheet'!AB109</f>
        <v>9</v>
      </c>
      <c r="P194" s="13" t="str">
        <f>'Entry Sheet'!AD109</f>
        <v/>
      </c>
      <c r="S194" s="13" t="s">
        <v>207</v>
      </c>
      <c r="T194" s="224">
        <f>MAX(B195:O195)</f>
        <v>37.94</v>
      </c>
    </row>
    <row r="195" ht="15.75" customHeight="1">
      <c r="A195" s="13" t="str">
        <f>'Entry Sheet'!A110</f>
        <v>QB</v>
      </c>
      <c r="B195" s="13">
        <f>'Entry Sheet'!C110</f>
        <v>28.68</v>
      </c>
      <c r="C195" s="13">
        <f>'Entry Sheet'!E110</f>
        <v>14.04</v>
      </c>
      <c r="D195" s="13">
        <f>'Entry Sheet'!G110</f>
        <v>37.94</v>
      </c>
      <c r="E195" s="13">
        <f>'Entry Sheet'!I110</f>
        <v>25.5</v>
      </c>
      <c r="F195" s="13">
        <f>'Entry Sheet'!K110</f>
        <v>25.3</v>
      </c>
      <c r="G195" s="13">
        <f>'Entry Sheet'!M110</f>
        <v>25.52</v>
      </c>
      <c r="H195" s="13">
        <f>'Entry Sheet'!O110</f>
        <v>34.44</v>
      </c>
      <c r="I195" s="13">
        <f>'Entry Sheet'!Q110</f>
        <v>35.76</v>
      </c>
      <c r="J195" s="13">
        <f>'Entry Sheet'!S110</f>
        <v>22.16</v>
      </c>
      <c r="K195" s="13">
        <f>'Entry Sheet'!U110</f>
        <v>15.32</v>
      </c>
      <c r="L195" s="13">
        <f>'Entry Sheet'!W110</f>
        <v>15.5</v>
      </c>
      <c r="M195" s="13">
        <f>'Entry Sheet'!Y110</f>
        <v>36.56</v>
      </c>
      <c r="N195" s="13">
        <f>'Entry Sheet'!AA110</f>
        <v>20.7</v>
      </c>
      <c r="O195" s="13">
        <f>'Entry Sheet'!AC110</f>
        <v>-2</v>
      </c>
      <c r="Q195" s="224"/>
      <c r="R195" s="13" t="s">
        <v>106</v>
      </c>
      <c r="S195" s="13" t="s">
        <v>202</v>
      </c>
      <c r="T195" s="224">
        <f>AVERAGEIF(B196:O198,"&lt;&gt;0")</f>
        <v>16.15535714</v>
      </c>
    </row>
    <row r="196" ht="15.75" customHeight="1">
      <c r="A196" s="13" t="str">
        <f>'Entry Sheet'!A111</f>
        <v>RB</v>
      </c>
      <c r="B196" s="13">
        <f>'Entry Sheet'!C111</f>
        <v>20.2</v>
      </c>
      <c r="C196" s="13">
        <f>'Entry Sheet'!E111</f>
        <v>19.6</v>
      </c>
      <c r="D196" s="13">
        <f>'Entry Sheet'!G111</f>
        <v>11.3</v>
      </c>
      <c r="E196" s="13">
        <f>'Entry Sheet'!I111</f>
        <v>19.3</v>
      </c>
      <c r="F196" s="13">
        <f>'Entry Sheet'!K111</f>
        <v>18.4</v>
      </c>
      <c r="G196" s="13">
        <f>'Entry Sheet'!M111</f>
        <v>9.9</v>
      </c>
      <c r="H196" s="13">
        <f>'Entry Sheet'!O111</f>
        <v>7</v>
      </c>
      <c r="I196" s="13">
        <f>'Entry Sheet'!Q111</f>
        <v>35.8</v>
      </c>
      <c r="J196" s="13">
        <f>'Entry Sheet'!S111</f>
        <v>19.5</v>
      </c>
      <c r="K196" s="13">
        <f>'Entry Sheet'!U111</f>
        <v>15.3</v>
      </c>
      <c r="L196" s="13">
        <f>'Entry Sheet'!W111</f>
        <v>8.9</v>
      </c>
      <c r="M196" s="13">
        <f>'Entry Sheet'!Y111</f>
        <v>24</v>
      </c>
      <c r="N196" s="13">
        <f>'Entry Sheet'!AA111</f>
        <v>22.5</v>
      </c>
      <c r="O196" s="13">
        <f>'Entry Sheet'!AC111</f>
        <v>23.7</v>
      </c>
      <c r="Q196" s="224"/>
      <c r="S196" s="13" t="s">
        <v>207</v>
      </c>
      <c r="T196" s="224">
        <f>MAX(B196:O198)</f>
        <v>35.8</v>
      </c>
    </row>
    <row r="197" ht="15.75" customHeight="1">
      <c r="A197" s="13" t="str">
        <f>'Entry Sheet'!A112</f>
        <v>RB</v>
      </c>
      <c r="B197" s="13">
        <f>'Entry Sheet'!C112</f>
        <v>9.6</v>
      </c>
      <c r="C197" s="13">
        <f>'Entry Sheet'!E112</f>
        <v>13.3</v>
      </c>
      <c r="D197" s="13">
        <f>'Entry Sheet'!G112</f>
        <v>28.3</v>
      </c>
      <c r="E197" s="13">
        <f>'Entry Sheet'!I112</f>
        <v>29.7</v>
      </c>
      <c r="F197" s="13">
        <f>'Entry Sheet'!K112</f>
        <v>14.2</v>
      </c>
      <c r="G197" s="13">
        <f>'Entry Sheet'!M112</f>
        <v>6.7</v>
      </c>
      <c r="H197" s="13">
        <f>'Entry Sheet'!O112</f>
        <v>7.6</v>
      </c>
      <c r="I197" s="13">
        <f>'Entry Sheet'!Q112</f>
        <v>26.1</v>
      </c>
      <c r="J197" s="13">
        <f>'Entry Sheet'!S112</f>
        <v>13.6</v>
      </c>
      <c r="K197" s="13">
        <f>'Entry Sheet'!U112</f>
        <v>5.95</v>
      </c>
      <c r="L197" s="13">
        <f>'Entry Sheet'!W112</f>
        <v>14.5</v>
      </c>
      <c r="M197" s="13">
        <f>'Entry Sheet'!Y112</f>
        <v>6.8</v>
      </c>
      <c r="N197" s="13">
        <f>'Entry Sheet'!AA112</f>
        <v>10.4</v>
      </c>
      <c r="O197" s="13">
        <f>'Entry Sheet'!AC112</f>
        <v>10.2</v>
      </c>
      <c r="Q197" s="224"/>
      <c r="R197" s="13" t="s">
        <v>117</v>
      </c>
      <c r="S197" s="13" t="s">
        <v>202</v>
      </c>
      <c r="T197" s="224">
        <f>AVERAGEIF(B199:O202,"&lt;&gt;0")</f>
        <v>15.9575</v>
      </c>
    </row>
    <row r="198" ht="15.75" customHeight="1">
      <c r="A198" s="13" t="str">
        <f>'Entry Sheet'!A113</f>
        <v>RB</v>
      </c>
      <c r="B198" s="13" t="str">
        <f>'Entry Sheet'!C113</f>
        <v/>
      </c>
      <c r="C198" s="13" t="str">
        <f>'Entry Sheet'!E113</f>
        <v/>
      </c>
      <c r="D198" s="13" t="str">
        <f>'Entry Sheet'!G113</f>
        <v/>
      </c>
      <c r="E198" s="13" t="str">
        <f>'Entry Sheet'!I113</f>
        <v/>
      </c>
      <c r="F198" s="13" t="str">
        <f>'Entry Sheet'!K113</f>
        <v/>
      </c>
      <c r="G198" s="13" t="str">
        <f>'Entry Sheet'!M113</f>
        <v/>
      </c>
      <c r="H198" s="13" t="str">
        <f>'Entry Sheet'!O113</f>
        <v/>
      </c>
      <c r="I198" s="13" t="str">
        <f>'Entry Sheet'!Q113</f>
        <v/>
      </c>
      <c r="J198" s="13" t="str">
        <f>'Entry Sheet'!S113</f>
        <v/>
      </c>
      <c r="K198" s="13" t="str">
        <f>'Entry Sheet'!U113</f>
        <v/>
      </c>
      <c r="L198" s="13" t="str">
        <f>'Entry Sheet'!W113</f>
        <v/>
      </c>
      <c r="M198" s="13" t="str">
        <f>'Entry Sheet'!Y113</f>
        <v/>
      </c>
      <c r="N198" s="13" t="str">
        <f>'Entry Sheet'!AA113</f>
        <v/>
      </c>
      <c r="O198" s="13" t="str">
        <f>'Entry Sheet'!AC113</f>
        <v/>
      </c>
      <c r="Q198" s="224"/>
      <c r="S198" s="13" t="s">
        <v>207</v>
      </c>
      <c r="T198" s="224">
        <f>MAX(B199:O202)</f>
        <v>38.2</v>
      </c>
    </row>
    <row r="199" ht="15.75" customHeight="1">
      <c r="A199" s="13" t="str">
        <f>'Entry Sheet'!A114</f>
        <v>WR</v>
      </c>
      <c r="B199" s="13">
        <f>'Entry Sheet'!C114</f>
        <v>5.5</v>
      </c>
      <c r="C199" s="13">
        <f>'Entry Sheet'!E114</f>
        <v>14.2</v>
      </c>
      <c r="D199" s="13">
        <f>'Entry Sheet'!G114</f>
        <v>23.4</v>
      </c>
      <c r="E199" s="13">
        <f>'Entry Sheet'!I114</f>
        <v>11.9</v>
      </c>
      <c r="F199" s="13">
        <f>'Entry Sheet'!K114</f>
        <v>16.1</v>
      </c>
      <c r="G199" s="13">
        <f>'Entry Sheet'!M114</f>
        <v>31.2</v>
      </c>
      <c r="H199" s="13">
        <f>'Entry Sheet'!O114</f>
        <v>6.7</v>
      </c>
      <c r="I199" s="13">
        <f>'Entry Sheet'!Q114</f>
        <v>16.5</v>
      </c>
      <c r="J199" s="13">
        <f>'Entry Sheet'!S114</f>
        <v>14.5</v>
      </c>
      <c r="K199" s="13">
        <f>'Entry Sheet'!U114</f>
        <v>23.6</v>
      </c>
      <c r="L199" s="13">
        <f>'Entry Sheet'!W114</f>
        <v>24.2</v>
      </c>
      <c r="M199" s="13">
        <f>'Entry Sheet'!Y114</f>
        <v>8.5</v>
      </c>
      <c r="N199" s="13">
        <f>'Entry Sheet'!AA114</f>
        <v>21.6</v>
      </c>
      <c r="O199" s="13">
        <f>'Entry Sheet'!AC114</f>
        <v>17.1</v>
      </c>
      <c r="Q199" s="224"/>
      <c r="R199" s="13" t="s">
        <v>132</v>
      </c>
      <c r="S199" s="13" t="s">
        <v>202</v>
      </c>
      <c r="T199" s="224">
        <f>AVERAGEIF(B203:O203,"&lt;&gt;0")</f>
        <v>8.178571429</v>
      </c>
    </row>
    <row r="200" ht="15.75" customHeight="1">
      <c r="A200" s="13" t="str">
        <f>'Entry Sheet'!A115</f>
        <v>WR</v>
      </c>
      <c r="B200" s="13">
        <f>'Entry Sheet'!C115</f>
        <v>20.4</v>
      </c>
      <c r="C200" s="13">
        <f>'Entry Sheet'!E115</f>
        <v>19.3</v>
      </c>
      <c r="D200" s="13">
        <f>'Entry Sheet'!G115</f>
        <v>20.6</v>
      </c>
      <c r="E200" s="13">
        <f>'Entry Sheet'!I115</f>
        <v>13.3</v>
      </c>
      <c r="F200" s="13">
        <f>'Entry Sheet'!K115</f>
        <v>3.5</v>
      </c>
      <c r="G200" s="13">
        <f>'Entry Sheet'!M115</f>
        <v>19.5</v>
      </c>
      <c r="H200" s="13">
        <f>'Entry Sheet'!O115</f>
        <v>8</v>
      </c>
      <c r="I200" s="13">
        <f>'Entry Sheet'!Q115</f>
        <v>0</v>
      </c>
      <c r="J200" s="13">
        <f>'Entry Sheet'!S115</f>
        <v>23.1</v>
      </c>
      <c r="K200" s="13">
        <f>'Entry Sheet'!U115</f>
        <v>20.3</v>
      </c>
      <c r="L200" s="13">
        <f>'Entry Sheet'!W115</f>
        <v>21.7</v>
      </c>
      <c r="M200" s="13">
        <f>'Entry Sheet'!Y115</f>
        <v>38.2</v>
      </c>
      <c r="N200" s="13">
        <f>'Entry Sheet'!AA115</f>
        <v>4.3</v>
      </c>
      <c r="O200" s="13">
        <f>'Entry Sheet'!AC115</f>
        <v>28.2</v>
      </c>
      <c r="Q200" s="224"/>
      <c r="S200" s="13" t="s">
        <v>207</v>
      </c>
      <c r="T200" s="224">
        <f>MAX(B203:O203)</f>
        <v>27.1</v>
      </c>
    </row>
    <row r="201" ht="15.75" customHeight="1">
      <c r="A201" s="13" t="str">
        <f>'Entry Sheet'!A116</f>
        <v>WR</v>
      </c>
      <c r="B201" s="13">
        <f>'Entry Sheet'!C116</f>
        <v>11.6</v>
      </c>
      <c r="C201" s="13">
        <f>'Entry Sheet'!E116</f>
        <v>11</v>
      </c>
      <c r="D201" s="13">
        <f>'Entry Sheet'!G116</f>
        <v>12.2</v>
      </c>
      <c r="E201" s="13">
        <f>'Entry Sheet'!I116</f>
        <v>24.6</v>
      </c>
      <c r="F201" s="13">
        <f>'Entry Sheet'!K116</f>
        <v>11.9</v>
      </c>
      <c r="G201" s="13">
        <f>'Entry Sheet'!M116</f>
        <v>12</v>
      </c>
      <c r="H201" s="13">
        <f>'Entry Sheet'!O116</f>
        <v>3.7</v>
      </c>
      <c r="I201" s="13">
        <f>'Entry Sheet'!Q116</f>
        <v>0</v>
      </c>
      <c r="J201" s="13">
        <f>'Entry Sheet'!S116</f>
        <v>2.6</v>
      </c>
      <c r="K201" s="13">
        <f>'Entry Sheet'!U116</f>
        <v>19.8</v>
      </c>
      <c r="L201" s="13">
        <f>'Entry Sheet'!W116</f>
        <v>9.9</v>
      </c>
      <c r="M201" s="13">
        <f>'Entry Sheet'!Y116</f>
        <v>14.6</v>
      </c>
      <c r="N201" s="13">
        <f>'Entry Sheet'!AA116</f>
        <v>6.2</v>
      </c>
      <c r="O201" s="13">
        <f>'Entry Sheet'!AC116</f>
        <v>22.8</v>
      </c>
      <c r="Q201" s="224"/>
      <c r="R201" s="13" t="s">
        <v>136</v>
      </c>
      <c r="S201" s="13" t="s">
        <v>202</v>
      </c>
      <c r="T201" s="224">
        <f>AVERAGEIF(B204:O204,"&lt;&gt;0")</f>
        <v>13.20833333</v>
      </c>
    </row>
    <row r="202" ht="15.75" customHeight="1">
      <c r="A202" s="13" t="str">
        <f>'Entry Sheet'!A117</f>
        <v>WR</v>
      </c>
      <c r="B202" s="13" t="str">
        <f>'Entry Sheet'!C117</f>
        <v/>
      </c>
      <c r="C202" s="13" t="str">
        <f>'Entry Sheet'!E117</f>
        <v/>
      </c>
      <c r="D202" s="13" t="str">
        <f>'Entry Sheet'!G117</f>
        <v/>
      </c>
      <c r="E202" s="13" t="str">
        <f>'Entry Sheet'!I117</f>
        <v/>
      </c>
      <c r="F202" s="13" t="str">
        <f>'Entry Sheet'!K117</f>
        <v/>
      </c>
      <c r="G202" s="13" t="str">
        <f>'Entry Sheet'!M117</f>
        <v/>
      </c>
      <c r="H202" s="13" t="str">
        <f>'Entry Sheet'!O117</f>
        <v/>
      </c>
      <c r="I202" s="13" t="str">
        <f>'Entry Sheet'!Q117</f>
        <v/>
      </c>
      <c r="J202" s="13" t="str">
        <f>'Entry Sheet'!S117</f>
        <v/>
      </c>
      <c r="K202" s="13" t="str">
        <f>'Entry Sheet'!U117</f>
        <v/>
      </c>
      <c r="L202" s="13" t="str">
        <f>'Entry Sheet'!W117</f>
        <v/>
      </c>
      <c r="M202" s="13" t="str">
        <f>'Entry Sheet'!Y117</f>
        <v/>
      </c>
      <c r="N202" s="13" t="str">
        <f>'Entry Sheet'!AA117</f>
        <v/>
      </c>
      <c r="O202" s="13" t="str">
        <f>'Entry Sheet'!AC117</f>
        <v/>
      </c>
      <c r="Q202" s="224"/>
      <c r="S202" s="13" t="s">
        <v>207</v>
      </c>
      <c r="T202" s="224">
        <f>MAX(B204:O204)</f>
        <v>28.2</v>
      </c>
    </row>
    <row r="203" ht="15.75" customHeight="1">
      <c r="A203" s="13" t="str">
        <f>'Entry Sheet'!A118</f>
        <v>TE</v>
      </c>
      <c r="B203" s="13">
        <f>'Entry Sheet'!C118</f>
        <v>1.5</v>
      </c>
      <c r="C203" s="13">
        <f>'Entry Sheet'!E118</f>
        <v>1.5</v>
      </c>
      <c r="D203" s="13">
        <f>'Entry Sheet'!G118</f>
        <v>27.1</v>
      </c>
      <c r="E203" s="13">
        <f>'Entry Sheet'!I118</f>
        <v>10</v>
      </c>
      <c r="F203" s="13">
        <f>'Entry Sheet'!K118</f>
        <v>3.2</v>
      </c>
      <c r="G203" s="13">
        <f>'Entry Sheet'!M118</f>
        <v>6.9</v>
      </c>
      <c r="H203" s="13">
        <f>'Entry Sheet'!O118</f>
        <v>2</v>
      </c>
      <c r="I203" s="13">
        <f>'Entry Sheet'!Q118</f>
        <v>6.4</v>
      </c>
      <c r="J203" s="13">
        <f>'Entry Sheet'!S118</f>
        <v>16.8</v>
      </c>
      <c r="K203" s="13">
        <f>'Entry Sheet'!U118</f>
        <v>10.4</v>
      </c>
      <c r="L203" s="13">
        <f>'Entry Sheet'!W118</f>
        <v>15.8</v>
      </c>
      <c r="M203" s="13">
        <f>'Entry Sheet'!Y118</f>
        <v>2.3</v>
      </c>
      <c r="N203" s="13">
        <f>'Entry Sheet'!AA118</f>
        <v>8.7</v>
      </c>
      <c r="O203" s="13">
        <f>'Entry Sheet'!AC118</f>
        <v>1.9</v>
      </c>
      <c r="Q203" s="224"/>
      <c r="R203" s="13" t="s">
        <v>139</v>
      </c>
      <c r="S203" s="13" t="s">
        <v>202</v>
      </c>
      <c r="T203" s="224">
        <f>AVERAGEIF(B205:O205,"&lt;&gt;0")</f>
        <v>21.66214286</v>
      </c>
    </row>
    <row r="204" ht="15.75" customHeight="1">
      <c r="A204" s="13" t="str">
        <f>'Entry Sheet'!A119</f>
        <v>FLEX</v>
      </c>
      <c r="B204" s="13">
        <f>'Entry Sheet'!C119</f>
        <v>15.6</v>
      </c>
      <c r="C204" s="13">
        <f>'Entry Sheet'!E119</f>
        <v>4.3</v>
      </c>
      <c r="D204" s="13">
        <f>'Entry Sheet'!G119</f>
        <v>7.6</v>
      </c>
      <c r="E204" s="13">
        <f>'Entry Sheet'!I119</f>
        <v>0</v>
      </c>
      <c r="F204" s="13">
        <f>'Entry Sheet'!K119</f>
        <v>28.2</v>
      </c>
      <c r="G204" s="13">
        <f>'Entry Sheet'!M119</f>
        <v>9.3</v>
      </c>
      <c r="H204" s="13">
        <f>'Entry Sheet'!O119</f>
        <v>27.3</v>
      </c>
      <c r="I204" s="13">
        <f>'Entry Sheet'!Q119</f>
        <v>0</v>
      </c>
      <c r="J204" s="13">
        <f>'Entry Sheet'!S119</f>
        <v>5.6</v>
      </c>
      <c r="K204" s="13">
        <f>'Entry Sheet'!U119</f>
        <v>6.5</v>
      </c>
      <c r="L204" s="13">
        <f>'Entry Sheet'!W119</f>
        <v>12.6</v>
      </c>
      <c r="M204" s="13">
        <f>'Entry Sheet'!Y119</f>
        <v>13.4</v>
      </c>
      <c r="N204" s="13">
        <f>'Entry Sheet'!AA119</f>
        <v>6.9</v>
      </c>
      <c r="O204" s="13">
        <f>'Entry Sheet'!AC119</f>
        <v>21.2</v>
      </c>
      <c r="Q204" s="224"/>
      <c r="S204" s="13" t="s">
        <v>207</v>
      </c>
      <c r="T204" s="224">
        <f>MAX(B205:O205)</f>
        <v>34.72</v>
      </c>
    </row>
    <row r="205" ht="15.75" customHeight="1">
      <c r="A205" s="13" t="str">
        <f>'Entry Sheet'!A120</f>
        <v>D/ST</v>
      </c>
      <c r="B205" s="13">
        <f>'Entry Sheet'!C120</f>
        <v>25.21</v>
      </c>
      <c r="C205" s="13">
        <f>'Entry Sheet'!E120</f>
        <v>30.05</v>
      </c>
      <c r="D205" s="13">
        <f>'Entry Sheet'!G120</f>
        <v>34.72</v>
      </c>
      <c r="E205" s="13">
        <f>'Entry Sheet'!I120</f>
        <v>25.95</v>
      </c>
      <c r="F205" s="13">
        <f>'Entry Sheet'!K120</f>
        <v>2.8</v>
      </c>
      <c r="G205" s="13">
        <f>'Entry Sheet'!M120</f>
        <v>21.4</v>
      </c>
      <c r="H205" s="13">
        <f>'Entry Sheet'!O120</f>
        <v>25.16</v>
      </c>
      <c r="I205" s="13">
        <f>'Entry Sheet'!Q120</f>
        <v>9.49</v>
      </c>
      <c r="J205" s="13">
        <f>'Entry Sheet'!S120</f>
        <v>19.9</v>
      </c>
      <c r="K205" s="13">
        <f>'Entry Sheet'!$U$120</f>
        <v>30.35</v>
      </c>
      <c r="L205" s="13">
        <f>'Entry Sheet'!W120</f>
        <v>17.28</v>
      </c>
      <c r="M205" s="13">
        <f>'Entry Sheet'!Y120</f>
        <v>17.7</v>
      </c>
      <c r="N205" s="13">
        <f>'Entry Sheet'!AA120</f>
        <v>10.86</v>
      </c>
      <c r="O205" s="13">
        <f>'Entry Sheet'!AC120</f>
        <v>32.4</v>
      </c>
      <c r="Q205" s="224"/>
      <c r="R205" s="13" t="s">
        <v>146</v>
      </c>
      <c r="S205" s="13" t="s">
        <v>202</v>
      </c>
      <c r="T205" s="224">
        <f>AVERAGEIF(B206:O206,"&lt;&gt;0")</f>
        <v>11.57692308</v>
      </c>
    </row>
    <row r="206" ht="15.75" customHeight="1">
      <c r="A206" s="13" t="str">
        <f>'Entry Sheet'!A121</f>
        <v>K</v>
      </c>
      <c r="B206" s="13">
        <f>'Entry Sheet'!C121</f>
        <v>4.5</v>
      </c>
      <c r="C206" s="13">
        <f>'Entry Sheet'!E121</f>
        <v>0</v>
      </c>
      <c r="D206" s="13">
        <f>'Entry Sheet'!G121</f>
        <v>23</v>
      </c>
      <c r="E206" s="13">
        <f>'Entry Sheet'!I121</f>
        <v>21</v>
      </c>
      <c r="F206" s="13">
        <f>'Entry Sheet'!K121</f>
        <v>12</v>
      </c>
      <c r="G206" s="13">
        <f>'Entry Sheet'!M121</f>
        <v>5.5</v>
      </c>
      <c r="H206" s="13">
        <f>'Entry Sheet'!O121</f>
        <v>6</v>
      </c>
      <c r="I206" s="13">
        <f>'Entry Sheet'!Q121</f>
        <v>20</v>
      </c>
      <c r="J206" s="13">
        <f>'Entry Sheet'!S121</f>
        <v>5.5</v>
      </c>
      <c r="K206" s="13">
        <f>'Entry Sheet'!U121</f>
        <v>13</v>
      </c>
      <c r="L206" s="13">
        <f>'Entry Sheet'!W121</f>
        <v>6</v>
      </c>
      <c r="M206" s="13">
        <f>'Entry Sheet'!Y121</f>
        <v>13</v>
      </c>
      <c r="N206" s="13">
        <f>'Entry Sheet'!AA121</f>
        <v>6</v>
      </c>
      <c r="O206" s="13">
        <f>'Entry Sheet'!AC121</f>
        <v>15</v>
      </c>
      <c r="Q206" s="224"/>
      <c r="S206" s="13" t="s">
        <v>207</v>
      </c>
      <c r="T206" s="224">
        <f>MAX(B206:O206)</f>
        <v>23</v>
      </c>
    </row>
    <row r="207" ht="15.75" customHeight="1">
      <c r="A207" s="13" t="str">
        <f>'Entry Sheet'!A122</f>
        <v>HC</v>
      </c>
      <c r="B207" s="13">
        <f>'Entry Sheet'!C122</f>
        <v>9</v>
      </c>
      <c r="C207" s="13">
        <f>'Entry Sheet'!E122</f>
        <v>6.4</v>
      </c>
      <c r="D207" s="13">
        <f>'Entry Sheet'!G122</f>
        <v>4</v>
      </c>
      <c r="E207" s="13">
        <f>'Entry Sheet'!I122</f>
        <v>20.4</v>
      </c>
      <c r="F207" s="13">
        <f>'Entry Sheet'!K122</f>
        <v>8.3</v>
      </c>
      <c r="G207" s="13">
        <f>'Entry Sheet'!M122</f>
        <v>5.9</v>
      </c>
      <c r="H207" s="13">
        <f>'Entry Sheet'!O122</f>
        <v>11.9</v>
      </c>
      <c r="I207" s="13">
        <f>'Entry Sheet'!Q122</f>
        <v>21.2</v>
      </c>
      <c r="J207" s="13">
        <f>'Entry Sheet'!S122</f>
        <v>7.4</v>
      </c>
      <c r="K207" s="13">
        <f>'Entry Sheet'!U122</f>
        <v>5</v>
      </c>
      <c r="L207" s="13">
        <f>'Entry Sheet'!W122</f>
        <v>8.6</v>
      </c>
      <c r="M207" s="13">
        <f>'Entry Sheet'!Y122</f>
        <v>0</v>
      </c>
      <c r="N207" s="13">
        <f>'Entry Sheet'!AA122</f>
        <v>10.2</v>
      </c>
      <c r="O207" s="13">
        <f>'Entry Sheet'!AC122</f>
        <v>3.3</v>
      </c>
      <c r="Q207" s="224"/>
      <c r="R207" s="13" t="s">
        <v>162</v>
      </c>
      <c r="S207" s="13" t="s">
        <v>202</v>
      </c>
      <c r="T207" s="224">
        <f>AVERAGEIF(B207:O207,"&lt;&gt;0")</f>
        <v>9.353846154</v>
      </c>
    </row>
    <row r="208" ht="15.75" customHeight="1">
      <c r="A208" s="13" t="str">
        <f>'Entry Sheet'!A123</f>
        <v>Total Score</v>
      </c>
      <c r="B208" s="13">
        <f>'Entry Sheet'!B123</f>
        <v>151.79</v>
      </c>
      <c r="C208" s="13">
        <f>'Entry Sheet'!D123</f>
        <v>133.69</v>
      </c>
      <c r="D208" s="13">
        <f>'Entry Sheet'!F123</f>
        <v>230.16</v>
      </c>
      <c r="E208" s="13">
        <f>'Entry Sheet'!H123</f>
        <v>201.65</v>
      </c>
      <c r="F208" s="13">
        <f>'Entry Sheet'!J123</f>
        <v>143.9</v>
      </c>
      <c r="G208" s="13">
        <f>'Entry Sheet'!L123</f>
        <v>153.82</v>
      </c>
      <c r="H208" s="13">
        <f>'Entry Sheet'!N123</f>
        <v>139.8</v>
      </c>
      <c r="I208" s="13">
        <f>'Entry Sheet'!P123</f>
        <v>171.25</v>
      </c>
      <c r="J208" s="13">
        <f>'Entry Sheet'!R123</f>
        <v>150.66</v>
      </c>
      <c r="K208" s="13">
        <f>'Entry Sheet'!T123</f>
        <v>165.52</v>
      </c>
      <c r="L208" s="13">
        <f>'Entry Sheet'!V123</f>
        <v>154.98</v>
      </c>
      <c r="M208" s="13">
        <f>'Entry Sheet'!X123</f>
        <v>175.06</v>
      </c>
      <c r="N208" s="13">
        <f>'Entry Sheet'!Z123</f>
        <v>128.36</v>
      </c>
      <c r="O208" s="13">
        <f>'Entry Sheet'!AB123</f>
        <v>173.8</v>
      </c>
      <c r="Q208" s="224"/>
      <c r="S208" s="13" t="s">
        <v>207</v>
      </c>
      <c r="T208" s="224">
        <f>MAX(B207:O207)</f>
        <v>21.2</v>
      </c>
    </row>
    <row r="209" ht="15.75" customHeight="1">
      <c r="A209" s="13" t="str">
        <f>'Entry Sheet'!A124</f>
        <v>MVP</v>
      </c>
      <c r="B209" s="13">
        <f>'Entry Sheet'!C124</f>
        <v>28.68</v>
      </c>
      <c r="C209" s="13">
        <f>'Entry Sheet'!E124</f>
        <v>30.05</v>
      </c>
      <c r="D209" s="13">
        <f>'Entry Sheet'!G124</f>
        <v>37.94</v>
      </c>
      <c r="E209" s="13">
        <f>'Entry Sheet'!I124</f>
        <v>29.7</v>
      </c>
      <c r="F209" s="13">
        <f>'Entry Sheet'!K124</f>
        <v>28.2</v>
      </c>
      <c r="G209" s="13">
        <f>'Entry Sheet'!M124</f>
        <v>31.2</v>
      </c>
      <c r="H209" s="13">
        <f>'Entry Sheet'!O124</f>
        <v>34.44</v>
      </c>
      <c r="I209" s="13">
        <f>'Entry Sheet'!Q124</f>
        <v>35.8</v>
      </c>
      <c r="J209" s="13">
        <f>'Entry Sheet'!S124</f>
        <v>23.1</v>
      </c>
      <c r="K209" s="13">
        <f>'Entry Sheet'!U124</f>
        <v>30.35</v>
      </c>
      <c r="L209" s="13">
        <f>'Entry Sheet'!W124</f>
        <v>24.2</v>
      </c>
      <c r="M209" s="13">
        <f>'Entry Sheet'!Y124</f>
        <v>38.2</v>
      </c>
      <c r="N209" s="13">
        <f>'Entry Sheet'!AA124</f>
        <v>22.5</v>
      </c>
      <c r="O209" s="13">
        <f>'Entry Sheet'!AC124</f>
        <v>32.4</v>
      </c>
      <c r="Q209" s="224"/>
      <c r="R209" s="13" t="s">
        <v>168</v>
      </c>
      <c r="S209" s="13" t="s">
        <v>207</v>
      </c>
      <c r="T209" s="224">
        <f>MAX(B209:O209)</f>
        <v>38.2</v>
      </c>
    </row>
    <row r="210" ht="16.5" customHeight="1">
      <c r="R210" s="13" t="s">
        <v>167</v>
      </c>
      <c r="S210" s="13" t="s">
        <v>202</v>
      </c>
      <c r="T210" s="224">
        <f>AVERAGEIF(B208:O208,"&lt;&gt;0")</f>
        <v>162.46</v>
      </c>
    </row>
    <row r="211" ht="16.5" customHeight="1">
      <c r="S211" s="13" t="s">
        <v>207</v>
      </c>
      <c r="T211" s="224">
        <f>MAX(B208:O208)</f>
        <v>230.16</v>
      </c>
    </row>
    <row r="212" ht="16.5" customHeight="1">
      <c r="S212" s="13" t="s">
        <v>228</v>
      </c>
      <c r="T212" s="13">
        <f>SUM(B208:O208)</f>
        <v>2274.44</v>
      </c>
    </row>
    <row r="213" ht="16.5" customHeight="1">
      <c r="R213" s="13" t="s">
        <v>42</v>
      </c>
      <c r="S213" s="13" t="s">
        <v>202</v>
      </c>
      <c r="T213" s="13">
        <f>AVERAGE(C194:P194)</f>
        <v>8</v>
      </c>
    </row>
    <row r="214" ht="16.5" customHeight="1">
      <c r="S214" s="13" t="s">
        <v>231</v>
      </c>
      <c r="T214" s="13">
        <f>MIN(C194:P194)</f>
        <v>7</v>
      </c>
    </row>
    <row r="215" ht="16.5" customHeight="1">
      <c r="S215" s="13" t="s">
        <v>234</v>
      </c>
      <c r="T215" s="13">
        <f>STDEV(C194:P194)</f>
        <v>1</v>
      </c>
    </row>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c r="A230" s="221" t="str">
        <f>'Entry Sheet'!A128</f>
        <v>YARDIES</v>
      </c>
      <c r="B230" s="221"/>
      <c r="C230" s="221"/>
      <c r="D230" s="221"/>
      <c r="E230" s="221"/>
      <c r="F230" s="221"/>
      <c r="G230" s="221"/>
      <c r="H230" s="221"/>
      <c r="I230" s="221"/>
      <c r="J230" s="221"/>
      <c r="K230" s="221"/>
      <c r="L230" s="221"/>
      <c r="M230" s="221"/>
      <c r="N230" s="221"/>
      <c r="O230" s="221"/>
      <c r="P230" s="221"/>
      <c r="Q230" s="221"/>
      <c r="R230" s="221"/>
      <c r="S230" s="221"/>
      <c r="T230" s="221"/>
    </row>
    <row r="231" ht="15.75" customHeight="1">
      <c r="B231" s="13" t="str">
        <f>'Entry Sheet'!B129</f>
        <v>Week 1</v>
      </c>
      <c r="C231" s="13" t="str">
        <f>'Entry Sheet'!D129</f>
        <v>Week 2</v>
      </c>
      <c r="D231" s="13" t="str">
        <f>'Entry Sheet'!F129</f>
        <v>Week 3</v>
      </c>
      <c r="E231" s="13" t="str">
        <f>'Entry Sheet'!H129</f>
        <v>Week 4</v>
      </c>
      <c r="F231" s="13" t="str">
        <f>'Entry Sheet'!J129</f>
        <v>Week 5</v>
      </c>
      <c r="G231" s="13" t="str">
        <f>'Entry Sheet'!L129</f>
        <v>Week 6</v>
      </c>
      <c r="H231" s="13" t="str">
        <f>'Entry Sheet'!N129</f>
        <v>Week 7</v>
      </c>
      <c r="I231" s="13" t="str">
        <f>'Entry Sheet'!P129</f>
        <v>Week 8</v>
      </c>
      <c r="J231" s="13" t="str">
        <f>'Entry Sheet'!R129</f>
        <v>Week 9</v>
      </c>
      <c r="K231" s="13" t="str">
        <f>'Entry Sheet'!T129</f>
        <v>Week 10</v>
      </c>
      <c r="L231" s="13" t="str">
        <f>'Entry Sheet'!V129</f>
        <v>Week 11</v>
      </c>
      <c r="M231" s="13" t="str">
        <f>'Entry Sheet'!X129</f>
        <v>Week 12</v>
      </c>
      <c r="N231" s="13" t="str">
        <f>'Entry Sheet'!Z129</f>
        <v>Week 13</v>
      </c>
      <c r="O231" s="13" t="str">
        <f>'Entry Sheet'!AB129</f>
        <v>Week 14</v>
      </c>
      <c r="P231" s="13" t="str">
        <f>'Entry Sheet'!AD129</f>
        <v>Finale</v>
      </c>
      <c r="R231" s="13" t="s">
        <v>100</v>
      </c>
      <c r="S231" s="13" t="s">
        <v>202</v>
      </c>
      <c r="T231" s="224">
        <f>AVERAGEIF(B233:O233,"&lt;&gt;0")</f>
        <v>21.79285714</v>
      </c>
    </row>
    <row r="232" ht="15.75" customHeight="1">
      <c r="A232" s="13" t="str">
        <f>'Entry Sheet'!A130</f>
        <v>Team Rank</v>
      </c>
      <c r="B232" s="13">
        <f>'Entry Sheet'!B130</f>
        <v>9</v>
      </c>
      <c r="C232" s="13">
        <f>'Entry Sheet'!D130</f>
        <v>5</v>
      </c>
      <c r="D232" s="13">
        <f>'Entry Sheet'!F130</f>
        <v>3</v>
      </c>
      <c r="E232" s="13">
        <f>'Entry Sheet'!H130</f>
        <v>4</v>
      </c>
      <c r="F232" s="13">
        <f>'Entry Sheet'!J130</f>
        <v>3</v>
      </c>
      <c r="G232" s="13">
        <f>'Entry Sheet'!L130</f>
        <v>3</v>
      </c>
      <c r="H232" s="13">
        <f>'Entry Sheet'!N130</f>
        <v>3</v>
      </c>
      <c r="I232" s="13">
        <f>'Entry Sheet'!P130</f>
        <v>5</v>
      </c>
      <c r="J232" s="13">
        <f>'Entry Sheet'!R130</f>
        <v>3</v>
      </c>
      <c r="K232" s="13">
        <f>'Entry Sheet'!T130</f>
        <v>2</v>
      </c>
      <c r="L232" s="13">
        <f>'Entry Sheet'!V130</f>
        <v>3</v>
      </c>
      <c r="M232" s="13">
        <f>'Entry Sheet'!X130</f>
        <v>2</v>
      </c>
      <c r="N232" s="13">
        <f>'Entry Sheet'!Z130</f>
        <v>2</v>
      </c>
      <c r="O232" s="13">
        <f>'Entry Sheet'!AB130</f>
        <v>2</v>
      </c>
      <c r="P232" s="13" t="str">
        <f>'Entry Sheet'!AD130</f>
        <v/>
      </c>
      <c r="S232" s="13" t="s">
        <v>207</v>
      </c>
      <c r="T232" s="224">
        <f>MAX(B233:O233)</f>
        <v>40.66</v>
      </c>
    </row>
    <row r="233" ht="15.75" customHeight="1">
      <c r="A233" s="13" t="str">
        <f>'Entry Sheet'!A131</f>
        <v>QB</v>
      </c>
      <c r="B233" s="13">
        <f>'Entry Sheet'!C131</f>
        <v>12.02</v>
      </c>
      <c r="C233" s="13">
        <f>'Entry Sheet'!E131</f>
        <v>9.24</v>
      </c>
      <c r="D233" s="13">
        <f>'Entry Sheet'!G131</f>
        <v>14.92</v>
      </c>
      <c r="E233" s="13">
        <f>'Entry Sheet'!I131</f>
        <v>37.38</v>
      </c>
      <c r="F233" s="13">
        <f>'Entry Sheet'!K131</f>
        <v>40.66</v>
      </c>
      <c r="G233" s="13">
        <f>'Entry Sheet'!M131</f>
        <v>19.26</v>
      </c>
      <c r="H233" s="13">
        <f>'Entry Sheet'!O131</f>
        <v>14.46</v>
      </c>
      <c r="I233" s="13">
        <f>'Entry Sheet'!Q131</f>
        <v>39.6</v>
      </c>
      <c r="J233" s="13">
        <f>'Entry Sheet'!S131</f>
        <v>11.32</v>
      </c>
      <c r="K233" s="13">
        <f>'Entry Sheet'!U131</f>
        <v>28.7</v>
      </c>
      <c r="L233" s="13">
        <f>'Entry Sheet'!W131</f>
        <v>10.72</v>
      </c>
      <c r="M233" s="13">
        <f>'Entry Sheet'!Y131</f>
        <v>10.32</v>
      </c>
      <c r="N233" s="13">
        <f>'Entry Sheet'!AA131</f>
        <v>23.94</v>
      </c>
      <c r="O233" s="13">
        <f>'Entry Sheet'!AC131</f>
        <v>32.56</v>
      </c>
      <c r="Q233" s="224"/>
      <c r="R233" s="13" t="s">
        <v>106</v>
      </c>
      <c r="S233" s="13" t="s">
        <v>202</v>
      </c>
      <c r="T233" s="224">
        <f>AVERAGEIF(B234:O236,"&lt;&gt;0")</f>
        <v>15.48928571</v>
      </c>
    </row>
    <row r="234" ht="15.75" customHeight="1">
      <c r="A234" s="13" t="str">
        <f>'Entry Sheet'!A132</f>
        <v>RB</v>
      </c>
      <c r="B234" s="13">
        <f>'Entry Sheet'!C132</f>
        <v>32</v>
      </c>
      <c r="C234" s="13">
        <f>'Entry Sheet'!E132</f>
        <v>3.4</v>
      </c>
      <c r="D234" s="13">
        <f>'Entry Sheet'!G132</f>
        <v>11.7</v>
      </c>
      <c r="E234" s="13">
        <f>'Entry Sheet'!I132</f>
        <v>8.6</v>
      </c>
      <c r="F234" s="13">
        <f>'Entry Sheet'!K132</f>
        <v>10.8</v>
      </c>
      <c r="G234" s="13">
        <f>'Entry Sheet'!M132</f>
        <v>17.4</v>
      </c>
      <c r="H234" s="13">
        <f>'Entry Sheet'!O132</f>
        <v>28.9</v>
      </c>
      <c r="I234" s="13">
        <f>'Entry Sheet'!Q132</f>
        <v>21.2</v>
      </c>
      <c r="J234" s="13">
        <f>'Entry Sheet'!S132</f>
        <v>16</v>
      </c>
      <c r="K234" s="13">
        <f>'Entry Sheet'!U132</f>
        <v>13.4</v>
      </c>
      <c r="L234" s="13">
        <f>'Entry Sheet'!W132</f>
        <v>23</v>
      </c>
      <c r="M234" s="13">
        <f>'Entry Sheet'!Y132</f>
        <v>24.9</v>
      </c>
      <c r="N234" s="13">
        <f>'Entry Sheet'!AA132</f>
        <v>18.4</v>
      </c>
      <c r="O234" s="13">
        <f>'Entry Sheet'!AC132</f>
        <v>13.7</v>
      </c>
      <c r="Q234" s="224"/>
      <c r="S234" s="13" t="s">
        <v>207</v>
      </c>
      <c r="T234" s="224">
        <f>MAX(B234:O236)</f>
        <v>32</v>
      </c>
    </row>
    <row r="235" ht="15.75" customHeight="1">
      <c r="A235" s="13" t="str">
        <f>'Entry Sheet'!A133</f>
        <v>RB</v>
      </c>
      <c r="B235" s="13">
        <f>'Entry Sheet'!C133</f>
        <v>2.1</v>
      </c>
      <c r="C235" s="13">
        <f>'Entry Sheet'!E133</f>
        <v>11.3</v>
      </c>
      <c r="D235" s="13">
        <f>'Entry Sheet'!G133</f>
        <v>11.35</v>
      </c>
      <c r="E235" s="13">
        <f>'Entry Sheet'!I133</f>
        <v>23.6</v>
      </c>
      <c r="F235" s="13">
        <f>'Entry Sheet'!K133</f>
        <v>17.1</v>
      </c>
      <c r="G235" s="13">
        <f>'Entry Sheet'!M133</f>
        <v>4.8</v>
      </c>
      <c r="H235" s="13">
        <f>'Entry Sheet'!O133</f>
        <v>12.3</v>
      </c>
      <c r="I235" s="13">
        <f>'Entry Sheet'!Q133</f>
        <v>7.65</v>
      </c>
      <c r="J235" s="13">
        <f>'Entry Sheet'!S133</f>
        <v>31.6</v>
      </c>
      <c r="K235" s="13">
        <f>'Entry Sheet'!U133</f>
        <v>17.1</v>
      </c>
      <c r="L235" s="13">
        <f>'Entry Sheet'!W133</f>
        <v>16.9</v>
      </c>
      <c r="M235" s="13">
        <f>'Entry Sheet'!Y133</f>
        <v>12</v>
      </c>
      <c r="N235" s="13">
        <f>'Entry Sheet'!AA133</f>
        <v>11.7</v>
      </c>
      <c r="O235" s="13">
        <f>'Entry Sheet'!AC133</f>
        <v>10.8</v>
      </c>
      <c r="Q235" s="224"/>
      <c r="R235" s="13" t="s">
        <v>117</v>
      </c>
      <c r="S235" s="13" t="s">
        <v>202</v>
      </c>
      <c r="T235" s="224">
        <f>AVERAGEIF(B237:O240,"&lt;&gt;0")</f>
        <v>13.14875</v>
      </c>
    </row>
    <row r="236" ht="15.75" customHeight="1">
      <c r="A236" s="13" t="str">
        <f>'Entry Sheet'!A134</f>
        <v>RB</v>
      </c>
      <c r="B236" s="13" t="str">
        <f>'Entry Sheet'!C134</f>
        <v/>
      </c>
      <c r="C236" s="13" t="str">
        <f>'Entry Sheet'!E134</f>
        <v/>
      </c>
      <c r="D236" s="13" t="str">
        <f>'Entry Sheet'!G134</f>
        <v/>
      </c>
      <c r="E236" s="13" t="str">
        <f>'Entry Sheet'!I134</f>
        <v/>
      </c>
      <c r="F236" s="13" t="str">
        <f>'Entry Sheet'!K134</f>
        <v/>
      </c>
      <c r="G236" s="13" t="str">
        <f>'Entry Sheet'!M134</f>
        <v/>
      </c>
      <c r="H236" s="13" t="str">
        <f>'Entry Sheet'!O134</f>
        <v/>
      </c>
      <c r="I236" s="13" t="str">
        <f>'Entry Sheet'!Q134</f>
        <v/>
      </c>
      <c r="J236" s="13" t="str">
        <f>'Entry Sheet'!S134</f>
        <v/>
      </c>
      <c r="K236" s="13" t="str">
        <f>'Entry Sheet'!U134</f>
        <v/>
      </c>
      <c r="L236" s="13" t="str">
        <f>'Entry Sheet'!W134</f>
        <v/>
      </c>
      <c r="M236" s="13" t="str">
        <f>'Entry Sheet'!Y134</f>
        <v/>
      </c>
      <c r="N236" s="13" t="str">
        <f>'Entry Sheet'!AA134</f>
        <v/>
      </c>
      <c r="O236" s="13" t="str">
        <f>'Entry Sheet'!AC134</f>
        <v/>
      </c>
      <c r="Q236" s="224"/>
      <c r="S236" s="13" t="s">
        <v>207</v>
      </c>
      <c r="T236" s="224">
        <f>MAX(B237:O240)</f>
        <v>32.8</v>
      </c>
    </row>
    <row r="237" ht="15.75" customHeight="1">
      <c r="A237" s="13" t="str">
        <f>'Entry Sheet'!A135</f>
        <v>WR</v>
      </c>
      <c r="B237" s="13">
        <f>'Entry Sheet'!C135</f>
        <v>6.7</v>
      </c>
      <c r="C237" s="13">
        <f>'Entry Sheet'!E135</f>
        <v>19.8</v>
      </c>
      <c r="D237" s="13">
        <f>'Entry Sheet'!G135</f>
        <v>6.3</v>
      </c>
      <c r="E237" s="13">
        <f>'Entry Sheet'!I135</f>
        <v>5.8</v>
      </c>
      <c r="F237" s="13">
        <f>'Entry Sheet'!K135</f>
        <v>2.1</v>
      </c>
      <c r="G237" s="13">
        <f>'Entry Sheet'!M135</f>
        <v>8.6</v>
      </c>
      <c r="H237" s="13">
        <f>'Entry Sheet'!O135</f>
        <v>0</v>
      </c>
      <c r="I237" s="13">
        <f>'Entry Sheet'!Q135</f>
        <v>14.2</v>
      </c>
      <c r="J237" s="13">
        <f>'Entry Sheet'!S135</f>
        <v>11.4</v>
      </c>
      <c r="K237" s="13">
        <f>'Entry Sheet'!U135</f>
        <v>12.2</v>
      </c>
      <c r="L237" s="13">
        <f>'Entry Sheet'!W135</f>
        <v>11.4</v>
      </c>
      <c r="M237" s="13">
        <f>'Entry Sheet'!Y135</f>
        <v>12.1</v>
      </c>
      <c r="N237" s="13">
        <f>'Entry Sheet'!AA135</f>
        <v>0.6</v>
      </c>
      <c r="O237" s="13">
        <f>'Entry Sheet'!AC135</f>
        <v>21.7</v>
      </c>
      <c r="Q237" s="224"/>
      <c r="R237" s="13" t="s">
        <v>132</v>
      </c>
      <c r="S237" s="13" t="s">
        <v>202</v>
      </c>
      <c r="T237" s="224">
        <f>AVERAGEIF(B241:O241,"&lt;&gt;0")</f>
        <v>14.32857143</v>
      </c>
    </row>
    <row r="238" ht="15.75" customHeight="1">
      <c r="A238" s="13" t="str">
        <f>'Entry Sheet'!A136</f>
        <v>WR</v>
      </c>
      <c r="B238" s="13">
        <f>'Entry Sheet'!C136</f>
        <v>29.3</v>
      </c>
      <c r="C238" s="13">
        <f>'Entry Sheet'!E136</f>
        <v>32.8</v>
      </c>
      <c r="D238" s="13">
        <f>'Entry Sheet'!G136</f>
        <v>15.2</v>
      </c>
      <c r="E238" s="13">
        <f>'Entry Sheet'!I136</f>
        <v>14.4</v>
      </c>
      <c r="F238" s="13">
        <f>'Entry Sheet'!K136</f>
        <v>12.2</v>
      </c>
      <c r="G238" s="13">
        <f>'Entry Sheet'!M136</f>
        <v>5.2</v>
      </c>
      <c r="H238" s="13">
        <f>'Entry Sheet'!O136</f>
        <v>5.1</v>
      </c>
      <c r="I238" s="13">
        <f>'Entry Sheet'!Q136</f>
        <v>19.4</v>
      </c>
      <c r="J238" s="13">
        <f>'Entry Sheet'!S136</f>
        <v>0</v>
      </c>
      <c r="K238" s="13">
        <f>'Entry Sheet'!U136</f>
        <v>20.6</v>
      </c>
      <c r="L238" s="13">
        <f>'Entry Sheet'!W136</f>
        <v>6.1</v>
      </c>
      <c r="M238" s="13">
        <f>'Entry Sheet'!Y136</f>
        <v>4</v>
      </c>
      <c r="N238" s="13">
        <f>'Entry Sheet'!AA136</f>
        <v>5.6</v>
      </c>
      <c r="O238" s="13">
        <f>'Entry Sheet'!AC136</f>
        <v>15.35</v>
      </c>
      <c r="Q238" s="224"/>
      <c r="S238" s="13" t="s">
        <v>207</v>
      </c>
      <c r="T238" s="224">
        <f>MAX(B241:O241)</f>
        <v>44.4</v>
      </c>
    </row>
    <row r="239" ht="15.75" customHeight="1">
      <c r="A239" s="13" t="str">
        <f>'Entry Sheet'!A137</f>
        <v>WR</v>
      </c>
      <c r="B239" s="13">
        <f>'Entry Sheet'!C137</f>
        <v>15.7</v>
      </c>
      <c r="C239" s="13">
        <f>'Entry Sheet'!E137</f>
        <v>13</v>
      </c>
      <c r="D239" s="13">
        <f>'Entry Sheet'!G137</f>
        <v>3.7</v>
      </c>
      <c r="E239" s="13">
        <f>'Entry Sheet'!I137</f>
        <v>5</v>
      </c>
      <c r="F239" s="13">
        <f>'Entry Sheet'!K137</f>
        <v>25.6</v>
      </c>
      <c r="G239" s="13">
        <f>'Entry Sheet'!M137</f>
        <v>5.8</v>
      </c>
      <c r="H239" s="13">
        <f>'Entry Sheet'!O137</f>
        <v>13.9</v>
      </c>
      <c r="I239" s="13">
        <f>'Entry Sheet'!Q137</f>
        <v>25.25</v>
      </c>
      <c r="J239" s="13">
        <f>'Entry Sheet'!S137</f>
        <v>18.25</v>
      </c>
      <c r="K239" s="13">
        <f>'Entry Sheet'!U137</f>
        <v>15.6</v>
      </c>
      <c r="L239" s="13">
        <f>'Entry Sheet'!W137</f>
        <v>20.5</v>
      </c>
      <c r="M239" s="13">
        <f>'Entry Sheet'!Y137</f>
        <v>30.8</v>
      </c>
      <c r="N239" s="13">
        <f>'Entry Sheet'!AA137</f>
        <v>7.6</v>
      </c>
      <c r="O239" s="13">
        <f>'Entry Sheet'!AC137</f>
        <v>7.1</v>
      </c>
      <c r="Q239" s="224"/>
      <c r="R239" s="13" t="s">
        <v>136</v>
      </c>
      <c r="S239" s="13" t="s">
        <v>202</v>
      </c>
      <c r="T239" s="224">
        <f>AVERAGEIF(B242:O242,"&lt;&gt;0")</f>
        <v>15.97857143</v>
      </c>
    </row>
    <row r="240" ht="15.75" customHeight="1">
      <c r="A240" s="13" t="str">
        <f>'Entry Sheet'!A138</f>
        <v>WR</v>
      </c>
      <c r="B240" s="13" t="str">
        <f>'Entry Sheet'!C138</f>
        <v/>
      </c>
      <c r="C240" s="13" t="str">
        <f>'Entry Sheet'!E138</f>
        <v/>
      </c>
      <c r="D240" s="13" t="str">
        <f>'Entry Sheet'!G138</f>
        <v/>
      </c>
      <c r="E240" s="13" t="str">
        <f>'Entry Sheet'!I138</f>
        <v/>
      </c>
      <c r="F240" s="13" t="str">
        <f>'Entry Sheet'!K138</f>
        <v/>
      </c>
      <c r="G240" s="13" t="str">
        <f>'Entry Sheet'!M138</f>
        <v/>
      </c>
      <c r="H240" s="13" t="str">
        <f>'Entry Sheet'!O138</f>
        <v/>
      </c>
      <c r="I240" s="13" t="str">
        <f>'Entry Sheet'!Q138</f>
        <v/>
      </c>
      <c r="J240" s="13" t="str">
        <f>'Entry Sheet'!S138</f>
        <v/>
      </c>
      <c r="K240" s="13" t="str">
        <f>'Entry Sheet'!U138</f>
        <v/>
      </c>
      <c r="L240" s="13" t="str">
        <f>'Entry Sheet'!W138</f>
        <v/>
      </c>
      <c r="M240" s="13" t="str">
        <f>'Entry Sheet'!Y138</f>
        <v/>
      </c>
      <c r="N240" s="13" t="str">
        <f>'Entry Sheet'!AA138</f>
        <v/>
      </c>
      <c r="O240" s="13" t="str">
        <f>'Entry Sheet'!AC138</f>
        <v/>
      </c>
      <c r="Q240" s="224"/>
      <c r="S240" s="13" t="s">
        <v>207</v>
      </c>
      <c r="T240" s="224">
        <f>MAX(B242:O242)</f>
        <v>37.9</v>
      </c>
    </row>
    <row r="241" ht="15.75" customHeight="1">
      <c r="A241" s="13" t="str">
        <f>'Entry Sheet'!A139</f>
        <v>TE</v>
      </c>
      <c r="B241" s="13">
        <f>'Entry Sheet'!C139</f>
        <v>16.3</v>
      </c>
      <c r="C241" s="13">
        <f>'Entry Sheet'!E139</f>
        <v>8.8</v>
      </c>
      <c r="D241" s="13">
        <f>'Entry Sheet'!G139</f>
        <v>9.8</v>
      </c>
      <c r="E241" s="13">
        <f>'Entry Sheet'!I139</f>
        <v>9.6</v>
      </c>
      <c r="F241" s="13">
        <f>'Entry Sheet'!K139</f>
        <v>17.8</v>
      </c>
      <c r="G241" s="13">
        <f>'Entry Sheet'!M139</f>
        <v>1.2</v>
      </c>
      <c r="H241" s="13">
        <f>'Entry Sheet'!O139</f>
        <v>7.6</v>
      </c>
      <c r="I241" s="13">
        <f>'Entry Sheet'!Q139</f>
        <v>18.7</v>
      </c>
      <c r="J241" s="13">
        <f>'Entry Sheet'!S139</f>
        <v>44.4</v>
      </c>
      <c r="K241" s="13">
        <f>'Entry Sheet'!U139</f>
        <v>3.8</v>
      </c>
      <c r="L241" s="13">
        <f>'Entry Sheet'!W139</f>
        <v>14.2</v>
      </c>
      <c r="M241" s="13">
        <f>'Entry Sheet'!Y139</f>
        <v>11.5</v>
      </c>
      <c r="N241" s="13">
        <f>'Entry Sheet'!AA139</f>
        <v>22.3</v>
      </c>
      <c r="O241" s="13">
        <f>'Entry Sheet'!AC139</f>
        <v>14.6</v>
      </c>
      <c r="Q241" s="224"/>
      <c r="R241" s="13" t="s">
        <v>139</v>
      </c>
      <c r="S241" s="13" t="s">
        <v>202</v>
      </c>
      <c r="T241" s="224">
        <f>AVERAGEIF(B243:O243,"&lt;&gt;0")</f>
        <v>18.78357143</v>
      </c>
    </row>
    <row r="242" ht="15.75" customHeight="1">
      <c r="A242" s="13" t="str">
        <f>'Entry Sheet'!A140</f>
        <v>FLEX</v>
      </c>
      <c r="B242" s="13">
        <f>'Entry Sheet'!C140</f>
        <v>9.3</v>
      </c>
      <c r="C242" s="13">
        <f>'Entry Sheet'!E140</f>
        <v>15</v>
      </c>
      <c r="D242" s="13">
        <f>'Entry Sheet'!G140</f>
        <v>3.3</v>
      </c>
      <c r="E242" s="13">
        <f>'Entry Sheet'!I140</f>
        <v>16.9</v>
      </c>
      <c r="F242" s="13">
        <f>'Entry Sheet'!K140</f>
        <v>36.7</v>
      </c>
      <c r="G242" s="13">
        <f>'Entry Sheet'!M140</f>
        <v>37.9</v>
      </c>
      <c r="H242" s="13">
        <f>'Entry Sheet'!O140</f>
        <v>8.4</v>
      </c>
      <c r="I242" s="13">
        <f>'Entry Sheet'!Q140</f>
        <v>23</v>
      </c>
      <c r="J242" s="13">
        <f>'Entry Sheet'!S140</f>
        <v>4.2</v>
      </c>
      <c r="K242" s="13">
        <f>'Entry Sheet'!U140</f>
        <v>12.7</v>
      </c>
      <c r="L242" s="13">
        <f>'Entry Sheet'!W140</f>
        <v>7.6</v>
      </c>
      <c r="M242" s="13">
        <f>'Entry Sheet'!Y140</f>
        <v>18.3</v>
      </c>
      <c r="N242" s="13">
        <f>'Entry Sheet'!AA140</f>
        <v>18.2</v>
      </c>
      <c r="O242" s="13">
        <f>'Entry Sheet'!AC140</f>
        <v>12.2</v>
      </c>
      <c r="Q242" s="224"/>
      <c r="S242" s="13" t="s">
        <v>207</v>
      </c>
      <c r="T242" s="224">
        <f>MAX(B243:O243)</f>
        <v>27.98</v>
      </c>
    </row>
    <row r="243" ht="15.75" customHeight="1">
      <c r="A243" s="13" t="str">
        <f>'Entry Sheet'!A141</f>
        <v>D/ST</v>
      </c>
      <c r="B243" s="13">
        <f>'Entry Sheet'!C141</f>
        <v>14.15</v>
      </c>
      <c r="C243" s="13">
        <f>'Entry Sheet'!E141</f>
        <v>25.79</v>
      </c>
      <c r="D243" s="13">
        <f>'Entry Sheet'!G141</f>
        <v>13.53</v>
      </c>
      <c r="E243" s="13">
        <f>'Entry Sheet'!I141</f>
        <v>17.5</v>
      </c>
      <c r="F243" s="13">
        <f>'Entry Sheet'!K141</f>
        <v>19.86</v>
      </c>
      <c r="G243" s="13">
        <f>'Entry Sheet'!M141</f>
        <v>11.72</v>
      </c>
      <c r="H243" s="13">
        <f>'Entry Sheet'!O141</f>
        <v>19.75</v>
      </c>
      <c r="I243" s="13">
        <f>'Entry Sheet'!Q141</f>
        <v>17.31</v>
      </c>
      <c r="J243" s="13">
        <f>'Entry Sheet'!S141</f>
        <v>13.88</v>
      </c>
      <c r="K243" s="13">
        <f>'Entry Sheet'!U141</f>
        <v>27.19</v>
      </c>
      <c r="L243" s="13">
        <f>'Entry Sheet'!W141</f>
        <v>19.59</v>
      </c>
      <c r="M243" s="13">
        <f>'Entry Sheet'!Y141</f>
        <v>27.98</v>
      </c>
      <c r="N243" s="13">
        <f>'Entry Sheet'!AA141</f>
        <v>12.99</v>
      </c>
      <c r="O243" s="13">
        <f>'Entry Sheet'!AC141</f>
        <v>21.73</v>
      </c>
      <c r="Q243" s="224"/>
      <c r="R243" s="13" t="s">
        <v>146</v>
      </c>
      <c r="S243" s="13" t="s">
        <v>202</v>
      </c>
      <c r="T243" s="224">
        <f>AVERAGEIF(B244:O244,"&lt;&gt;0")</f>
        <v>9.964285714</v>
      </c>
    </row>
    <row r="244" ht="15.75" customHeight="1">
      <c r="A244" s="13" t="str">
        <f>'Entry Sheet'!A142</f>
        <v>K</v>
      </c>
      <c r="B244" s="13">
        <f>'Entry Sheet'!C142</f>
        <v>19</v>
      </c>
      <c r="C244" s="13">
        <f>'Entry Sheet'!E142</f>
        <v>12</v>
      </c>
      <c r="D244" s="13">
        <f>'Entry Sheet'!G142</f>
        <v>3</v>
      </c>
      <c r="E244" s="13">
        <f>'Entry Sheet'!I142</f>
        <v>13</v>
      </c>
      <c r="F244" s="13">
        <f>'Entry Sheet'!K142</f>
        <v>7</v>
      </c>
      <c r="G244" s="13">
        <f>'Entry Sheet'!M142</f>
        <v>15</v>
      </c>
      <c r="H244" s="13">
        <f>'Entry Sheet'!O142</f>
        <v>8</v>
      </c>
      <c r="I244" s="13">
        <f>'Entry Sheet'!Q142</f>
        <v>23</v>
      </c>
      <c r="J244" s="13">
        <f>'Entry Sheet'!S142</f>
        <v>10</v>
      </c>
      <c r="K244" s="13">
        <f>'Entry Sheet'!U142</f>
        <v>5.5</v>
      </c>
      <c r="L244" s="13">
        <f>'Entry Sheet'!W142</f>
        <v>10</v>
      </c>
      <c r="M244" s="13">
        <f>'Entry Sheet'!Y142</f>
        <v>4</v>
      </c>
      <c r="N244" s="13">
        <f>'Entry Sheet'!AA142</f>
        <v>1</v>
      </c>
      <c r="O244" s="13">
        <f>'Entry Sheet'!AC142</f>
        <v>9</v>
      </c>
      <c r="Q244" s="224"/>
      <c r="S244" s="13" t="s">
        <v>207</v>
      </c>
      <c r="T244" s="224">
        <f>MAX(B244:O244)</f>
        <v>23</v>
      </c>
    </row>
    <row r="245" ht="15.75" customHeight="1">
      <c r="A245" s="13" t="str">
        <f>'Entry Sheet'!A143</f>
        <v>HC</v>
      </c>
      <c r="B245" s="13">
        <f>'Entry Sheet'!C143</f>
        <v>-0.1</v>
      </c>
      <c r="C245" s="13">
        <f>'Entry Sheet'!E143</f>
        <v>27.6</v>
      </c>
      <c r="D245" s="230">
        <f>'Entry Sheet'!G143</f>
        <v>14.4</v>
      </c>
      <c r="E245" s="13">
        <f>'Entry Sheet'!I143</f>
        <v>18.2</v>
      </c>
      <c r="F245" s="13">
        <f>'Entry Sheet'!K143</f>
        <v>15.1</v>
      </c>
      <c r="G245" s="13">
        <f>'Entry Sheet'!M143</f>
        <v>1.1</v>
      </c>
      <c r="H245" s="13">
        <f>'Entry Sheet'!O143</f>
        <v>13.2</v>
      </c>
      <c r="I245" s="13">
        <f>'Entry Sheet'!Q143</f>
        <v>-5</v>
      </c>
      <c r="J245" s="13">
        <f>'Entry Sheet'!S143</f>
        <v>5.2</v>
      </c>
      <c r="K245" s="13">
        <f>'Entry Sheet'!U143</f>
        <v>21.2</v>
      </c>
      <c r="L245" s="13">
        <f>'Entry Sheet'!W143</f>
        <v>-0.3</v>
      </c>
      <c r="M245" s="13">
        <f>'Entry Sheet'!Y143</f>
        <v>13.2</v>
      </c>
      <c r="N245" s="13">
        <f>'Entry Sheet'!AA143</f>
        <v>4.2</v>
      </c>
      <c r="O245" s="13">
        <f>'Entry Sheet'!AC143</f>
        <v>17.2</v>
      </c>
      <c r="Q245" s="224"/>
      <c r="R245" s="13" t="s">
        <v>162</v>
      </c>
      <c r="S245" s="13" t="s">
        <v>202</v>
      </c>
      <c r="T245" s="224">
        <f>AVERAGEIF(B245:O245,"&lt;&gt;0")</f>
        <v>10.37142857</v>
      </c>
    </row>
    <row r="246" ht="15.75" customHeight="1">
      <c r="A246" s="13" t="str">
        <f>'Entry Sheet'!A144</f>
        <v>Total Score</v>
      </c>
      <c r="B246" s="13">
        <f>'Entry Sheet'!B144</f>
        <v>156.47</v>
      </c>
      <c r="C246" s="13">
        <f>'Entry Sheet'!D144</f>
        <v>178.73</v>
      </c>
      <c r="D246" s="13">
        <f>'Entry Sheet'!F144</f>
        <v>107.2</v>
      </c>
      <c r="E246" s="13">
        <f>'Entry Sheet'!H144</f>
        <v>169.98</v>
      </c>
      <c r="F246" s="13">
        <f>'Entry Sheet'!J144</f>
        <v>204.92</v>
      </c>
      <c r="G246" s="13">
        <f>'Entry Sheet'!L144</f>
        <v>127.98</v>
      </c>
      <c r="H246" s="13">
        <f>'Entry Sheet'!N144</f>
        <v>131.61</v>
      </c>
      <c r="I246" s="13">
        <f>'Entry Sheet'!P144</f>
        <v>204.31</v>
      </c>
      <c r="J246" s="13">
        <f>'Entry Sheet'!R144</f>
        <v>166.25</v>
      </c>
      <c r="K246" s="13">
        <f>'Entry Sheet'!T144</f>
        <v>177.99</v>
      </c>
      <c r="L246" s="13">
        <f>'Entry Sheet'!V144</f>
        <v>139.71</v>
      </c>
      <c r="M246" s="13">
        <f>'Entry Sheet'!X144</f>
        <v>169.1</v>
      </c>
      <c r="N246" s="13">
        <f>'Entry Sheet'!Z144</f>
        <v>126.53</v>
      </c>
      <c r="O246" s="13">
        <f>'Entry Sheet'!AB144</f>
        <v>175.94</v>
      </c>
      <c r="Q246" s="224"/>
      <c r="S246" s="13" t="s">
        <v>207</v>
      </c>
      <c r="T246" s="224">
        <f>MAX(B245:O245)</f>
        <v>27.6</v>
      </c>
    </row>
    <row r="247" ht="15.75" customHeight="1">
      <c r="A247" s="13" t="str">
        <f>'Entry Sheet'!A145</f>
        <v>MVP</v>
      </c>
      <c r="B247" s="13">
        <f>'Entry Sheet'!C145</f>
        <v>32</v>
      </c>
      <c r="C247" s="13">
        <f>'Entry Sheet'!E145</f>
        <v>32.8</v>
      </c>
      <c r="D247" s="13">
        <f>'Entry Sheet'!G145</f>
        <v>15.2</v>
      </c>
      <c r="E247" s="13">
        <f>'Entry Sheet'!I145</f>
        <v>37.38</v>
      </c>
      <c r="F247" s="13">
        <f>'Entry Sheet'!K145</f>
        <v>40.66</v>
      </c>
      <c r="G247" s="13">
        <f>'Entry Sheet'!M145</f>
        <v>37.9</v>
      </c>
      <c r="H247" s="13">
        <f>'Entry Sheet'!O145</f>
        <v>28.9</v>
      </c>
      <c r="I247" s="13">
        <f>'Entry Sheet'!Q145</f>
        <v>39.6</v>
      </c>
      <c r="J247" s="13">
        <f>'Entry Sheet'!S145</f>
        <v>44.4</v>
      </c>
      <c r="K247" s="13">
        <f>'Entry Sheet'!U145</f>
        <v>28.7</v>
      </c>
      <c r="L247" s="13">
        <f>'Entry Sheet'!W145</f>
        <v>23</v>
      </c>
      <c r="M247" s="13">
        <f>'Entry Sheet'!Y145</f>
        <v>30.8</v>
      </c>
      <c r="N247" s="13">
        <f>'Entry Sheet'!AA145</f>
        <v>23.94</v>
      </c>
      <c r="O247" s="13">
        <f>'Entry Sheet'!AC145</f>
        <v>32.56</v>
      </c>
      <c r="Q247" s="224"/>
      <c r="R247" s="13" t="s">
        <v>168</v>
      </c>
      <c r="S247" s="13" t="s">
        <v>207</v>
      </c>
      <c r="T247" s="224">
        <f>MAX(B247:O247)</f>
        <v>44.4</v>
      </c>
    </row>
    <row r="248" ht="15.75" customHeight="1">
      <c r="R248" s="13" t="s">
        <v>167</v>
      </c>
      <c r="S248" s="13" t="s">
        <v>202</v>
      </c>
      <c r="T248" s="224">
        <f>AVERAGEIF(B246:O246,"&lt;&gt;0")</f>
        <v>159.7657143</v>
      </c>
    </row>
    <row r="249" ht="15.75" customHeight="1">
      <c r="S249" s="13" t="s">
        <v>207</v>
      </c>
      <c r="T249" s="224">
        <f>MAX(B246:O246)</f>
        <v>204.92</v>
      </c>
    </row>
    <row r="250" ht="15.75" customHeight="1">
      <c r="S250" s="13" t="s">
        <v>228</v>
      </c>
      <c r="T250" s="13">
        <f>SUM(B246:O246)</f>
        <v>2236.72</v>
      </c>
    </row>
    <row r="251" ht="15.75" customHeight="1">
      <c r="R251" s="13" t="s">
        <v>42</v>
      </c>
      <c r="S251" s="13" t="s">
        <v>202</v>
      </c>
      <c r="T251" s="13">
        <f>AVERAGE(C232:P232)</f>
        <v>3.076923077</v>
      </c>
    </row>
    <row r="252" ht="15.75" customHeight="1">
      <c r="S252" s="13" t="s">
        <v>231</v>
      </c>
      <c r="T252" s="13">
        <f>MIN(C232:P232)</f>
        <v>2</v>
      </c>
    </row>
    <row r="253" ht="15.75" customHeight="1">
      <c r="S253" s="13" t="s">
        <v>234</v>
      </c>
      <c r="T253" s="13">
        <f>STDEV(C232:P232)</f>
        <v>1.037749043</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c r="A267" s="221" t="str">
        <f>'Entry Sheet'!A149</f>
        <v>MUTTS</v>
      </c>
      <c r="B267" s="221"/>
      <c r="C267" s="221"/>
      <c r="D267" s="221"/>
      <c r="E267" s="221"/>
      <c r="F267" s="221"/>
      <c r="G267" s="221"/>
      <c r="H267" s="221"/>
      <c r="I267" s="221"/>
      <c r="J267" s="221"/>
      <c r="K267" s="221"/>
      <c r="L267" s="221"/>
      <c r="M267" s="221"/>
      <c r="N267" s="221"/>
      <c r="O267" s="221"/>
      <c r="P267" s="221"/>
      <c r="Q267" s="221"/>
      <c r="R267" s="221"/>
      <c r="S267" s="221"/>
      <c r="T267" s="221"/>
    </row>
    <row r="268" ht="15.75" customHeight="1">
      <c r="B268" s="13" t="str">
        <f>'Entry Sheet'!B150</f>
        <v>Week 1</v>
      </c>
      <c r="C268" s="13" t="str">
        <f>'Entry Sheet'!D150</f>
        <v>Week 2</v>
      </c>
      <c r="D268" s="13" t="str">
        <f>'Entry Sheet'!F150</f>
        <v>Week 3</v>
      </c>
      <c r="E268" s="13" t="str">
        <f>'Entry Sheet'!H150</f>
        <v>Week 4</v>
      </c>
      <c r="F268" s="13" t="str">
        <f>'Entry Sheet'!J150</f>
        <v>Week 5</v>
      </c>
      <c r="G268" s="13" t="str">
        <f>'Entry Sheet'!L150</f>
        <v>Week 6</v>
      </c>
      <c r="H268" s="13" t="str">
        <f>'Entry Sheet'!N150</f>
        <v>Week 7</v>
      </c>
      <c r="I268" s="13" t="str">
        <f>'Entry Sheet'!P150</f>
        <v>Week 8</v>
      </c>
      <c r="J268" s="13" t="str">
        <f>'Entry Sheet'!R150</f>
        <v>Week 9</v>
      </c>
      <c r="K268" s="13" t="str">
        <f>'Entry Sheet'!T150</f>
        <v>Week 10</v>
      </c>
      <c r="L268" s="13" t="str">
        <f>'Entry Sheet'!V150</f>
        <v>Week 11</v>
      </c>
      <c r="M268" s="13" t="str">
        <f>'Entry Sheet'!X150</f>
        <v>Week 12</v>
      </c>
      <c r="N268" s="13" t="str">
        <f>'Entry Sheet'!Z150</f>
        <v>Week 13</v>
      </c>
      <c r="O268" s="13" t="str">
        <f>'Entry Sheet'!AB150</f>
        <v>Week 14</v>
      </c>
      <c r="P268" s="13" t="str">
        <f>'Entry Sheet'!AD150</f>
        <v>Finale</v>
      </c>
      <c r="R268" s="13" t="s">
        <v>100</v>
      </c>
      <c r="S268" s="13" t="s">
        <v>202</v>
      </c>
      <c r="T268" s="224">
        <f>AVERAGEIF(B270:O270,"&lt;&gt;0")</f>
        <v>22.41076923</v>
      </c>
    </row>
    <row r="269" ht="15.75" customHeight="1">
      <c r="A269" s="13" t="str">
        <f>'Entry Sheet'!A151</f>
        <v>Team Rank</v>
      </c>
      <c r="B269" s="13">
        <f>'Entry Sheet'!B151</f>
        <v>8</v>
      </c>
      <c r="C269" s="13">
        <f>'Entry Sheet'!D151</f>
        <v>2</v>
      </c>
      <c r="D269" s="13">
        <f>'Entry Sheet'!F151</f>
        <v>1</v>
      </c>
      <c r="E269" s="13">
        <f>'Entry Sheet'!H151</f>
        <v>2</v>
      </c>
      <c r="F269" s="13">
        <f>'Entry Sheet'!J151</f>
        <v>2</v>
      </c>
      <c r="G269" s="13">
        <f>'Entry Sheet'!L151</f>
        <v>2</v>
      </c>
      <c r="H269" s="13">
        <f>'Entry Sheet'!N151</f>
        <v>1</v>
      </c>
      <c r="I269" s="13">
        <f>'Entry Sheet'!P151</f>
        <v>1</v>
      </c>
      <c r="J269" s="13">
        <f>'Entry Sheet'!R151</f>
        <v>2</v>
      </c>
      <c r="K269" s="13">
        <f>'Entry Sheet'!T151</f>
        <v>3</v>
      </c>
      <c r="L269" s="13">
        <f>'Entry Sheet'!V151</f>
        <v>2</v>
      </c>
      <c r="M269" s="13">
        <f>'Entry Sheet'!X151</f>
        <v>4</v>
      </c>
      <c r="N269" s="13">
        <f>'Entry Sheet'!Z151</f>
        <v>3</v>
      </c>
      <c r="O269" s="13">
        <f>'Entry Sheet'!AB151</f>
        <v>4</v>
      </c>
      <c r="P269" s="13" t="str">
        <f>'Entry Sheet'!AD151</f>
        <v/>
      </c>
      <c r="S269" s="13" t="s">
        <v>207</v>
      </c>
      <c r="T269" s="224">
        <f>MAX(B270:O270)</f>
        <v>36.72</v>
      </c>
    </row>
    <row r="270" ht="15.75" customHeight="1">
      <c r="A270" s="13" t="str">
        <f>'Entry Sheet'!A152</f>
        <v>QB</v>
      </c>
      <c r="B270" s="13">
        <f>'Entry Sheet'!C152</f>
        <v>35.76</v>
      </c>
      <c r="C270" s="13">
        <f>'Entry Sheet'!E152</f>
        <v>36.3</v>
      </c>
      <c r="D270" s="13">
        <f>'Entry Sheet'!G152</f>
        <v>36.72</v>
      </c>
      <c r="E270" s="13">
        <f>'Entry Sheet'!I152</f>
        <v>14.08</v>
      </c>
      <c r="F270" s="13">
        <f>'Entry Sheet'!K152</f>
        <v>22.98</v>
      </c>
      <c r="G270" s="13">
        <f>'Entry Sheet'!M152</f>
        <v>25.92</v>
      </c>
      <c r="H270" s="13">
        <f>'Entry Sheet'!O152</f>
        <v>19.44</v>
      </c>
      <c r="I270" s="13">
        <f>'Entry Sheet'!Q152</f>
        <v>0</v>
      </c>
      <c r="J270" s="13">
        <f>'Entry Sheet'!S152</f>
        <v>36.66</v>
      </c>
      <c r="K270" s="13">
        <f>'Entry Sheet'!U152</f>
        <v>20.54</v>
      </c>
      <c r="L270" s="13">
        <f>'Entry Sheet'!W152</f>
        <v>4.12</v>
      </c>
      <c r="M270" s="13">
        <f>'Entry Sheet'!Y152</f>
        <v>8.52</v>
      </c>
      <c r="N270" s="13">
        <f>'Entry Sheet'!AA152</f>
        <v>6.74</v>
      </c>
      <c r="O270" s="13">
        <f>'Entry Sheet'!AC152</f>
        <v>23.56</v>
      </c>
      <c r="Q270" s="224"/>
      <c r="R270" s="13" t="s">
        <v>106</v>
      </c>
      <c r="S270" s="13" t="s">
        <v>202</v>
      </c>
      <c r="T270" s="224">
        <f>AVERAGEIF(B271:O273,"&lt;&gt;0")</f>
        <v>17.50928571</v>
      </c>
    </row>
    <row r="271" ht="15.75" customHeight="1">
      <c r="A271" s="13" t="str">
        <f>'Entry Sheet'!A153</f>
        <v>RB</v>
      </c>
      <c r="B271" s="13">
        <f>'Entry Sheet'!C153</f>
        <v>19.5</v>
      </c>
      <c r="C271" s="13">
        <f>'Entry Sheet'!E153</f>
        <v>19.7</v>
      </c>
      <c r="D271" s="13">
        <f>'Entry Sheet'!G153</f>
        <v>23.7</v>
      </c>
      <c r="E271" s="13">
        <f>'Entry Sheet'!I153</f>
        <v>25.7</v>
      </c>
      <c r="F271" s="13">
        <f>'Entry Sheet'!K153</f>
        <v>6.4</v>
      </c>
      <c r="G271" s="13">
        <f>'Entry Sheet'!M153</f>
        <v>10.4</v>
      </c>
      <c r="H271" s="13">
        <f>'Entry Sheet'!O153</f>
        <v>8.3</v>
      </c>
      <c r="I271" s="13">
        <f>'Entry Sheet'!Q153</f>
        <v>37.5</v>
      </c>
      <c r="J271" s="13">
        <f>'Entry Sheet'!S153</f>
        <v>17.2</v>
      </c>
      <c r="K271" s="13">
        <f>'Entry Sheet'!U153</f>
        <v>12</v>
      </c>
      <c r="L271" s="13">
        <f>'Entry Sheet'!W153</f>
        <v>22</v>
      </c>
      <c r="M271" s="13">
        <f>'Entry Sheet'!Y153</f>
        <v>24.6</v>
      </c>
      <c r="N271" s="13">
        <f>'Entry Sheet'!AA153</f>
        <v>22.9</v>
      </c>
      <c r="O271" s="13">
        <f>'Entry Sheet'!AC153</f>
        <v>12.9</v>
      </c>
      <c r="Q271" s="224"/>
      <c r="S271" s="13" t="s">
        <v>207</v>
      </c>
      <c r="T271" s="224">
        <f>MAX(B271:O273)</f>
        <v>37.86</v>
      </c>
    </row>
    <row r="272" ht="15.75" customHeight="1">
      <c r="A272" s="13" t="str">
        <f>'Entry Sheet'!A154</f>
        <v>RB</v>
      </c>
      <c r="B272" s="13">
        <f>'Entry Sheet'!C154</f>
        <v>16.5</v>
      </c>
      <c r="C272" s="13">
        <f>'Entry Sheet'!E154</f>
        <v>6.8</v>
      </c>
      <c r="D272" s="13">
        <f>'Entry Sheet'!G154</f>
        <v>11.3</v>
      </c>
      <c r="E272" s="13">
        <f>'Entry Sheet'!I154</f>
        <v>15.5</v>
      </c>
      <c r="F272" s="13">
        <f>'Entry Sheet'!K154</f>
        <v>15.9</v>
      </c>
      <c r="G272" s="13">
        <f>'Entry Sheet'!M154</f>
        <v>32.9</v>
      </c>
      <c r="H272" s="13">
        <f>'Entry Sheet'!O154</f>
        <v>20</v>
      </c>
      <c r="I272" s="13">
        <f>'Entry Sheet'!Q154</f>
        <v>37.86</v>
      </c>
      <c r="J272" s="13">
        <f>'Entry Sheet'!S154</f>
        <v>12.7</v>
      </c>
      <c r="K272" s="13">
        <f>'Entry Sheet'!U154</f>
        <v>21.6</v>
      </c>
      <c r="L272" s="13">
        <f>'Entry Sheet'!W154</f>
        <v>12.7</v>
      </c>
      <c r="M272" s="13">
        <f>'Entry Sheet'!Y154</f>
        <v>9.6</v>
      </c>
      <c r="N272" s="13">
        <f>'Entry Sheet'!AA154</f>
        <v>5.1</v>
      </c>
      <c r="O272" s="13">
        <f>'Entry Sheet'!AC154</f>
        <v>9</v>
      </c>
      <c r="Q272" s="224"/>
      <c r="R272" s="13" t="s">
        <v>117</v>
      </c>
      <c r="S272" s="13" t="s">
        <v>202</v>
      </c>
      <c r="T272" s="224">
        <f>AVERAGEIF(B274:O277,"&lt;&gt;0")</f>
        <v>15.82051282</v>
      </c>
    </row>
    <row r="273" ht="15.75" customHeight="1">
      <c r="A273" s="13" t="str">
        <f>'Entry Sheet'!A155</f>
        <v>RB</v>
      </c>
      <c r="B273" s="13" t="str">
        <f>'Entry Sheet'!C155</f>
        <v/>
      </c>
      <c r="C273" s="13" t="str">
        <f>'Entry Sheet'!E155</f>
        <v/>
      </c>
      <c r="D273" s="13" t="str">
        <f>'Entry Sheet'!G155</f>
        <v/>
      </c>
      <c r="E273" s="13" t="str">
        <f>'Entry Sheet'!I155</f>
        <v/>
      </c>
      <c r="F273" s="13" t="str">
        <f>'Entry Sheet'!K155</f>
        <v/>
      </c>
      <c r="G273" s="13" t="str">
        <f>'Entry Sheet'!M155</f>
        <v/>
      </c>
      <c r="H273" s="13" t="str">
        <f>'Entry Sheet'!O155</f>
        <v/>
      </c>
      <c r="I273" s="13" t="str">
        <f>'Entry Sheet'!Q155</f>
        <v/>
      </c>
      <c r="J273" s="13" t="str">
        <f>'Entry Sheet'!S155</f>
        <v/>
      </c>
      <c r="K273" s="13" t="str">
        <f>'Entry Sheet'!U155</f>
        <v/>
      </c>
      <c r="L273" s="13" t="str">
        <f>'Entry Sheet'!W155</f>
        <v/>
      </c>
      <c r="M273" s="13" t="str">
        <f>'Entry Sheet'!Y155</f>
        <v/>
      </c>
      <c r="N273" s="13" t="str">
        <f>'Entry Sheet'!AA155</f>
        <v/>
      </c>
      <c r="O273" s="13" t="str">
        <f>'Entry Sheet'!AC155</f>
        <v/>
      </c>
      <c r="Q273" s="224"/>
      <c r="S273" s="13" t="s">
        <v>207</v>
      </c>
      <c r="T273" s="224">
        <f>MAX(B274:O277)</f>
        <v>40.4</v>
      </c>
    </row>
    <row r="274" ht="15.75" customHeight="1">
      <c r="A274" s="13" t="str">
        <f>'Entry Sheet'!A156</f>
        <v>WR</v>
      </c>
      <c r="B274" s="13">
        <f>'Entry Sheet'!C156</f>
        <v>8.5</v>
      </c>
      <c r="C274" s="13">
        <f>'Entry Sheet'!E156</f>
        <v>40.4</v>
      </c>
      <c r="D274" s="13">
        <f>'Entry Sheet'!G156</f>
        <v>20.7</v>
      </c>
      <c r="E274" s="13">
        <f>'Entry Sheet'!I156</f>
        <v>26</v>
      </c>
      <c r="F274" s="13">
        <f>'Entry Sheet'!K156</f>
        <v>19</v>
      </c>
      <c r="G274" s="13">
        <f>'Entry Sheet'!M156</f>
        <v>13.8</v>
      </c>
      <c r="H274" s="13">
        <f>'Entry Sheet'!O156</f>
        <v>20.6</v>
      </c>
      <c r="I274" s="13">
        <f>'Entry Sheet'!Q156</f>
        <v>0</v>
      </c>
      <c r="J274" s="13">
        <f>'Entry Sheet'!S156</f>
        <v>18.7</v>
      </c>
      <c r="K274" s="13">
        <f>'Entry Sheet'!U156</f>
        <v>16.8</v>
      </c>
      <c r="L274" s="13">
        <f>'Entry Sheet'!W156</f>
        <v>6.2</v>
      </c>
      <c r="M274" s="13">
        <f>'Entry Sheet'!Y156</f>
        <v>30.9</v>
      </c>
      <c r="N274" s="13">
        <f>'Entry Sheet'!AA156</f>
        <v>0</v>
      </c>
      <c r="O274" s="13">
        <f>'Entry Sheet'!AC156</f>
        <v>11.05</v>
      </c>
      <c r="Q274" s="224"/>
      <c r="R274" s="13" t="s">
        <v>132</v>
      </c>
      <c r="S274" s="13" t="s">
        <v>202</v>
      </c>
      <c r="T274" s="224">
        <f>AVERAGEIF(B278:O278,"&lt;&gt;0")</f>
        <v>13.2</v>
      </c>
    </row>
    <row r="275" ht="15.75" customHeight="1">
      <c r="A275" s="13" t="str">
        <f>'Entry Sheet'!A157</f>
        <v>WR</v>
      </c>
      <c r="B275" s="13">
        <f>'Entry Sheet'!C157</f>
        <v>10.1</v>
      </c>
      <c r="C275" s="13">
        <f>'Entry Sheet'!E157</f>
        <v>10.6</v>
      </c>
      <c r="D275" s="13">
        <f>'Entry Sheet'!G157</f>
        <v>13.3</v>
      </c>
      <c r="E275" s="13">
        <f>'Entry Sheet'!I157</f>
        <v>20.4</v>
      </c>
      <c r="F275" s="13">
        <f>'Entry Sheet'!K157</f>
        <v>23.6</v>
      </c>
      <c r="G275" s="13">
        <f>'Entry Sheet'!M157</f>
        <v>5.5</v>
      </c>
      <c r="H275" s="13">
        <f>'Entry Sheet'!O157</f>
        <v>0</v>
      </c>
      <c r="I275" s="13">
        <f>'Entry Sheet'!Q157</f>
        <v>4.3</v>
      </c>
      <c r="J275" s="13">
        <f>'Entry Sheet'!S157</f>
        <v>11</v>
      </c>
      <c r="K275" s="13">
        <f>'Entry Sheet'!U157</f>
        <v>12.9</v>
      </c>
      <c r="L275" s="13">
        <f>'Entry Sheet'!W157</f>
        <v>20.8</v>
      </c>
      <c r="M275" s="13">
        <f>'Entry Sheet'!Y157</f>
        <v>16</v>
      </c>
      <c r="N275" s="13">
        <f>'Entry Sheet'!AA157</f>
        <v>14.7</v>
      </c>
      <c r="O275" s="13">
        <f>'Entry Sheet'!AC157</f>
        <v>6</v>
      </c>
      <c r="Q275" s="224"/>
      <c r="S275" s="13" t="s">
        <v>207</v>
      </c>
      <c r="T275" s="224">
        <f>MAX(B278:O278)</f>
        <v>23.9</v>
      </c>
    </row>
    <row r="276" ht="15.75" customHeight="1">
      <c r="A276" s="13" t="str">
        <f>'Entry Sheet'!A158</f>
        <v>WR</v>
      </c>
      <c r="B276" s="13">
        <f>'Entry Sheet'!C158</f>
        <v>25.2</v>
      </c>
      <c r="C276" s="13">
        <f>'Entry Sheet'!E158</f>
        <v>21.3</v>
      </c>
      <c r="D276" s="13">
        <f>'Entry Sheet'!G158</f>
        <v>9.85</v>
      </c>
      <c r="E276" s="13">
        <f>'Entry Sheet'!I158</f>
        <v>8</v>
      </c>
      <c r="F276" s="13">
        <f>'Entry Sheet'!K158</f>
        <v>12.9</v>
      </c>
      <c r="G276" s="13">
        <f>'Entry Sheet'!M158</f>
        <v>15.8</v>
      </c>
      <c r="H276" s="13">
        <f>'Entry Sheet'!O158</f>
        <v>26.8</v>
      </c>
      <c r="I276" s="13">
        <f>'Entry Sheet'!Q158</f>
        <v>14.1</v>
      </c>
      <c r="J276" s="13">
        <f>'Entry Sheet'!S158</f>
        <v>8.7</v>
      </c>
      <c r="K276" s="13">
        <f>'Entry Sheet'!U158</f>
        <v>22.4</v>
      </c>
      <c r="L276" s="13">
        <f>'Entry Sheet'!W158</f>
        <v>9.4</v>
      </c>
      <c r="M276" s="13">
        <f>'Entry Sheet'!Y158</f>
        <v>15.1</v>
      </c>
      <c r="N276" s="13">
        <f>'Entry Sheet'!AA158</f>
        <v>13.9</v>
      </c>
      <c r="O276" s="13">
        <f>'Entry Sheet'!AC158</f>
        <v>11.7</v>
      </c>
      <c r="Q276" s="224"/>
      <c r="R276" s="13" t="s">
        <v>136</v>
      </c>
      <c r="S276" s="13" t="s">
        <v>202</v>
      </c>
      <c r="T276" s="224">
        <f>AVERAGEIF(B279:O279,"&lt;&gt;0")</f>
        <v>13.90714286</v>
      </c>
    </row>
    <row r="277" ht="15.75" customHeight="1">
      <c r="A277" s="13" t="str">
        <f>'Entry Sheet'!A159</f>
        <v>WR</v>
      </c>
      <c r="B277" s="13" t="str">
        <f>'Entry Sheet'!C159</f>
        <v/>
      </c>
      <c r="C277" s="13" t="str">
        <f>'Entry Sheet'!E159</f>
        <v/>
      </c>
      <c r="D277" s="13" t="str">
        <f>'Entry Sheet'!G159</f>
        <v/>
      </c>
      <c r="E277" s="13" t="str">
        <f>'Entry Sheet'!I159</f>
        <v/>
      </c>
      <c r="F277" s="13" t="str">
        <f>'Entry Sheet'!K159</f>
        <v/>
      </c>
      <c r="G277" s="13" t="str">
        <f>'Entry Sheet'!M159</f>
        <v/>
      </c>
      <c r="H277" s="13" t="str">
        <f>'Entry Sheet'!O159</f>
        <v/>
      </c>
      <c r="I277" s="13" t="str">
        <f>'Entry Sheet'!Q159</f>
        <v/>
      </c>
      <c r="J277" s="13" t="str">
        <f>'Entry Sheet'!S159</f>
        <v/>
      </c>
      <c r="K277" s="13" t="str">
        <f>'Entry Sheet'!U159</f>
        <v/>
      </c>
      <c r="L277" s="13" t="str">
        <f>'Entry Sheet'!W159</f>
        <v/>
      </c>
      <c r="M277" s="13" t="str">
        <f>'Entry Sheet'!Y159</f>
        <v/>
      </c>
      <c r="N277" s="13" t="str">
        <f>'Entry Sheet'!AA159</f>
        <v/>
      </c>
      <c r="O277" s="13" t="str">
        <f>'Entry Sheet'!AC159</f>
        <v/>
      </c>
      <c r="Q277" s="224"/>
      <c r="S277" s="13" t="s">
        <v>207</v>
      </c>
      <c r="T277" s="224">
        <f>MAX(B279:O279)</f>
        <v>29.6</v>
      </c>
    </row>
    <row r="278" ht="15.75" customHeight="1">
      <c r="A278" s="13" t="str">
        <f>'Entry Sheet'!A160</f>
        <v>TE</v>
      </c>
      <c r="B278" s="13">
        <f>'Entry Sheet'!C160</f>
        <v>5.1</v>
      </c>
      <c r="C278" s="13">
        <f>'Entry Sheet'!E160</f>
        <v>16.8</v>
      </c>
      <c r="D278" s="13">
        <f>'Entry Sheet'!G160</f>
        <v>21.2</v>
      </c>
      <c r="E278" s="13">
        <f>'Entry Sheet'!I160</f>
        <v>17</v>
      </c>
      <c r="F278" s="13">
        <f>'Entry Sheet'!K160</f>
        <v>23.9</v>
      </c>
      <c r="G278" s="13">
        <f>'Entry Sheet'!M160</f>
        <v>12.3</v>
      </c>
      <c r="H278" s="13">
        <f>'Entry Sheet'!O160</f>
        <v>21.9</v>
      </c>
      <c r="I278" s="13">
        <f>'Entry Sheet'!Q160</f>
        <v>0</v>
      </c>
      <c r="J278" s="13">
        <f>'Entry Sheet'!S160</f>
        <v>8</v>
      </c>
      <c r="K278" s="13">
        <f>'Entry Sheet'!U160</f>
        <v>3.2</v>
      </c>
      <c r="L278" s="13">
        <f>'Entry Sheet'!W160</f>
        <v>11.6</v>
      </c>
      <c r="M278" s="13">
        <f>'Entry Sheet'!Y160</f>
        <v>11.2</v>
      </c>
      <c r="N278" s="13">
        <f>'Entry Sheet'!AA160</f>
        <v>8.6</v>
      </c>
      <c r="O278" s="13">
        <f>'Entry Sheet'!AC160</f>
        <v>10.8</v>
      </c>
      <c r="Q278" s="224"/>
      <c r="R278" s="13" t="s">
        <v>139</v>
      </c>
      <c r="S278" s="13" t="s">
        <v>202</v>
      </c>
      <c r="T278" s="224">
        <f>AVERAGEIF(B280:O280,"&lt;&gt;0")</f>
        <v>14.85571429</v>
      </c>
    </row>
    <row r="279" ht="15.75" customHeight="1">
      <c r="A279" s="13" t="str">
        <f>'Entry Sheet'!A161</f>
        <v>FLEX</v>
      </c>
      <c r="B279" s="13">
        <f>'Entry Sheet'!C161</f>
        <v>22.5</v>
      </c>
      <c r="C279" s="13">
        <f>'Entry Sheet'!E161</f>
        <v>29.6</v>
      </c>
      <c r="D279" s="13">
        <f>'Entry Sheet'!G161</f>
        <v>10.1</v>
      </c>
      <c r="E279" s="13">
        <f>'Entry Sheet'!I161</f>
        <v>17.5</v>
      </c>
      <c r="F279" s="13">
        <f>'Entry Sheet'!K161</f>
        <v>19.9</v>
      </c>
      <c r="G279" s="13">
        <f>'Entry Sheet'!M161</f>
        <v>8.1</v>
      </c>
      <c r="H279" s="13">
        <f>'Entry Sheet'!O161</f>
        <v>8.9</v>
      </c>
      <c r="I279" s="13">
        <f>'Entry Sheet'!Q161</f>
        <v>10.3</v>
      </c>
      <c r="J279" s="13">
        <f>'Entry Sheet'!S161</f>
        <v>2.2</v>
      </c>
      <c r="K279" s="13">
        <f>'Entry Sheet'!U161</f>
        <v>17.1</v>
      </c>
      <c r="L279" s="13">
        <f>'Entry Sheet'!W161</f>
        <v>9.8</v>
      </c>
      <c r="M279" s="13">
        <f>'Entry Sheet'!Y161</f>
        <v>15.5</v>
      </c>
      <c r="N279" s="13">
        <f>'Entry Sheet'!AA161</f>
        <v>17.5</v>
      </c>
      <c r="O279" s="13">
        <f>'Entry Sheet'!AC161</f>
        <v>5.7</v>
      </c>
      <c r="Q279" s="224"/>
      <c r="S279" s="13" t="s">
        <v>207</v>
      </c>
      <c r="T279" s="224">
        <f>MAX(B280:O280)</f>
        <v>27.2</v>
      </c>
    </row>
    <row r="280" ht="15.75" customHeight="1">
      <c r="A280" s="13" t="str">
        <f>'Entry Sheet'!A162</f>
        <v>D/ST</v>
      </c>
      <c r="B280" s="13">
        <f>'Entry Sheet'!C162</f>
        <v>8.25</v>
      </c>
      <c r="C280" s="13">
        <f>'Entry Sheet'!E162</f>
        <v>8.9</v>
      </c>
      <c r="D280" s="13">
        <f>'Entry Sheet'!G162</f>
        <v>16.54</v>
      </c>
      <c r="E280" s="13">
        <f>'Entry Sheet'!I162</f>
        <v>25.72</v>
      </c>
      <c r="F280" s="13">
        <f>'Entry Sheet'!K162</f>
        <v>6.4</v>
      </c>
      <c r="G280" s="13">
        <f>'Entry Sheet'!M162</f>
        <v>23.1</v>
      </c>
      <c r="H280" s="13">
        <f>'Entry Sheet'!O162</f>
        <v>5.11</v>
      </c>
      <c r="I280" s="13">
        <f>'Entry Sheet'!Q162</f>
        <v>-2.17</v>
      </c>
      <c r="J280" s="13">
        <f>'Entry Sheet'!S162</f>
        <v>19.32</v>
      </c>
      <c r="K280" s="13">
        <f>'Entry Sheet'!U162</f>
        <v>27.2</v>
      </c>
      <c r="L280" s="13">
        <f>'Entry Sheet'!W162</f>
        <v>4.15</v>
      </c>
      <c r="M280" s="13">
        <f>'Entry Sheet'!Y162</f>
        <v>16.07</v>
      </c>
      <c r="N280" s="13">
        <f>'Entry Sheet'!AA162</f>
        <v>24.84</v>
      </c>
      <c r="O280" s="13">
        <f>'Entry Sheet'!AC162</f>
        <v>24.55</v>
      </c>
      <c r="Q280" s="224"/>
      <c r="R280" s="13" t="s">
        <v>146</v>
      </c>
      <c r="S280" s="13" t="s">
        <v>202</v>
      </c>
      <c r="T280" s="224">
        <f>AVERAGEIF(B281:O281,"&lt;&gt;0")</f>
        <v>11.82142857</v>
      </c>
    </row>
    <row r="281" ht="15.75" customHeight="1">
      <c r="A281" s="13" t="str">
        <f>'Entry Sheet'!A163</f>
        <v>K</v>
      </c>
      <c r="B281" s="13">
        <f>'Entry Sheet'!C163</f>
        <v>12</v>
      </c>
      <c r="C281" s="13">
        <f>'Entry Sheet'!E163</f>
        <v>27</v>
      </c>
      <c r="D281" s="13">
        <f>'Entry Sheet'!G163</f>
        <v>9</v>
      </c>
      <c r="E281" s="13">
        <f>'Entry Sheet'!I163</f>
        <v>8</v>
      </c>
      <c r="F281" s="13">
        <f>'Entry Sheet'!K163</f>
        <v>7</v>
      </c>
      <c r="G281" s="13">
        <f>'Entry Sheet'!M163</f>
        <v>9</v>
      </c>
      <c r="H281" s="13">
        <f>'Entry Sheet'!O163</f>
        <v>21</v>
      </c>
      <c r="I281" s="13">
        <f>'Entry Sheet'!Q163</f>
        <v>6</v>
      </c>
      <c r="J281" s="13">
        <f>'Entry Sheet'!S163</f>
        <v>4.5</v>
      </c>
      <c r="K281" s="13">
        <f>'Entry Sheet'!U163</f>
        <v>5</v>
      </c>
      <c r="L281" s="13">
        <f>'Entry Sheet'!W163</f>
        <v>10</v>
      </c>
      <c r="M281" s="13">
        <f>'Entry Sheet'!Y163</f>
        <v>6</v>
      </c>
      <c r="N281" s="13">
        <f>'Entry Sheet'!AA163</f>
        <v>12</v>
      </c>
      <c r="O281" s="13">
        <f>'Entry Sheet'!AC163</f>
        <v>29</v>
      </c>
      <c r="Q281" s="224"/>
      <c r="S281" s="13" t="s">
        <v>207</v>
      </c>
      <c r="T281" s="224">
        <f>MAX(B281:O281)</f>
        <v>29</v>
      </c>
    </row>
    <row r="282" ht="15.75" customHeight="1">
      <c r="A282" s="13" t="str">
        <f>'Entry Sheet'!A164</f>
        <v>HC</v>
      </c>
      <c r="B282" s="13">
        <f>'Entry Sheet'!C164</f>
        <v>12.2</v>
      </c>
      <c r="C282" s="13">
        <f>'Entry Sheet'!E164</f>
        <v>17</v>
      </c>
      <c r="D282" s="13">
        <f>'Entry Sheet'!G164</f>
        <v>13.3</v>
      </c>
      <c r="E282" s="13">
        <f>'Entry Sheet'!I164</f>
        <v>13.3</v>
      </c>
      <c r="F282" s="13">
        <f>'Entry Sheet'!K164</f>
        <v>4</v>
      </c>
      <c r="G282" s="13">
        <f>'Entry Sheet'!M164</f>
        <v>6.1</v>
      </c>
      <c r="H282" s="13">
        <f>'Entry Sheet'!O164</f>
        <v>21.2</v>
      </c>
      <c r="I282" s="13">
        <f>'Entry Sheet'!Q164</f>
        <v>24</v>
      </c>
      <c r="J282" s="13">
        <f>'Entry Sheet'!S164</f>
        <v>1.1</v>
      </c>
      <c r="K282" s="13">
        <f>'Entry Sheet'!U164</f>
        <v>-2.1</v>
      </c>
      <c r="L282" s="13">
        <f>'Entry Sheet'!W164</f>
        <v>15.9</v>
      </c>
      <c r="M282" s="13">
        <f>'Entry Sheet'!Y164</f>
        <v>3.7</v>
      </c>
      <c r="N282" s="13">
        <f>'Entry Sheet'!AA164</f>
        <v>13.8</v>
      </c>
      <c r="O282" s="13">
        <f>'Entry Sheet'!AC164</f>
        <v>14.7</v>
      </c>
      <c r="Q282" s="224"/>
      <c r="R282" s="13" t="s">
        <v>162</v>
      </c>
      <c r="S282" s="13" t="s">
        <v>202</v>
      </c>
      <c r="T282" s="224">
        <f>AVERAGEIF(B282:O282,"&lt;&gt;0")</f>
        <v>11.3</v>
      </c>
    </row>
    <row r="283" ht="15.75" customHeight="1">
      <c r="A283" s="13" t="str">
        <f>'Entry Sheet'!A165</f>
        <v>Total Score</v>
      </c>
      <c r="B283" s="13">
        <f>'Entry Sheet'!B165</f>
        <v>175.61</v>
      </c>
      <c r="C283" s="13">
        <f>'Entry Sheet'!D165</f>
        <v>234.4</v>
      </c>
      <c r="D283" s="13">
        <f>'Entry Sheet'!F165</f>
        <v>185.71</v>
      </c>
      <c r="E283" s="13">
        <f>'Entry Sheet'!H165</f>
        <v>191.2</v>
      </c>
      <c r="F283" s="13">
        <f>'Entry Sheet'!J165</f>
        <v>161.98</v>
      </c>
      <c r="G283" s="13">
        <f>'Entry Sheet'!L165</f>
        <v>162.92</v>
      </c>
      <c r="H283" s="13">
        <f>'Entry Sheet'!N165</f>
        <v>173.25</v>
      </c>
      <c r="I283" s="13">
        <f>'Entry Sheet'!P165</f>
        <v>131.89</v>
      </c>
      <c r="J283" s="13">
        <f>'Entry Sheet'!R165</f>
        <v>140.08</v>
      </c>
      <c r="K283" s="13">
        <f>'Entry Sheet'!T165</f>
        <v>156.64</v>
      </c>
      <c r="L283" s="13">
        <f>'Entry Sheet'!V165</f>
        <v>126.67</v>
      </c>
      <c r="M283" s="13">
        <f>'Entry Sheet'!X165</f>
        <v>157.19</v>
      </c>
      <c r="N283" s="13">
        <f>'Entry Sheet'!Z165</f>
        <v>140.08</v>
      </c>
      <c r="O283" s="13">
        <f>'Entry Sheet'!AB165</f>
        <v>158.96</v>
      </c>
      <c r="Q283" s="224"/>
      <c r="S283" s="13" t="s">
        <v>207</v>
      </c>
      <c r="T283" s="224">
        <f>MAX(B282:O282)</f>
        <v>24</v>
      </c>
    </row>
    <row r="284" ht="15.75" customHeight="1">
      <c r="A284" s="13" t="str">
        <f>'Entry Sheet'!A166</f>
        <v>MVP</v>
      </c>
      <c r="B284" s="13">
        <f>'Entry Sheet'!C166</f>
        <v>35.76</v>
      </c>
      <c r="C284" s="13">
        <f>'Entry Sheet'!E166</f>
        <v>40.4</v>
      </c>
      <c r="D284" s="13">
        <f>'Entry Sheet'!G166</f>
        <v>36.72</v>
      </c>
      <c r="E284" s="13">
        <f>'Entry Sheet'!I166</f>
        <v>26</v>
      </c>
      <c r="F284" s="13">
        <f>'Entry Sheet'!K166</f>
        <v>23.9</v>
      </c>
      <c r="G284" s="13">
        <f>'Entry Sheet'!M166</f>
        <v>32.9</v>
      </c>
      <c r="H284" s="13">
        <f>'Entry Sheet'!O166</f>
        <v>26.8</v>
      </c>
      <c r="I284" s="13">
        <f>'Entry Sheet'!Q166</f>
        <v>37.86</v>
      </c>
      <c r="J284" s="13">
        <f>'Entry Sheet'!S166</f>
        <v>36.66</v>
      </c>
      <c r="K284" s="13">
        <f>'Entry Sheet'!U166</f>
        <v>27.2</v>
      </c>
      <c r="L284" s="13">
        <f>'Entry Sheet'!W166</f>
        <v>22</v>
      </c>
      <c r="M284" s="13">
        <f>'Entry Sheet'!Y166</f>
        <v>30.9</v>
      </c>
      <c r="N284" s="13">
        <f>'Entry Sheet'!AA166</f>
        <v>24.84</v>
      </c>
      <c r="O284" s="13">
        <f>'Entry Sheet'!AC166</f>
        <v>29</v>
      </c>
      <c r="Q284" s="224"/>
      <c r="R284" s="13" t="s">
        <v>168</v>
      </c>
      <c r="S284" s="13" t="s">
        <v>207</v>
      </c>
      <c r="T284" s="224">
        <f>MAX(B284:O284)</f>
        <v>40.4</v>
      </c>
    </row>
    <row r="285" ht="15.75" customHeight="1">
      <c r="R285" s="13" t="s">
        <v>167</v>
      </c>
      <c r="S285" s="13" t="s">
        <v>202</v>
      </c>
      <c r="T285" s="224">
        <f>AVERAGEIF(B283:O283,"&lt;&gt;0")</f>
        <v>164.0414286</v>
      </c>
    </row>
    <row r="286" ht="15.75" customHeight="1">
      <c r="S286" s="13" t="s">
        <v>207</v>
      </c>
      <c r="T286" s="224">
        <f>MAX(B283:O283)</f>
        <v>234.4</v>
      </c>
    </row>
    <row r="287" ht="15.75" customHeight="1">
      <c r="S287" s="13" t="s">
        <v>228</v>
      </c>
      <c r="T287" s="13">
        <f>SUM(B283:O283)</f>
        <v>2296.58</v>
      </c>
    </row>
    <row r="288" ht="15.75" customHeight="1">
      <c r="R288" s="13" t="s">
        <v>42</v>
      </c>
      <c r="S288" s="13" t="s">
        <v>202</v>
      </c>
      <c r="T288" s="13">
        <f>AVERAGE(C269:P269)</f>
        <v>2.230769231</v>
      </c>
    </row>
    <row r="289" ht="15.75" customHeight="1">
      <c r="S289" s="13" t="s">
        <v>231</v>
      </c>
      <c r="T289" s="13">
        <f>MIN(C269:P269)</f>
        <v>1</v>
      </c>
    </row>
    <row r="290" ht="15.75" customHeight="1">
      <c r="S290" s="13" t="s">
        <v>234</v>
      </c>
      <c r="T290" s="13">
        <f>STDEV(C269:P269)</f>
        <v>1.012739367</v>
      </c>
    </row>
    <row r="291" ht="15.75" customHeight="1"/>
    <row r="292" ht="15.75" customHeight="1"/>
    <row r="293" ht="15.75" customHeight="1"/>
    <row r="294" ht="15.75" customHeight="1">
      <c r="A294" s="221" t="str">
        <f>'Entry Sheet'!A170</f>
        <v>EAGLES</v>
      </c>
      <c r="B294" s="221"/>
      <c r="C294" s="221"/>
      <c r="D294" s="221"/>
      <c r="E294" s="221"/>
      <c r="F294" s="221"/>
      <c r="G294" s="221"/>
      <c r="H294" s="221"/>
      <c r="I294" s="221"/>
      <c r="J294" s="221"/>
      <c r="K294" s="221"/>
      <c r="L294" s="221"/>
      <c r="M294" s="221"/>
      <c r="N294" s="221"/>
      <c r="O294" s="221"/>
      <c r="P294" s="221"/>
      <c r="Q294" s="221"/>
      <c r="R294" s="221"/>
      <c r="S294" s="221"/>
      <c r="T294" s="221"/>
    </row>
    <row r="295" ht="15.75" customHeight="1">
      <c r="B295" s="13" t="str">
        <f>'Entry Sheet'!B171</f>
        <v>Week 1</v>
      </c>
      <c r="C295" s="13" t="str">
        <f>'Entry Sheet'!D171</f>
        <v>Week 2</v>
      </c>
      <c r="D295" s="13" t="str">
        <f>'Entry Sheet'!F171</f>
        <v>Week 3</v>
      </c>
      <c r="E295" s="13" t="str">
        <f>'Entry Sheet'!H171</f>
        <v>Week 4</v>
      </c>
      <c r="F295" s="13" t="str">
        <f>'Entry Sheet'!J171</f>
        <v>Week 5</v>
      </c>
      <c r="G295" s="13" t="str">
        <f>'Entry Sheet'!L171</f>
        <v>Week 6</v>
      </c>
      <c r="H295" s="13" t="str">
        <f>'Entry Sheet'!N171</f>
        <v>Week 7</v>
      </c>
      <c r="I295" s="13" t="str">
        <f>'Entry Sheet'!P171</f>
        <v>Week 8</v>
      </c>
      <c r="J295" s="13" t="str">
        <f>'Entry Sheet'!R171</f>
        <v>Week 9</v>
      </c>
      <c r="K295" s="13" t="str">
        <f>'Entry Sheet'!T171</f>
        <v>Week 10</v>
      </c>
      <c r="L295" s="13" t="str">
        <f>'Entry Sheet'!V171</f>
        <v>Week 11</v>
      </c>
      <c r="M295" s="13" t="str">
        <f>'Entry Sheet'!X171</f>
        <v>Week 12</v>
      </c>
      <c r="N295" s="13" t="str">
        <f>'Entry Sheet'!Z171</f>
        <v>Week 13</v>
      </c>
      <c r="O295" s="13" t="str">
        <f>'Entry Sheet'!AB171</f>
        <v>Week 14</v>
      </c>
      <c r="P295" s="13" t="str">
        <f>'Entry Sheet'!AD171</f>
        <v>Finale</v>
      </c>
      <c r="R295" s="13" t="s">
        <v>100</v>
      </c>
      <c r="S295" s="13" t="s">
        <v>202</v>
      </c>
      <c r="T295" s="224">
        <f>AVERAGEIF(B297:O297,"&lt;&gt;0")</f>
        <v>28.89714286</v>
      </c>
    </row>
    <row r="296" ht="15.75" customHeight="1">
      <c r="A296" s="13" t="str">
        <f>'Entry Sheet'!A172</f>
        <v>Team Rank</v>
      </c>
      <c r="B296" s="13">
        <f>'Entry Sheet'!B172</f>
        <v>7</v>
      </c>
      <c r="C296" s="13">
        <f>'Entry Sheet'!D172</f>
        <v>8</v>
      </c>
      <c r="D296" s="13">
        <f>'Entry Sheet'!F172</f>
        <v>8</v>
      </c>
      <c r="E296" s="13">
        <f>'Entry Sheet'!H172</f>
        <v>10</v>
      </c>
      <c r="F296" s="13">
        <f>'Entry Sheet'!J172</f>
        <v>10</v>
      </c>
      <c r="G296" s="13">
        <f>'Entry Sheet'!L172</f>
        <v>10</v>
      </c>
      <c r="H296" s="13">
        <f>'Entry Sheet'!N172</f>
        <v>10</v>
      </c>
      <c r="I296" s="13">
        <f>'Entry Sheet'!P172</f>
        <v>9</v>
      </c>
      <c r="J296" s="13">
        <f>'Entry Sheet'!R172</f>
        <v>7</v>
      </c>
      <c r="K296" s="13">
        <f>'Entry Sheet'!T172</f>
        <v>10</v>
      </c>
      <c r="L296" s="13">
        <f>'Entry Sheet'!V172</f>
        <v>10</v>
      </c>
      <c r="M296" s="13">
        <f>'Entry Sheet'!X172</f>
        <v>7</v>
      </c>
      <c r="N296" s="13">
        <f>'Entry Sheet'!Z172</f>
        <v>9</v>
      </c>
      <c r="O296" s="13">
        <f>'Entry Sheet'!AB172</f>
        <v>8</v>
      </c>
      <c r="P296" s="13" t="str">
        <f>'Entry Sheet'!$AD$172</f>
        <v/>
      </c>
      <c r="S296" s="13" t="s">
        <v>207</v>
      </c>
      <c r="T296" s="224">
        <f>MAX(B297:O297)</f>
        <v>50.28</v>
      </c>
    </row>
    <row r="297" ht="15.75" customHeight="1">
      <c r="A297" s="13" t="str">
        <f>'Entry Sheet'!A173</f>
        <v>QB</v>
      </c>
      <c r="B297" s="13">
        <f>'Entry Sheet'!C173</f>
        <v>49.16</v>
      </c>
      <c r="C297" s="13">
        <f>'Entry Sheet'!E173</f>
        <v>13.02</v>
      </c>
      <c r="D297" s="13">
        <f>'Entry Sheet'!G173</f>
        <v>32.62</v>
      </c>
      <c r="E297" s="13">
        <f>'Entry Sheet'!I173</f>
        <v>30.76</v>
      </c>
      <c r="F297" s="13">
        <f>'Entry Sheet'!K173</f>
        <v>26.12</v>
      </c>
      <c r="G297" s="13">
        <f>'Entry Sheet'!M173</f>
        <v>19.2</v>
      </c>
      <c r="H297" s="13">
        <f>'Entry Sheet'!O173</f>
        <v>29.12</v>
      </c>
      <c r="I297" s="13">
        <f>'Entry Sheet'!Q173</f>
        <v>31.88</v>
      </c>
      <c r="J297" s="13">
        <f>'Entry Sheet'!S173</f>
        <v>17.38</v>
      </c>
      <c r="K297" s="13">
        <f>'Entry Sheet'!U173</f>
        <v>27.14</v>
      </c>
      <c r="L297" s="13">
        <f>'Entry Sheet'!W173</f>
        <v>50.28</v>
      </c>
      <c r="M297" s="13">
        <f>'Entry Sheet'!Y173</f>
        <v>9.82</v>
      </c>
      <c r="N297" s="13">
        <f>'Entry Sheet'!AA173</f>
        <v>20.12</v>
      </c>
      <c r="O297" s="13">
        <f>'Entry Sheet'!AC173</f>
        <v>47.94</v>
      </c>
      <c r="R297" s="13" t="s">
        <v>106</v>
      </c>
      <c r="S297" s="13" t="s">
        <v>202</v>
      </c>
      <c r="T297" s="224">
        <f>AVERAGEIF(B298:O300,"&lt;&gt;0")</f>
        <v>12.97857143</v>
      </c>
    </row>
    <row r="298" ht="15.75" customHeight="1">
      <c r="A298" s="13" t="str">
        <f>'Entry Sheet'!A174</f>
        <v>RB</v>
      </c>
      <c r="B298" s="13">
        <f>'Entry Sheet'!C174</f>
        <v>14.8</v>
      </c>
      <c r="C298" s="13">
        <f>'Entry Sheet'!E174</f>
        <v>18.1</v>
      </c>
      <c r="D298" s="13">
        <f>'Entry Sheet'!G174</f>
        <v>8.4</v>
      </c>
      <c r="E298" s="13">
        <f>'Entry Sheet'!I174</f>
        <v>12.7</v>
      </c>
      <c r="F298" s="13">
        <f>'Entry Sheet'!K174</f>
        <v>10.3</v>
      </c>
      <c r="G298" s="13">
        <f>'Entry Sheet'!M174</f>
        <v>9.7</v>
      </c>
      <c r="H298" s="13">
        <f>'Entry Sheet'!O174</f>
        <v>21.7</v>
      </c>
      <c r="I298" s="13">
        <f>'Entry Sheet'!Q174</f>
        <v>7.3</v>
      </c>
      <c r="J298" s="13">
        <f>'Entry Sheet'!S174</f>
        <v>8.8</v>
      </c>
      <c r="K298" s="13">
        <f>'Entry Sheet'!U174</f>
        <v>4.1</v>
      </c>
      <c r="L298" s="13">
        <f>'Entry Sheet'!W174</f>
        <v>12.5</v>
      </c>
      <c r="M298" s="13">
        <f>'Entry Sheet'!Y174</f>
        <v>14.1</v>
      </c>
      <c r="N298" s="13">
        <f>'Entry Sheet'!AA174</f>
        <v>18.7</v>
      </c>
      <c r="O298" s="13">
        <f>'Entry Sheet'!AC174</f>
        <v>16.4</v>
      </c>
      <c r="S298" s="13" t="s">
        <v>207</v>
      </c>
      <c r="T298" s="224">
        <f>MAX(B298:O300)</f>
        <v>29.5</v>
      </c>
    </row>
    <row r="299" ht="15.75" customHeight="1">
      <c r="A299" s="13" t="str">
        <f>'Entry Sheet'!A175</f>
        <v>RB</v>
      </c>
      <c r="B299" s="13">
        <f>'Entry Sheet'!C175</f>
        <v>9.7</v>
      </c>
      <c r="C299" s="13">
        <f>'Entry Sheet'!E175</f>
        <v>11.2</v>
      </c>
      <c r="D299" s="13">
        <f>'Entry Sheet'!G175</f>
        <v>13.2</v>
      </c>
      <c r="E299" s="13">
        <f>'Entry Sheet'!I175</f>
        <v>21</v>
      </c>
      <c r="F299" s="13">
        <f>'Entry Sheet'!K175</f>
        <v>29.5</v>
      </c>
      <c r="G299" s="13">
        <f>'Entry Sheet'!M175</f>
        <v>7.5</v>
      </c>
      <c r="H299" s="13">
        <f>'Entry Sheet'!O175</f>
        <v>5.5</v>
      </c>
      <c r="I299" s="13">
        <f>'Entry Sheet'!Q175</f>
        <v>19.2</v>
      </c>
      <c r="J299" s="13">
        <f>'Entry Sheet'!S175</f>
        <v>6.3</v>
      </c>
      <c r="K299" s="13">
        <f>'Entry Sheet'!U175</f>
        <v>17.5</v>
      </c>
      <c r="L299" s="13">
        <f>'Entry Sheet'!W175</f>
        <v>7.9</v>
      </c>
      <c r="M299" s="13">
        <f>'Entry Sheet'!Y175</f>
        <v>9.5</v>
      </c>
      <c r="N299" s="13">
        <f>'Entry Sheet'!AA175</f>
        <v>9.6</v>
      </c>
      <c r="O299" s="13">
        <f>'Entry Sheet'!AC175</f>
        <v>18.2</v>
      </c>
      <c r="R299" s="13" t="s">
        <v>117</v>
      </c>
      <c r="S299" s="13" t="s">
        <v>202</v>
      </c>
      <c r="T299" s="224">
        <f>AVERAGEIF(B301:O304,"&lt;&gt;0")</f>
        <v>12.1402439</v>
      </c>
    </row>
    <row r="300" ht="15.75" customHeight="1">
      <c r="A300" s="13" t="str">
        <f>'Entry Sheet'!A176</f>
        <v>RB</v>
      </c>
      <c r="B300" s="13" t="str">
        <f>'Entry Sheet'!C176</f>
        <v/>
      </c>
      <c r="C300" s="13" t="str">
        <f>'Entry Sheet'!E176</f>
        <v/>
      </c>
      <c r="D300" s="13" t="str">
        <f>'Entry Sheet'!G176</f>
        <v/>
      </c>
      <c r="E300" s="13" t="str">
        <f>'Entry Sheet'!I176</f>
        <v/>
      </c>
      <c r="F300" s="13" t="str">
        <f>'Entry Sheet'!K176</f>
        <v/>
      </c>
      <c r="G300" s="13" t="str">
        <f>'Entry Sheet'!M176</f>
        <v/>
      </c>
      <c r="H300" s="13" t="str">
        <f>'Entry Sheet'!O176</f>
        <v/>
      </c>
      <c r="I300" s="13" t="str">
        <f>'Entry Sheet'!Q176</f>
        <v/>
      </c>
      <c r="J300" s="13" t="str">
        <f>'Entry Sheet'!S176</f>
        <v/>
      </c>
      <c r="K300" s="13" t="str">
        <f>'Entry Sheet'!U176</f>
        <v/>
      </c>
      <c r="L300" s="13" t="str">
        <f>'Entry Sheet'!W176</f>
        <v/>
      </c>
      <c r="M300" s="13" t="str">
        <f>'Entry Sheet'!Y176</f>
        <v/>
      </c>
      <c r="N300" s="13" t="str">
        <f>'Entry Sheet'!AA176</f>
        <v/>
      </c>
      <c r="O300" s="13" t="str">
        <f>'Entry Sheet'!AC176</f>
        <v/>
      </c>
      <c r="S300" s="13" t="s">
        <v>207</v>
      </c>
      <c r="T300" s="224">
        <f>MAX(B301:O304)</f>
        <v>38.7</v>
      </c>
    </row>
    <row r="301" ht="15.75" customHeight="1">
      <c r="A301" s="13" t="str">
        <f>'Entry Sheet'!A177</f>
        <v>WR</v>
      </c>
      <c r="B301" s="13">
        <f>'Entry Sheet'!C177</f>
        <v>12.1</v>
      </c>
      <c r="C301" s="13">
        <f>'Entry Sheet'!E177</f>
        <v>38.7</v>
      </c>
      <c r="D301" s="13">
        <f>'Entry Sheet'!G177</f>
        <v>3.3</v>
      </c>
      <c r="E301" s="13">
        <f>'Entry Sheet'!I177</f>
        <v>17.3</v>
      </c>
      <c r="F301" s="13">
        <f>'Entry Sheet'!K177</f>
        <v>11.2</v>
      </c>
      <c r="G301" s="13">
        <f>'Entry Sheet'!M177</f>
        <v>10.7</v>
      </c>
      <c r="H301" s="13">
        <f>'Entry Sheet'!O177</f>
        <v>7.9</v>
      </c>
      <c r="I301" s="13">
        <f>'Entry Sheet'!Q177</f>
        <v>10.3</v>
      </c>
      <c r="J301" s="13">
        <f>'Entry Sheet'!S177</f>
        <v>6.1</v>
      </c>
      <c r="K301" s="13">
        <f>'Entry Sheet'!U177</f>
        <v>11.25</v>
      </c>
      <c r="L301" s="13">
        <f>'Entry Sheet'!W177</f>
        <v>30.4</v>
      </c>
      <c r="M301" s="13">
        <f>'Entry Sheet'!Y177</f>
        <v>30.6</v>
      </c>
      <c r="N301" s="13">
        <f>'Entry Sheet'!AA177</f>
        <v>16.8</v>
      </c>
      <c r="O301" s="13">
        <f>'Entry Sheet'!AC177</f>
        <v>8.7</v>
      </c>
      <c r="R301" s="13" t="s">
        <v>132</v>
      </c>
      <c r="S301" s="13" t="s">
        <v>202</v>
      </c>
      <c r="T301" s="224">
        <f>AVERAGEIF(B305:O305,"&lt;&gt;0")</f>
        <v>12.53333333</v>
      </c>
    </row>
    <row r="302" ht="15.75" customHeight="1">
      <c r="A302" s="13" t="str">
        <f>'Entry Sheet'!A178</f>
        <v>WR</v>
      </c>
      <c r="B302" s="13">
        <f>'Entry Sheet'!C178</f>
        <v>0.1</v>
      </c>
      <c r="C302" s="13">
        <f>'Entry Sheet'!E178</f>
        <v>9.3</v>
      </c>
      <c r="D302" s="13">
        <f>'Entry Sheet'!G178</f>
        <v>2.7</v>
      </c>
      <c r="E302" s="13">
        <f>'Entry Sheet'!I178</f>
        <v>9.5</v>
      </c>
      <c r="F302" s="13">
        <f>'Entry Sheet'!K178</f>
        <v>8.5</v>
      </c>
      <c r="G302" s="13">
        <f>'Entry Sheet'!M178</f>
        <v>14.45</v>
      </c>
      <c r="H302" s="13">
        <f>'Entry Sheet'!O178</f>
        <v>14.25</v>
      </c>
      <c r="I302" s="13">
        <f>'Entry Sheet'!Q178</f>
        <v>14.05</v>
      </c>
      <c r="J302" s="13">
        <f>'Entry Sheet'!S178</f>
        <v>9.3</v>
      </c>
      <c r="K302" s="13">
        <f>'Entry Sheet'!U178</f>
        <v>2.9</v>
      </c>
      <c r="L302" s="13">
        <f>'Entry Sheet'!W178</f>
        <v>8.4</v>
      </c>
      <c r="M302" s="13">
        <f>'Entry Sheet'!Y178</f>
        <v>3</v>
      </c>
      <c r="N302" s="13">
        <f>'Entry Sheet'!AA178</f>
        <v>9.5</v>
      </c>
      <c r="O302" s="13">
        <f>'Entry Sheet'!AC178</f>
        <v>6.85</v>
      </c>
      <c r="S302" s="13" t="s">
        <v>207</v>
      </c>
      <c r="T302" s="224">
        <f>MAX(B305:O305)</f>
        <v>24.7</v>
      </c>
    </row>
    <row r="303" ht="15.75" customHeight="1">
      <c r="A303" s="13" t="str">
        <f>'Entry Sheet'!A179</f>
        <v>WR</v>
      </c>
      <c r="B303" s="13">
        <f>'Entry Sheet'!C179</f>
        <v>4.6</v>
      </c>
      <c r="C303" s="13">
        <f>'Entry Sheet'!E179</f>
        <v>1.8</v>
      </c>
      <c r="D303" s="13">
        <f>'Entry Sheet'!G179</f>
        <v>2.8</v>
      </c>
      <c r="E303" s="13">
        <f>'Entry Sheet'!I179</f>
        <v>9.1</v>
      </c>
      <c r="F303" s="13">
        <f>'Entry Sheet'!K179</f>
        <v>10.35</v>
      </c>
      <c r="G303" s="13">
        <f>'Entry Sheet'!M179</f>
        <v>13.4</v>
      </c>
      <c r="H303" s="13">
        <f>'Entry Sheet'!O179</f>
        <v>7.7</v>
      </c>
      <c r="I303" s="13">
        <f>'Entry Sheet'!Q179</f>
        <v>12.9</v>
      </c>
      <c r="J303" s="13">
        <f>'Entry Sheet'!S179</f>
        <v>16.85</v>
      </c>
      <c r="K303" s="13">
        <f>'Entry Sheet'!U179</f>
        <v>24.9</v>
      </c>
      <c r="L303" s="13">
        <f>'Entry Sheet'!W179</f>
        <v>19.8</v>
      </c>
      <c r="M303" s="13">
        <f>'Entry Sheet'!Y179</f>
        <v>0</v>
      </c>
      <c r="N303" s="13">
        <f>'Entry Sheet'!AA179</f>
        <v>28</v>
      </c>
      <c r="O303" s="13">
        <f>'Entry Sheet'!AC179</f>
        <v>17.4</v>
      </c>
      <c r="R303" s="13" t="s">
        <v>136</v>
      </c>
      <c r="S303" s="13" t="s">
        <v>202</v>
      </c>
      <c r="T303" s="224">
        <f>AVERAGEIF(B306:O306,"&lt;&gt;0")</f>
        <v>16.72857143</v>
      </c>
    </row>
    <row r="304" ht="15.75" customHeight="1">
      <c r="A304" s="13" t="str">
        <f>'Entry Sheet'!A180</f>
        <v>WR</v>
      </c>
      <c r="B304" s="13" t="str">
        <f>'Entry Sheet'!C180</f>
        <v/>
      </c>
      <c r="C304" s="13" t="str">
        <f>'Entry Sheet'!E180</f>
        <v/>
      </c>
      <c r="D304" s="13" t="str">
        <f>'Entry Sheet'!G180</f>
        <v/>
      </c>
      <c r="E304" s="13" t="str">
        <f>'Entry Sheet'!I180</f>
        <v/>
      </c>
      <c r="F304" s="13" t="str">
        <f>'Entry Sheet'!K180</f>
        <v/>
      </c>
      <c r="G304" s="13" t="str">
        <f>'Entry Sheet'!M180</f>
        <v/>
      </c>
      <c r="H304" s="13" t="str">
        <f>'Entry Sheet'!O180</f>
        <v/>
      </c>
      <c r="I304" s="13" t="str">
        <f>'Entry Sheet'!Q180</f>
        <v/>
      </c>
      <c r="J304" s="13" t="str">
        <f>'Entry Sheet'!S180</f>
        <v/>
      </c>
      <c r="K304" s="13" t="str">
        <f>'Entry Sheet'!U180</f>
        <v/>
      </c>
      <c r="L304" s="13" t="str">
        <f>'Entry Sheet'!W180</f>
        <v/>
      </c>
      <c r="M304" s="13" t="str">
        <f>'Entry Sheet'!Y180</f>
        <v/>
      </c>
      <c r="N304" s="13" t="str">
        <f>'Entry Sheet'!AA180</f>
        <v/>
      </c>
      <c r="O304" s="13" t="str">
        <f>'Entry Sheet'!AC180</f>
        <v/>
      </c>
      <c r="S304" s="13" t="s">
        <v>207</v>
      </c>
      <c r="T304" s="224">
        <f>MAX(B306:O306)</f>
        <v>34.4</v>
      </c>
    </row>
    <row r="305" ht="15.75" customHeight="1">
      <c r="A305" s="13" t="str">
        <f>'Entry Sheet'!A181</f>
        <v>TE</v>
      </c>
      <c r="B305" s="13">
        <f>'Entry Sheet'!C181</f>
        <v>12.5</v>
      </c>
      <c r="C305" s="13">
        <f>'Entry Sheet'!E181</f>
        <v>0</v>
      </c>
      <c r="D305" s="13">
        <f>'Entry Sheet'!G181</f>
        <v>6.8</v>
      </c>
      <c r="E305" s="13">
        <f>'Entry Sheet'!I181</f>
        <v>6.1</v>
      </c>
      <c r="F305" s="13">
        <f>'Entry Sheet'!K181</f>
        <v>0</v>
      </c>
      <c r="G305" s="13">
        <f>'Entry Sheet'!M181</f>
        <v>16.3</v>
      </c>
      <c r="H305" s="13">
        <f>'Entry Sheet'!O181</f>
        <v>12.7</v>
      </c>
      <c r="I305" s="13">
        <f>'Entry Sheet'!Q181</f>
        <v>14.3</v>
      </c>
      <c r="J305" s="13">
        <f>'Entry Sheet'!S181</f>
        <v>7</v>
      </c>
      <c r="K305" s="13">
        <f>'Entry Sheet'!U181</f>
        <v>23.4</v>
      </c>
      <c r="L305" s="13">
        <f>'Entry Sheet'!W181</f>
        <v>24.7</v>
      </c>
      <c r="M305" s="13">
        <f>'Entry Sheet'!Y181</f>
        <v>13.8</v>
      </c>
      <c r="N305" s="13">
        <f>'Entry Sheet'!AA181</f>
        <v>10.7</v>
      </c>
      <c r="O305" s="13">
        <f>'Entry Sheet'!AC181</f>
        <v>2.1</v>
      </c>
      <c r="R305" s="13" t="s">
        <v>139</v>
      </c>
      <c r="S305" s="13" t="s">
        <v>202</v>
      </c>
      <c r="T305" s="224">
        <f>AVERAGEIF(B307:O307,"&lt;&gt;0")</f>
        <v>19.39571429</v>
      </c>
    </row>
    <row r="306" ht="15.75" customHeight="1">
      <c r="A306" s="13" t="str">
        <f>'Entry Sheet'!A182</f>
        <v>FLEX</v>
      </c>
      <c r="B306" s="13">
        <f>'Entry Sheet'!C182</f>
        <v>6</v>
      </c>
      <c r="C306" s="13">
        <f>'Entry Sheet'!E182</f>
        <v>17.8</v>
      </c>
      <c r="D306" s="13">
        <f>'Entry Sheet'!G182</f>
        <v>17.8</v>
      </c>
      <c r="E306" s="13">
        <f>'Entry Sheet'!I182</f>
        <v>34.4</v>
      </c>
      <c r="F306" s="13">
        <f>'Entry Sheet'!K182</f>
        <v>13.7</v>
      </c>
      <c r="G306" s="13">
        <f>'Entry Sheet'!M182</f>
        <v>32.8</v>
      </c>
      <c r="H306" s="13">
        <f>'Entry Sheet'!O182</f>
        <v>12.2</v>
      </c>
      <c r="I306" s="13">
        <f>'Entry Sheet'!Q182</f>
        <v>14.8</v>
      </c>
      <c r="J306" s="13">
        <f>'Entry Sheet'!S182</f>
        <v>13.9</v>
      </c>
      <c r="K306" s="13">
        <f>'Entry Sheet'!U182</f>
        <v>9.4</v>
      </c>
      <c r="L306" s="13">
        <f>'Entry Sheet'!W182</f>
        <v>8.2</v>
      </c>
      <c r="M306" s="13">
        <f>'Entry Sheet'!Y182</f>
        <v>9.9</v>
      </c>
      <c r="N306" s="13">
        <f>'Entry Sheet'!AA182</f>
        <v>18.4</v>
      </c>
      <c r="O306" s="13">
        <f>'Entry Sheet'!AC182</f>
        <v>24.9</v>
      </c>
      <c r="S306" s="13" t="s">
        <v>207</v>
      </c>
      <c r="T306" s="224">
        <f>MAX(B307:O307)</f>
        <v>33.08</v>
      </c>
    </row>
    <row r="307" ht="15.75" customHeight="1">
      <c r="A307" s="13" t="str">
        <f>'Entry Sheet'!A183</f>
        <v>D/ST</v>
      </c>
      <c r="B307" s="13">
        <f>'Entry Sheet'!C183</f>
        <v>31.86</v>
      </c>
      <c r="C307" s="13">
        <f>'Entry Sheet'!E183</f>
        <v>-1.9</v>
      </c>
      <c r="D307" s="13">
        <f>'Entry Sheet'!G183</f>
        <v>28.53</v>
      </c>
      <c r="E307" s="13">
        <f>'Entry Sheet'!I183</f>
        <v>17.82</v>
      </c>
      <c r="F307" s="13">
        <f>'Entry Sheet'!K183</f>
        <v>20.51</v>
      </c>
      <c r="G307" s="13">
        <f>'Entry Sheet'!M183</f>
        <v>33.08</v>
      </c>
      <c r="H307" s="13">
        <f>'Entry Sheet'!O183</f>
        <v>13.12</v>
      </c>
      <c r="I307" s="13">
        <f>'Entry Sheet'!Q183</f>
        <v>19.03</v>
      </c>
      <c r="J307" s="13">
        <f>'Entry Sheet'!S183</f>
        <v>17.2</v>
      </c>
      <c r="K307" s="13">
        <f>'Entry Sheet'!U183</f>
        <v>27.67</v>
      </c>
      <c r="L307" s="13">
        <f>'Entry Sheet'!W183</f>
        <v>24.03</v>
      </c>
      <c r="M307" s="13">
        <f>'Entry Sheet'!Y183</f>
        <v>5.1</v>
      </c>
      <c r="N307" s="13">
        <f>'Entry Sheet'!AA183</f>
        <v>12.7</v>
      </c>
      <c r="O307" s="13">
        <f>'Entry Sheet'!AC183</f>
        <v>22.79</v>
      </c>
      <c r="R307" s="13" t="s">
        <v>146</v>
      </c>
      <c r="S307" s="13" t="s">
        <v>202</v>
      </c>
      <c r="T307" s="224">
        <f>AVERAGEIF(B308:O308,"&lt;&gt;0")</f>
        <v>8.392857143</v>
      </c>
    </row>
    <row r="308" ht="15.75" customHeight="1">
      <c r="A308" s="13" t="str">
        <f>'Entry Sheet'!A184</f>
        <v>K</v>
      </c>
      <c r="B308" s="13">
        <f>'Entry Sheet'!C184</f>
        <v>7</v>
      </c>
      <c r="C308" s="13">
        <f>'Entry Sheet'!E184</f>
        <v>9</v>
      </c>
      <c r="D308" s="13">
        <f>'Entry Sheet'!G184</f>
        <v>8.5</v>
      </c>
      <c r="E308" s="13">
        <f>'Entry Sheet'!I184</f>
        <v>14</v>
      </c>
      <c r="F308" s="13">
        <f>'Entry Sheet'!K184</f>
        <v>5</v>
      </c>
      <c r="G308" s="13">
        <f>'Entry Sheet'!M184</f>
        <v>5</v>
      </c>
      <c r="H308" s="13">
        <f>'Entry Sheet'!O184</f>
        <v>8</v>
      </c>
      <c r="I308" s="13">
        <f>'Entry Sheet'!Q184</f>
        <v>9</v>
      </c>
      <c r="J308" s="13">
        <f>'Entry Sheet'!S184</f>
        <v>3</v>
      </c>
      <c r="K308" s="13">
        <f>'Entry Sheet'!U184</f>
        <v>3</v>
      </c>
      <c r="L308" s="13">
        <f>'Entry Sheet'!W184</f>
        <v>19</v>
      </c>
      <c r="M308" s="13">
        <f>'Entry Sheet'!Y184</f>
        <v>14</v>
      </c>
      <c r="N308" s="13">
        <f>'Entry Sheet'!AA184</f>
        <v>4</v>
      </c>
      <c r="O308" s="13">
        <f>'Entry Sheet'!AC184</f>
        <v>9</v>
      </c>
      <c r="S308" s="13" t="s">
        <v>207</v>
      </c>
      <c r="T308" s="224">
        <f>MAX(B308:O308)</f>
        <v>19</v>
      </c>
    </row>
    <row r="309" ht="15.75" customHeight="1">
      <c r="A309" s="13" t="str">
        <f>'Entry Sheet'!A185</f>
        <v>HC</v>
      </c>
      <c r="B309" s="13">
        <f>'Entry Sheet'!C185</f>
        <v>3.3</v>
      </c>
      <c r="C309" s="13">
        <f>'Entry Sheet'!E185</f>
        <v>3.1</v>
      </c>
      <c r="D309" s="13">
        <f>'Entry Sheet'!G185</f>
        <v>10.6</v>
      </c>
      <c r="E309" s="13">
        <f>'Entry Sheet'!I185</f>
        <v>11</v>
      </c>
      <c r="F309" s="13">
        <f>'Entry Sheet'!K185</f>
        <v>6.4</v>
      </c>
      <c r="G309" s="13">
        <f>'Entry Sheet'!M185</f>
        <v>13</v>
      </c>
      <c r="H309" s="13">
        <f>'Entry Sheet'!O185</f>
        <v>21.3</v>
      </c>
      <c r="I309" s="13">
        <f>'Entry Sheet'!Q185</f>
        <v>16.4</v>
      </c>
      <c r="J309" s="13">
        <f>'Entry Sheet'!S185</f>
        <v>3.3</v>
      </c>
      <c r="K309" s="13">
        <f>'Entry Sheet'!U185</f>
        <v>0.1</v>
      </c>
      <c r="L309" s="13">
        <f>'Entry Sheet'!W185</f>
        <v>11.1</v>
      </c>
      <c r="M309" s="13">
        <f>'Entry Sheet'!Y185</f>
        <v>12.9</v>
      </c>
      <c r="N309" s="13">
        <f>'Entry Sheet'!AA185</f>
        <v>12.3</v>
      </c>
      <c r="O309" s="13">
        <f>'Entry Sheet'!AC185</f>
        <v>11.4</v>
      </c>
      <c r="R309" s="13" t="s">
        <v>162</v>
      </c>
      <c r="S309" s="13" t="s">
        <v>202</v>
      </c>
      <c r="T309" s="224">
        <f>AVERAGEIF(B309:O309,"&lt;&gt;0")</f>
        <v>9.728571429</v>
      </c>
    </row>
    <row r="310" ht="15.75" customHeight="1">
      <c r="A310" s="13" t="str">
        <f>'Entry Sheet'!A186</f>
        <v>Total Score</v>
      </c>
      <c r="B310" s="13">
        <f>'Entry Sheet'!B186</f>
        <v>151.12</v>
      </c>
      <c r="C310" s="13">
        <f>'Entry Sheet'!D186</f>
        <v>120.12</v>
      </c>
      <c r="D310" s="13">
        <f>'Entry Sheet'!F186</f>
        <v>135.25</v>
      </c>
      <c r="E310" s="13">
        <f>'Entry Sheet'!H186</f>
        <v>183.68</v>
      </c>
      <c r="F310" s="13">
        <f>'Entry Sheet'!J186</f>
        <v>141.58</v>
      </c>
      <c r="G310" s="13">
        <f>'Entry Sheet'!L186</f>
        <v>175.13</v>
      </c>
      <c r="H310" s="13">
        <f>'Entry Sheet'!N186</f>
        <v>153.49</v>
      </c>
      <c r="I310" s="13">
        <f>'Entry Sheet'!P186</f>
        <v>169.16</v>
      </c>
      <c r="J310" s="13">
        <f>'Entry Sheet'!R186</f>
        <v>109.13</v>
      </c>
      <c r="K310" s="13">
        <f>'Entry Sheet'!T186</f>
        <v>151.36</v>
      </c>
      <c r="L310" s="13">
        <f>'Entry Sheet'!V186</f>
        <v>216.31</v>
      </c>
      <c r="M310" s="13">
        <f>'Entry Sheet'!X186</f>
        <v>122.72</v>
      </c>
      <c r="N310" s="13">
        <f>'Entry Sheet'!Z186</f>
        <v>160.82</v>
      </c>
      <c r="O310" s="13">
        <f>'Entry Sheet'!AB186</f>
        <v>185.68</v>
      </c>
      <c r="S310" s="13" t="s">
        <v>207</v>
      </c>
      <c r="T310" s="224">
        <f>MAX(B309:O309)</f>
        <v>21.3</v>
      </c>
    </row>
    <row r="311" ht="15.75" customHeight="1">
      <c r="A311" s="13" t="str">
        <f>'Entry Sheet'!A187</f>
        <v>MVP</v>
      </c>
      <c r="B311" s="13">
        <f>'Entry Sheet'!C187</f>
        <v>49.16</v>
      </c>
      <c r="C311" s="13">
        <f>'Entry Sheet'!E187</f>
        <v>38.7</v>
      </c>
      <c r="D311" s="13">
        <f>'Entry Sheet'!G187</f>
        <v>32.62</v>
      </c>
      <c r="E311" s="13">
        <f>'Entry Sheet'!I187</f>
        <v>34.4</v>
      </c>
      <c r="F311" s="13">
        <f>'Entry Sheet'!K187</f>
        <v>29.5</v>
      </c>
      <c r="G311" s="13">
        <f>'Entry Sheet'!M187</f>
        <v>33.08</v>
      </c>
      <c r="H311" s="13">
        <f>'Entry Sheet'!O187</f>
        <v>29.12</v>
      </c>
      <c r="I311" s="13">
        <f>'Entry Sheet'!Q187</f>
        <v>31.88</v>
      </c>
      <c r="J311" s="13">
        <f>'Entry Sheet'!S187</f>
        <v>17.38</v>
      </c>
      <c r="K311" s="13">
        <f>'Entry Sheet'!U187</f>
        <v>27.67</v>
      </c>
      <c r="L311" s="13">
        <f>'Entry Sheet'!W187</f>
        <v>50.28</v>
      </c>
      <c r="M311" s="13">
        <f>'Entry Sheet'!Y187</f>
        <v>30.6</v>
      </c>
      <c r="N311" s="13">
        <f>'Entry Sheet'!AA187</f>
        <v>28</v>
      </c>
      <c r="O311" s="13">
        <f>'Entry Sheet'!AC187</f>
        <v>47.94</v>
      </c>
      <c r="R311" s="13" t="s">
        <v>168</v>
      </c>
      <c r="S311" s="13" t="s">
        <v>207</v>
      </c>
      <c r="T311" s="224">
        <f>MAX(B311:O311)</f>
        <v>50.28</v>
      </c>
    </row>
    <row r="312" ht="15.75" customHeight="1">
      <c r="R312" s="13" t="s">
        <v>167</v>
      </c>
      <c r="S312" s="13" t="s">
        <v>202</v>
      </c>
      <c r="T312" s="224">
        <f>AVERAGEIF(B310:O310,"&lt;&gt;0")</f>
        <v>155.3964286</v>
      </c>
    </row>
    <row r="313" ht="15.75" customHeight="1">
      <c r="S313" s="13" t="s">
        <v>207</v>
      </c>
      <c r="T313" s="224">
        <f>MAX(B310:O310)</f>
        <v>216.31</v>
      </c>
    </row>
    <row r="314" ht="15.75" customHeight="1">
      <c r="S314" s="13" t="s">
        <v>228</v>
      </c>
      <c r="T314" s="13">
        <f>SUM(B310:O310)</f>
        <v>2175.55</v>
      </c>
    </row>
    <row r="315" ht="15.75" customHeight="1">
      <c r="R315" s="13" t="s">
        <v>42</v>
      </c>
      <c r="S315" s="13" t="s">
        <v>202</v>
      </c>
      <c r="T315" s="13">
        <f>AVERAGE(C296:P296)</f>
        <v>8.923076923</v>
      </c>
    </row>
    <row r="316" ht="15.75" customHeight="1">
      <c r="S316" s="13" t="s">
        <v>231</v>
      </c>
      <c r="T316" s="13">
        <f>MIN(C296:P296)</f>
        <v>7</v>
      </c>
    </row>
    <row r="317" ht="15.75" customHeight="1">
      <c r="S317" s="13" t="s">
        <v>234</v>
      </c>
      <c r="T317" s="13">
        <f>STDEV(C296:P296)</f>
        <v>1.187542172</v>
      </c>
    </row>
    <row r="318" ht="15.75" customHeight="1"/>
    <row r="319" ht="15.75" customHeight="1"/>
    <row r="320" ht="15.75" customHeight="1"/>
    <row r="321" ht="15.75" customHeight="1">
      <c r="A321" s="221" t="str">
        <f>'Entry Sheet'!A191</f>
        <v>KINGS</v>
      </c>
      <c r="B321" s="221"/>
      <c r="C321" s="221"/>
      <c r="D321" s="221"/>
      <c r="E321" s="221"/>
      <c r="F321" s="221"/>
      <c r="G321" s="221"/>
      <c r="H321" s="221"/>
      <c r="I321" s="221"/>
      <c r="J321" s="221"/>
      <c r="K321" s="221"/>
      <c r="L321" s="221"/>
      <c r="M321" s="221"/>
      <c r="N321" s="221"/>
      <c r="O321" s="221"/>
      <c r="P321" s="221"/>
      <c r="Q321" s="221"/>
      <c r="R321" s="221"/>
      <c r="S321" s="221"/>
      <c r="T321" s="221"/>
    </row>
    <row r="322" ht="15.75" customHeight="1">
      <c r="B322" s="13" t="str">
        <f>'Entry Sheet'!B192</f>
        <v>Week 1</v>
      </c>
      <c r="C322" s="13" t="str">
        <f>'Entry Sheet'!D192</f>
        <v>Week 2</v>
      </c>
      <c r="D322" s="13" t="str">
        <f>'Entry Sheet'!F192</f>
        <v>Week 3</v>
      </c>
      <c r="E322" s="13" t="str">
        <f>'Entry Sheet'!H192</f>
        <v>Week 4</v>
      </c>
      <c r="F322" s="13" t="str">
        <f>'Entry Sheet'!J192</f>
        <v>Week 5</v>
      </c>
      <c r="G322" s="13" t="str">
        <f>'Entry Sheet'!L192</f>
        <v>Week 6</v>
      </c>
      <c r="H322" s="13" t="str">
        <f>'Entry Sheet'!N192</f>
        <v>Week 7</v>
      </c>
      <c r="I322" s="13" t="str">
        <f>'Entry Sheet'!P192</f>
        <v>Week 8</v>
      </c>
      <c r="J322" s="13" t="str">
        <f>'Entry Sheet'!R192</f>
        <v>Week 9</v>
      </c>
      <c r="K322" s="224" t="str">
        <f>'Entry Sheet'!T192</f>
        <v>Week 10</v>
      </c>
      <c r="L322" s="13" t="str">
        <f>'Entry Sheet'!V192</f>
        <v>Week 11</v>
      </c>
      <c r="M322" s="13" t="str">
        <f>'Entry Sheet'!X192</f>
        <v>Week 12</v>
      </c>
      <c r="N322" s="13" t="str">
        <f>'Entry Sheet'!Z192</f>
        <v>Week 13</v>
      </c>
      <c r="O322" s="13" t="str">
        <f>'Entry Sheet'!AB192</f>
        <v>Week 14</v>
      </c>
      <c r="P322" s="13" t="str">
        <f>'Entry Sheet'!AD192</f>
        <v>Finale</v>
      </c>
      <c r="R322" s="13" t="s">
        <v>100</v>
      </c>
      <c r="S322" s="13" t="s">
        <v>202</v>
      </c>
      <c r="T322" s="224">
        <f>AVERAGEIF(B324:O324,"&lt;&gt;0")</f>
        <v>25.48857143</v>
      </c>
    </row>
    <row r="323" ht="15.75" customHeight="1">
      <c r="A323" s="13" t="str">
        <f>'Entry Sheet'!A193</f>
        <v>Team Rank</v>
      </c>
      <c r="B323" s="13">
        <f>'Entry Sheet'!B193</f>
        <v>10</v>
      </c>
      <c r="C323" s="13">
        <f>'Entry Sheet'!D193</f>
        <v>6</v>
      </c>
      <c r="D323" s="13">
        <f>'Entry Sheet'!F193</f>
        <v>7</v>
      </c>
      <c r="E323" s="13">
        <f>'Entry Sheet'!H193</f>
        <v>9</v>
      </c>
      <c r="F323" s="13">
        <f>'Entry Sheet'!J193</f>
        <v>9</v>
      </c>
      <c r="G323" s="13">
        <f>'Entry Sheet'!L193</f>
        <v>9</v>
      </c>
      <c r="H323" s="13">
        <f>'Entry Sheet'!N193</f>
        <v>9</v>
      </c>
      <c r="I323" s="13">
        <f>'Entry Sheet'!P193</f>
        <v>8</v>
      </c>
      <c r="J323" s="13">
        <f>'Entry Sheet'!R193</f>
        <v>6</v>
      </c>
      <c r="K323" s="224">
        <f>'Entry Sheet'!T193</f>
        <v>9</v>
      </c>
      <c r="L323" s="13">
        <f>'Entry Sheet'!V193</f>
        <v>9</v>
      </c>
      <c r="M323" s="13">
        <f>'Entry Sheet'!X193</f>
        <v>10</v>
      </c>
      <c r="N323" s="13">
        <f>'Entry Sheet'!Z193</f>
        <v>7</v>
      </c>
      <c r="O323" s="13">
        <f>'Entry Sheet'!AB193</f>
        <v>7</v>
      </c>
      <c r="P323" s="13" t="str">
        <f>'Entry Sheet'!AD193</f>
        <v/>
      </c>
      <c r="S323" s="13" t="s">
        <v>207</v>
      </c>
      <c r="T323" s="224">
        <f>MAX(B324:O324)</f>
        <v>41.28</v>
      </c>
    </row>
    <row r="324" ht="15.75" customHeight="1">
      <c r="A324" s="13" t="str">
        <f>'Entry Sheet'!A194</f>
        <v>QB</v>
      </c>
      <c r="B324" s="13">
        <f>'Entry Sheet'!C194</f>
        <v>30.42</v>
      </c>
      <c r="C324" s="13">
        <f>'Entry Sheet'!E194</f>
        <v>24.58</v>
      </c>
      <c r="D324" s="13">
        <f>'Entry Sheet'!G194</f>
        <v>17.06</v>
      </c>
      <c r="E324" s="13">
        <f>'Entry Sheet'!I194</f>
        <v>38.3</v>
      </c>
      <c r="F324" s="13">
        <f>'Entry Sheet'!K194</f>
        <v>32.92</v>
      </c>
      <c r="G324" s="13">
        <f>'Entry Sheet'!M194</f>
        <v>41.28</v>
      </c>
      <c r="H324" s="13">
        <f>'Entry Sheet'!O194</f>
        <v>36.04</v>
      </c>
      <c r="I324" s="13">
        <f>'Entry Sheet'!Q194</f>
        <v>30.96</v>
      </c>
      <c r="J324" s="13">
        <f>'Entry Sheet'!S194</f>
        <v>9</v>
      </c>
      <c r="K324" s="13">
        <f>'Entry Sheet'!U194</f>
        <v>15.22</v>
      </c>
      <c r="L324" s="13">
        <f>'Entry Sheet'!W194</f>
        <v>17.24</v>
      </c>
      <c r="M324" s="13">
        <f>'Entry Sheet'!Y194</f>
        <v>20.08</v>
      </c>
      <c r="N324" s="13">
        <f>'Entry Sheet'!AA194</f>
        <v>40.14</v>
      </c>
      <c r="O324" s="13">
        <f>'Entry Sheet'!AC194</f>
        <v>3.6</v>
      </c>
      <c r="R324" s="13" t="s">
        <v>106</v>
      </c>
      <c r="S324" s="13" t="s">
        <v>202</v>
      </c>
      <c r="T324" s="224">
        <f>AVERAGEIF(B325:O327,"&lt;&gt;0")</f>
        <v>19.17857143</v>
      </c>
    </row>
    <row r="325" ht="15.75" customHeight="1">
      <c r="A325" s="13" t="str">
        <f>'Entry Sheet'!A195</f>
        <v>RB</v>
      </c>
      <c r="B325" s="13">
        <f>'Entry Sheet'!C195</f>
        <v>25.4</v>
      </c>
      <c r="C325" s="13">
        <f>'Entry Sheet'!E195</f>
        <v>24</v>
      </c>
      <c r="D325" s="13">
        <f>'Entry Sheet'!G195</f>
        <v>25.7</v>
      </c>
      <c r="E325" s="13">
        <f>'Entry Sheet'!I195</f>
        <v>27.8</v>
      </c>
      <c r="F325" s="13">
        <f>'Entry Sheet'!K195</f>
        <v>30.1</v>
      </c>
      <c r="G325" s="13">
        <f>'Entry Sheet'!M195</f>
        <v>25.8</v>
      </c>
      <c r="H325" s="13">
        <f>'Entry Sheet'!O195</f>
        <v>42.5</v>
      </c>
      <c r="I325" s="13">
        <f>'Entry Sheet'!Q195</f>
        <v>10.6</v>
      </c>
      <c r="J325" s="13">
        <f>'Entry Sheet'!S195</f>
        <v>38.1</v>
      </c>
      <c r="K325" s="13">
        <f>'Entry Sheet'!U195</f>
        <v>18.8</v>
      </c>
      <c r="L325" s="13">
        <f>'Entry Sheet'!W195</f>
        <v>36.4</v>
      </c>
      <c r="M325" s="13">
        <f>'Entry Sheet'!Y195</f>
        <v>29.6</v>
      </c>
      <c r="N325" s="13">
        <f>'Entry Sheet'!AA195</f>
        <v>19.2</v>
      </c>
      <c r="O325" s="13">
        <f>'Entry Sheet'!AC195</f>
        <v>0.4</v>
      </c>
      <c r="S325" s="13" t="s">
        <v>207</v>
      </c>
      <c r="T325" s="224">
        <f>MAX(B325:O327)</f>
        <v>42.5</v>
      </c>
    </row>
    <row r="326" ht="15.75" customHeight="1">
      <c r="A326" s="13" t="str">
        <f>'Entry Sheet'!A196</f>
        <v>RB</v>
      </c>
      <c r="B326" s="13">
        <f>'Entry Sheet'!C196</f>
        <v>7.3</v>
      </c>
      <c r="C326" s="13">
        <f>'Entry Sheet'!E196</f>
        <v>16.4</v>
      </c>
      <c r="D326" s="13">
        <f>'Entry Sheet'!G196</f>
        <v>7.9</v>
      </c>
      <c r="E326" s="13">
        <f>'Entry Sheet'!I196</f>
        <v>9.5</v>
      </c>
      <c r="F326" s="13">
        <f>'Entry Sheet'!K196</f>
        <v>13.2</v>
      </c>
      <c r="G326" s="13">
        <f>'Entry Sheet'!M196</f>
        <v>5.9</v>
      </c>
      <c r="H326" s="13">
        <f>'Entry Sheet'!O196</f>
        <v>20.7</v>
      </c>
      <c r="I326" s="13">
        <f>'Entry Sheet'!Q196</f>
        <v>8.5</v>
      </c>
      <c r="J326" s="13">
        <f>'Entry Sheet'!S196</f>
        <v>7.7</v>
      </c>
      <c r="K326" s="13">
        <f>'Entry Sheet'!U196</f>
        <v>5.45</v>
      </c>
      <c r="L326" s="13">
        <f>'Entry Sheet'!W196</f>
        <v>31.6</v>
      </c>
      <c r="M326" s="13">
        <f>'Entry Sheet'!Y196</f>
        <v>20.1</v>
      </c>
      <c r="N326" s="13">
        <f>'Entry Sheet'!AA196</f>
        <v>8.3</v>
      </c>
      <c r="O326" s="13">
        <f>'Entry Sheet'!AC196</f>
        <v>20.05</v>
      </c>
      <c r="R326" s="13" t="s">
        <v>117</v>
      </c>
      <c r="S326" s="13" t="s">
        <v>202</v>
      </c>
      <c r="T326" s="224">
        <f>AVERAGEIF(B328:O331,"&lt;&gt;0")</f>
        <v>11.84825</v>
      </c>
    </row>
    <row r="327" ht="15.75" customHeight="1">
      <c r="A327" s="13" t="str">
        <f>'Entry Sheet'!A197</f>
        <v>RB</v>
      </c>
      <c r="B327" s="13" t="str">
        <f>'Entry Sheet'!C197</f>
        <v/>
      </c>
      <c r="C327" s="13" t="str">
        <f>'Entry Sheet'!E197</f>
        <v/>
      </c>
      <c r="D327" s="13" t="str">
        <f>'Entry Sheet'!G197</f>
        <v/>
      </c>
      <c r="E327" s="13" t="str">
        <f>'Entry Sheet'!I197</f>
        <v/>
      </c>
      <c r="F327" s="13" t="str">
        <f>'Entry Sheet'!K197</f>
        <v/>
      </c>
      <c r="G327" s="13" t="str">
        <f>'Entry Sheet'!M197</f>
        <v/>
      </c>
      <c r="H327" s="13" t="str">
        <f>'Entry Sheet'!O197</f>
        <v/>
      </c>
      <c r="I327" s="13" t="str">
        <f>'Entry Sheet'!Q197</f>
        <v/>
      </c>
      <c r="J327" s="13" t="str">
        <f>'Entry Sheet'!S197</f>
        <v/>
      </c>
      <c r="K327" s="13" t="str">
        <f>'Entry Sheet'!U197</f>
        <v/>
      </c>
      <c r="L327" s="13" t="str">
        <f>'Entry Sheet'!W197</f>
        <v/>
      </c>
      <c r="M327" s="13" t="str">
        <f>'Entry Sheet'!Y197</f>
        <v/>
      </c>
      <c r="N327" s="13" t="str">
        <f>'Entry Sheet'!AA197</f>
        <v/>
      </c>
      <c r="O327" s="13" t="str">
        <f>'Entry Sheet'!AC197</f>
        <v/>
      </c>
      <c r="S327" s="13" t="s">
        <v>207</v>
      </c>
      <c r="T327" s="224">
        <f>MAX(B328:O331)</f>
        <v>25.28</v>
      </c>
    </row>
    <row r="328" ht="15.75" customHeight="1">
      <c r="A328" s="13" t="str">
        <f>'Entry Sheet'!A198</f>
        <v>WR</v>
      </c>
      <c r="B328" s="13">
        <f>'Entry Sheet'!C198</f>
        <v>8</v>
      </c>
      <c r="C328" s="13">
        <f>'Entry Sheet'!E198</f>
        <v>18.85</v>
      </c>
      <c r="D328" s="13">
        <f>'Entry Sheet'!G198</f>
        <v>15.9</v>
      </c>
      <c r="E328" s="13">
        <f>'Entry Sheet'!I198</f>
        <v>12.7</v>
      </c>
      <c r="F328" s="13">
        <f>'Entry Sheet'!K198</f>
        <v>14.9</v>
      </c>
      <c r="G328" s="13">
        <f>'Entry Sheet'!M198</f>
        <v>24</v>
      </c>
      <c r="H328" s="13">
        <f>'Entry Sheet'!O198</f>
        <v>15.7</v>
      </c>
      <c r="I328" s="13">
        <f>'Entry Sheet'!Q198</f>
        <v>20.8</v>
      </c>
      <c r="J328" s="13">
        <f>'Entry Sheet'!S198</f>
        <v>9.6</v>
      </c>
      <c r="K328" s="13">
        <f>'Entry Sheet'!U198</f>
        <v>21.7</v>
      </c>
      <c r="L328" s="13">
        <f>'Entry Sheet'!W198</f>
        <v>4.3</v>
      </c>
      <c r="M328" s="13">
        <f>'Entry Sheet'!Y198</f>
        <v>23.4</v>
      </c>
      <c r="N328" s="13">
        <f>'Entry Sheet'!AA198</f>
        <v>4.8</v>
      </c>
      <c r="O328" s="13">
        <f>'Entry Sheet'!AC198</f>
        <v>2.2</v>
      </c>
      <c r="R328" s="13" t="s">
        <v>132</v>
      </c>
      <c r="S328" s="13" t="s">
        <v>202</v>
      </c>
      <c r="T328" s="224">
        <f>AVERAGEIF(B332:O332,"&lt;&gt;0")</f>
        <v>10.56153846</v>
      </c>
    </row>
    <row r="329" ht="15.75" customHeight="1">
      <c r="A329" s="13" t="str">
        <f>'Entry Sheet'!A199</f>
        <v>WR</v>
      </c>
      <c r="B329" s="13">
        <f>'Entry Sheet'!C199</f>
        <v>13.4</v>
      </c>
      <c r="C329" s="13">
        <f>'Entry Sheet'!E199</f>
        <v>9.8</v>
      </c>
      <c r="D329" s="13">
        <f>'Entry Sheet'!G199</f>
        <v>8.6</v>
      </c>
      <c r="E329" s="13">
        <f>'Entry Sheet'!I199</f>
        <v>2.1</v>
      </c>
      <c r="F329" s="13">
        <f>'Entry Sheet'!K199</f>
        <v>15.1</v>
      </c>
      <c r="G329" s="13">
        <f>'Entry Sheet'!M199</f>
        <v>12</v>
      </c>
      <c r="H329" s="13">
        <f>'Entry Sheet'!O199</f>
        <v>22.8</v>
      </c>
      <c r="I329" s="13">
        <f>'Entry Sheet'!Q199</f>
        <v>11.6</v>
      </c>
      <c r="J329" s="13">
        <f>'Entry Sheet'!S199</f>
        <v>25.28</v>
      </c>
      <c r="K329" s="13">
        <f>'Entry Sheet'!U199</f>
        <v>0</v>
      </c>
      <c r="L329" s="13">
        <f>'Entry Sheet'!W199</f>
        <v>10</v>
      </c>
      <c r="M329" s="13">
        <f>'Entry Sheet'!Y199</f>
        <v>0</v>
      </c>
      <c r="N329" s="13">
        <f>'Entry Sheet'!AA199</f>
        <v>8.6</v>
      </c>
      <c r="O329" s="13">
        <f>'Entry Sheet'!AC199</f>
        <v>0.6</v>
      </c>
      <c r="S329" s="13" t="s">
        <v>207</v>
      </c>
      <c r="T329" s="224">
        <f>MAX(B332:O332)</f>
        <v>29</v>
      </c>
    </row>
    <row r="330" ht="15.75" customHeight="1">
      <c r="A330" s="13" t="str">
        <f>'Entry Sheet'!A200</f>
        <v>WR</v>
      </c>
      <c r="B330" s="13">
        <f>'Entry Sheet'!C200</f>
        <v>8.9</v>
      </c>
      <c r="C330" s="13">
        <f>'Entry Sheet'!E200</f>
        <v>9.6</v>
      </c>
      <c r="D330" s="13">
        <f>'Entry Sheet'!G200</f>
        <v>13.1</v>
      </c>
      <c r="E330" s="13">
        <f>'Entry Sheet'!I200</f>
        <v>7.8</v>
      </c>
      <c r="F330" s="13">
        <f>'Entry Sheet'!K200</f>
        <v>11.1</v>
      </c>
      <c r="G330" s="13">
        <f>'Entry Sheet'!M200</f>
        <v>6.3</v>
      </c>
      <c r="H330" s="13">
        <f>'Entry Sheet'!O200</f>
        <v>8.3</v>
      </c>
      <c r="I330" s="13">
        <f>'Entry Sheet'!Q200</f>
        <v>21.2</v>
      </c>
      <c r="J330" s="13">
        <f>'Entry Sheet'!S200</f>
        <v>8.5</v>
      </c>
      <c r="K330" s="13">
        <f>'Entry Sheet'!U200</f>
        <v>6.5</v>
      </c>
      <c r="L330" s="13">
        <f>'Entry Sheet'!W200</f>
        <v>14.9</v>
      </c>
      <c r="M330" s="13">
        <f>'Entry Sheet'!Y200</f>
        <v>5.8</v>
      </c>
      <c r="N330" s="13">
        <f>'Entry Sheet'!AA200</f>
        <v>5</v>
      </c>
      <c r="O330" s="13">
        <f>'Entry Sheet'!AC200</f>
        <v>10.2</v>
      </c>
      <c r="R330" s="13" t="s">
        <v>136</v>
      </c>
      <c r="S330" s="13" t="s">
        <v>202</v>
      </c>
      <c r="T330" s="224">
        <f>AVERAGEIF(B333:O333,"&lt;&gt;0")</f>
        <v>8.65</v>
      </c>
    </row>
    <row r="331" ht="15.75" customHeight="1">
      <c r="A331" s="13" t="str">
        <f>'Entry Sheet'!A201</f>
        <v>WR</v>
      </c>
      <c r="B331" s="13" t="str">
        <f>'Entry Sheet'!C201</f>
        <v/>
      </c>
      <c r="C331" s="13" t="str">
        <f>'Entry Sheet'!E201</f>
        <v/>
      </c>
      <c r="D331" s="13" t="str">
        <f>'Entry Sheet'!G201</f>
        <v/>
      </c>
      <c r="E331" s="13" t="str">
        <f>'Entry Sheet'!I201</f>
        <v/>
      </c>
      <c r="F331" s="13" t="str">
        <f>'Entry Sheet'!K201</f>
        <v/>
      </c>
      <c r="G331" s="13" t="str">
        <f>'Entry Sheet'!M201</f>
        <v/>
      </c>
      <c r="H331" s="13" t="str">
        <f>'Entry Sheet'!O201</f>
        <v/>
      </c>
      <c r="I331" s="13" t="str">
        <f>'Entry Sheet'!Q201</f>
        <v/>
      </c>
      <c r="J331" s="13" t="str">
        <f>'Entry Sheet'!S201</f>
        <v/>
      </c>
      <c r="K331" s="13" t="str">
        <f>'Entry Sheet'!U201</f>
        <v/>
      </c>
      <c r="L331" s="13" t="str">
        <f>'Entry Sheet'!W201</f>
        <v/>
      </c>
      <c r="M331" s="13" t="str">
        <f>'Entry Sheet'!Y201</f>
        <v/>
      </c>
      <c r="N331" s="13" t="str">
        <f>'Entry Sheet'!AA201</f>
        <v/>
      </c>
      <c r="O331" s="13" t="str">
        <f>'Entry Sheet'!AC201</f>
        <v/>
      </c>
      <c r="S331" s="13" t="s">
        <v>207</v>
      </c>
      <c r="T331" s="224">
        <f>MAX(B333:O333)</f>
        <v>18.75</v>
      </c>
    </row>
    <row r="332" ht="15.75" customHeight="1">
      <c r="A332" s="13" t="str">
        <f>'Entry Sheet'!A202</f>
        <v>TE</v>
      </c>
      <c r="B332" s="13">
        <f>'Entry Sheet'!C202</f>
        <v>10.6</v>
      </c>
      <c r="C332" s="13">
        <f>'Entry Sheet'!E202</f>
        <v>1.9</v>
      </c>
      <c r="D332" s="13">
        <f>'Entry Sheet'!G202</f>
        <v>29</v>
      </c>
      <c r="E332" s="13">
        <f>'Entry Sheet'!I202</f>
        <v>11.9</v>
      </c>
      <c r="F332" s="13">
        <f>'Entry Sheet'!K202</f>
        <v>6.6</v>
      </c>
      <c r="G332" s="13">
        <f>'Entry Sheet'!M202</f>
        <v>5.7</v>
      </c>
      <c r="H332" s="13">
        <f>'Entry Sheet'!O202</f>
        <v>7.3</v>
      </c>
      <c r="I332" s="13">
        <f>'Entry Sheet'!Q202</f>
        <v>8</v>
      </c>
      <c r="J332" s="13">
        <f>'Entry Sheet'!S202</f>
        <v>9.1</v>
      </c>
      <c r="K332" s="13">
        <f>'Entry Sheet'!U202</f>
        <v>1.9</v>
      </c>
      <c r="L332" s="13">
        <f>'Entry Sheet'!W202</f>
        <v>8.5</v>
      </c>
      <c r="M332" s="13">
        <f>'Entry Sheet'!Y202</f>
        <v>25.5</v>
      </c>
      <c r="N332" s="13">
        <f>'Entry Sheet'!AA202</f>
        <v>11.3</v>
      </c>
      <c r="O332" s="13">
        <f>'Entry Sheet'!AC202</f>
        <v>0</v>
      </c>
      <c r="R332" s="13" t="s">
        <v>139</v>
      </c>
      <c r="S332" s="13" t="s">
        <v>202</v>
      </c>
      <c r="T332" s="224">
        <f>AVERAGEIF(B334:O334,"&lt;&gt;0")</f>
        <v>15.38142857</v>
      </c>
    </row>
    <row r="333" ht="15.75" customHeight="1">
      <c r="A333" s="13" t="str">
        <f>'Entry Sheet'!A203</f>
        <v>FLEX</v>
      </c>
      <c r="B333" s="13">
        <f>'Entry Sheet'!C203</f>
        <v>9.3</v>
      </c>
      <c r="C333" s="13">
        <f>'Entry Sheet'!E203</f>
        <v>5.2</v>
      </c>
      <c r="D333" s="13">
        <f>'Entry Sheet'!G203</f>
        <v>3.1</v>
      </c>
      <c r="E333" s="13">
        <f>'Entry Sheet'!I203</f>
        <v>4.75</v>
      </c>
      <c r="F333" s="13">
        <f>'Entry Sheet'!K203</f>
        <v>11.2</v>
      </c>
      <c r="G333" s="13">
        <f>'Entry Sheet'!M203</f>
        <v>11.4</v>
      </c>
      <c r="H333" s="13">
        <f>'Entry Sheet'!O203</f>
        <v>8.2</v>
      </c>
      <c r="I333" s="13">
        <f>'Entry Sheet'!Q203</f>
        <v>11.8</v>
      </c>
      <c r="J333" s="13">
        <f>'Entry Sheet'!S203</f>
        <v>12</v>
      </c>
      <c r="K333" s="13">
        <f>'Entry Sheet'!U203</f>
        <v>13.15</v>
      </c>
      <c r="L333" s="13">
        <f>'Entry Sheet'!W203</f>
        <v>0.7</v>
      </c>
      <c r="M333" s="13">
        <f>'Entry Sheet'!Y203</f>
        <v>18.75</v>
      </c>
      <c r="N333" s="13">
        <f>'Entry Sheet'!AA203</f>
        <v>1.5</v>
      </c>
      <c r="O333" s="13">
        <f>'Entry Sheet'!AC203</f>
        <v>10.05</v>
      </c>
      <c r="S333" s="13" t="s">
        <v>207</v>
      </c>
      <c r="T333" s="224">
        <f>MAX(B334:O334)</f>
        <v>37.27</v>
      </c>
    </row>
    <row r="334" ht="15.75" customHeight="1">
      <c r="A334" s="13" t="str">
        <f>'Entry Sheet'!A204</f>
        <v>D/ST</v>
      </c>
      <c r="B334" s="13">
        <f>'Entry Sheet'!C204</f>
        <v>4.6</v>
      </c>
      <c r="C334" s="13">
        <f>'Entry Sheet'!E204</f>
        <v>16.57</v>
      </c>
      <c r="D334" s="13">
        <f>'Entry Sheet'!G204</f>
        <v>16.75</v>
      </c>
      <c r="E334" s="13">
        <f>'Entry Sheet'!I204</f>
        <v>25.64</v>
      </c>
      <c r="F334" s="13">
        <f>'Entry Sheet'!K204</f>
        <v>9.7</v>
      </c>
      <c r="G334" s="13">
        <f>'Entry Sheet'!M204</f>
        <v>4.48</v>
      </c>
      <c r="H334" s="13">
        <f>'Entry Sheet'!O204</f>
        <v>22.3</v>
      </c>
      <c r="I334" s="13">
        <f>'Entry Sheet'!Q204</f>
        <v>18.31</v>
      </c>
      <c r="J334" s="13">
        <f>'Entry Sheet'!S204</f>
        <v>12.32</v>
      </c>
      <c r="K334" s="13">
        <f>'Entry Sheet'!U204</f>
        <v>-4.04</v>
      </c>
      <c r="L334" s="13">
        <f>'Entry Sheet'!W204</f>
        <v>8.72</v>
      </c>
      <c r="M334" s="13">
        <f>'Entry Sheet'!Y204</f>
        <v>21</v>
      </c>
      <c r="N334" s="13">
        <f>'Entry Sheet'!AA204</f>
        <v>21.72</v>
      </c>
      <c r="O334" s="13">
        <f>'Entry Sheet'!AC204</f>
        <v>37.27</v>
      </c>
      <c r="R334" s="13" t="s">
        <v>146</v>
      </c>
      <c r="S334" s="13" t="s">
        <v>202</v>
      </c>
      <c r="T334" s="224">
        <f>AVERAGEIF(B335:O335,"&lt;&gt;0")</f>
        <v>10.78571429</v>
      </c>
    </row>
    <row r="335" ht="15.75" customHeight="1">
      <c r="A335" s="13" t="str">
        <f>'Entry Sheet'!A205</f>
        <v>K</v>
      </c>
      <c r="B335" s="13">
        <f>'Entry Sheet'!C205</f>
        <v>12</v>
      </c>
      <c r="C335" s="13">
        <f>'Entry Sheet'!E205</f>
        <v>7</v>
      </c>
      <c r="D335" s="13">
        <f>'Entry Sheet'!G205</f>
        <v>12.5</v>
      </c>
      <c r="E335" s="13">
        <f>'Entry Sheet'!I205</f>
        <v>12</v>
      </c>
      <c r="F335" s="13">
        <f>'Entry Sheet'!K205</f>
        <v>4</v>
      </c>
      <c r="G335" s="13">
        <f>'Entry Sheet'!M205</f>
        <v>6</v>
      </c>
      <c r="H335" s="13">
        <f>'Entry Sheet'!O205</f>
        <v>7</v>
      </c>
      <c r="I335" s="13">
        <f>'Entry Sheet'!Q205</f>
        <v>4</v>
      </c>
      <c r="J335" s="13">
        <f>'Entry Sheet'!S205</f>
        <v>8</v>
      </c>
      <c r="K335" s="13">
        <f>'Entry Sheet'!U205</f>
        <v>15</v>
      </c>
      <c r="L335" s="13">
        <f>'Entry Sheet'!W205</f>
        <v>15.5</v>
      </c>
      <c r="M335" s="13">
        <f>'Entry Sheet'!Y205</f>
        <v>13</v>
      </c>
      <c r="N335" s="13">
        <f>'Entry Sheet'!AA205</f>
        <v>21</v>
      </c>
      <c r="O335" s="13">
        <f>'Entry Sheet'!AC205</f>
        <v>14</v>
      </c>
      <c r="S335" s="13" t="s">
        <v>207</v>
      </c>
      <c r="T335" s="224">
        <f>MAX(B335:O335)</f>
        <v>21</v>
      </c>
    </row>
    <row r="336" ht="15.75" customHeight="1">
      <c r="A336" s="13" t="str">
        <f>'Entry Sheet'!A206</f>
        <v>HC</v>
      </c>
      <c r="B336" s="13">
        <f>'Entry Sheet'!C206</f>
        <v>12.3</v>
      </c>
      <c r="C336" s="13">
        <f>'Entry Sheet'!E206</f>
        <v>2.4</v>
      </c>
      <c r="D336" s="13">
        <f>'Entry Sheet'!G206</f>
        <v>18.3</v>
      </c>
      <c r="E336" s="13">
        <f>'Entry Sheet'!I206</f>
        <v>5.1</v>
      </c>
      <c r="F336" s="13">
        <f>'Entry Sheet'!K206</f>
        <v>24</v>
      </c>
      <c r="G336" s="13">
        <f>'Entry Sheet'!M206</f>
        <v>11.3</v>
      </c>
      <c r="H336" s="13">
        <f>'Entry Sheet'!O206</f>
        <v>15.4</v>
      </c>
      <c r="I336" s="13">
        <f>'Entry Sheet'!Q206</f>
        <v>19.4</v>
      </c>
      <c r="J336" s="13">
        <f>'Entry Sheet'!S206</f>
        <v>3</v>
      </c>
      <c r="K336" s="13">
        <f>'Entry Sheet'!U206</f>
        <v>12.3</v>
      </c>
      <c r="L336" s="13">
        <f>'Entry Sheet'!W206</f>
        <v>1.9</v>
      </c>
      <c r="M336" s="13">
        <f>'Entry Sheet'!Y206</f>
        <v>4</v>
      </c>
      <c r="N336" s="13">
        <f>'Entry Sheet'!AA206</f>
        <v>2.8</v>
      </c>
      <c r="O336" s="13">
        <f>'Entry Sheet'!AC206</f>
        <v>-0.3</v>
      </c>
      <c r="R336" s="13" t="s">
        <v>162</v>
      </c>
      <c r="S336" s="13" t="s">
        <v>202</v>
      </c>
      <c r="T336" s="224">
        <f>AVERAGEIF(B336:O336,"&lt;&gt;0")</f>
        <v>9.421428571</v>
      </c>
    </row>
    <row r="337" ht="15.75" customHeight="1">
      <c r="A337" s="13" t="str">
        <f>'Entry Sheet'!A207</f>
        <v>Total Score</v>
      </c>
      <c r="B337" s="13">
        <f>'Entry Sheet'!B207</f>
        <v>142.22</v>
      </c>
      <c r="C337" s="13">
        <f>'Entry Sheet'!D207</f>
        <v>136.3</v>
      </c>
      <c r="D337" s="13">
        <f>'Entry Sheet'!F207</f>
        <v>167.91</v>
      </c>
      <c r="E337" s="13">
        <f>'Entry Sheet'!H207</f>
        <v>157.59</v>
      </c>
      <c r="F337" s="13">
        <f>'Entry Sheet'!J207</f>
        <v>172.82</v>
      </c>
      <c r="G337" s="13">
        <f>'Entry Sheet'!L207</f>
        <v>154.16</v>
      </c>
      <c r="H337" s="13">
        <f>'Entry Sheet'!N207</f>
        <v>206.24</v>
      </c>
      <c r="I337" s="13">
        <f>'Entry Sheet'!P207</f>
        <v>165.17</v>
      </c>
      <c r="J337" s="13">
        <f>'Entry Sheet'!R207</f>
        <v>142.6</v>
      </c>
      <c r="K337" s="224">
        <f>'Entry Sheet'!T207</f>
        <v>105.98</v>
      </c>
      <c r="L337" s="13">
        <f>'Entry Sheet'!V207</f>
        <v>149.76</v>
      </c>
      <c r="M337" s="13">
        <f>'Entry Sheet'!X207</f>
        <v>181.23</v>
      </c>
      <c r="N337" s="13">
        <f>'Entry Sheet'!Z207</f>
        <v>144.36</v>
      </c>
      <c r="O337" s="13">
        <f>'Entry Sheet'!AB207</f>
        <v>98.07</v>
      </c>
      <c r="S337" s="13" t="s">
        <v>207</v>
      </c>
      <c r="T337" s="224">
        <f>MAX(B336:O336)</f>
        <v>24</v>
      </c>
    </row>
    <row r="338" ht="15.75" customHeight="1">
      <c r="A338" s="13" t="str">
        <f>'Entry Sheet'!A208</f>
        <v>MVP</v>
      </c>
      <c r="B338" s="13">
        <f>'Entry Sheet'!C208</f>
        <v>30.42</v>
      </c>
      <c r="C338" s="13">
        <f>'Entry Sheet'!E208</f>
        <v>24.58</v>
      </c>
      <c r="D338" s="13">
        <f>'Entry Sheet'!G208</f>
        <v>29</v>
      </c>
      <c r="E338" s="13">
        <f>'Entry Sheet'!I208</f>
        <v>38.3</v>
      </c>
      <c r="F338" s="13">
        <f>'Entry Sheet'!K208</f>
        <v>32.92</v>
      </c>
      <c r="G338" s="13">
        <f>'Entry Sheet'!M208</f>
        <v>41.28</v>
      </c>
      <c r="H338" s="13">
        <f>'Entry Sheet'!O208</f>
        <v>42.5</v>
      </c>
      <c r="I338" s="13">
        <f>'Entry Sheet'!Q208</f>
        <v>30.96</v>
      </c>
      <c r="J338" s="13">
        <f>'Entry Sheet'!S208</f>
        <v>38.1</v>
      </c>
      <c r="K338" s="13">
        <f>'Entry Sheet'!U208</f>
        <v>21.7</v>
      </c>
      <c r="L338" s="13">
        <f>'Entry Sheet'!W208</f>
        <v>36.4</v>
      </c>
      <c r="M338" s="13">
        <f>'Entry Sheet'!Y208</f>
        <v>29.6</v>
      </c>
      <c r="N338" s="13">
        <f>'Entry Sheet'!AA208</f>
        <v>40.14</v>
      </c>
      <c r="O338" s="13">
        <f>'Entry Sheet'!AC208</f>
        <v>37.27</v>
      </c>
      <c r="R338" s="13" t="s">
        <v>168</v>
      </c>
      <c r="S338" s="13" t="s">
        <v>207</v>
      </c>
      <c r="T338" s="224">
        <f>MAX(B338:O338)</f>
        <v>42.5</v>
      </c>
    </row>
    <row r="339" ht="15.75" customHeight="1">
      <c r="R339" s="13" t="s">
        <v>167</v>
      </c>
      <c r="S339" s="13" t="s">
        <v>202</v>
      </c>
      <c r="T339" s="224">
        <f>AVERAGEIF(B337:O337,"&lt;&gt;0")</f>
        <v>151.7435714</v>
      </c>
    </row>
    <row r="340" ht="15.75" customHeight="1">
      <c r="S340" s="13" t="s">
        <v>207</v>
      </c>
      <c r="T340" s="224">
        <f>MAX(B337:O337)</f>
        <v>206.24</v>
      </c>
    </row>
    <row r="341" ht="15.75" customHeight="1">
      <c r="S341" s="13" t="s">
        <v>228</v>
      </c>
      <c r="T341" s="13">
        <f>SUM(B337:O337)</f>
        <v>2124.41</v>
      </c>
    </row>
    <row r="342" ht="15.75" customHeight="1">
      <c r="R342" s="13" t="s">
        <v>42</v>
      </c>
      <c r="S342" s="13" t="s">
        <v>202</v>
      </c>
      <c r="T342" s="13">
        <f>AVERAGE(C323:P323)</f>
        <v>8.076923077</v>
      </c>
    </row>
    <row r="343" ht="15.75" customHeight="1">
      <c r="S343" s="13" t="s">
        <v>231</v>
      </c>
      <c r="T343" s="13">
        <f>MIN(C323:P323)</f>
        <v>6</v>
      </c>
    </row>
    <row r="344" ht="15.75" customHeight="1">
      <c r="S344" s="13" t="s">
        <v>234</v>
      </c>
      <c r="T344" s="13">
        <f>STDEV(C323:P323)</f>
        <v>1.320450584</v>
      </c>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1.22" defaultRowHeight="15.0"/>
  <cols>
    <col customWidth="1" min="1" max="1" width="27.44"/>
    <col customWidth="1" min="2" max="2" width="22.0"/>
    <col customWidth="1" min="3" max="12" width="19.33"/>
    <col customWidth="1" min="13" max="13" width="16.11"/>
    <col customWidth="1" min="14" max="15" width="10.56"/>
    <col customWidth="1" min="16" max="16" width="39.11"/>
    <col customWidth="1" min="17" max="26" width="12.67"/>
    <col customWidth="1" min="27" max="28" width="15.78"/>
    <col customWidth="1" min="29" max="29" width="11.78"/>
    <col customWidth="1" min="30" max="30" width="34.67"/>
    <col customWidth="1" min="31" max="31" width="14.33"/>
    <col customWidth="1" hidden="1" min="32" max="32" width="10.78"/>
    <col customWidth="1" min="33" max="33" width="5.44"/>
    <col customWidth="1" min="34" max="34" width="18.11"/>
    <col customWidth="1" min="35" max="35" width="10.78"/>
    <col customWidth="1" min="36" max="36" width="10.56"/>
    <col customWidth="1" min="37" max="37" width="8.67"/>
    <col customWidth="1" min="38" max="38" width="30.0"/>
    <col customWidth="1" min="39" max="39" width="11.0"/>
    <col customWidth="1" min="40" max="40" width="13.44"/>
    <col customWidth="1" min="41" max="41" width="11.78"/>
    <col customWidth="1" min="42" max="43" width="10.56"/>
  </cols>
  <sheetData>
    <row r="1" ht="15.75" customHeight="1">
      <c r="A1" s="338" t="str">
        <f>'League Stats'!A2</f>
        <v>OVERALL STATS</v>
      </c>
      <c r="B1" s="339"/>
      <c r="C1" s="339"/>
      <c r="D1" s="339"/>
      <c r="E1" s="339"/>
      <c r="F1" s="339"/>
      <c r="G1" s="339"/>
      <c r="H1" s="339"/>
      <c r="I1" s="339"/>
      <c r="J1" s="339"/>
      <c r="K1" s="339"/>
      <c r="L1" s="341"/>
      <c r="AC1" s="13" t="s">
        <v>291</v>
      </c>
      <c r="AD1" s="13" t="s">
        <v>292</v>
      </c>
      <c r="AE1" s="13" t="s">
        <v>293</v>
      </c>
      <c r="AF1" s="13" t="s">
        <v>294</v>
      </c>
      <c r="AG1" s="13" t="s">
        <v>295</v>
      </c>
      <c r="AH1" s="13" t="s">
        <v>169</v>
      </c>
      <c r="AI1" s="13" t="s">
        <v>296</v>
      </c>
      <c r="AK1" s="342" t="s">
        <v>297</v>
      </c>
      <c r="AL1" s="344" t="s">
        <v>298</v>
      </c>
      <c r="AM1" s="345" t="s">
        <v>299</v>
      </c>
      <c r="AN1" s="346" t="s">
        <v>300</v>
      </c>
      <c r="AO1" s="346" t="s">
        <v>301</v>
      </c>
      <c r="AP1" s="346" t="s">
        <v>302</v>
      </c>
      <c r="AQ1" s="346" t="s">
        <v>303</v>
      </c>
    </row>
    <row r="2" ht="15.75" customHeight="1">
      <c r="A2" s="348" t="s">
        <v>304</v>
      </c>
      <c r="B2" s="349"/>
      <c r="C2" s="350" t="str">
        <f>'League Stats'!C3</f>
        <v>DECOUPES</v>
      </c>
      <c r="D2" s="351" t="str">
        <f>'League Stats'!D3</f>
        <v>POPEYES</v>
      </c>
      <c r="E2" s="352" t="str">
        <f>'League Stats'!E3</f>
        <v>GREEN</v>
      </c>
      <c r="F2" s="354" t="str">
        <f>'League Stats'!F3</f>
        <v>SAVAGES</v>
      </c>
      <c r="G2" s="355" t="str">
        <f>'League Stats'!G3</f>
        <v>KINGS</v>
      </c>
      <c r="H2" s="357" t="str">
        <f>'League Stats'!H3</f>
        <v>CHAMPS</v>
      </c>
      <c r="I2" s="358" t="str">
        <f>'League Stats'!I3</f>
        <v>METAMOOKDAWGS</v>
      </c>
      <c r="J2" s="360" t="str">
        <f>'League Stats'!J3</f>
        <v>YARDIES</v>
      </c>
      <c r="K2" s="361" t="str">
        <f>'League Stats'!K3</f>
        <v>MUTTS</v>
      </c>
      <c r="L2" s="362" t="str">
        <f>'League Stats'!L3</f>
        <v>EAGLES</v>
      </c>
      <c r="P2" s="331"/>
      <c r="Q2" s="364" t="str">
        <f t="shared" ref="Q2:V2" si="1">C2</f>
        <v>DECOUPES</v>
      </c>
      <c r="R2" s="364" t="str">
        <f t="shared" si="1"/>
        <v>POPEYES</v>
      </c>
      <c r="S2" s="364" t="str">
        <f t="shared" si="1"/>
        <v>GREEN</v>
      </c>
      <c r="T2" s="364" t="str">
        <f t="shared" si="1"/>
        <v>SAVAGES</v>
      </c>
      <c r="U2" s="364" t="str">
        <f t="shared" si="1"/>
        <v>KINGS</v>
      </c>
      <c r="V2" s="364" t="str">
        <f t="shared" si="1"/>
        <v>CHAMPS</v>
      </c>
      <c r="W2" s="364" t="s">
        <v>305</v>
      </c>
      <c r="X2" s="364" t="str">
        <f t="shared" ref="X2:Z2" si="2">J2</f>
        <v>YARDIES</v>
      </c>
      <c r="Y2" s="364" t="str">
        <f t="shared" si="2"/>
        <v>MUTTS</v>
      </c>
      <c r="Z2" s="364" t="str">
        <f t="shared" si="2"/>
        <v>EAGLES</v>
      </c>
      <c r="AC2" s="346" t="s">
        <v>300</v>
      </c>
      <c r="AD2" s="365" t="s">
        <v>306</v>
      </c>
      <c r="AE2" s="365" t="s">
        <v>307</v>
      </c>
      <c r="AF2" s="13">
        <v>1.0</v>
      </c>
      <c r="AG2" s="13">
        <v>1.0</v>
      </c>
      <c r="AH2" s="13" t="str">
        <f t="array" ref="AH2">IFERROR(INDEX(C$2:N$2, SMALL(IF(C$27:N$27=AG2, COLUMN(C$2:N$2)-COLUMN(C$2)+1), AF2)), "-")</f>
        <v>EAGLES</v>
      </c>
      <c r="AI2" s="13">
        <v>4.0</v>
      </c>
      <c r="AK2" s="366">
        <f t="shared" ref="AK2:AK11" si="4">_xlfn.RANK.EQ(AM2,$AM$2:$AM$11,0)</f>
        <v>3</v>
      </c>
      <c r="AL2" s="367" t="str">
        <f>Settings!A3</f>
        <v>DECOUPES</v>
      </c>
      <c r="AM2" s="368">
        <f t="array" ref="AM2:AM11">SUMIF(AH:AH,AL2:AL11,AI:AI)</f>
        <v>26</v>
      </c>
      <c r="AN2" s="369">
        <f t="shared" ref="AN2:AN11" si="5">SUMIFS($AI:$AI, $AH:$AH, $AL2, $AC:$AC, $AN$1)
</f>
        <v>8</v>
      </c>
      <c r="AO2" s="371">
        <f t="shared" ref="AO2:AQ2" si="3">SUMIFS($AI:$AI, $AH:$AH, $AL2, $AC:$AC, AO$1)
</f>
        <v>16</v>
      </c>
      <c r="AP2" s="371">
        <f t="shared" si="3"/>
        <v>0</v>
      </c>
      <c r="AQ2" s="371">
        <f t="shared" si="3"/>
        <v>2</v>
      </c>
    </row>
    <row r="3" ht="15.75" customHeight="1">
      <c r="A3" s="372" t="s">
        <v>100</v>
      </c>
      <c r="B3" s="373" t="str">
        <f>'League Stats'!B4</f>
        <v>Average</v>
      </c>
      <c r="C3" s="374">
        <f>'League Stats'!C4</f>
        <v>26.93</v>
      </c>
      <c r="D3" s="374">
        <f>'League Stats'!D4</f>
        <v>22.31428571</v>
      </c>
      <c r="E3" s="374">
        <f>'League Stats'!E4</f>
        <v>25.23</v>
      </c>
      <c r="F3" s="374">
        <f>'League Stats'!F4</f>
        <v>21.88428571</v>
      </c>
      <c r="G3" s="374">
        <f>'League Stats'!G4</f>
        <v>25.48857143</v>
      </c>
      <c r="H3" s="374">
        <f>'League Stats'!H4</f>
        <v>23.38142857</v>
      </c>
      <c r="I3" s="374">
        <f>'League Stats'!I4</f>
        <v>23.95857143</v>
      </c>
      <c r="J3" s="374">
        <f>'League Stats'!J4</f>
        <v>21.79285714</v>
      </c>
      <c r="K3" s="374">
        <f>'League Stats'!K4</f>
        <v>22.41076923</v>
      </c>
      <c r="L3" s="374">
        <f>'League Stats'!L4</f>
        <v>28.89714286</v>
      </c>
      <c r="M3" s="372" t="s">
        <v>100</v>
      </c>
      <c r="P3" s="376" t="s">
        <v>309</v>
      </c>
      <c r="Q3" s="377">
        <v>5.0</v>
      </c>
      <c r="R3" s="377">
        <v>5.0</v>
      </c>
      <c r="S3" s="377">
        <v>12.0</v>
      </c>
      <c r="T3" s="377">
        <v>2.0</v>
      </c>
      <c r="U3" s="377">
        <v>2.0</v>
      </c>
      <c r="V3" s="377">
        <v>2.0</v>
      </c>
      <c r="W3" s="377">
        <v>2.0</v>
      </c>
      <c r="X3" s="377">
        <v>2.0</v>
      </c>
      <c r="Y3" s="377">
        <v>3.0</v>
      </c>
      <c r="Z3" s="377">
        <v>3.0</v>
      </c>
      <c r="AC3" s="346" t="s">
        <v>300</v>
      </c>
      <c r="AD3" s="365" t="s">
        <v>306</v>
      </c>
      <c r="AE3" s="365" t="s">
        <v>307</v>
      </c>
      <c r="AF3" s="13">
        <v>2.0</v>
      </c>
      <c r="AG3" s="13">
        <v>1.0</v>
      </c>
      <c r="AH3" s="13" t="str">
        <f t="array" ref="AH3">IFERROR(INDEX(C$2:N$2, SMALL(IF(C$27:N$27=AG3, COLUMN(C$2:N$2)-COLUMN(C$2)+1), AF3)), "-")</f>
        <v>-</v>
      </c>
      <c r="AI3" s="13">
        <v>4.0</v>
      </c>
      <c r="AK3" s="366">
        <f t="shared" si="4"/>
        <v>10</v>
      </c>
      <c r="AL3" s="378" t="str">
        <f>Settings!A4</f>
        <v>POPEYES</v>
      </c>
      <c r="AM3" s="379">
        <v>9.75</v>
      </c>
      <c r="AN3" s="369">
        <f t="shared" si="5"/>
        <v>3.25</v>
      </c>
      <c r="AO3" s="371">
        <f t="shared" ref="AO3:AQ3" si="6">SUMIFS($AI:$AI, $AH:$AH, $AL3, $AC:$AC, AO$1)
</f>
        <v>2.5</v>
      </c>
      <c r="AP3" s="371">
        <f t="shared" si="6"/>
        <v>0</v>
      </c>
      <c r="AQ3" s="371">
        <f t="shared" si="6"/>
        <v>4</v>
      </c>
    </row>
    <row r="4" ht="15.75" customHeight="1">
      <c r="A4" s="380" t="s">
        <v>100</v>
      </c>
      <c r="B4" s="381" t="str">
        <f>'League Stats'!B5</f>
        <v>Highest Score</v>
      </c>
      <c r="C4" s="382">
        <f>'League Stats'!C5</f>
        <v>36.12</v>
      </c>
      <c r="D4" s="382">
        <f>'League Stats'!D5</f>
        <v>39</v>
      </c>
      <c r="E4" s="382">
        <f>'League Stats'!E5</f>
        <v>45.26</v>
      </c>
      <c r="F4" s="382">
        <f>'League Stats'!F5</f>
        <v>35.2</v>
      </c>
      <c r="G4" s="382">
        <f>'League Stats'!G5</f>
        <v>41.28</v>
      </c>
      <c r="H4" s="382">
        <f>'League Stats'!H5</f>
        <v>38.82</v>
      </c>
      <c r="I4" s="382">
        <f>'League Stats'!I5</f>
        <v>37.94</v>
      </c>
      <c r="J4" s="382">
        <f>'League Stats'!J5</f>
        <v>40.66</v>
      </c>
      <c r="K4" s="382">
        <f>'League Stats'!K5</f>
        <v>36.72</v>
      </c>
      <c r="L4" s="382">
        <f>'League Stats'!L5</f>
        <v>50.28</v>
      </c>
      <c r="M4" s="380" t="s">
        <v>100</v>
      </c>
      <c r="P4" s="376" t="s">
        <v>317</v>
      </c>
      <c r="Q4" s="385">
        <v>3.0</v>
      </c>
      <c r="R4" s="385">
        <v>1.0</v>
      </c>
      <c r="S4" s="385">
        <v>1.0</v>
      </c>
      <c r="T4" s="385">
        <v>0.0</v>
      </c>
      <c r="U4" s="385">
        <v>0.0</v>
      </c>
      <c r="V4" s="385">
        <v>1.0</v>
      </c>
      <c r="W4" s="385">
        <v>0.0</v>
      </c>
      <c r="X4" s="385">
        <v>0.0</v>
      </c>
      <c r="Y4" s="385">
        <v>0.0</v>
      </c>
      <c r="Z4" s="385">
        <v>0.0</v>
      </c>
      <c r="AC4" s="346" t="s">
        <v>300</v>
      </c>
      <c r="AD4" s="365" t="s">
        <v>306</v>
      </c>
      <c r="AE4" s="365" t="s">
        <v>307</v>
      </c>
      <c r="AF4" s="13">
        <v>3.0</v>
      </c>
      <c r="AG4" s="13">
        <v>1.0</v>
      </c>
      <c r="AH4" s="13" t="str">
        <f t="array" ref="AH4">IFERROR(INDEX(C$2:N$2, SMALL(IF(C$27:N$27=AG4, COLUMN(C$2:N$2)-COLUMN(C$2)+1), AF4)), "-")</f>
        <v>-</v>
      </c>
      <c r="AI4" s="13">
        <v>4.0</v>
      </c>
      <c r="AK4" s="366">
        <f t="shared" si="4"/>
        <v>1</v>
      </c>
      <c r="AL4" s="389" t="str">
        <f>Settings!A5</f>
        <v>GREEN</v>
      </c>
      <c r="AM4" s="391">
        <v>59.5</v>
      </c>
      <c r="AN4" s="369">
        <f t="shared" si="5"/>
        <v>17</v>
      </c>
      <c r="AO4" s="371">
        <f t="shared" ref="AO4:AQ4" si="7">SUMIFS($AI:$AI, $AH:$AH, $AL4, $AC:$AC, AO$1)
</f>
        <v>23.5</v>
      </c>
      <c r="AP4" s="371">
        <f t="shared" si="7"/>
        <v>19</v>
      </c>
      <c r="AQ4" s="371">
        <f t="shared" si="7"/>
        <v>0</v>
      </c>
    </row>
    <row r="5" ht="15.75" customHeight="1">
      <c r="A5" s="372" t="s">
        <v>106</v>
      </c>
      <c r="B5" s="373" t="str">
        <f>'League Stats'!B6</f>
        <v>Average</v>
      </c>
      <c r="C5" s="374">
        <f>'League Stats'!C6</f>
        <v>18.3</v>
      </c>
      <c r="D5" s="374">
        <f>'League Stats'!D6</f>
        <v>17.7875</v>
      </c>
      <c r="E5" s="374">
        <f>'League Stats'!E6</f>
        <v>23.17857143</v>
      </c>
      <c r="F5" s="374">
        <f>'League Stats'!F6</f>
        <v>13.59642857</v>
      </c>
      <c r="G5" s="374">
        <f>'League Stats'!G6</f>
        <v>19.17857143</v>
      </c>
      <c r="H5" s="374">
        <f>'League Stats'!H6</f>
        <v>18.73214286</v>
      </c>
      <c r="I5" s="374">
        <f>'League Stats'!I6</f>
        <v>16.15535714</v>
      </c>
      <c r="J5" s="374">
        <f>'League Stats'!J6</f>
        <v>15.48928571</v>
      </c>
      <c r="K5" s="374">
        <f>'League Stats'!K6</f>
        <v>17.50928571</v>
      </c>
      <c r="L5" s="374">
        <f>'League Stats'!L6</f>
        <v>12.97857143</v>
      </c>
      <c r="M5" s="372" t="s">
        <v>106</v>
      </c>
      <c r="P5" s="376" t="s">
        <v>328</v>
      </c>
      <c r="Q5" s="385">
        <v>50.0</v>
      </c>
      <c r="R5" s="385">
        <v>26.0</v>
      </c>
      <c r="S5" s="385">
        <v>15.0</v>
      </c>
      <c r="T5" s="385">
        <v>16.0</v>
      </c>
      <c r="U5" s="385">
        <v>10.0</v>
      </c>
      <c r="V5" s="385">
        <v>19.0</v>
      </c>
      <c r="W5" s="385">
        <v>5.0</v>
      </c>
      <c r="X5" s="385">
        <v>24.0</v>
      </c>
      <c r="Y5" s="385">
        <v>15.0</v>
      </c>
      <c r="Z5" s="385">
        <v>11.0</v>
      </c>
      <c r="AC5" s="346" t="s">
        <v>300</v>
      </c>
      <c r="AD5" s="365" t="s">
        <v>306</v>
      </c>
      <c r="AE5" s="365" t="s">
        <v>307</v>
      </c>
      <c r="AF5" s="13">
        <v>1.0</v>
      </c>
      <c r="AG5" s="13">
        <v>2.0</v>
      </c>
      <c r="AH5" s="13" t="str">
        <f t="array" ref="AH5">IFERROR(INDEX(C$2:N$2, SMALL(IF(C$27:N$27=AG5, COLUMN(C$2:N$2)-COLUMN(C$2)+1), AF5)), "-")</f>
        <v>DECOUPES</v>
      </c>
      <c r="AI5" s="13">
        <v>2.0</v>
      </c>
      <c r="AK5" s="366">
        <f t="shared" si="4"/>
        <v>7</v>
      </c>
      <c r="AL5" s="392" t="str">
        <f>Settings!A6</f>
        <v>SAVAGES</v>
      </c>
      <c r="AM5" s="393">
        <v>14.0</v>
      </c>
      <c r="AN5" s="369">
        <f t="shared" si="5"/>
        <v>12.5</v>
      </c>
      <c r="AO5" s="371">
        <f t="shared" ref="AO5:AQ5" si="8">SUMIFS($AI:$AI, $AH:$AH, $AL5, $AC:$AC, AO$1)
</f>
        <v>1.5</v>
      </c>
      <c r="AP5" s="371">
        <f t="shared" si="8"/>
        <v>0</v>
      </c>
      <c r="AQ5" s="371">
        <f t="shared" si="8"/>
        <v>0</v>
      </c>
    </row>
    <row r="6" ht="15.75" customHeight="1">
      <c r="A6" s="380" t="s">
        <v>106</v>
      </c>
      <c r="B6" s="381" t="str">
        <f>'League Stats'!B7</f>
        <v>Highest Score</v>
      </c>
      <c r="C6" s="382">
        <f>'League Stats'!C7</f>
        <v>58.9</v>
      </c>
      <c r="D6" s="382">
        <f>'League Stats'!D7</f>
        <v>43.7</v>
      </c>
      <c r="E6" s="382">
        <f>'League Stats'!E7</f>
        <v>54.8</v>
      </c>
      <c r="F6" s="382">
        <f>'League Stats'!F7</f>
        <v>26.5</v>
      </c>
      <c r="G6" s="382">
        <f>'League Stats'!G7</f>
        <v>42.5</v>
      </c>
      <c r="H6" s="382">
        <f>'League Stats'!H7</f>
        <v>33.9</v>
      </c>
      <c r="I6" s="382">
        <f>'League Stats'!I7</f>
        <v>35.8</v>
      </c>
      <c r="J6" s="382">
        <f>'League Stats'!J7</f>
        <v>32</v>
      </c>
      <c r="K6" s="382">
        <f>'League Stats'!K7</f>
        <v>37.86</v>
      </c>
      <c r="L6" s="382">
        <f>'League Stats'!L7</f>
        <v>29.5</v>
      </c>
      <c r="M6" s="380" t="s">
        <v>106</v>
      </c>
      <c r="P6" s="400" t="s">
        <v>341</v>
      </c>
      <c r="Q6" s="401">
        <v>5.0</v>
      </c>
      <c r="R6" s="401">
        <v>1.0</v>
      </c>
      <c r="S6" s="401">
        <v>4.0</v>
      </c>
      <c r="T6" s="401">
        <v>2.0</v>
      </c>
      <c r="U6" s="401">
        <v>10.0</v>
      </c>
      <c r="V6" s="401">
        <v>6.0</v>
      </c>
      <c r="W6" s="401">
        <v>3.0</v>
      </c>
      <c r="X6" s="401">
        <v>9.0</v>
      </c>
      <c r="Y6" s="401">
        <v>8.0</v>
      </c>
      <c r="Z6" s="401">
        <v>7.0</v>
      </c>
      <c r="AC6" s="346" t="s">
        <v>300</v>
      </c>
      <c r="AD6" s="365" t="s">
        <v>306</v>
      </c>
      <c r="AE6" s="365" t="s">
        <v>307</v>
      </c>
      <c r="AF6" s="13">
        <v>2.0</v>
      </c>
      <c r="AG6" s="13">
        <v>2.0</v>
      </c>
      <c r="AH6" s="13" t="str">
        <f t="array" ref="AH6">IFERROR(INDEX(C$2:N$2, SMALL(IF(C$27:N$27=AG6, COLUMN(C$2:N$2)-COLUMN(C$2)+1), AF6)), "-")</f>
        <v>-</v>
      </c>
      <c r="AI6" s="13">
        <v>2.0</v>
      </c>
      <c r="AK6" s="366">
        <f t="shared" si="4"/>
        <v>6</v>
      </c>
      <c r="AL6" s="402" t="str">
        <f>Settings!A12</f>
        <v>KINGS</v>
      </c>
      <c r="AM6" s="403">
        <v>15.0</v>
      </c>
      <c r="AN6" s="369">
        <f t="shared" si="5"/>
        <v>5.5</v>
      </c>
      <c r="AO6" s="371">
        <f t="shared" ref="AO6:AQ6" si="9">SUMIFS($AI:$AI, $AH:$AH, $AL6, $AC:$AC, AO$1)
</f>
        <v>9.5</v>
      </c>
      <c r="AP6" s="371">
        <f t="shared" si="9"/>
        <v>0</v>
      </c>
      <c r="AQ6" s="371">
        <f t="shared" si="9"/>
        <v>0</v>
      </c>
    </row>
    <row r="7" ht="15.75" customHeight="1">
      <c r="A7" s="372" t="s">
        <v>117</v>
      </c>
      <c r="B7" s="373" t="str">
        <f>'League Stats'!B8</f>
        <v>Average</v>
      </c>
      <c r="C7" s="374">
        <f>'League Stats'!C8</f>
        <v>13.59605263</v>
      </c>
      <c r="D7" s="374">
        <f>'League Stats'!D8</f>
        <v>15.1547619</v>
      </c>
      <c r="E7" s="374">
        <f>'League Stats'!E8</f>
        <v>13.47428571</v>
      </c>
      <c r="F7" s="374">
        <f>'League Stats'!F8</f>
        <v>16.05128205</v>
      </c>
      <c r="G7" s="374">
        <f>'League Stats'!G8</f>
        <v>11.84825</v>
      </c>
      <c r="H7" s="374">
        <f>'League Stats'!H8</f>
        <v>14.61785714</v>
      </c>
      <c r="I7" s="374">
        <f>'League Stats'!I8</f>
        <v>15.9575</v>
      </c>
      <c r="J7" s="374">
        <f>'League Stats'!J8</f>
        <v>13.14875</v>
      </c>
      <c r="K7" s="374">
        <f>'League Stats'!K8</f>
        <v>15.82051282</v>
      </c>
      <c r="L7" s="374">
        <f>'League Stats'!L8</f>
        <v>12.1402439</v>
      </c>
      <c r="M7" s="372" t="s">
        <v>117</v>
      </c>
      <c r="P7" s="400" t="s">
        <v>342</v>
      </c>
      <c r="Q7" s="67">
        <f>'League Standings'!A2</f>
        <v>3</v>
      </c>
      <c r="R7" s="67">
        <f>'League Standings'!A3</f>
        <v>5</v>
      </c>
      <c r="S7" s="67">
        <f>'League Standings'!A4</f>
        <v>1</v>
      </c>
      <c r="T7" s="67">
        <f>'League Standings'!A5</f>
        <v>9</v>
      </c>
      <c r="U7" s="67">
        <f>'League Standings'!A6</f>
        <v>8</v>
      </c>
      <c r="V7" s="67">
        <f>'League Standings'!A7</f>
        <v>6</v>
      </c>
      <c r="W7" s="67">
        <f>'League Standings'!A8</f>
        <v>10</v>
      </c>
      <c r="X7" s="67">
        <f>'League Standings'!A9</f>
        <v>2</v>
      </c>
      <c r="Y7" s="67">
        <f>'League Standings'!A10</f>
        <v>4</v>
      </c>
      <c r="Z7" s="67">
        <f>'League Standings'!A11</f>
        <v>7</v>
      </c>
      <c r="AC7" s="346" t="s">
        <v>300</v>
      </c>
      <c r="AD7" s="365" t="s">
        <v>306</v>
      </c>
      <c r="AE7" s="365" t="s">
        <v>307</v>
      </c>
      <c r="AF7" s="13">
        <v>3.0</v>
      </c>
      <c r="AG7" s="13">
        <v>2.0</v>
      </c>
      <c r="AH7" s="13" t="str">
        <f t="array" ref="AH7">IFERROR(INDEX(C$2:N$2, SMALL(IF(C$27:N$27=AG7, COLUMN(C$2:N$2)-COLUMN(C$2)+1), AF7)), "-")</f>
        <v>-</v>
      </c>
      <c r="AI7" s="13">
        <v>2.0</v>
      </c>
      <c r="AK7" s="366">
        <f t="shared" si="4"/>
        <v>8</v>
      </c>
      <c r="AL7" s="404" t="str">
        <f>Settings!A7</f>
        <v>CHAMPS</v>
      </c>
      <c r="AM7" s="405">
        <v>13.75</v>
      </c>
      <c r="AN7" s="369">
        <f t="shared" si="5"/>
        <v>3.25</v>
      </c>
      <c r="AO7" s="371">
        <f t="shared" ref="AO7:AQ7" si="10">SUMIFS($AI:$AI, $AH:$AH, $AL7, $AC:$AC, AO$1)
</f>
        <v>7</v>
      </c>
      <c r="AP7" s="371">
        <f t="shared" si="10"/>
        <v>1</v>
      </c>
      <c r="AQ7" s="371">
        <f t="shared" si="10"/>
        <v>2.5</v>
      </c>
    </row>
    <row r="8" ht="15.75" customHeight="1">
      <c r="A8" s="380" t="s">
        <v>117</v>
      </c>
      <c r="B8" s="381" t="str">
        <f>'League Stats'!B9</f>
        <v>Highest Score</v>
      </c>
      <c r="C8" s="382">
        <f>'League Stats'!C9</f>
        <v>31.7</v>
      </c>
      <c r="D8" s="382">
        <f>'League Stats'!D9</f>
        <v>37</v>
      </c>
      <c r="E8" s="382">
        <f>'League Stats'!E9</f>
        <v>36.2</v>
      </c>
      <c r="F8" s="382">
        <f>'League Stats'!F9</f>
        <v>39.8</v>
      </c>
      <c r="G8" s="382">
        <f>'League Stats'!G9</f>
        <v>25.28</v>
      </c>
      <c r="H8" s="382">
        <f>'League Stats'!H9</f>
        <v>26.5</v>
      </c>
      <c r="I8" s="382">
        <f>'League Stats'!I9</f>
        <v>38.2</v>
      </c>
      <c r="J8" s="382">
        <f>'League Stats'!J9</f>
        <v>32.8</v>
      </c>
      <c r="K8" s="382">
        <f>'League Stats'!K9</f>
        <v>40.4</v>
      </c>
      <c r="L8" s="382">
        <f>'League Stats'!L9</f>
        <v>38.7</v>
      </c>
      <c r="M8" s="380" t="s">
        <v>117</v>
      </c>
      <c r="P8" s="406" t="s">
        <v>343</v>
      </c>
      <c r="Q8" s="331">
        <f t="shared" ref="Q8:Z8" si="11">Q6-Q7</f>
        <v>2</v>
      </c>
      <c r="R8" s="331">
        <f t="shared" si="11"/>
        <v>-4</v>
      </c>
      <c r="S8" s="331">
        <f t="shared" si="11"/>
        <v>3</v>
      </c>
      <c r="T8" s="331">
        <f t="shared" si="11"/>
        <v>-7</v>
      </c>
      <c r="U8" s="331">
        <f t="shared" si="11"/>
        <v>2</v>
      </c>
      <c r="V8" s="331">
        <f t="shared" si="11"/>
        <v>0</v>
      </c>
      <c r="W8" s="331">
        <f t="shared" si="11"/>
        <v>-7</v>
      </c>
      <c r="X8" s="331">
        <f t="shared" si="11"/>
        <v>7</v>
      </c>
      <c r="Y8" s="331">
        <f t="shared" si="11"/>
        <v>4</v>
      </c>
      <c r="Z8" s="331">
        <f t="shared" si="11"/>
        <v>0</v>
      </c>
      <c r="AC8" s="346" t="s">
        <v>300</v>
      </c>
      <c r="AD8" s="365" t="s">
        <v>306</v>
      </c>
      <c r="AE8" s="365" t="s">
        <v>307</v>
      </c>
      <c r="AF8" s="13">
        <v>1.0</v>
      </c>
      <c r="AG8" s="13">
        <v>3.0</v>
      </c>
      <c r="AH8" s="13" t="str">
        <f t="array" ref="AH8">IFERROR(INDEX(C$2:N$2, SMALL(IF(C$27:N$27=AG8, COLUMN(C$2:N$2)-COLUMN(C$2)+1), AF8)), "-")</f>
        <v>KINGS</v>
      </c>
      <c r="AI8" s="13">
        <v>1.0</v>
      </c>
      <c r="AK8" s="366">
        <f t="shared" si="4"/>
        <v>9</v>
      </c>
      <c r="AL8" s="407" t="str">
        <f>Settings!A8</f>
        <v>METAMOOKDAWGS</v>
      </c>
      <c r="AM8" s="408">
        <v>10.5</v>
      </c>
      <c r="AN8" s="369">
        <f t="shared" si="5"/>
        <v>6</v>
      </c>
      <c r="AO8" s="371">
        <f t="shared" ref="AO8:AQ8" si="12">SUMIFS($AI:$AI, $AH:$AH, $AL8, $AC:$AC, AO$1)
</f>
        <v>2</v>
      </c>
      <c r="AP8" s="371">
        <f t="shared" si="12"/>
        <v>0</v>
      </c>
      <c r="AQ8" s="371">
        <f t="shared" si="12"/>
        <v>2.5</v>
      </c>
    </row>
    <row r="9" ht="15.75" customHeight="1">
      <c r="A9" s="372" t="s">
        <v>132</v>
      </c>
      <c r="B9" s="373" t="str">
        <f>'League Stats'!B10</f>
        <v>Average</v>
      </c>
      <c r="C9" s="374">
        <f>'League Stats'!C10</f>
        <v>13.11428571</v>
      </c>
      <c r="D9" s="374">
        <f>'League Stats'!D10</f>
        <v>10.02857143</v>
      </c>
      <c r="E9" s="374">
        <f>'League Stats'!E10</f>
        <v>10.59285714</v>
      </c>
      <c r="F9" s="374">
        <f>'League Stats'!F10</f>
        <v>18.17857143</v>
      </c>
      <c r="G9" s="374">
        <f>'League Stats'!G10</f>
        <v>10.56153846</v>
      </c>
      <c r="H9" s="374">
        <f>'League Stats'!H10</f>
        <v>8.492857143</v>
      </c>
      <c r="I9" s="374">
        <f>'League Stats'!I10</f>
        <v>8.178571429</v>
      </c>
      <c r="J9" s="374">
        <f>'League Stats'!J10</f>
        <v>14.32857143</v>
      </c>
      <c r="K9" s="374">
        <f>'League Stats'!K10</f>
        <v>13.2</v>
      </c>
      <c r="L9" s="374">
        <f>'League Stats'!L10</f>
        <v>12.53333333</v>
      </c>
      <c r="M9" s="372" t="s">
        <v>132</v>
      </c>
      <c r="P9" s="406" t="s">
        <v>344</v>
      </c>
      <c r="Q9" s="409">
        <f>'Weekly Scores'!BT2</f>
        <v>6</v>
      </c>
      <c r="R9" s="409">
        <f>'Weekly Scores'!BT3</f>
        <v>3</v>
      </c>
      <c r="S9" s="409">
        <f>'Weekly Scores'!BT4</f>
        <v>2</v>
      </c>
      <c r="T9" s="409">
        <f>'Weekly Scores'!BT5</f>
        <v>6</v>
      </c>
      <c r="U9" s="409">
        <f>'Weekly Scores'!BT6</f>
        <v>9</v>
      </c>
      <c r="V9" s="409">
        <f>'Weekly Scores'!BT7</f>
        <v>5</v>
      </c>
      <c r="W9" s="409">
        <f>'Weekly Scores'!BT8</f>
        <v>9</v>
      </c>
      <c r="X9" s="409">
        <f>'Weekly Scores'!BT9</f>
        <v>1</v>
      </c>
      <c r="Y9" s="409">
        <f>'Weekly Scores'!BT10</f>
        <v>4</v>
      </c>
      <c r="Z9" s="409">
        <f>'Weekly Scores'!BT11</f>
        <v>8</v>
      </c>
      <c r="AC9" s="346" t="s">
        <v>300</v>
      </c>
      <c r="AD9" s="365" t="s">
        <v>306</v>
      </c>
      <c r="AE9" s="365" t="s">
        <v>307</v>
      </c>
      <c r="AF9" s="13">
        <v>2.0</v>
      </c>
      <c r="AG9" s="13">
        <v>3.0</v>
      </c>
      <c r="AH9" s="13" t="str">
        <f t="array" ref="AH9">IFERROR(INDEX(C$2:N$2, SMALL(IF(C$27:N$27=AG9, COLUMN(C$2:N$2)-COLUMN(C$2)+1), AF9)), "-")</f>
        <v>-</v>
      </c>
      <c r="AI9" s="13">
        <v>1.0</v>
      </c>
      <c r="AK9" s="366">
        <f t="shared" si="4"/>
        <v>2</v>
      </c>
      <c r="AL9" s="411" t="str">
        <f>Settings!A9</f>
        <v>YARDIES</v>
      </c>
      <c r="AM9" s="412">
        <v>31.25</v>
      </c>
      <c r="AN9" s="369">
        <f t="shared" si="5"/>
        <v>12</v>
      </c>
      <c r="AO9" s="371">
        <f t="shared" ref="AO9:AQ9" si="13">SUMIFS($AI:$AI, $AH:$AH, $AL9, $AC:$AC, AO$1)
</f>
        <v>9.25</v>
      </c>
      <c r="AP9" s="371">
        <f t="shared" si="13"/>
        <v>8</v>
      </c>
      <c r="AQ9" s="371">
        <f t="shared" si="13"/>
        <v>2</v>
      </c>
    </row>
    <row r="10" ht="15.75" customHeight="1">
      <c r="A10" s="380" t="s">
        <v>132</v>
      </c>
      <c r="B10" s="381" t="str">
        <f>'League Stats'!B11</f>
        <v>Highest Score</v>
      </c>
      <c r="C10" s="382">
        <f>'League Stats'!C11</f>
        <v>34.3</v>
      </c>
      <c r="D10" s="382">
        <f>'League Stats'!D11</f>
        <v>26.4</v>
      </c>
      <c r="E10" s="382">
        <f>'League Stats'!E11</f>
        <v>18.5</v>
      </c>
      <c r="F10" s="382">
        <f>'League Stats'!F11</f>
        <v>29.4</v>
      </c>
      <c r="G10" s="382">
        <f>'League Stats'!G11</f>
        <v>29</v>
      </c>
      <c r="H10" s="382">
        <f>'League Stats'!H11</f>
        <v>13.7</v>
      </c>
      <c r="I10" s="382">
        <f>'League Stats'!I11</f>
        <v>27.1</v>
      </c>
      <c r="J10" s="382">
        <f>'League Stats'!J11</f>
        <v>44.4</v>
      </c>
      <c r="K10" s="382">
        <f>'League Stats'!K11</f>
        <v>23.9</v>
      </c>
      <c r="L10" s="382">
        <f>'League Stats'!L11</f>
        <v>24.7</v>
      </c>
      <c r="M10" s="380" t="s">
        <v>132</v>
      </c>
      <c r="P10" s="406" t="s">
        <v>351</v>
      </c>
      <c r="Q10" s="331">
        <f>'Weekly Scores'!$BW$2</f>
        <v>4</v>
      </c>
      <c r="R10" s="331">
        <f>'Weekly Scores'!$BW$3</f>
        <v>2</v>
      </c>
      <c r="S10" s="331">
        <f>'Weekly Scores'!$BW$4</f>
        <v>5</v>
      </c>
      <c r="T10" s="331">
        <f>'Weekly Scores'!$BW$5</f>
        <v>2</v>
      </c>
      <c r="U10" s="331">
        <f>'Weekly Scores'!$BW$6</f>
        <v>5</v>
      </c>
      <c r="V10" s="331">
        <f>'Weekly Scores'!$BW$7</f>
        <v>3</v>
      </c>
      <c r="W10" s="331">
        <f>'Weekly Scores'!$BW$8</f>
        <v>2</v>
      </c>
      <c r="X10" s="331">
        <f>'Weekly Scores'!$BW$9</f>
        <v>2</v>
      </c>
      <c r="Y10" s="331">
        <f>'Weekly Scores'!$BW$10</f>
        <v>1</v>
      </c>
      <c r="Z10" s="331">
        <f>'Weekly Scores'!$BW$11</f>
        <v>2</v>
      </c>
      <c r="AC10" s="346" t="s">
        <v>300</v>
      </c>
      <c r="AD10" s="365" t="s">
        <v>306</v>
      </c>
      <c r="AE10" s="365" t="s">
        <v>307</v>
      </c>
      <c r="AF10" s="13">
        <v>3.0</v>
      </c>
      <c r="AG10" s="13">
        <v>3.0</v>
      </c>
      <c r="AH10" s="13" t="str">
        <f t="array" ref="AH10">IFERROR(INDEX(C$2:N$2, SMALL(IF(C$27:N$27=AG10, COLUMN(C$2:N$2)-COLUMN(C$2)+1), AF10)), "-")</f>
        <v>-</v>
      </c>
      <c r="AI10" s="13">
        <v>1.0</v>
      </c>
      <c r="AK10" s="366">
        <f t="shared" si="4"/>
        <v>4</v>
      </c>
      <c r="AL10" s="419" t="str">
        <f>Settings!A10</f>
        <v>MUTTS</v>
      </c>
      <c r="AM10" s="420">
        <v>24.5</v>
      </c>
      <c r="AN10" s="369">
        <f t="shared" si="5"/>
        <v>13.5</v>
      </c>
      <c r="AO10" s="371">
        <f t="shared" ref="AO10:AQ10" si="14">SUMIFS($AI:$AI, $AH:$AH, $AL10, $AC:$AC, AO$1)
</f>
        <v>3</v>
      </c>
      <c r="AP10" s="371">
        <f t="shared" si="14"/>
        <v>3</v>
      </c>
      <c r="AQ10" s="371">
        <f t="shared" si="14"/>
        <v>5</v>
      </c>
    </row>
    <row r="11" ht="15.75" customHeight="1">
      <c r="A11" s="372" t="s">
        <v>136</v>
      </c>
      <c r="B11" s="373" t="str">
        <f>'League Stats'!B12</f>
        <v>Average</v>
      </c>
      <c r="C11" s="374">
        <f>'League Stats'!C12</f>
        <v>12.075</v>
      </c>
      <c r="D11" s="374">
        <f>'League Stats'!D12</f>
        <v>11.32142857</v>
      </c>
      <c r="E11" s="374">
        <f>'League Stats'!E12</f>
        <v>19.02857143</v>
      </c>
      <c r="F11" s="374">
        <f>'League Stats'!F12</f>
        <v>12.79615385</v>
      </c>
      <c r="G11" s="374">
        <f>'League Stats'!G12</f>
        <v>8.65</v>
      </c>
      <c r="H11" s="374">
        <f>'League Stats'!H12</f>
        <v>13.64428571</v>
      </c>
      <c r="I11" s="374">
        <f>'League Stats'!I12</f>
        <v>13.20833333</v>
      </c>
      <c r="J11" s="374">
        <f>'League Stats'!J12</f>
        <v>15.97857143</v>
      </c>
      <c r="K11" s="374">
        <f>'League Stats'!K12</f>
        <v>13.90714286</v>
      </c>
      <c r="L11" s="374">
        <f>'League Stats'!L12</f>
        <v>16.72857143</v>
      </c>
      <c r="M11" s="372" t="s">
        <v>136</v>
      </c>
      <c r="P11" s="406" t="s">
        <v>366</v>
      </c>
      <c r="Q11" s="331">
        <f>'Weekly Scores'!BU2</f>
        <v>4</v>
      </c>
      <c r="R11" s="331">
        <f>'Weekly Scores'!BU3</f>
        <v>2</v>
      </c>
      <c r="S11" s="331">
        <f>'Weekly Scores'!BU4</f>
        <v>2</v>
      </c>
      <c r="T11" s="331">
        <f>'Weekly Scores'!BU5</f>
        <v>3</v>
      </c>
      <c r="U11" s="331">
        <f>'Weekly Scores'!BU6</f>
        <v>5</v>
      </c>
      <c r="V11" s="331">
        <f>'Weekly Scores'!BU7</f>
        <v>2</v>
      </c>
      <c r="W11" s="331">
        <f>'Weekly Scores'!BU8</f>
        <v>4</v>
      </c>
      <c r="X11" s="331">
        <f>'Weekly Scores'!BU9</f>
        <v>1</v>
      </c>
      <c r="Y11" s="331">
        <f>'Weekly Scores'!BU10</f>
        <v>2</v>
      </c>
      <c r="Z11" s="331">
        <f>'Weekly Scores'!BU11</f>
        <v>5</v>
      </c>
      <c r="AC11" s="346" t="s">
        <v>300</v>
      </c>
      <c r="AD11" s="428" t="s">
        <v>306</v>
      </c>
      <c r="AE11" s="428" t="s">
        <v>369</v>
      </c>
      <c r="AF11" s="13">
        <v>1.0</v>
      </c>
      <c r="AG11" s="13">
        <v>1.0</v>
      </c>
      <c r="AH11" s="13" t="str">
        <f t="array" ref="AH11">IFERROR(INDEX(C$2:N$2, SMALL(IF(C$28:N$28=AG11, COLUMN(C$2:N$2)-COLUMN(C$2)+1), AF11)), "-")</f>
        <v>EAGLES</v>
      </c>
      <c r="AI11" s="13">
        <v>2.0</v>
      </c>
      <c r="AK11" s="430">
        <f t="shared" si="4"/>
        <v>5</v>
      </c>
      <c r="AL11" s="431" t="str">
        <f>Settings!A11</f>
        <v>EAGLES</v>
      </c>
      <c r="AM11" s="432">
        <v>19.0</v>
      </c>
      <c r="AN11" s="369">
        <f t="shared" si="5"/>
        <v>14</v>
      </c>
      <c r="AO11" s="371">
        <f t="shared" ref="AO11:AQ11" si="15">SUMIFS($AI:$AI, $AH:$AH, $AL11, $AC:$AC, AO$1)
</f>
        <v>4</v>
      </c>
      <c r="AP11" s="371">
        <f t="shared" si="15"/>
        <v>1</v>
      </c>
      <c r="AQ11" s="371">
        <f t="shared" si="15"/>
        <v>0</v>
      </c>
    </row>
    <row r="12" ht="15.75" customHeight="1">
      <c r="A12" s="380" t="s">
        <v>136</v>
      </c>
      <c r="B12" s="381" t="str">
        <f>'League Stats'!B13</f>
        <v>Highest Score</v>
      </c>
      <c r="C12" s="382">
        <f>'League Stats'!C13</f>
        <v>21.8</v>
      </c>
      <c r="D12" s="382">
        <f>'League Stats'!D13</f>
        <v>26.2</v>
      </c>
      <c r="E12" s="382">
        <f>'League Stats'!E13</f>
        <v>34</v>
      </c>
      <c r="F12" s="382">
        <f>'League Stats'!F13</f>
        <v>26</v>
      </c>
      <c r="G12" s="382">
        <f>'League Stats'!G13</f>
        <v>18.75</v>
      </c>
      <c r="H12" s="382">
        <f>'League Stats'!H13</f>
        <v>31.6</v>
      </c>
      <c r="I12" s="382">
        <f>'League Stats'!I13</f>
        <v>28.2</v>
      </c>
      <c r="J12" s="382">
        <f>'League Stats'!J13</f>
        <v>37.9</v>
      </c>
      <c r="K12" s="382">
        <f>'League Stats'!K13</f>
        <v>29.6</v>
      </c>
      <c r="L12" s="382">
        <f>'League Stats'!L13</f>
        <v>34.4</v>
      </c>
      <c r="M12" s="380" t="s">
        <v>136</v>
      </c>
      <c r="P12" s="406" t="s">
        <v>372</v>
      </c>
      <c r="Q12" s="334">
        <f>'Weekly Scores'!BK2</f>
        <v>0.6428571429</v>
      </c>
      <c r="R12" s="334">
        <f>'Weekly Scores'!BK3</f>
        <v>0.5</v>
      </c>
      <c r="S12" s="334">
        <f>'Weekly Scores'!BK4</f>
        <v>0.8571428571</v>
      </c>
      <c r="T12" s="334">
        <f>'Weekly Scores'!BK5</f>
        <v>0.3571428571</v>
      </c>
      <c r="U12" s="334">
        <f>'Weekly Scores'!BK6</f>
        <v>0.3571428571</v>
      </c>
      <c r="V12" s="334">
        <f>'Weekly Scores'!BK7</f>
        <v>0.4285714286</v>
      </c>
      <c r="W12" s="334">
        <f>'Weekly Scores'!BK8</f>
        <v>0.2857142857</v>
      </c>
      <c r="X12" s="334">
        <f>'Weekly Scores'!BK9</f>
        <v>0.6428571429</v>
      </c>
      <c r="Y12" s="334">
        <f>'Weekly Scores'!BK10</f>
        <v>0.5</v>
      </c>
      <c r="Z12" s="334">
        <f>'Weekly Scores'!BK11</f>
        <v>0.4285714286</v>
      </c>
      <c r="AC12" s="346" t="s">
        <v>300</v>
      </c>
      <c r="AD12" s="428" t="s">
        <v>306</v>
      </c>
      <c r="AE12" s="428" t="s">
        <v>369</v>
      </c>
      <c r="AF12" s="13">
        <v>2.0</v>
      </c>
      <c r="AG12" s="13">
        <v>1.0</v>
      </c>
      <c r="AH12" s="13" t="str">
        <f t="array" ref="AH12">IFERROR(INDEX(C$2:N$2, SMALL(IF(C$28:N$28=AG12, COLUMN(C$2:N$2)-COLUMN(C$2)+1), AF12)), "-")</f>
        <v>-</v>
      </c>
      <c r="AI12" s="13">
        <v>2.0</v>
      </c>
      <c r="AN12" s="224">
        <f t="shared" ref="AN12:AQ12" si="16">SUM(AN2:AN11)</f>
        <v>95</v>
      </c>
      <c r="AO12" s="224">
        <f t="shared" si="16"/>
        <v>78.25</v>
      </c>
      <c r="AP12" s="224">
        <f t="shared" si="16"/>
        <v>32</v>
      </c>
      <c r="AQ12" s="224">
        <f t="shared" si="16"/>
        <v>18</v>
      </c>
    </row>
    <row r="13" ht="15.75" customHeight="1">
      <c r="A13" s="372" t="s">
        <v>139</v>
      </c>
      <c r="B13" s="373" t="str">
        <f>'League Stats'!B14</f>
        <v>Average</v>
      </c>
      <c r="C13" s="374">
        <f>'League Stats'!C14</f>
        <v>17.39285714</v>
      </c>
      <c r="D13" s="374">
        <f>'League Stats'!D14</f>
        <v>18.695</v>
      </c>
      <c r="E13" s="374">
        <f>'League Stats'!E14</f>
        <v>14.03</v>
      </c>
      <c r="F13" s="374">
        <f>'League Stats'!F14</f>
        <v>15.43571429</v>
      </c>
      <c r="G13" s="374">
        <f>'League Stats'!G14</f>
        <v>15.38142857</v>
      </c>
      <c r="H13" s="374">
        <f>'League Stats'!H14</f>
        <v>18.09</v>
      </c>
      <c r="I13" s="374">
        <f>'League Stats'!I14</f>
        <v>1</v>
      </c>
      <c r="J13" s="374">
        <f>'League Stats'!J14</f>
        <v>18.78357143</v>
      </c>
      <c r="K13" s="374">
        <f>'League Stats'!K14</f>
        <v>14.85571429</v>
      </c>
      <c r="L13" s="374">
        <f>'League Stats'!L14</f>
        <v>19.39571429</v>
      </c>
      <c r="M13" s="372" t="s">
        <v>139</v>
      </c>
      <c r="P13" s="406" t="s">
        <v>373</v>
      </c>
      <c r="Q13" s="334">
        <f>'League Standings'!K2</f>
        <v>2</v>
      </c>
      <c r="R13" s="334">
        <f>'League Standings'!K3</f>
        <v>8</v>
      </c>
      <c r="S13" s="334">
        <f>'League Standings'!K4</f>
        <v>1</v>
      </c>
      <c r="T13" s="334">
        <f>'League Standings'!K5</f>
        <v>8</v>
      </c>
      <c r="U13" s="334">
        <f>'League Standings'!K6</f>
        <v>2</v>
      </c>
      <c r="V13" s="334">
        <f>'League Standings'!K7</f>
        <v>6</v>
      </c>
      <c r="W13" s="334">
        <f>'League Standings'!K8</f>
        <v>8</v>
      </c>
      <c r="X13" s="334">
        <f>'League Standings'!K9</f>
        <v>2</v>
      </c>
      <c r="Y13" s="334">
        <f>'League Standings'!K10</f>
        <v>2</v>
      </c>
      <c r="Z13" s="334">
        <f>'League Standings'!K11</f>
        <v>6</v>
      </c>
      <c r="AC13" s="346" t="s">
        <v>300</v>
      </c>
      <c r="AD13" s="428" t="s">
        <v>306</v>
      </c>
      <c r="AE13" s="428" t="s">
        <v>369</v>
      </c>
      <c r="AF13" s="13">
        <v>3.0</v>
      </c>
      <c r="AG13" s="13">
        <v>1.0</v>
      </c>
      <c r="AH13" s="13" t="str">
        <f t="array" ref="AH13">IFERROR(INDEX(C$2:N$2, SMALL(IF(C$28:N$28=AG13, COLUMN(C$2:N$2)-COLUMN(C$2)+1), AF13)), "-")</f>
        <v>-</v>
      </c>
      <c r="AI13" s="13">
        <v>2.0</v>
      </c>
    </row>
    <row r="14" ht="15.75" customHeight="1">
      <c r="A14" s="380" t="s">
        <v>139</v>
      </c>
      <c r="B14" s="381" t="str">
        <f>'League Stats'!B15</f>
        <v>Highest Score</v>
      </c>
      <c r="C14" s="382">
        <f>'League Stats'!C15</f>
        <v>25.11</v>
      </c>
      <c r="D14" s="382">
        <f>'League Stats'!D15</f>
        <v>39.18</v>
      </c>
      <c r="E14" s="382">
        <f>'League Stats'!E15</f>
        <v>29.87</v>
      </c>
      <c r="F14" s="382">
        <f>'League Stats'!F15</f>
        <v>36.13</v>
      </c>
      <c r="G14" s="382">
        <f>'League Stats'!G15</f>
        <v>37.27</v>
      </c>
      <c r="H14" s="382">
        <f>'League Stats'!H15</f>
        <v>54.64</v>
      </c>
      <c r="I14" s="382">
        <f>'League Stats'!I15</f>
        <v>34.72</v>
      </c>
      <c r="J14" s="382">
        <f>'League Stats'!J15</f>
        <v>27.98</v>
      </c>
      <c r="K14" s="382">
        <f>'League Stats'!K15</f>
        <v>27.2</v>
      </c>
      <c r="L14" s="382">
        <f>'League Stats'!L15</f>
        <v>33.08</v>
      </c>
      <c r="M14" s="380" t="s">
        <v>139</v>
      </c>
      <c r="P14" s="406" t="s">
        <v>376</v>
      </c>
      <c r="Q14" s="331">
        <f>'MVT SCORING'!AO19</f>
        <v>2</v>
      </c>
      <c r="R14" s="331">
        <f>'MVT SCORING'!AO20</f>
        <v>1</v>
      </c>
      <c r="S14" s="331">
        <f>'MVT SCORING'!AO21</f>
        <v>3</v>
      </c>
      <c r="T14" s="331">
        <f>'MVT SCORING'!AO22</f>
        <v>0</v>
      </c>
      <c r="U14" s="331">
        <f>'MVT SCORING'!AO23</f>
        <v>2</v>
      </c>
      <c r="V14" s="331">
        <f>'MVT SCORING'!AO24</f>
        <v>1</v>
      </c>
      <c r="W14" s="331">
        <f>'MVT SCORING'!AO25</f>
        <v>0</v>
      </c>
      <c r="X14" s="331">
        <f>'MVT SCORING'!AO26</f>
        <v>3</v>
      </c>
      <c r="Y14" s="331">
        <f>'MVT SCORING'!AO27</f>
        <v>1</v>
      </c>
      <c r="Z14" s="331">
        <f>'MVT SCORING'!AO28</f>
        <v>1</v>
      </c>
      <c r="AC14" s="346" t="s">
        <v>300</v>
      </c>
      <c r="AD14" s="428" t="s">
        <v>306</v>
      </c>
      <c r="AE14" s="428" t="s">
        <v>369</v>
      </c>
      <c r="AF14" s="13">
        <v>1.0</v>
      </c>
      <c r="AG14" s="13">
        <v>2.0</v>
      </c>
      <c r="AH14" s="13" t="str">
        <f t="array" ref="AH14">IFERROR(INDEX(C$2:N$2, SMALL(IF(C$28:N$28=AG14, COLUMN(C$2:N$2)-COLUMN(C$2)+1), AF14)), "-")</f>
        <v>GREEN</v>
      </c>
      <c r="AI14" s="13">
        <v>1.0</v>
      </c>
    </row>
    <row r="15" ht="15.75" customHeight="1">
      <c r="A15" s="372" t="s">
        <v>146</v>
      </c>
      <c r="B15" s="373" t="str">
        <f>'League Stats'!B16</f>
        <v>Average</v>
      </c>
      <c r="C15" s="374">
        <f>'League Stats'!C16</f>
        <v>9.428571429</v>
      </c>
      <c r="D15" s="374">
        <f>'League Stats'!D16</f>
        <v>8.464285714</v>
      </c>
      <c r="E15" s="374">
        <f>'League Stats'!E16</f>
        <v>10.67857143</v>
      </c>
      <c r="F15" s="374">
        <f>'League Stats'!F16</f>
        <v>7.5</v>
      </c>
      <c r="G15" s="374">
        <f>'League Stats'!G16</f>
        <v>10.78571429</v>
      </c>
      <c r="H15" s="374">
        <f>'League Stats'!H16</f>
        <v>10.03571429</v>
      </c>
      <c r="I15" s="374">
        <f>'League Stats'!I16</f>
        <v>11.57692308</v>
      </c>
      <c r="J15" s="374">
        <f>'League Stats'!J16</f>
        <v>9.964285714</v>
      </c>
      <c r="K15" s="374">
        <f>'League Stats'!K16</f>
        <v>11.82142857</v>
      </c>
      <c r="L15" s="374">
        <f>'League Stats'!L16</f>
        <v>8.392857143</v>
      </c>
      <c r="M15" s="372" t="s">
        <v>146</v>
      </c>
      <c r="P15" s="406" t="s">
        <v>377</v>
      </c>
      <c r="Q15" s="440">
        <f>'League Standings'!V2</f>
        <v>3</v>
      </c>
      <c r="R15" s="440">
        <f>'League Standings'!V3</f>
        <v>2</v>
      </c>
      <c r="S15" s="440">
        <f>'League Standings'!V4</f>
        <v>1</v>
      </c>
      <c r="T15" s="440">
        <f>'League Standings'!V5</f>
        <v>5</v>
      </c>
      <c r="U15" s="440">
        <f>'League Standings'!V6</f>
        <v>10</v>
      </c>
      <c r="V15" s="440">
        <f>'League Standings'!V7</f>
        <v>6</v>
      </c>
      <c r="W15" s="440">
        <f>'League Standings'!V8</f>
        <v>6</v>
      </c>
      <c r="X15" s="440">
        <f>'League Standings'!V9</f>
        <v>3</v>
      </c>
      <c r="Y15" s="440">
        <f>'League Standings'!V10</f>
        <v>6</v>
      </c>
      <c r="Z15" s="440">
        <f>'League Standings'!V11</f>
        <v>6</v>
      </c>
      <c r="AC15" s="346" t="s">
        <v>300</v>
      </c>
      <c r="AD15" s="428" t="s">
        <v>306</v>
      </c>
      <c r="AE15" s="428" t="s">
        <v>369</v>
      </c>
      <c r="AF15" s="13">
        <v>2.0</v>
      </c>
      <c r="AG15" s="13">
        <v>2.0</v>
      </c>
      <c r="AH15" s="13" t="str">
        <f t="array" ref="AH15">IFERROR(INDEX(C$2:N$2, SMALL(IF(C$28:N$28=AG15, COLUMN(C$2:N$2)-COLUMN(C$2)+1), AF15)), "-")</f>
        <v>-</v>
      </c>
      <c r="AI15" s="13">
        <v>1.0</v>
      </c>
      <c r="AK15" s="441" t="s">
        <v>42</v>
      </c>
      <c r="AL15" s="442" t="str">
        <f>IFERROR(__xludf.DUMMYFUNCTION("{""Team"",""Points"";
ARRAYFORMULA(
  SORT(
    FILTER({AL2:AL11, AM2:AM11}, LEN(AK2:AK11)),
    FILTER(AK2:AK11, LEN(AK2:AK11)),
    TRUE
  )
)}
"),"Team")</f>
        <v>Team</v>
      </c>
      <c r="AM15" s="442" t="str">
        <f>IFERROR(__xludf.DUMMYFUNCTION("""COMPUTED_VALUE"""),"Points")</f>
        <v>Points</v>
      </c>
    </row>
    <row r="16" ht="15.75" customHeight="1">
      <c r="A16" s="380" t="s">
        <v>146</v>
      </c>
      <c r="B16" s="381" t="str">
        <f>'League Stats'!B17</f>
        <v>Highest Score</v>
      </c>
      <c r="C16" s="382">
        <f>'League Stats'!C17</f>
        <v>17</v>
      </c>
      <c r="D16" s="382">
        <f>'League Stats'!D17</f>
        <v>14</v>
      </c>
      <c r="E16" s="382">
        <f>'League Stats'!E17</f>
        <v>19</v>
      </c>
      <c r="F16" s="382">
        <f>'League Stats'!F17</f>
        <v>14</v>
      </c>
      <c r="G16" s="382">
        <f>'League Stats'!G17</f>
        <v>21</v>
      </c>
      <c r="H16" s="382">
        <f>'League Stats'!H17</f>
        <v>21</v>
      </c>
      <c r="I16" s="382">
        <f>'League Stats'!I17</f>
        <v>23</v>
      </c>
      <c r="J16" s="382">
        <f>'League Stats'!J17</f>
        <v>23</v>
      </c>
      <c r="K16" s="382">
        <f>'League Stats'!K17</f>
        <v>29</v>
      </c>
      <c r="L16" s="382">
        <f>'League Stats'!L17</f>
        <v>19</v>
      </c>
      <c r="M16" s="380" t="s">
        <v>146</v>
      </c>
      <c r="P16" s="443" t="s">
        <v>378</v>
      </c>
      <c r="Q16" s="444">
        <f>'League Standings'!AP2</f>
        <v>2</v>
      </c>
      <c r="R16" s="444">
        <f>'League Standings'!AP3</f>
        <v>5</v>
      </c>
      <c r="S16" s="444">
        <f>'League Standings'!AP4</f>
        <v>1</v>
      </c>
      <c r="T16" s="444">
        <f>'League Standings'!AP5</f>
        <v>5</v>
      </c>
      <c r="U16" s="444">
        <f>'League Standings'!AP6</f>
        <v>5</v>
      </c>
      <c r="V16" s="444">
        <f>'League Standings'!AP7</f>
        <v>2</v>
      </c>
      <c r="W16" s="444">
        <f>'League Standings'!AP8</f>
        <v>10</v>
      </c>
      <c r="X16" s="444">
        <f>'League Standings'!AP9</f>
        <v>5</v>
      </c>
      <c r="Y16" s="444">
        <f>'League Standings'!AP10</f>
        <v>2</v>
      </c>
      <c r="Z16" s="444">
        <f>'League Standings'!AP11</f>
        <v>5</v>
      </c>
      <c r="AC16" s="346" t="s">
        <v>300</v>
      </c>
      <c r="AD16" s="428" t="s">
        <v>306</v>
      </c>
      <c r="AE16" s="428" t="s">
        <v>369</v>
      </c>
      <c r="AF16" s="13">
        <v>3.0</v>
      </c>
      <c r="AG16" s="13">
        <v>2.0</v>
      </c>
      <c r="AH16" s="13" t="str">
        <f t="array" ref="AH16">IFERROR(INDEX(C$2:N$2, SMALL(IF(C$28:N$28=AG16, COLUMN(C$2:N$2)-COLUMN(C$2)+1), AF16)), "-")</f>
        <v>-</v>
      </c>
      <c r="AI16" s="13">
        <v>1.0</v>
      </c>
      <c r="AK16" s="446">
        <v>1.0</v>
      </c>
      <c r="AL16" s="447" t="str">
        <f>IFERROR(__xludf.DUMMYFUNCTION("""COMPUTED_VALUE"""),"GREEN")</f>
        <v>GREEN</v>
      </c>
      <c r="AM16" s="448">
        <f>IFERROR(__xludf.DUMMYFUNCTION("""COMPUTED_VALUE"""),59.5)</f>
        <v>59.5</v>
      </c>
    </row>
    <row r="17" ht="15.75" customHeight="1">
      <c r="A17" s="372" t="s">
        <v>162</v>
      </c>
      <c r="B17" s="373" t="str">
        <f>'League Stats'!B18</f>
        <v>Average</v>
      </c>
      <c r="C17" s="374">
        <f>'League Stats'!C18</f>
        <v>11.99285714</v>
      </c>
      <c r="D17" s="374">
        <f>'League Stats'!D18</f>
        <v>9.492857143</v>
      </c>
      <c r="E17" s="374">
        <f>'League Stats'!E18</f>
        <v>13.52142857</v>
      </c>
      <c r="F17" s="374">
        <f>'League Stats'!F18</f>
        <v>4.541666667</v>
      </c>
      <c r="G17" s="374">
        <f>'League Stats'!G18</f>
        <v>9.421428571</v>
      </c>
      <c r="H17" s="374">
        <f>'League Stats'!H18</f>
        <v>10.06428571</v>
      </c>
      <c r="I17" s="374">
        <f>'League Stats'!I18</f>
        <v>9.353846154</v>
      </c>
      <c r="J17" s="374">
        <f>'League Stats'!J18</f>
        <v>10.37142857</v>
      </c>
      <c r="K17" s="374">
        <f>'League Stats'!K18</f>
        <v>11.3</v>
      </c>
      <c r="L17" s="374">
        <f>'League Stats'!L18</f>
        <v>9.728571429</v>
      </c>
      <c r="M17" s="372" t="s">
        <v>162</v>
      </c>
      <c r="P17" s="443" t="s">
        <v>379</v>
      </c>
      <c r="Q17" s="444">
        <f>'League Standings'!AL2</f>
        <v>3</v>
      </c>
      <c r="R17" s="444">
        <f>'League Standings'!AL3</f>
        <v>4</v>
      </c>
      <c r="S17" s="444">
        <f>'League Standings'!AL4</f>
        <v>1</v>
      </c>
      <c r="T17" s="444">
        <f>'League Standings'!AL5</f>
        <v>8</v>
      </c>
      <c r="U17" s="444">
        <f>'League Standings'!AL6</f>
        <v>8</v>
      </c>
      <c r="V17" s="444">
        <f>'League Standings'!AL7</f>
        <v>8</v>
      </c>
      <c r="W17" s="444">
        <f>'League Standings'!AL8</f>
        <v>5</v>
      </c>
      <c r="X17" s="444">
        <f>'League Standings'!AL9</f>
        <v>1</v>
      </c>
      <c r="Y17" s="444">
        <f>'League Standings'!AL10</f>
        <v>5</v>
      </c>
      <c r="Z17" s="444">
        <f>'League Standings'!AL11</f>
        <v>5</v>
      </c>
      <c r="AC17" s="346" t="s">
        <v>300</v>
      </c>
      <c r="AD17" s="428" t="s">
        <v>306</v>
      </c>
      <c r="AE17" s="428" t="s">
        <v>369</v>
      </c>
      <c r="AF17" s="13">
        <v>1.0</v>
      </c>
      <c r="AG17" s="13">
        <v>3.0</v>
      </c>
      <c r="AH17" s="13" t="str">
        <f t="array" ref="AH17">IFERROR(INDEX(C$2:N$2, SMALL(IF(C$28:N$28=AG17, COLUMN(C$2:N$2)-COLUMN(C$2)+1), AF17)), "-")</f>
        <v>KINGS</v>
      </c>
      <c r="AI17" s="13">
        <v>0.5</v>
      </c>
      <c r="AK17" s="452">
        <v>2.0</v>
      </c>
      <c r="AL17" s="453" t="str">
        <f>IFERROR(__xludf.DUMMYFUNCTION("""COMPUTED_VALUE"""),"YARDIES")</f>
        <v>YARDIES</v>
      </c>
      <c r="AM17" s="454">
        <f>IFERROR(__xludf.DUMMYFUNCTION("""COMPUTED_VALUE"""),31.25)</f>
        <v>31.25</v>
      </c>
    </row>
    <row r="18" ht="15.75" customHeight="1">
      <c r="A18" s="380" t="s">
        <v>162</v>
      </c>
      <c r="B18" s="381" t="str">
        <f>'League Stats'!B19</f>
        <v>Highest Score</v>
      </c>
      <c r="C18" s="382">
        <f>'League Stats'!C19</f>
        <v>23.1</v>
      </c>
      <c r="D18" s="382">
        <f>'League Stats'!D19</f>
        <v>25.2</v>
      </c>
      <c r="E18" s="382">
        <f>'League Stats'!E19</f>
        <v>25.5</v>
      </c>
      <c r="F18" s="382">
        <f>'League Stats'!F19</f>
        <v>20.3</v>
      </c>
      <c r="G18" s="382">
        <f>'League Stats'!G19</f>
        <v>24</v>
      </c>
      <c r="H18" s="382">
        <f>'League Stats'!H19</f>
        <v>20.3</v>
      </c>
      <c r="I18" s="382">
        <f>'League Stats'!I19</f>
        <v>21.2</v>
      </c>
      <c r="J18" s="382">
        <f>'League Stats'!J19</f>
        <v>27.6</v>
      </c>
      <c r="K18" s="382">
        <f>'League Stats'!K19</f>
        <v>24</v>
      </c>
      <c r="L18" s="382">
        <f>'League Stats'!L19</f>
        <v>21.3</v>
      </c>
      <c r="M18" s="380" t="s">
        <v>162</v>
      </c>
      <c r="AC18" s="346" t="s">
        <v>300</v>
      </c>
      <c r="AD18" s="428" t="s">
        <v>306</v>
      </c>
      <c r="AE18" s="428" t="s">
        <v>369</v>
      </c>
      <c r="AF18" s="13">
        <v>2.0</v>
      </c>
      <c r="AG18" s="13">
        <v>3.0</v>
      </c>
      <c r="AH18" s="13" t="str">
        <f t="array" ref="AH18">IFERROR(INDEX(C$2:N$2, SMALL(IF(C$28:N$28=AG18, COLUMN(C$2:N$2)-COLUMN(C$2)+1), AF18)), "-")</f>
        <v>-</v>
      </c>
      <c r="AI18" s="13">
        <v>0.5</v>
      </c>
      <c r="AK18" s="459">
        <v>3.0</v>
      </c>
      <c r="AL18" s="460" t="str">
        <f>IFERROR(__xludf.DUMMYFUNCTION("""COMPUTED_VALUE"""),"DECOUPES")</f>
        <v>DECOUPES</v>
      </c>
      <c r="AM18" s="461">
        <f>IFERROR(__xludf.DUMMYFUNCTION("""COMPUTED_VALUE"""),26.0)</f>
        <v>26</v>
      </c>
    </row>
    <row r="19" ht="15.75" customHeight="1">
      <c r="A19" s="462" t="s">
        <v>168</v>
      </c>
      <c r="B19" s="463" t="str">
        <f>'League Stats'!B20</f>
        <v>Highest Score</v>
      </c>
      <c r="C19" s="464">
        <f>'League Stats'!C20</f>
        <v>58.9</v>
      </c>
      <c r="D19" s="464">
        <f>'League Stats'!D20</f>
        <v>43.7</v>
      </c>
      <c r="E19" s="464">
        <f>'League Stats'!E20</f>
        <v>54.8</v>
      </c>
      <c r="F19" s="464">
        <f>'League Stats'!F20</f>
        <v>39.8</v>
      </c>
      <c r="G19" s="464">
        <f>'League Stats'!G20</f>
        <v>42.5</v>
      </c>
      <c r="H19" s="464">
        <f>'League Stats'!H20</f>
        <v>54.64</v>
      </c>
      <c r="I19" s="464">
        <f>'League Stats'!I20</f>
        <v>38.2</v>
      </c>
      <c r="J19" s="464">
        <f>'League Stats'!J20</f>
        <v>44.4</v>
      </c>
      <c r="K19" s="464">
        <f>'League Stats'!K20</f>
        <v>40.4</v>
      </c>
      <c r="L19" s="464">
        <f>'League Stats'!L20</f>
        <v>50.28</v>
      </c>
      <c r="M19" s="462" t="s">
        <v>168</v>
      </c>
      <c r="AC19" s="346" t="s">
        <v>300</v>
      </c>
      <c r="AD19" s="428" t="s">
        <v>306</v>
      </c>
      <c r="AE19" s="428" t="s">
        <v>369</v>
      </c>
      <c r="AF19" s="13">
        <v>3.0</v>
      </c>
      <c r="AG19" s="13">
        <v>3.0</v>
      </c>
      <c r="AH19" s="13" t="str">
        <f t="array" ref="AH19">IFERROR(INDEX(C$2:N$2, SMALL(IF(C$28:N$28=AG19, COLUMN(C$2:N$2)-COLUMN(C$2)+1), AF19)), "-")</f>
        <v>-</v>
      </c>
      <c r="AI19" s="13">
        <v>0.5</v>
      </c>
      <c r="AK19" s="465">
        <v>4.0</v>
      </c>
      <c r="AL19" s="466" t="str">
        <f>IFERROR(__xludf.DUMMYFUNCTION("""COMPUTED_VALUE"""),"MUTTS")</f>
        <v>MUTTS</v>
      </c>
      <c r="AM19" s="467">
        <f>IFERROR(__xludf.DUMMYFUNCTION("""COMPUTED_VALUE"""),24.5)</f>
        <v>24.5</v>
      </c>
    </row>
    <row r="20" ht="15.75" customHeight="1">
      <c r="A20" s="372" t="s">
        <v>91</v>
      </c>
      <c r="B20" s="373" t="str">
        <f>'League Stats'!B21</f>
        <v>Average</v>
      </c>
      <c r="C20" s="374">
        <f>'League Stats'!C21</f>
        <v>164.4371429</v>
      </c>
      <c r="D20" s="374">
        <f>'League Stats'!D21</f>
        <v>161.3557143</v>
      </c>
      <c r="E20" s="374">
        <f>'League Stats'!E21</f>
        <v>179.8614286</v>
      </c>
      <c r="F20" s="374">
        <f>'League Stats'!F21</f>
        <v>150.6807143</v>
      </c>
      <c r="G20" s="374">
        <f>'League Stats'!G21</f>
        <v>151.7435714</v>
      </c>
      <c r="H20" s="374">
        <f>'League Stats'!H21</f>
        <v>165.0264286</v>
      </c>
      <c r="I20" s="374">
        <f>'League Stats'!I21</f>
        <v>162.46</v>
      </c>
      <c r="J20" s="374">
        <f>'League Stats'!J21</f>
        <v>159.7657143</v>
      </c>
      <c r="K20" s="374">
        <f>'League Stats'!K21</f>
        <v>164.0414286</v>
      </c>
      <c r="L20" s="374">
        <f>'League Stats'!L21</f>
        <v>155.3964286</v>
      </c>
      <c r="M20" s="372" t="s">
        <v>91</v>
      </c>
      <c r="AC20" s="346" t="s">
        <v>300</v>
      </c>
      <c r="AD20" s="471" t="s">
        <v>106</v>
      </c>
      <c r="AE20" s="471" t="s">
        <v>307</v>
      </c>
      <c r="AF20" s="13">
        <v>1.0</v>
      </c>
      <c r="AG20" s="13">
        <v>1.0</v>
      </c>
      <c r="AH20" s="13" t="str">
        <f t="array" ref="AH20">IFERROR(INDEX(C$2:N$2, SMALL(IF(C$29:N$29=AG20, COLUMN(C$2:N$2)-COLUMN(C$2)+1), AF20)), "-")</f>
        <v>GREEN</v>
      </c>
      <c r="AI20" s="13">
        <v>5.0</v>
      </c>
      <c r="AK20" s="465">
        <v>5.0</v>
      </c>
      <c r="AL20" s="466" t="str">
        <f>IFERROR(__xludf.DUMMYFUNCTION("""COMPUTED_VALUE"""),"EAGLES")</f>
        <v>EAGLES</v>
      </c>
      <c r="AM20" s="467">
        <f>IFERROR(__xludf.DUMMYFUNCTION("""COMPUTED_VALUE"""),19.0)</f>
        <v>19</v>
      </c>
    </row>
    <row r="21" ht="15.75" customHeight="1">
      <c r="A21" s="475" t="s">
        <v>91</v>
      </c>
      <c r="B21" s="477" t="str">
        <f>'League Stats'!B22</f>
        <v>Highest Score</v>
      </c>
      <c r="C21" s="478">
        <f>'League Stats'!C22</f>
        <v>247.45</v>
      </c>
      <c r="D21" s="478">
        <f>'League Stats'!D22</f>
        <v>219.36</v>
      </c>
      <c r="E21" s="478">
        <f>'League Stats'!E22</f>
        <v>216.6</v>
      </c>
      <c r="F21" s="478">
        <f>'League Stats'!F22</f>
        <v>192.42</v>
      </c>
      <c r="G21" s="478">
        <f>'League Stats'!G22</f>
        <v>206.24</v>
      </c>
      <c r="H21" s="478">
        <f>'League Stats'!H22</f>
        <v>232.94</v>
      </c>
      <c r="I21" s="478">
        <f>'League Stats'!I22</f>
        <v>230.16</v>
      </c>
      <c r="J21" s="478">
        <f>'League Stats'!J22</f>
        <v>204.92</v>
      </c>
      <c r="K21" s="478">
        <f>'League Stats'!K22</f>
        <v>234.4</v>
      </c>
      <c r="L21" s="478">
        <f>'League Stats'!L22</f>
        <v>216.31</v>
      </c>
      <c r="M21" s="475" t="s">
        <v>91</v>
      </c>
      <c r="AC21" s="346" t="s">
        <v>300</v>
      </c>
      <c r="AD21" s="471" t="s">
        <v>106</v>
      </c>
      <c r="AE21" s="471" t="s">
        <v>307</v>
      </c>
      <c r="AF21" s="13">
        <v>2.0</v>
      </c>
      <c r="AG21" s="13">
        <v>1.0</v>
      </c>
      <c r="AH21" s="13" t="str">
        <f t="array" ref="AH21">IFERROR(INDEX(C$2:N$2, SMALL(IF(C$29:N$29=AG21, COLUMN(C$2:N$2)-COLUMN(C$2)+1), AF21)), "-")</f>
        <v>-</v>
      </c>
      <c r="AI21" s="13">
        <v>5.0</v>
      </c>
      <c r="AK21" s="465">
        <v>6.0</v>
      </c>
      <c r="AL21" s="466" t="str">
        <f>IFERROR(__xludf.DUMMYFUNCTION("""COMPUTED_VALUE"""),"KINGS")</f>
        <v>KINGS</v>
      </c>
      <c r="AM21" s="467">
        <f>IFERROR(__xludf.DUMMYFUNCTION("""COMPUTED_VALUE"""),15.0)</f>
        <v>15</v>
      </c>
    </row>
    <row r="22" ht="15.75" customHeight="1">
      <c r="A22" s="380" t="s">
        <v>91</v>
      </c>
      <c r="B22" s="480" t="str">
        <f>'League Stats'!B23</f>
        <v>Total Thru Season</v>
      </c>
      <c r="C22" s="481">
        <f>'League Stats'!C23</f>
        <v>2302.12</v>
      </c>
      <c r="D22" s="481">
        <f>'League Stats'!D23</f>
        <v>2258.98</v>
      </c>
      <c r="E22" s="481">
        <f>'League Stats'!E23</f>
        <v>2518.06</v>
      </c>
      <c r="F22" s="481">
        <f>'League Stats'!F23</f>
        <v>2109.53</v>
      </c>
      <c r="G22" s="481">
        <f>'League Stats'!G23</f>
        <v>2124.41</v>
      </c>
      <c r="H22" s="481">
        <f>'League Stats'!H23</f>
        <v>2310.37</v>
      </c>
      <c r="I22" s="481">
        <f>'League Stats'!I23</f>
        <v>2274.44</v>
      </c>
      <c r="J22" s="481">
        <f>'League Stats'!J23</f>
        <v>2236.72</v>
      </c>
      <c r="K22" s="481">
        <f>'League Stats'!K23</f>
        <v>2296.58</v>
      </c>
      <c r="L22" s="481">
        <f>'League Stats'!L23</f>
        <v>2175.55</v>
      </c>
      <c r="M22" s="380" t="s">
        <v>91</v>
      </c>
      <c r="AC22" s="346" t="s">
        <v>300</v>
      </c>
      <c r="AD22" s="471" t="s">
        <v>106</v>
      </c>
      <c r="AE22" s="471" t="s">
        <v>307</v>
      </c>
      <c r="AF22" s="13">
        <v>3.0</v>
      </c>
      <c r="AG22" s="13">
        <v>1.0</v>
      </c>
      <c r="AH22" s="13" t="str">
        <f t="array" ref="AH22">IFERROR(INDEX(C$2:N$2, SMALL(IF(C$29:N$29=AG22, COLUMN(C$2:N$2)-COLUMN(C$2)+1), AF22)), "-")</f>
        <v>-</v>
      </c>
      <c r="AI22" s="13">
        <v>5.0</v>
      </c>
      <c r="AK22" s="465">
        <v>7.0</v>
      </c>
      <c r="AL22" s="466" t="str">
        <f>IFERROR(__xludf.DUMMYFUNCTION("""COMPUTED_VALUE"""),"SAVAGES")</f>
        <v>SAVAGES</v>
      </c>
      <c r="AM22" s="467">
        <f>IFERROR(__xludf.DUMMYFUNCTION("""COMPUTED_VALUE"""),14.0)</f>
        <v>14</v>
      </c>
    </row>
    <row r="23" ht="15.75" customHeight="1">
      <c r="A23" s="462" t="str">
        <f>'League Stats'!A24</f>
        <v>Rank</v>
      </c>
      <c r="B23" s="485" t="str">
        <f>'League Stats'!B24</f>
        <v>Average</v>
      </c>
      <c r="C23" s="486">
        <f>'League Stats'!C24</f>
        <v>4.230769231</v>
      </c>
      <c r="D23" s="486">
        <f>'League Stats'!D24</f>
        <v>3.153846154</v>
      </c>
      <c r="E23" s="486">
        <f>'League Stats'!E24</f>
        <v>3.923076923</v>
      </c>
      <c r="F23" s="486">
        <f>'League Stats'!F24</f>
        <v>7.923076923</v>
      </c>
      <c r="G23" s="486">
        <f>'League Stats'!G24</f>
        <v>8.076923077</v>
      </c>
      <c r="H23" s="486">
        <f>'League Stats'!H24</f>
        <v>5.461538462</v>
      </c>
      <c r="I23" s="486">
        <f>'League Stats'!I24</f>
        <v>8</v>
      </c>
      <c r="J23" s="486">
        <f>'League Stats'!J24</f>
        <v>3.076923077</v>
      </c>
      <c r="K23" s="486">
        <f>'League Stats'!K24</f>
        <v>2.230769231</v>
      </c>
      <c r="L23" s="486">
        <f>'League Stats'!L24</f>
        <v>8.923076923</v>
      </c>
      <c r="M23" s="462" t="str">
        <f>'League Stats'!M24</f>
        <v>Rank</v>
      </c>
      <c r="AC23" s="346" t="s">
        <v>300</v>
      </c>
      <c r="AD23" s="471" t="s">
        <v>106</v>
      </c>
      <c r="AE23" s="471" t="s">
        <v>307</v>
      </c>
      <c r="AF23" s="13">
        <v>1.0</v>
      </c>
      <c r="AG23" s="13">
        <v>2.0</v>
      </c>
      <c r="AH23" s="13" t="str">
        <f t="array" ref="AH23">IFERROR(INDEX(C$2:N$2, SMALL(IF(C$29:N$29=AG23, COLUMN(C$2:N$2)-COLUMN(C$2)+1), AF23)), "-")</f>
        <v>KINGS</v>
      </c>
      <c r="AI23" s="13">
        <v>2.5</v>
      </c>
      <c r="AK23" s="465">
        <v>8.0</v>
      </c>
      <c r="AL23" s="466" t="str">
        <f>IFERROR(__xludf.DUMMYFUNCTION("""COMPUTED_VALUE"""),"CHAMPS")</f>
        <v>CHAMPS</v>
      </c>
      <c r="AM23" s="467">
        <f>IFERROR(__xludf.DUMMYFUNCTION("""COMPUTED_VALUE"""),13.75)</f>
        <v>13.75</v>
      </c>
    </row>
    <row r="24" ht="15.75" customHeight="1">
      <c r="A24" s="491"/>
      <c r="AC24" s="346" t="s">
        <v>300</v>
      </c>
      <c r="AD24" s="471" t="s">
        <v>106</v>
      </c>
      <c r="AE24" s="471" t="s">
        <v>307</v>
      </c>
      <c r="AF24" s="13">
        <v>2.0</v>
      </c>
      <c r="AG24" s="13">
        <v>2.0</v>
      </c>
      <c r="AH24" s="13" t="str">
        <f t="array" ref="AH24">IFERROR(INDEX(C$2:N$2, SMALL(IF(C$29:N$29=AG24, COLUMN(C$2:N$2)-COLUMN(C$2)+1), AF24)), "-")</f>
        <v>-</v>
      </c>
      <c r="AI24" s="13">
        <v>2.5</v>
      </c>
      <c r="AK24" s="465">
        <v>9.0</v>
      </c>
      <c r="AL24" s="466" t="str">
        <f>IFERROR(__xludf.DUMMYFUNCTION("""COMPUTED_VALUE"""),"METAMOOKDAWGS")</f>
        <v>METAMOOKDAWGS</v>
      </c>
      <c r="AM24" s="467">
        <f>IFERROR(__xludf.DUMMYFUNCTION("""COMPUTED_VALUE"""),10.5)</f>
        <v>10.5</v>
      </c>
    </row>
    <row r="25" ht="15.75" customHeight="1">
      <c r="A25" s="338" t="str">
        <f t="shared" ref="A25:A46" si="17">A1</f>
        <v>OVERALL STATS</v>
      </c>
      <c r="B25" s="339"/>
      <c r="C25" s="339"/>
      <c r="D25" s="339"/>
      <c r="E25" s="339"/>
      <c r="F25" s="339"/>
      <c r="G25" s="339"/>
      <c r="H25" s="339"/>
      <c r="I25" s="339"/>
      <c r="J25" s="339"/>
      <c r="K25" s="339"/>
      <c r="L25" s="341"/>
      <c r="AC25" s="346" t="s">
        <v>300</v>
      </c>
      <c r="AD25" s="471" t="s">
        <v>106</v>
      </c>
      <c r="AE25" s="471" t="s">
        <v>307</v>
      </c>
      <c r="AF25" s="13">
        <v>3.0</v>
      </c>
      <c r="AG25" s="13">
        <v>2.0</v>
      </c>
      <c r="AH25" s="13" t="str">
        <f t="array" ref="AH25">IFERROR(INDEX(C$2:N$2, SMALL(IF(C$29:N$29=AG25, COLUMN(C$2:N$2)-COLUMN(C$2)+1), AF25)), "-")</f>
        <v>-</v>
      </c>
      <c r="AI25" s="13">
        <v>2.5</v>
      </c>
      <c r="AK25" s="465">
        <v>10.0</v>
      </c>
      <c r="AL25" s="466" t="str">
        <f>IFERROR(__xludf.DUMMYFUNCTION("""COMPUTED_VALUE"""),"POPEYES")</f>
        <v>POPEYES</v>
      </c>
      <c r="AM25" s="467">
        <f>IFERROR(__xludf.DUMMYFUNCTION("""COMPUTED_VALUE"""),9.75)</f>
        <v>9.75</v>
      </c>
    </row>
    <row r="26" ht="15.75" customHeight="1">
      <c r="A26" s="492" t="str">
        <f t="shared" si="17"/>
        <v>Categories</v>
      </c>
      <c r="B26" s="493"/>
      <c r="C26" s="494" t="str">
        <f t="shared" ref="C26:L26" si="18">C2</f>
        <v>DECOUPES</v>
      </c>
      <c r="D26" s="494" t="str">
        <f t="shared" si="18"/>
        <v>POPEYES</v>
      </c>
      <c r="E26" s="494" t="str">
        <f t="shared" si="18"/>
        <v>GREEN</v>
      </c>
      <c r="F26" s="494" t="str">
        <f t="shared" si="18"/>
        <v>SAVAGES</v>
      </c>
      <c r="G26" s="494" t="str">
        <f t="shared" si="18"/>
        <v>KINGS</v>
      </c>
      <c r="H26" s="494" t="str">
        <f t="shared" si="18"/>
        <v>CHAMPS</v>
      </c>
      <c r="I26" s="495" t="str">
        <f t="shared" si="18"/>
        <v>METAMOOKDAWGS</v>
      </c>
      <c r="J26" s="494" t="str">
        <f t="shared" si="18"/>
        <v>YARDIES</v>
      </c>
      <c r="K26" s="494" t="str">
        <f t="shared" si="18"/>
        <v>MUTTS</v>
      </c>
      <c r="L26" s="494" t="str">
        <f t="shared" si="18"/>
        <v>EAGLES</v>
      </c>
      <c r="AC26" s="346" t="s">
        <v>300</v>
      </c>
      <c r="AD26" s="471" t="s">
        <v>106</v>
      </c>
      <c r="AE26" s="471" t="s">
        <v>307</v>
      </c>
      <c r="AF26" s="13">
        <v>1.0</v>
      </c>
      <c r="AG26" s="13">
        <v>3.0</v>
      </c>
      <c r="AH26" s="13" t="str">
        <f t="array" ref="AH26">IFERROR(INDEX(C$2:N$2, SMALL(IF(C$29:N$29=AG26, COLUMN(C$2:N$2)-COLUMN(C$2)+1), AF26)), "-")</f>
        <v>CHAMPS</v>
      </c>
      <c r="AI26" s="13">
        <v>1.25</v>
      </c>
    </row>
    <row r="27" ht="15.75" customHeight="1">
      <c r="A27" s="496" t="str">
        <f t="shared" si="17"/>
        <v>QB</v>
      </c>
      <c r="B27" s="373" t="str">
        <f t="shared" ref="B27:B46" si="20">B3</f>
        <v>Average</v>
      </c>
      <c r="C27" s="497">
        <f t="shared" ref="C27:L27" si="19">_xlfn.RANK.EQ(C3,$C3:$L3,0)</f>
        <v>2</v>
      </c>
      <c r="D27" s="497">
        <f t="shared" si="19"/>
        <v>8</v>
      </c>
      <c r="E27" s="497">
        <f t="shared" si="19"/>
        <v>4</v>
      </c>
      <c r="F27" s="497">
        <f t="shared" si="19"/>
        <v>9</v>
      </c>
      <c r="G27" s="497">
        <f t="shared" si="19"/>
        <v>3</v>
      </c>
      <c r="H27" s="497">
        <f t="shared" si="19"/>
        <v>6</v>
      </c>
      <c r="I27" s="497">
        <f t="shared" si="19"/>
        <v>5</v>
      </c>
      <c r="J27" s="497">
        <f t="shared" si="19"/>
        <v>10</v>
      </c>
      <c r="K27" s="497">
        <f t="shared" si="19"/>
        <v>7</v>
      </c>
      <c r="L27" s="497">
        <f t="shared" si="19"/>
        <v>1</v>
      </c>
      <c r="AC27" s="346" t="s">
        <v>300</v>
      </c>
      <c r="AD27" s="471" t="s">
        <v>106</v>
      </c>
      <c r="AE27" s="471" t="s">
        <v>307</v>
      </c>
      <c r="AF27" s="13">
        <v>2.0</v>
      </c>
      <c r="AG27" s="13">
        <v>3.0</v>
      </c>
      <c r="AH27" s="13" t="str">
        <f t="array" ref="AH27">IFERROR(INDEX(C$2:N$2, SMALL(IF(C$29:N$29=AG27, COLUMN(C$2:N$2)-COLUMN(C$2)+1), AF27)), "-")</f>
        <v>-</v>
      </c>
      <c r="AI27" s="13">
        <v>1.25</v>
      </c>
    </row>
    <row r="28" ht="15.75" customHeight="1">
      <c r="A28" s="496" t="str">
        <f t="shared" si="17"/>
        <v>QB</v>
      </c>
      <c r="B28" s="381" t="str">
        <f t="shared" si="20"/>
        <v>Highest Score</v>
      </c>
      <c r="C28" s="497">
        <f t="shared" ref="C28:L28" si="21">_xlfn.RANK.EQ(C4,$C4:$L4,0)</f>
        <v>9</v>
      </c>
      <c r="D28" s="497">
        <f t="shared" si="21"/>
        <v>5</v>
      </c>
      <c r="E28" s="497">
        <f t="shared" si="21"/>
        <v>2</v>
      </c>
      <c r="F28" s="497">
        <f t="shared" si="21"/>
        <v>10</v>
      </c>
      <c r="G28" s="497">
        <f t="shared" si="21"/>
        <v>3</v>
      </c>
      <c r="H28" s="497">
        <f t="shared" si="21"/>
        <v>6</v>
      </c>
      <c r="I28" s="497">
        <f t="shared" si="21"/>
        <v>7</v>
      </c>
      <c r="J28" s="497">
        <f t="shared" si="21"/>
        <v>4</v>
      </c>
      <c r="K28" s="497">
        <f t="shared" si="21"/>
        <v>8</v>
      </c>
      <c r="L28" s="497">
        <f t="shared" si="21"/>
        <v>1</v>
      </c>
      <c r="AC28" s="346" t="s">
        <v>300</v>
      </c>
      <c r="AD28" s="471" t="s">
        <v>106</v>
      </c>
      <c r="AE28" s="471" t="s">
        <v>307</v>
      </c>
      <c r="AF28" s="13">
        <v>3.0</v>
      </c>
      <c r="AG28" s="13">
        <v>3.0</v>
      </c>
      <c r="AH28" s="13" t="str">
        <f t="array" ref="AH28">IFERROR(INDEX(C$2:N$2, SMALL(IF(C$29:N$29=AG28, COLUMN(C$2:N$2)-COLUMN(C$2)+1), AF28)), "-")</f>
        <v>-</v>
      </c>
      <c r="AI28" s="13">
        <v>1.25</v>
      </c>
    </row>
    <row r="29" ht="15.75" customHeight="1">
      <c r="A29" s="496" t="str">
        <f t="shared" si="17"/>
        <v>RB</v>
      </c>
      <c r="B29" s="373" t="str">
        <f t="shared" si="20"/>
        <v>Average</v>
      </c>
      <c r="C29" s="497">
        <f t="shared" ref="C29:L29" si="22">_xlfn.RANK.EQ(C5,$C5:$L5,0)</f>
        <v>4</v>
      </c>
      <c r="D29" s="497">
        <f t="shared" si="22"/>
        <v>5</v>
      </c>
      <c r="E29" s="497">
        <f t="shared" si="22"/>
        <v>1</v>
      </c>
      <c r="F29" s="497">
        <f t="shared" si="22"/>
        <v>9</v>
      </c>
      <c r="G29" s="497">
        <f t="shared" si="22"/>
        <v>2</v>
      </c>
      <c r="H29" s="497">
        <f t="shared" si="22"/>
        <v>3</v>
      </c>
      <c r="I29" s="497">
        <f t="shared" si="22"/>
        <v>7</v>
      </c>
      <c r="J29" s="497">
        <f t="shared" si="22"/>
        <v>8</v>
      </c>
      <c r="K29" s="497">
        <f t="shared" si="22"/>
        <v>6</v>
      </c>
      <c r="L29" s="497">
        <f t="shared" si="22"/>
        <v>10</v>
      </c>
      <c r="AC29" s="346" t="s">
        <v>300</v>
      </c>
      <c r="AD29" s="498" t="s">
        <v>106</v>
      </c>
      <c r="AE29" s="498" t="s">
        <v>369</v>
      </c>
      <c r="AF29" s="13">
        <v>1.0</v>
      </c>
      <c r="AG29" s="13">
        <v>1.0</v>
      </c>
      <c r="AH29" s="13" t="str">
        <f t="array" ref="AH29">IFERROR(INDEX(C$2:N$2, SMALL(IF(C$30:N$30=AG29, COLUMN(C$2:N$2)-COLUMN(C$2)+1), AF29)), "-")</f>
        <v>DECOUPES</v>
      </c>
      <c r="AI29" s="13">
        <v>3.0</v>
      </c>
    </row>
    <row r="30" ht="15.75" customHeight="1">
      <c r="A30" s="496" t="str">
        <f t="shared" si="17"/>
        <v>RB</v>
      </c>
      <c r="B30" s="381" t="str">
        <f t="shared" si="20"/>
        <v>Highest Score</v>
      </c>
      <c r="C30" s="497">
        <f t="shared" ref="C30:L30" si="23">_xlfn.RANK.EQ(C6,$C6:$L6,0)</f>
        <v>1</v>
      </c>
      <c r="D30" s="497">
        <f t="shared" si="23"/>
        <v>3</v>
      </c>
      <c r="E30" s="497">
        <f t="shared" si="23"/>
        <v>2</v>
      </c>
      <c r="F30" s="497">
        <f t="shared" si="23"/>
        <v>10</v>
      </c>
      <c r="G30" s="497">
        <f t="shared" si="23"/>
        <v>4</v>
      </c>
      <c r="H30" s="497">
        <f t="shared" si="23"/>
        <v>7</v>
      </c>
      <c r="I30" s="497">
        <f t="shared" si="23"/>
        <v>6</v>
      </c>
      <c r="J30" s="497">
        <f t="shared" si="23"/>
        <v>8</v>
      </c>
      <c r="K30" s="497">
        <f t="shared" si="23"/>
        <v>5</v>
      </c>
      <c r="L30" s="497">
        <f t="shared" si="23"/>
        <v>9</v>
      </c>
      <c r="AC30" s="346" t="s">
        <v>300</v>
      </c>
      <c r="AD30" s="498" t="s">
        <v>106</v>
      </c>
      <c r="AE30" s="498" t="s">
        <v>369</v>
      </c>
      <c r="AF30" s="13">
        <v>2.0</v>
      </c>
      <c r="AG30" s="13">
        <v>1.0</v>
      </c>
      <c r="AH30" s="13" t="str">
        <f t="array" ref="AH30">IFERROR(INDEX(C$2:N$2, SMALL(IF(C$30:N$30=AG30, COLUMN(C$2:N$2)-COLUMN(C$2)+1), AF30)), "-")</f>
        <v>-</v>
      </c>
      <c r="AI30" s="13">
        <v>3.0</v>
      </c>
    </row>
    <row r="31" ht="15.75" customHeight="1">
      <c r="A31" s="496" t="str">
        <f t="shared" si="17"/>
        <v>WR</v>
      </c>
      <c r="B31" s="373" t="str">
        <f t="shared" si="20"/>
        <v>Average</v>
      </c>
      <c r="C31" s="497">
        <f t="shared" ref="C31:L31" si="24">_xlfn.RANK.EQ(C7,$C7:$L7,0)</f>
        <v>6</v>
      </c>
      <c r="D31" s="497">
        <f t="shared" si="24"/>
        <v>4</v>
      </c>
      <c r="E31" s="497">
        <f t="shared" si="24"/>
        <v>7</v>
      </c>
      <c r="F31" s="497">
        <f t="shared" si="24"/>
        <v>1</v>
      </c>
      <c r="G31" s="497">
        <f t="shared" si="24"/>
        <v>10</v>
      </c>
      <c r="H31" s="497">
        <f t="shared" si="24"/>
        <v>5</v>
      </c>
      <c r="I31" s="497">
        <f t="shared" si="24"/>
        <v>2</v>
      </c>
      <c r="J31" s="497">
        <f t="shared" si="24"/>
        <v>8</v>
      </c>
      <c r="K31" s="497">
        <f t="shared" si="24"/>
        <v>3</v>
      </c>
      <c r="L31" s="497">
        <f t="shared" si="24"/>
        <v>9</v>
      </c>
      <c r="AC31" s="346" t="s">
        <v>300</v>
      </c>
      <c r="AD31" s="498" t="s">
        <v>106</v>
      </c>
      <c r="AE31" s="498" t="s">
        <v>369</v>
      </c>
      <c r="AF31" s="13">
        <v>3.0</v>
      </c>
      <c r="AG31" s="13">
        <v>1.0</v>
      </c>
      <c r="AH31" s="13" t="str">
        <f t="array" ref="AH31">IFERROR(INDEX(C$2:N$2, SMALL(IF(C$30:N$30=AG31, COLUMN(C$2:N$2)-COLUMN(C$2)+1), AF31)), "-")</f>
        <v>-</v>
      </c>
      <c r="AI31" s="13">
        <v>3.0</v>
      </c>
    </row>
    <row r="32" ht="15.75" customHeight="1">
      <c r="A32" s="496" t="str">
        <f t="shared" si="17"/>
        <v>WR</v>
      </c>
      <c r="B32" s="381" t="str">
        <f t="shared" si="20"/>
        <v>Highest Score</v>
      </c>
      <c r="C32" s="497">
        <f t="shared" ref="C32:L32" si="25">_xlfn.RANK.EQ(C8,$C8:$L8,0)</f>
        <v>8</v>
      </c>
      <c r="D32" s="497">
        <f t="shared" si="25"/>
        <v>5</v>
      </c>
      <c r="E32" s="497">
        <f t="shared" si="25"/>
        <v>6</v>
      </c>
      <c r="F32" s="497">
        <f t="shared" si="25"/>
        <v>2</v>
      </c>
      <c r="G32" s="497">
        <f t="shared" si="25"/>
        <v>10</v>
      </c>
      <c r="H32" s="497">
        <f t="shared" si="25"/>
        <v>9</v>
      </c>
      <c r="I32" s="497">
        <f t="shared" si="25"/>
        <v>4</v>
      </c>
      <c r="J32" s="497">
        <f t="shared" si="25"/>
        <v>7</v>
      </c>
      <c r="K32" s="497">
        <f t="shared" si="25"/>
        <v>1</v>
      </c>
      <c r="L32" s="497">
        <f t="shared" si="25"/>
        <v>3</v>
      </c>
      <c r="AC32" s="346" t="s">
        <v>300</v>
      </c>
      <c r="AD32" s="498" t="s">
        <v>106</v>
      </c>
      <c r="AE32" s="498" t="s">
        <v>369</v>
      </c>
      <c r="AF32" s="13">
        <v>1.0</v>
      </c>
      <c r="AG32" s="13">
        <v>2.0</v>
      </c>
      <c r="AH32" s="13" t="str">
        <f t="array" ref="AH32">IFERROR(INDEX(C$2:N$2, SMALL(IF(C$30:N$30=AG32, COLUMN(C$2:N$2)-COLUMN(C$2)+1), AF32)), "-")</f>
        <v>GREEN</v>
      </c>
      <c r="AI32" s="13">
        <v>1.5</v>
      </c>
    </row>
    <row r="33" ht="15.75" customHeight="1">
      <c r="A33" s="496" t="str">
        <f t="shared" si="17"/>
        <v>TE</v>
      </c>
      <c r="B33" s="373" t="str">
        <f t="shared" si="20"/>
        <v>Average</v>
      </c>
      <c r="C33" s="497">
        <f t="shared" ref="C33:L33" si="26">_xlfn.RANK.EQ(C9,$C9:$L9,0)</f>
        <v>4</v>
      </c>
      <c r="D33" s="497">
        <f t="shared" si="26"/>
        <v>8</v>
      </c>
      <c r="E33" s="497">
        <f t="shared" si="26"/>
        <v>6</v>
      </c>
      <c r="F33" s="497">
        <f t="shared" si="26"/>
        <v>1</v>
      </c>
      <c r="G33" s="497">
        <f t="shared" si="26"/>
        <v>7</v>
      </c>
      <c r="H33" s="497">
        <f t="shared" si="26"/>
        <v>9</v>
      </c>
      <c r="I33" s="497">
        <f t="shared" si="26"/>
        <v>10</v>
      </c>
      <c r="J33" s="497">
        <f t="shared" si="26"/>
        <v>2</v>
      </c>
      <c r="K33" s="497">
        <f t="shared" si="26"/>
        <v>3</v>
      </c>
      <c r="L33" s="497">
        <f t="shared" si="26"/>
        <v>5</v>
      </c>
      <c r="AC33" s="346" t="s">
        <v>300</v>
      </c>
      <c r="AD33" s="498" t="s">
        <v>106</v>
      </c>
      <c r="AE33" s="498" t="s">
        <v>369</v>
      </c>
      <c r="AF33" s="13">
        <v>2.0</v>
      </c>
      <c r="AG33" s="13">
        <v>2.0</v>
      </c>
      <c r="AH33" s="13" t="str">
        <f t="array" ref="AH33">IFERROR(INDEX(C$2:N$2, SMALL(IF(C$30:N$30=AG33, COLUMN(C$2:N$2)-COLUMN(C$2)+1), AF33)), "-")</f>
        <v>-</v>
      </c>
      <c r="AI33" s="13">
        <v>1.5</v>
      </c>
    </row>
    <row r="34" ht="15.75" customHeight="1">
      <c r="A34" s="496" t="str">
        <f t="shared" si="17"/>
        <v>TE</v>
      </c>
      <c r="B34" s="381" t="str">
        <f t="shared" si="20"/>
        <v>Highest Score</v>
      </c>
      <c r="C34" s="497">
        <f t="shared" ref="C34:L34" si="27">_xlfn.RANK.EQ(C10,$C10:$L10,0)</f>
        <v>2</v>
      </c>
      <c r="D34" s="497">
        <f t="shared" si="27"/>
        <v>6</v>
      </c>
      <c r="E34" s="497">
        <f t="shared" si="27"/>
        <v>9</v>
      </c>
      <c r="F34" s="497">
        <f t="shared" si="27"/>
        <v>3</v>
      </c>
      <c r="G34" s="497">
        <f t="shared" si="27"/>
        <v>4</v>
      </c>
      <c r="H34" s="497">
        <f t="shared" si="27"/>
        <v>10</v>
      </c>
      <c r="I34" s="497">
        <f t="shared" si="27"/>
        <v>5</v>
      </c>
      <c r="J34" s="497">
        <f t="shared" si="27"/>
        <v>1</v>
      </c>
      <c r="K34" s="497">
        <f t="shared" si="27"/>
        <v>8</v>
      </c>
      <c r="L34" s="497">
        <f t="shared" si="27"/>
        <v>7</v>
      </c>
      <c r="AC34" s="346" t="s">
        <v>300</v>
      </c>
      <c r="AD34" s="498" t="s">
        <v>106</v>
      </c>
      <c r="AE34" s="498" t="s">
        <v>369</v>
      </c>
      <c r="AF34" s="13">
        <v>3.0</v>
      </c>
      <c r="AG34" s="13">
        <v>2.0</v>
      </c>
      <c r="AH34" s="13" t="str">
        <f t="array" ref="AH34">IFERROR(INDEX(C$2:N$2, SMALL(IF(C$30:N$30=AG34, COLUMN(C$2:N$2)-COLUMN(C$2)+1), AF34)), "-")</f>
        <v>-</v>
      </c>
      <c r="AI34" s="13">
        <v>1.5</v>
      </c>
    </row>
    <row r="35" ht="15.75" customHeight="1">
      <c r="A35" s="496" t="str">
        <f t="shared" si="17"/>
        <v>FLEX</v>
      </c>
      <c r="B35" s="373" t="str">
        <f t="shared" si="20"/>
        <v>Average</v>
      </c>
      <c r="C35" s="497">
        <f t="shared" ref="C35:L35" si="28">_xlfn.RANK.EQ(C11,$C11:$L11,0)</f>
        <v>8</v>
      </c>
      <c r="D35" s="497">
        <f t="shared" si="28"/>
        <v>9</v>
      </c>
      <c r="E35" s="497">
        <f t="shared" si="28"/>
        <v>1</v>
      </c>
      <c r="F35" s="497">
        <f t="shared" si="28"/>
        <v>7</v>
      </c>
      <c r="G35" s="497">
        <f t="shared" si="28"/>
        <v>10</v>
      </c>
      <c r="H35" s="497">
        <f t="shared" si="28"/>
        <v>5</v>
      </c>
      <c r="I35" s="497">
        <f t="shared" si="28"/>
        <v>6</v>
      </c>
      <c r="J35" s="497">
        <f t="shared" si="28"/>
        <v>3</v>
      </c>
      <c r="K35" s="497">
        <f t="shared" si="28"/>
        <v>4</v>
      </c>
      <c r="L35" s="497">
        <f t="shared" si="28"/>
        <v>2</v>
      </c>
      <c r="AC35" s="346" t="s">
        <v>300</v>
      </c>
      <c r="AD35" s="498" t="s">
        <v>106</v>
      </c>
      <c r="AE35" s="498" t="s">
        <v>369</v>
      </c>
      <c r="AF35" s="13">
        <v>1.0</v>
      </c>
      <c r="AG35" s="13">
        <v>3.0</v>
      </c>
      <c r="AH35" s="13" t="str">
        <f t="array" ref="AH35">IFERROR(INDEX(C$2:N$2, SMALL(IF(C$30:N$30=AG35, COLUMN(C$2:N$2)-COLUMN(C$2)+1), AF35)), "-")</f>
        <v>POPEYES</v>
      </c>
      <c r="AI35" s="13">
        <v>0.75</v>
      </c>
    </row>
    <row r="36" ht="15.75" customHeight="1">
      <c r="A36" s="496" t="str">
        <f t="shared" si="17"/>
        <v>FLEX</v>
      </c>
      <c r="B36" s="381" t="str">
        <f t="shared" si="20"/>
        <v>Highest Score</v>
      </c>
      <c r="C36" s="497">
        <f t="shared" ref="C36:L36" si="29">_xlfn.RANK.EQ(C12,$C12:$L12,0)</f>
        <v>9</v>
      </c>
      <c r="D36" s="497">
        <f t="shared" si="29"/>
        <v>7</v>
      </c>
      <c r="E36" s="497">
        <f t="shared" si="29"/>
        <v>3</v>
      </c>
      <c r="F36" s="497">
        <f t="shared" si="29"/>
        <v>8</v>
      </c>
      <c r="G36" s="497">
        <f t="shared" si="29"/>
        <v>10</v>
      </c>
      <c r="H36" s="497">
        <f t="shared" si="29"/>
        <v>4</v>
      </c>
      <c r="I36" s="497">
        <f t="shared" si="29"/>
        <v>6</v>
      </c>
      <c r="J36" s="497">
        <f t="shared" si="29"/>
        <v>1</v>
      </c>
      <c r="K36" s="497">
        <f t="shared" si="29"/>
        <v>5</v>
      </c>
      <c r="L36" s="497">
        <f t="shared" si="29"/>
        <v>2</v>
      </c>
      <c r="AC36" s="346" t="s">
        <v>300</v>
      </c>
      <c r="AD36" s="498" t="s">
        <v>106</v>
      </c>
      <c r="AE36" s="498" t="s">
        <v>369</v>
      </c>
      <c r="AF36" s="13">
        <v>2.0</v>
      </c>
      <c r="AG36" s="13">
        <v>3.0</v>
      </c>
      <c r="AH36" s="13" t="str">
        <f t="array" ref="AH36">IFERROR(INDEX(C$2:N$2, SMALL(IF(C$30:N$30=AG36, COLUMN(C$2:N$2)-COLUMN(C$2)+1), AF36)), "-")</f>
        <v>-</v>
      </c>
      <c r="AI36" s="13">
        <v>0.75</v>
      </c>
    </row>
    <row r="37" ht="15.75" customHeight="1">
      <c r="A37" s="496" t="str">
        <f t="shared" si="17"/>
        <v>D/ST</v>
      </c>
      <c r="B37" s="373" t="str">
        <f t="shared" si="20"/>
        <v>Average</v>
      </c>
      <c r="C37" s="497">
        <f t="shared" ref="C37:L37" si="30">_xlfn.RANK.EQ(C13,$C13:$L13,0)</f>
        <v>5</v>
      </c>
      <c r="D37" s="497">
        <f t="shared" si="30"/>
        <v>3</v>
      </c>
      <c r="E37" s="497">
        <f t="shared" si="30"/>
        <v>9</v>
      </c>
      <c r="F37" s="497">
        <f t="shared" si="30"/>
        <v>6</v>
      </c>
      <c r="G37" s="497">
        <f t="shared" si="30"/>
        <v>7</v>
      </c>
      <c r="H37" s="497">
        <f t="shared" si="30"/>
        <v>4</v>
      </c>
      <c r="I37" s="497">
        <f t="shared" si="30"/>
        <v>10</v>
      </c>
      <c r="J37" s="497">
        <f t="shared" si="30"/>
        <v>2</v>
      </c>
      <c r="K37" s="497">
        <f t="shared" si="30"/>
        <v>8</v>
      </c>
      <c r="L37" s="497">
        <f t="shared" si="30"/>
        <v>1</v>
      </c>
      <c r="AC37" s="346" t="s">
        <v>300</v>
      </c>
      <c r="AD37" s="498" t="s">
        <v>106</v>
      </c>
      <c r="AE37" s="498" t="s">
        <v>369</v>
      </c>
      <c r="AF37" s="13">
        <v>3.0</v>
      </c>
      <c r="AG37" s="13">
        <v>3.0</v>
      </c>
      <c r="AH37" s="13" t="str">
        <f t="array" ref="AH37">IFERROR(INDEX(C$2:N$2, SMALL(IF(C$30:N$30=AG37, COLUMN(C$2:N$2)-COLUMN(C$2)+1), AF37)), "-")</f>
        <v>-</v>
      </c>
      <c r="AI37" s="13">
        <v>0.75</v>
      </c>
    </row>
    <row r="38" ht="15.75" customHeight="1">
      <c r="A38" s="496" t="str">
        <f t="shared" si="17"/>
        <v>D/ST</v>
      </c>
      <c r="B38" s="381" t="str">
        <f t="shared" si="20"/>
        <v>Highest Score</v>
      </c>
      <c r="C38" s="497">
        <f t="shared" ref="C38:L38" si="31">_xlfn.RANK.EQ(C14,$C14:$L14,0)</f>
        <v>10</v>
      </c>
      <c r="D38" s="497">
        <f t="shared" si="31"/>
        <v>2</v>
      </c>
      <c r="E38" s="497">
        <f t="shared" si="31"/>
        <v>7</v>
      </c>
      <c r="F38" s="497">
        <f t="shared" si="31"/>
        <v>4</v>
      </c>
      <c r="G38" s="497">
        <f t="shared" si="31"/>
        <v>3</v>
      </c>
      <c r="H38" s="497">
        <f t="shared" si="31"/>
        <v>1</v>
      </c>
      <c r="I38" s="497">
        <f t="shared" si="31"/>
        <v>5</v>
      </c>
      <c r="J38" s="497">
        <f t="shared" si="31"/>
        <v>8</v>
      </c>
      <c r="K38" s="497">
        <f t="shared" si="31"/>
        <v>9</v>
      </c>
      <c r="L38" s="497">
        <f t="shared" si="31"/>
        <v>6</v>
      </c>
      <c r="AC38" s="346" t="s">
        <v>300</v>
      </c>
      <c r="AD38" s="365" t="s">
        <v>117</v>
      </c>
      <c r="AE38" s="365" t="s">
        <v>307</v>
      </c>
      <c r="AF38" s="13">
        <v>1.0</v>
      </c>
      <c r="AG38" s="13">
        <v>1.0</v>
      </c>
      <c r="AH38" s="13" t="str">
        <f t="array" ref="AH38">IFERROR(INDEX(C$2:N$2, SMALL(IF(C$31:N$31=AG38, COLUMN(C$2:N$2)-COLUMN(C$2)+1), AF38)), "-")</f>
        <v>SAVAGES</v>
      </c>
      <c r="AI38" s="13">
        <v>6.0</v>
      </c>
    </row>
    <row r="39" ht="15.75" customHeight="1">
      <c r="A39" s="496" t="str">
        <f t="shared" si="17"/>
        <v>K</v>
      </c>
      <c r="B39" s="373" t="str">
        <f t="shared" si="20"/>
        <v>Average</v>
      </c>
      <c r="C39" s="497">
        <f t="shared" ref="C39:L39" si="32">_xlfn.RANK.EQ(C15,$C15:$L15,0)</f>
        <v>7</v>
      </c>
      <c r="D39" s="497">
        <f t="shared" si="32"/>
        <v>8</v>
      </c>
      <c r="E39" s="497">
        <f t="shared" si="32"/>
        <v>4</v>
      </c>
      <c r="F39" s="497">
        <f t="shared" si="32"/>
        <v>10</v>
      </c>
      <c r="G39" s="497">
        <f t="shared" si="32"/>
        <v>3</v>
      </c>
      <c r="H39" s="497">
        <f t="shared" si="32"/>
        <v>5</v>
      </c>
      <c r="I39" s="497">
        <f t="shared" si="32"/>
        <v>2</v>
      </c>
      <c r="J39" s="497">
        <f t="shared" si="32"/>
        <v>6</v>
      </c>
      <c r="K39" s="497">
        <f t="shared" si="32"/>
        <v>1</v>
      </c>
      <c r="L39" s="497">
        <f t="shared" si="32"/>
        <v>9</v>
      </c>
      <c r="AC39" s="346" t="s">
        <v>300</v>
      </c>
      <c r="AD39" s="365" t="s">
        <v>117</v>
      </c>
      <c r="AE39" s="365" t="s">
        <v>307</v>
      </c>
      <c r="AF39" s="13">
        <v>2.0</v>
      </c>
      <c r="AG39" s="13">
        <v>1.0</v>
      </c>
      <c r="AH39" s="13" t="str">
        <f t="array" ref="AH39">IFERROR(INDEX(C$2:N$2, SMALL(IF(C$31:N$31=AG39, COLUMN(C$2:N$2)-COLUMN(C$2)+1), AF39)), "-")</f>
        <v>-</v>
      </c>
      <c r="AI39" s="13">
        <v>6.0</v>
      </c>
    </row>
    <row r="40" ht="15.75" customHeight="1">
      <c r="A40" s="496" t="str">
        <f t="shared" si="17"/>
        <v>K</v>
      </c>
      <c r="B40" s="381" t="str">
        <f t="shared" si="20"/>
        <v>Highest Score</v>
      </c>
      <c r="C40" s="497">
        <f t="shared" ref="C40:L40" si="33">_xlfn.RANK.EQ(C16,$C16:$L16,0)</f>
        <v>8</v>
      </c>
      <c r="D40" s="497">
        <f t="shared" si="33"/>
        <v>9</v>
      </c>
      <c r="E40" s="497">
        <f t="shared" si="33"/>
        <v>6</v>
      </c>
      <c r="F40" s="497">
        <f t="shared" si="33"/>
        <v>9</v>
      </c>
      <c r="G40" s="497">
        <f t="shared" si="33"/>
        <v>4</v>
      </c>
      <c r="H40" s="497">
        <f t="shared" si="33"/>
        <v>4</v>
      </c>
      <c r="I40" s="497">
        <f t="shared" si="33"/>
        <v>2</v>
      </c>
      <c r="J40" s="497">
        <f t="shared" si="33"/>
        <v>2</v>
      </c>
      <c r="K40" s="497">
        <f t="shared" si="33"/>
        <v>1</v>
      </c>
      <c r="L40" s="497">
        <f t="shared" si="33"/>
        <v>6</v>
      </c>
      <c r="AC40" s="346" t="s">
        <v>300</v>
      </c>
      <c r="AD40" s="365" t="s">
        <v>117</v>
      </c>
      <c r="AE40" s="365" t="s">
        <v>307</v>
      </c>
      <c r="AF40" s="13">
        <v>3.0</v>
      </c>
      <c r="AG40" s="13">
        <v>1.0</v>
      </c>
      <c r="AH40" s="13" t="str">
        <f t="array" ref="AH40">IFERROR(INDEX(C$2:N$2, SMALL(IF(C$31:N$31=AG40, COLUMN(C$2:N$2)-COLUMN(C$2)+1), AF40)), "-")</f>
        <v>-</v>
      </c>
      <c r="AI40" s="13">
        <v>6.0</v>
      </c>
    </row>
    <row r="41" ht="15.75" customHeight="1">
      <c r="A41" s="496" t="str">
        <f t="shared" si="17"/>
        <v>HC</v>
      </c>
      <c r="B41" s="373" t="str">
        <f t="shared" si="20"/>
        <v>Average</v>
      </c>
      <c r="C41" s="497">
        <f t="shared" ref="C41:L41" si="34">_xlfn.RANK.EQ(C17,$C17:$L17,0)</f>
        <v>2</v>
      </c>
      <c r="D41" s="497">
        <f t="shared" si="34"/>
        <v>7</v>
      </c>
      <c r="E41" s="497">
        <f t="shared" si="34"/>
        <v>1</v>
      </c>
      <c r="F41" s="497">
        <f t="shared" si="34"/>
        <v>10</v>
      </c>
      <c r="G41" s="497">
        <f t="shared" si="34"/>
        <v>8</v>
      </c>
      <c r="H41" s="497">
        <f t="shared" si="34"/>
        <v>5</v>
      </c>
      <c r="I41" s="497">
        <f t="shared" si="34"/>
        <v>9</v>
      </c>
      <c r="J41" s="497">
        <f t="shared" si="34"/>
        <v>4</v>
      </c>
      <c r="K41" s="497">
        <f t="shared" si="34"/>
        <v>3</v>
      </c>
      <c r="L41" s="497">
        <f t="shared" si="34"/>
        <v>6</v>
      </c>
      <c r="AC41" s="346" t="s">
        <v>300</v>
      </c>
      <c r="AD41" s="365" t="s">
        <v>117</v>
      </c>
      <c r="AE41" s="365" t="s">
        <v>307</v>
      </c>
      <c r="AF41" s="13">
        <v>1.0</v>
      </c>
      <c r="AG41" s="13">
        <v>2.0</v>
      </c>
      <c r="AH41" s="13" t="str">
        <f t="array" ref="AH41">IFERROR(INDEX(C$2:N$2, SMALL(IF(C$31:N$31=AG41, COLUMN(C$2:N$2)-COLUMN(C$2)+1), AF41)), "-")</f>
        <v>METAMOOKDAWGS</v>
      </c>
      <c r="AI41" s="13">
        <v>3.0</v>
      </c>
    </row>
    <row r="42" ht="15.75" customHeight="1">
      <c r="A42" s="496" t="str">
        <f t="shared" si="17"/>
        <v>HC</v>
      </c>
      <c r="B42" s="381" t="str">
        <f t="shared" si="20"/>
        <v>Highest Score</v>
      </c>
      <c r="C42" s="497">
        <f t="shared" ref="C42:L42" si="35">_xlfn.RANK.EQ(C18,$C18:$L18,0)</f>
        <v>6</v>
      </c>
      <c r="D42" s="497">
        <f t="shared" si="35"/>
        <v>3</v>
      </c>
      <c r="E42" s="497">
        <f t="shared" si="35"/>
        <v>2</v>
      </c>
      <c r="F42" s="497">
        <f t="shared" si="35"/>
        <v>9</v>
      </c>
      <c r="G42" s="497">
        <f t="shared" si="35"/>
        <v>4</v>
      </c>
      <c r="H42" s="497">
        <f t="shared" si="35"/>
        <v>9</v>
      </c>
      <c r="I42" s="497">
        <f t="shared" si="35"/>
        <v>8</v>
      </c>
      <c r="J42" s="497">
        <f t="shared" si="35"/>
        <v>1</v>
      </c>
      <c r="K42" s="497">
        <f t="shared" si="35"/>
        <v>4</v>
      </c>
      <c r="L42" s="497">
        <f t="shared" si="35"/>
        <v>7</v>
      </c>
      <c r="AC42" s="346" t="s">
        <v>300</v>
      </c>
      <c r="AD42" s="365" t="s">
        <v>117</v>
      </c>
      <c r="AE42" s="365" t="s">
        <v>307</v>
      </c>
      <c r="AF42" s="13">
        <v>2.0</v>
      </c>
      <c r="AG42" s="13">
        <v>2.0</v>
      </c>
      <c r="AH42" s="13" t="str">
        <f t="array" ref="AH42">IFERROR(INDEX(C$2:N$2, SMALL(IF(C$31:N$31=AG42, COLUMN(C$2:N$2)-COLUMN(C$2)+1), AF42)), "-")</f>
        <v>-</v>
      </c>
      <c r="AI42" s="13">
        <v>3.0</v>
      </c>
    </row>
    <row r="43" ht="15.75" customHeight="1">
      <c r="A43" s="496" t="str">
        <f t="shared" si="17"/>
        <v>MVP</v>
      </c>
      <c r="B43" s="463" t="str">
        <f t="shared" si="20"/>
        <v>Highest Score</v>
      </c>
      <c r="C43" s="497">
        <f t="shared" ref="C43:L43" si="36">_xlfn.RANK.EQ(C19,$C19:$L19,0)</f>
        <v>1</v>
      </c>
      <c r="D43" s="497">
        <f t="shared" si="36"/>
        <v>6</v>
      </c>
      <c r="E43" s="497">
        <f t="shared" si="36"/>
        <v>2</v>
      </c>
      <c r="F43" s="497">
        <f t="shared" si="36"/>
        <v>9</v>
      </c>
      <c r="G43" s="497">
        <f t="shared" si="36"/>
        <v>7</v>
      </c>
      <c r="H43" s="497">
        <f t="shared" si="36"/>
        <v>3</v>
      </c>
      <c r="I43" s="497">
        <f t="shared" si="36"/>
        <v>10</v>
      </c>
      <c r="J43" s="497">
        <f t="shared" si="36"/>
        <v>5</v>
      </c>
      <c r="K43" s="497">
        <f t="shared" si="36"/>
        <v>8</v>
      </c>
      <c r="L43" s="497">
        <f t="shared" si="36"/>
        <v>4</v>
      </c>
      <c r="AC43" s="346" t="s">
        <v>300</v>
      </c>
      <c r="AD43" s="365" t="s">
        <v>117</v>
      </c>
      <c r="AE43" s="365" t="s">
        <v>307</v>
      </c>
      <c r="AF43" s="13">
        <v>3.0</v>
      </c>
      <c r="AG43" s="13">
        <v>2.0</v>
      </c>
      <c r="AH43" s="13" t="str">
        <f t="array" ref="AH43">IFERROR(INDEX(C$2:N$2, SMALL(IF(C$31:N$31=AG43, COLUMN(C$2:N$2)-COLUMN(C$2)+1), AF43)), "-")</f>
        <v>-</v>
      </c>
      <c r="AI43" s="13">
        <v>3.0</v>
      </c>
    </row>
    <row r="44" ht="15.75" customHeight="1">
      <c r="A44" s="496" t="str">
        <f t="shared" si="17"/>
        <v>TOTAL SCORE</v>
      </c>
      <c r="B44" s="373" t="str">
        <f t="shared" si="20"/>
        <v>Average</v>
      </c>
      <c r="C44" s="497">
        <f t="shared" ref="C44:L44" si="37">_xlfn.RANK.EQ(C20,$C20:$L20,0)</f>
        <v>3</v>
      </c>
      <c r="D44" s="497">
        <f t="shared" si="37"/>
        <v>6</v>
      </c>
      <c r="E44" s="497">
        <f t="shared" si="37"/>
        <v>1</v>
      </c>
      <c r="F44" s="497">
        <f t="shared" si="37"/>
        <v>10</v>
      </c>
      <c r="G44" s="497">
        <f t="shared" si="37"/>
        <v>9</v>
      </c>
      <c r="H44" s="497">
        <f t="shared" si="37"/>
        <v>2</v>
      </c>
      <c r="I44" s="497">
        <f t="shared" si="37"/>
        <v>5</v>
      </c>
      <c r="J44" s="497">
        <f t="shared" si="37"/>
        <v>7</v>
      </c>
      <c r="K44" s="497">
        <f t="shared" si="37"/>
        <v>4</v>
      </c>
      <c r="L44" s="497">
        <f t="shared" si="37"/>
        <v>8</v>
      </c>
      <c r="AC44" s="346" t="s">
        <v>300</v>
      </c>
      <c r="AD44" s="365" t="s">
        <v>117</v>
      </c>
      <c r="AE44" s="365" t="s">
        <v>307</v>
      </c>
      <c r="AF44" s="13">
        <v>1.0</v>
      </c>
      <c r="AG44" s="13">
        <v>3.0</v>
      </c>
      <c r="AH44" s="13" t="str">
        <f t="array" ref="AH44">IFERROR(INDEX(C$2:N$2, SMALL(IF(C$31:N$31=AG44, COLUMN(C$2:N$2)-COLUMN(C$2)+1), AF44)), "-")</f>
        <v>MUTTS</v>
      </c>
      <c r="AI44" s="13">
        <v>1.5</v>
      </c>
    </row>
    <row r="45" ht="15.75" customHeight="1">
      <c r="A45" s="496" t="str">
        <f t="shared" si="17"/>
        <v>TOTAL SCORE</v>
      </c>
      <c r="B45" s="477" t="str">
        <f t="shared" si="20"/>
        <v>Highest Score</v>
      </c>
      <c r="C45" s="497">
        <f t="shared" ref="C45:L45" si="38">_xlfn.RANK.EQ(C21,$C21:$L21,0)</f>
        <v>1</v>
      </c>
      <c r="D45" s="497">
        <f t="shared" si="38"/>
        <v>5</v>
      </c>
      <c r="E45" s="497">
        <f t="shared" si="38"/>
        <v>6</v>
      </c>
      <c r="F45" s="497">
        <f t="shared" si="38"/>
        <v>10</v>
      </c>
      <c r="G45" s="497">
        <f t="shared" si="38"/>
        <v>8</v>
      </c>
      <c r="H45" s="497">
        <f t="shared" si="38"/>
        <v>3</v>
      </c>
      <c r="I45" s="497">
        <f t="shared" si="38"/>
        <v>4</v>
      </c>
      <c r="J45" s="497">
        <f t="shared" si="38"/>
        <v>9</v>
      </c>
      <c r="K45" s="497">
        <f t="shared" si="38"/>
        <v>2</v>
      </c>
      <c r="L45" s="497">
        <f t="shared" si="38"/>
        <v>7</v>
      </c>
      <c r="AC45" s="346" t="s">
        <v>300</v>
      </c>
      <c r="AD45" s="365" t="s">
        <v>117</v>
      </c>
      <c r="AE45" s="365" t="s">
        <v>307</v>
      </c>
      <c r="AF45" s="13">
        <v>2.0</v>
      </c>
      <c r="AG45" s="13">
        <v>3.0</v>
      </c>
      <c r="AH45" s="13" t="str">
        <f t="array" ref="AH45">IFERROR(INDEX(C$2:N$2, SMALL(IF(C$31:N$31=AG45, COLUMN(C$2:N$2)-COLUMN(C$2)+1), AF45)), "-")</f>
        <v>-</v>
      </c>
      <c r="AI45" s="13">
        <v>1.5</v>
      </c>
    </row>
    <row r="46" ht="15.75" customHeight="1">
      <c r="A46" s="496" t="str">
        <f t="shared" si="17"/>
        <v>TOTAL SCORE</v>
      </c>
      <c r="B46" s="480" t="str">
        <f t="shared" si="20"/>
        <v>Total Thru Season</v>
      </c>
      <c r="C46" s="497">
        <f t="shared" ref="C46:L46" si="39">_xlfn.RANK.EQ(C22,$C22:$L22,0)</f>
        <v>3</v>
      </c>
      <c r="D46" s="497">
        <f t="shared" si="39"/>
        <v>6</v>
      </c>
      <c r="E46" s="497">
        <f t="shared" si="39"/>
        <v>1</v>
      </c>
      <c r="F46" s="497">
        <f t="shared" si="39"/>
        <v>10</v>
      </c>
      <c r="G46" s="497">
        <f t="shared" si="39"/>
        <v>9</v>
      </c>
      <c r="H46" s="497">
        <f t="shared" si="39"/>
        <v>2</v>
      </c>
      <c r="I46" s="497">
        <f t="shared" si="39"/>
        <v>5</v>
      </c>
      <c r="J46" s="497">
        <f t="shared" si="39"/>
        <v>7</v>
      </c>
      <c r="K46" s="497">
        <f t="shared" si="39"/>
        <v>4</v>
      </c>
      <c r="L46" s="497">
        <f t="shared" si="39"/>
        <v>8</v>
      </c>
      <c r="AC46" s="346" t="s">
        <v>300</v>
      </c>
      <c r="AD46" s="365" t="s">
        <v>117</v>
      </c>
      <c r="AE46" s="365" t="s">
        <v>307</v>
      </c>
      <c r="AF46" s="13">
        <v>3.0</v>
      </c>
      <c r="AG46" s="13">
        <v>3.0</v>
      </c>
      <c r="AH46" s="13" t="str">
        <f t="array" ref="AH46">IFERROR(INDEX(C$2:N$2, SMALL(IF(C$31:N$31=AG46, COLUMN(C$2:N$2)-COLUMN(C$2)+1), AF46)), "-")</f>
        <v>-</v>
      </c>
      <c r="AI46" s="13">
        <v>1.5</v>
      </c>
    </row>
    <row r="47" ht="15.75" customHeight="1">
      <c r="A47" s="462" t="s">
        <v>430</v>
      </c>
      <c r="B47" s="507" t="s">
        <v>431</v>
      </c>
      <c r="C47" s="508">
        <f>'All-Stars'!$BB$3</f>
        <v>10</v>
      </c>
      <c r="D47" s="508">
        <f>'All-Stars'!$BB$4</f>
        <v>6</v>
      </c>
      <c r="E47" s="508">
        <f>'All-Stars'!$BB$5</f>
        <v>1</v>
      </c>
      <c r="F47" s="508">
        <f>'All-Stars'!$BB$6</f>
        <v>3</v>
      </c>
      <c r="G47" s="508">
        <f>'All-Stars'!$BB$12</f>
        <v>3</v>
      </c>
      <c r="H47" s="508">
        <f>'All-Stars'!$BB$7</f>
        <v>8</v>
      </c>
      <c r="I47" s="508">
        <f>'All-Stars'!$BB$8</f>
        <v>3</v>
      </c>
      <c r="J47" s="508">
        <f>'All-Stars'!$BB$9</f>
        <v>2</v>
      </c>
      <c r="K47" s="508">
        <f>'All-Stars'!$BB$10</f>
        <v>6</v>
      </c>
      <c r="L47" s="508">
        <f>'All-Stars'!$BB$11</f>
        <v>8</v>
      </c>
      <c r="AC47" s="346" t="s">
        <v>300</v>
      </c>
      <c r="AD47" s="428" t="s">
        <v>117</v>
      </c>
      <c r="AE47" s="428" t="s">
        <v>369</v>
      </c>
      <c r="AF47" s="13">
        <v>1.0</v>
      </c>
      <c r="AG47" s="13">
        <v>1.0</v>
      </c>
      <c r="AH47" s="13" t="str">
        <f t="array" ref="AH47">IFERROR(INDEX(C$2:N$2, SMALL(IF(C$32:N$32=AG47, COLUMN(C$2:N$2)-COLUMN(C$2)+1), AF47)), "-")</f>
        <v>MUTTS</v>
      </c>
      <c r="AI47" s="13">
        <v>4.0</v>
      </c>
    </row>
    <row r="48" ht="15.75" customHeight="1">
      <c r="A48" s="462" t="str">
        <f t="shared" ref="A48:A49" si="41">P4</f>
        <v>MOST TRADES</v>
      </c>
      <c r="B48" s="507" t="s">
        <v>431</v>
      </c>
      <c r="C48" s="508">
        <f t="shared" ref="C48:L48" si="40">_xlfn.RANK.EQ(Q4,$Q$4:$Z$4)</f>
        <v>1</v>
      </c>
      <c r="D48" s="508">
        <f t="shared" si="40"/>
        <v>2</v>
      </c>
      <c r="E48" s="508">
        <f t="shared" si="40"/>
        <v>2</v>
      </c>
      <c r="F48" s="508">
        <f t="shared" si="40"/>
        <v>5</v>
      </c>
      <c r="G48" s="508">
        <f t="shared" si="40"/>
        <v>5</v>
      </c>
      <c r="H48" s="508">
        <f t="shared" si="40"/>
        <v>2</v>
      </c>
      <c r="I48" s="508">
        <f t="shared" si="40"/>
        <v>5</v>
      </c>
      <c r="J48" s="508">
        <f t="shared" si="40"/>
        <v>5</v>
      </c>
      <c r="K48" s="508">
        <f t="shared" si="40"/>
        <v>5</v>
      </c>
      <c r="L48" s="508">
        <f t="shared" si="40"/>
        <v>5</v>
      </c>
      <c r="AC48" s="346" t="s">
        <v>300</v>
      </c>
      <c r="AD48" s="428" t="s">
        <v>117</v>
      </c>
      <c r="AE48" s="428" t="s">
        <v>369</v>
      </c>
      <c r="AF48" s="13">
        <v>2.0</v>
      </c>
      <c r="AG48" s="13">
        <v>1.0</v>
      </c>
      <c r="AH48" s="13" t="str">
        <f t="array" ref="AH48">IFERROR(INDEX(C$2:N$2, SMALL(IF(C$32:N$32=AG48, COLUMN(C$2:N$2)-COLUMN(C$2)+1), AF48)), "-")</f>
        <v>-</v>
      </c>
      <c r="AI48" s="13">
        <v>4.0</v>
      </c>
    </row>
    <row r="49" ht="15.75" customHeight="1">
      <c r="A49" s="462" t="str">
        <f t="shared" si="41"/>
        <v>WAIVER WIRE</v>
      </c>
      <c r="B49" s="507" t="s">
        <v>431</v>
      </c>
      <c r="C49" s="508">
        <f t="shared" ref="C49:L49" si="42">_xlfn.RANK.EQ(Q5,$Q$5:$Z$5)</f>
        <v>1</v>
      </c>
      <c r="D49" s="508">
        <f t="shared" si="42"/>
        <v>2</v>
      </c>
      <c r="E49" s="508">
        <f t="shared" si="42"/>
        <v>6</v>
      </c>
      <c r="F49" s="508">
        <f t="shared" si="42"/>
        <v>5</v>
      </c>
      <c r="G49" s="508">
        <f t="shared" si="42"/>
        <v>9</v>
      </c>
      <c r="H49" s="508">
        <f t="shared" si="42"/>
        <v>4</v>
      </c>
      <c r="I49" s="508">
        <f t="shared" si="42"/>
        <v>10</v>
      </c>
      <c r="J49" s="508">
        <f t="shared" si="42"/>
        <v>3</v>
      </c>
      <c r="K49" s="508">
        <f t="shared" si="42"/>
        <v>6</v>
      </c>
      <c r="L49" s="508">
        <f t="shared" si="42"/>
        <v>8</v>
      </c>
      <c r="AC49" s="346" t="s">
        <v>300</v>
      </c>
      <c r="AD49" s="428" t="s">
        <v>117</v>
      </c>
      <c r="AE49" s="428" t="s">
        <v>369</v>
      </c>
      <c r="AF49" s="13">
        <v>3.0</v>
      </c>
      <c r="AG49" s="13">
        <v>1.0</v>
      </c>
      <c r="AH49" s="13" t="str">
        <f t="array" ref="AH49">IFERROR(INDEX(C$2:N$2, SMALL(IF(C$32:N$32=AG49, COLUMN(C$2:N$2)-COLUMN(C$2)+1), AF49)), "-")</f>
        <v>-</v>
      </c>
      <c r="AI49" s="13">
        <v>4.0</v>
      </c>
    </row>
    <row r="50" ht="15.75" customHeight="1">
      <c r="A50" s="496" t="s">
        <v>343</v>
      </c>
      <c r="B50" s="510" t="s">
        <v>432</v>
      </c>
      <c r="C50" s="511">
        <f t="shared" ref="C50:L50" si="43">_xlfn.RANK.EQ(Q8,$Q$8:$Z$8)</f>
        <v>4</v>
      </c>
      <c r="D50" s="511">
        <f t="shared" si="43"/>
        <v>8</v>
      </c>
      <c r="E50" s="511">
        <f t="shared" si="43"/>
        <v>3</v>
      </c>
      <c r="F50" s="511">
        <f t="shared" si="43"/>
        <v>9</v>
      </c>
      <c r="G50" s="511">
        <f t="shared" si="43"/>
        <v>4</v>
      </c>
      <c r="H50" s="511">
        <f t="shared" si="43"/>
        <v>6</v>
      </c>
      <c r="I50" s="511">
        <f t="shared" si="43"/>
        <v>9</v>
      </c>
      <c r="J50" s="511">
        <f t="shared" si="43"/>
        <v>1</v>
      </c>
      <c r="K50" s="511">
        <f t="shared" si="43"/>
        <v>2</v>
      </c>
      <c r="L50" s="511">
        <f t="shared" si="43"/>
        <v>6</v>
      </c>
      <c r="AC50" s="346" t="s">
        <v>300</v>
      </c>
      <c r="AD50" s="428" t="s">
        <v>117</v>
      </c>
      <c r="AE50" s="428" t="s">
        <v>369</v>
      </c>
      <c r="AF50" s="13">
        <v>1.0</v>
      </c>
      <c r="AG50" s="13">
        <v>2.0</v>
      </c>
      <c r="AH50" s="13" t="str">
        <f t="array" ref="AH50">IFERROR(INDEX(C$2:N$2, SMALL(IF(C$32:N$32=AG50, COLUMN(C$2:N$2)-COLUMN(C$2)+1), AF50)), "-")</f>
        <v>SAVAGES</v>
      </c>
      <c r="AI50" s="13">
        <v>2.0</v>
      </c>
    </row>
    <row r="51" ht="15.75" customHeight="1">
      <c r="A51" s="462" t="s">
        <v>344</v>
      </c>
      <c r="B51" s="507" t="s">
        <v>432</v>
      </c>
      <c r="C51" s="512">
        <f t="shared" ref="C51:L51" si="44">_xlfn.RANK.EQ(Q9,$Q$9:$Z$9,1)</f>
        <v>6</v>
      </c>
      <c r="D51" s="512">
        <f t="shared" si="44"/>
        <v>3</v>
      </c>
      <c r="E51" s="512">
        <f t="shared" si="44"/>
        <v>2</v>
      </c>
      <c r="F51" s="512">
        <f t="shared" si="44"/>
        <v>6</v>
      </c>
      <c r="G51" s="512">
        <f t="shared" si="44"/>
        <v>9</v>
      </c>
      <c r="H51" s="512">
        <f t="shared" si="44"/>
        <v>5</v>
      </c>
      <c r="I51" s="512">
        <f t="shared" si="44"/>
        <v>9</v>
      </c>
      <c r="J51" s="512">
        <f t="shared" si="44"/>
        <v>1</v>
      </c>
      <c r="K51" s="512">
        <f t="shared" si="44"/>
        <v>4</v>
      </c>
      <c r="L51" s="512">
        <f t="shared" si="44"/>
        <v>8</v>
      </c>
      <c r="AC51" s="346" t="s">
        <v>300</v>
      </c>
      <c r="AD51" s="428" t="s">
        <v>117</v>
      </c>
      <c r="AE51" s="428" t="s">
        <v>369</v>
      </c>
      <c r="AF51" s="13">
        <v>2.0</v>
      </c>
      <c r="AG51" s="13">
        <v>2.0</v>
      </c>
      <c r="AH51" s="13" t="str">
        <f t="array" ref="AH51">IFERROR(INDEX(C$2:N$2, SMALL(IF(C$32:N$32=AG51, COLUMN(C$2:N$2)-COLUMN(C$2)+1), AF51)), "-")</f>
        <v>-</v>
      </c>
      <c r="AI51" s="13">
        <v>2.0</v>
      </c>
    </row>
    <row r="52" ht="15.75" customHeight="1">
      <c r="A52" s="462" t="s">
        <v>351</v>
      </c>
      <c r="B52" s="507" t="s">
        <v>439</v>
      </c>
      <c r="C52" s="512">
        <f t="shared" ref="C52:L52" si="45">_xlfn.RANK.EQ(Q10,$Q$10:$Z$10,0)</f>
        <v>3</v>
      </c>
      <c r="D52" s="512">
        <f t="shared" si="45"/>
        <v>5</v>
      </c>
      <c r="E52" s="512">
        <f t="shared" si="45"/>
        <v>1</v>
      </c>
      <c r="F52" s="512">
        <f t="shared" si="45"/>
        <v>5</v>
      </c>
      <c r="G52" s="512">
        <f t="shared" si="45"/>
        <v>1</v>
      </c>
      <c r="H52" s="512">
        <f t="shared" si="45"/>
        <v>4</v>
      </c>
      <c r="I52" s="512">
        <f t="shared" si="45"/>
        <v>5</v>
      </c>
      <c r="J52" s="512">
        <f t="shared" si="45"/>
        <v>5</v>
      </c>
      <c r="K52" s="512">
        <f t="shared" si="45"/>
        <v>10</v>
      </c>
      <c r="L52" s="512">
        <f t="shared" si="45"/>
        <v>5</v>
      </c>
      <c r="AC52" s="346" t="s">
        <v>300</v>
      </c>
      <c r="AD52" s="428" t="s">
        <v>117</v>
      </c>
      <c r="AE52" s="428" t="s">
        <v>369</v>
      </c>
      <c r="AF52" s="13">
        <v>3.0</v>
      </c>
      <c r="AG52" s="13">
        <v>2.0</v>
      </c>
      <c r="AH52" s="13" t="str">
        <f t="array" ref="AH52">IFERROR(INDEX(C$2:N$2, SMALL(IF(C$32:N$32=AG52, COLUMN(C$2:N$2)-COLUMN(C$2)+1), AF52)), "-")</f>
        <v>-</v>
      </c>
      <c r="AI52" s="13">
        <v>2.0</v>
      </c>
    </row>
    <row r="53" ht="15.75" customHeight="1">
      <c r="A53" s="462" t="s">
        <v>366</v>
      </c>
      <c r="B53" s="510" t="s">
        <v>439</v>
      </c>
      <c r="C53" s="512">
        <f t="shared" ref="C53:L53" si="46">_xlfn.RANK.EQ(Q11,$Q11:$Z11,0)</f>
        <v>3</v>
      </c>
      <c r="D53" s="512">
        <f t="shared" si="46"/>
        <v>6</v>
      </c>
      <c r="E53" s="512">
        <f t="shared" si="46"/>
        <v>6</v>
      </c>
      <c r="F53" s="512">
        <f t="shared" si="46"/>
        <v>5</v>
      </c>
      <c r="G53" s="512">
        <f t="shared" si="46"/>
        <v>1</v>
      </c>
      <c r="H53" s="512">
        <f t="shared" si="46"/>
        <v>6</v>
      </c>
      <c r="I53" s="512">
        <f t="shared" si="46"/>
        <v>3</v>
      </c>
      <c r="J53" s="512">
        <f t="shared" si="46"/>
        <v>10</v>
      </c>
      <c r="K53" s="512">
        <f t="shared" si="46"/>
        <v>6</v>
      </c>
      <c r="L53" s="512">
        <f t="shared" si="46"/>
        <v>1</v>
      </c>
      <c r="AC53" s="346" t="s">
        <v>300</v>
      </c>
      <c r="AD53" s="428" t="s">
        <v>117</v>
      </c>
      <c r="AE53" s="428" t="s">
        <v>369</v>
      </c>
      <c r="AF53" s="13">
        <v>1.0</v>
      </c>
      <c r="AG53" s="13">
        <v>3.0</v>
      </c>
      <c r="AH53" s="13" t="str">
        <f t="array" ref="AH53">IFERROR(INDEX(C$2:N$2, SMALL(IF(C$32:N$32=AG53, COLUMN(C$2:N$2)-COLUMN(C$2)+1), AF53)), "-")</f>
        <v>EAGLES</v>
      </c>
      <c r="AI53" s="13">
        <v>1.0</v>
      </c>
    </row>
    <row r="54" ht="15.75" customHeight="1">
      <c r="A54" s="462" t="s">
        <v>372</v>
      </c>
      <c r="B54" s="510" t="s">
        <v>432</v>
      </c>
      <c r="C54" s="512">
        <f t="shared" ref="C54:L54" si="47">_xlfn.RANK.EQ(Q12,$Q12:$Z12,0)</f>
        <v>2</v>
      </c>
      <c r="D54" s="512">
        <f t="shared" si="47"/>
        <v>4</v>
      </c>
      <c r="E54" s="512">
        <f t="shared" si="47"/>
        <v>1</v>
      </c>
      <c r="F54" s="512">
        <f t="shared" si="47"/>
        <v>8</v>
      </c>
      <c r="G54" s="512">
        <f t="shared" si="47"/>
        <v>8</v>
      </c>
      <c r="H54" s="512">
        <f t="shared" si="47"/>
        <v>6</v>
      </c>
      <c r="I54" s="512">
        <f t="shared" si="47"/>
        <v>10</v>
      </c>
      <c r="J54" s="512">
        <f t="shared" si="47"/>
        <v>2</v>
      </c>
      <c r="K54" s="512">
        <f t="shared" si="47"/>
        <v>4</v>
      </c>
      <c r="L54" s="512">
        <f t="shared" si="47"/>
        <v>6</v>
      </c>
      <c r="AC54" s="346" t="s">
        <v>300</v>
      </c>
      <c r="AD54" s="428" t="s">
        <v>117</v>
      </c>
      <c r="AE54" s="428" t="s">
        <v>369</v>
      </c>
      <c r="AF54" s="13">
        <v>2.0</v>
      </c>
      <c r="AG54" s="13">
        <v>3.0</v>
      </c>
      <c r="AH54" s="13" t="str">
        <f t="array" ref="AH54">IFERROR(INDEX(C$2:N$2, SMALL(IF(C$32:N$32=AG54, COLUMN(C$2:N$2)-COLUMN(C$2)+1), AF54)), "-")</f>
        <v>-</v>
      </c>
      <c r="AI54" s="13">
        <v>1.0</v>
      </c>
    </row>
    <row r="55" ht="15.75" customHeight="1">
      <c r="A55" s="462" t="s">
        <v>450</v>
      </c>
      <c r="B55" s="510" t="s">
        <v>432</v>
      </c>
      <c r="C55" s="512">
        <f t="shared" ref="C55:G55" si="48">_xlfn.RANK.EQ(Q12,$Q12:$U12,0)</f>
        <v>2</v>
      </c>
      <c r="D55" s="512">
        <f t="shared" si="48"/>
        <v>3</v>
      </c>
      <c r="E55" s="512">
        <f t="shared" si="48"/>
        <v>1</v>
      </c>
      <c r="F55" s="512">
        <f t="shared" si="48"/>
        <v>4</v>
      </c>
      <c r="G55" s="512">
        <f t="shared" si="48"/>
        <v>4</v>
      </c>
      <c r="H55" s="13" t="s">
        <v>452</v>
      </c>
      <c r="I55" s="13" t="s">
        <v>452</v>
      </c>
      <c r="J55" s="13" t="s">
        <v>452</v>
      </c>
      <c r="K55" s="13" t="s">
        <v>452</v>
      </c>
      <c r="L55" s="13" t="s">
        <v>452</v>
      </c>
      <c r="AC55" s="346" t="s">
        <v>300</v>
      </c>
      <c r="AD55" s="428" t="s">
        <v>117</v>
      </c>
      <c r="AE55" s="428" t="s">
        <v>369</v>
      </c>
      <c r="AF55" s="13">
        <v>3.0</v>
      </c>
      <c r="AG55" s="13">
        <v>3.0</v>
      </c>
      <c r="AH55" s="13" t="str">
        <f t="array" ref="AH55">IFERROR(INDEX(C$2:N$2, SMALL(IF(C$32:N$32=AG55, COLUMN(C$2:N$2)-COLUMN(C$2)+1), AF55)), "-")</f>
        <v>-</v>
      </c>
      <c r="AI55" s="13">
        <v>1.0</v>
      </c>
    </row>
    <row r="56" ht="15.75" customHeight="1">
      <c r="A56" s="462" t="s">
        <v>457</v>
      </c>
      <c r="B56" s="510" t="s">
        <v>432</v>
      </c>
      <c r="C56" s="13" t="s">
        <v>452</v>
      </c>
      <c r="D56" s="13" t="s">
        <v>452</v>
      </c>
      <c r="E56" s="13" t="s">
        <v>452</v>
      </c>
      <c r="F56" s="13" t="s">
        <v>452</v>
      </c>
      <c r="G56" s="13" t="s">
        <v>452</v>
      </c>
      <c r="H56" s="512">
        <f t="shared" ref="H56:L56" si="49">_xlfn.RANK.EQ(V12,$V12:$Z12,0)</f>
        <v>3</v>
      </c>
      <c r="I56" s="512">
        <f t="shared" si="49"/>
        <v>5</v>
      </c>
      <c r="J56" s="512">
        <f t="shared" si="49"/>
        <v>1</v>
      </c>
      <c r="K56" s="512">
        <f t="shared" si="49"/>
        <v>2</v>
      </c>
      <c r="L56" s="512">
        <f t="shared" si="49"/>
        <v>3</v>
      </c>
      <c r="AC56" s="346" t="s">
        <v>300</v>
      </c>
      <c r="AD56" s="471" t="s">
        <v>132</v>
      </c>
      <c r="AE56" s="471" t="s">
        <v>307</v>
      </c>
      <c r="AF56" s="13">
        <v>1.0</v>
      </c>
      <c r="AG56" s="13">
        <v>1.0</v>
      </c>
      <c r="AH56" s="13" t="str">
        <f t="array" ref="AH56">IFERROR(INDEX(C$2:N$2, SMALL(IF(C$33:N$33=AG56, COLUMN(C$2:N$2)-COLUMN(C$2)+1), AF56)), "-")</f>
        <v>SAVAGES</v>
      </c>
      <c r="AI56" s="13">
        <v>4.0</v>
      </c>
    </row>
    <row r="57" ht="15.75" customHeight="1">
      <c r="A57" s="462" t="s">
        <v>458</v>
      </c>
      <c r="B57" s="510" t="s">
        <v>432</v>
      </c>
      <c r="C57" s="512">
        <f t="shared" ref="C57:L57" si="50">_xlfn.RANK.EQ(Q13,$Q13:$Z13,1)</f>
        <v>2</v>
      </c>
      <c r="D57" s="512">
        <f t="shared" si="50"/>
        <v>8</v>
      </c>
      <c r="E57" s="512">
        <f t="shared" si="50"/>
        <v>1</v>
      </c>
      <c r="F57" s="512">
        <f t="shared" si="50"/>
        <v>8</v>
      </c>
      <c r="G57" s="512">
        <f t="shared" si="50"/>
        <v>2</v>
      </c>
      <c r="H57" s="512">
        <f t="shared" si="50"/>
        <v>6</v>
      </c>
      <c r="I57" s="512">
        <f t="shared" si="50"/>
        <v>8</v>
      </c>
      <c r="J57" s="512">
        <f t="shared" si="50"/>
        <v>2</v>
      </c>
      <c r="K57" s="512">
        <f t="shared" si="50"/>
        <v>2</v>
      </c>
      <c r="L57" s="512">
        <f t="shared" si="50"/>
        <v>6</v>
      </c>
      <c r="AC57" s="346" t="s">
        <v>300</v>
      </c>
      <c r="AD57" s="471" t="s">
        <v>132</v>
      </c>
      <c r="AE57" s="471" t="s">
        <v>307</v>
      </c>
      <c r="AF57" s="13">
        <v>2.0</v>
      </c>
      <c r="AG57" s="13">
        <v>1.0</v>
      </c>
      <c r="AH57" s="13" t="str">
        <f t="array" ref="AH57">IFERROR(INDEX(C$2:N$2, SMALL(IF(C$33:N$33=AG57, COLUMN(C$2:N$2)-COLUMN(C$2)+1), AF57)), "-")</f>
        <v>-</v>
      </c>
      <c r="AI57" s="13">
        <v>4.0</v>
      </c>
    </row>
    <row r="58" ht="15.75" customHeight="1">
      <c r="A58" s="462" t="s">
        <v>459</v>
      </c>
      <c r="B58" s="510" t="s">
        <v>432</v>
      </c>
      <c r="C58" s="512">
        <f t="shared" ref="C58:G58" si="51">_xlfn.RANK.EQ(Q13,$Q13:$U13,1)</f>
        <v>2</v>
      </c>
      <c r="D58" s="512">
        <f t="shared" si="51"/>
        <v>4</v>
      </c>
      <c r="E58" s="512">
        <f t="shared" si="51"/>
        <v>1</v>
      </c>
      <c r="F58" s="512">
        <f t="shared" si="51"/>
        <v>4</v>
      </c>
      <c r="G58" s="512">
        <f t="shared" si="51"/>
        <v>2</v>
      </c>
      <c r="H58" s="13" t="s">
        <v>452</v>
      </c>
      <c r="I58" s="13" t="s">
        <v>452</v>
      </c>
      <c r="J58" s="13" t="s">
        <v>452</v>
      </c>
      <c r="K58" s="13" t="s">
        <v>452</v>
      </c>
      <c r="L58" s="13" t="s">
        <v>452</v>
      </c>
      <c r="AC58" s="346" t="s">
        <v>300</v>
      </c>
      <c r="AD58" s="471" t="s">
        <v>132</v>
      </c>
      <c r="AE58" s="471" t="s">
        <v>307</v>
      </c>
      <c r="AF58" s="13">
        <v>3.0</v>
      </c>
      <c r="AG58" s="13">
        <v>1.0</v>
      </c>
      <c r="AH58" s="13" t="str">
        <f t="array" ref="AH58">IFERROR(INDEX(C$2:N$2, SMALL(IF(C$33:N$33=AG58, COLUMN(C$2:N$2)-COLUMN(C$2)+1), AF58)), "-")</f>
        <v>-</v>
      </c>
      <c r="AI58" s="13">
        <v>4.0</v>
      </c>
    </row>
    <row r="59" ht="15.75" customHeight="1">
      <c r="A59" s="462" t="s">
        <v>460</v>
      </c>
      <c r="B59" s="510" t="s">
        <v>432</v>
      </c>
      <c r="C59" s="13" t="s">
        <v>452</v>
      </c>
      <c r="D59" s="13" t="s">
        <v>452</v>
      </c>
      <c r="E59" s="13" t="s">
        <v>452</v>
      </c>
      <c r="F59" s="13" t="s">
        <v>452</v>
      </c>
      <c r="G59" s="13" t="s">
        <v>452</v>
      </c>
      <c r="H59" s="512">
        <f t="shared" ref="H59:L59" si="52">_xlfn.RANK.EQ(V13,$V13:$Z13,1)</f>
        <v>3</v>
      </c>
      <c r="I59" s="512">
        <f t="shared" si="52"/>
        <v>5</v>
      </c>
      <c r="J59" s="512">
        <f t="shared" si="52"/>
        <v>1</v>
      </c>
      <c r="K59" s="512">
        <f t="shared" si="52"/>
        <v>1</v>
      </c>
      <c r="L59" s="512">
        <f t="shared" si="52"/>
        <v>3</v>
      </c>
      <c r="AC59" s="346" t="s">
        <v>300</v>
      </c>
      <c r="AD59" s="471" t="s">
        <v>132</v>
      </c>
      <c r="AE59" s="471" t="s">
        <v>307</v>
      </c>
      <c r="AF59" s="13">
        <v>1.0</v>
      </c>
      <c r="AG59" s="13">
        <v>2.0</v>
      </c>
      <c r="AH59" s="13" t="str">
        <f t="array" ref="AH59">IFERROR(INDEX(C$2:N$2, SMALL(IF(C$33:N$33=AG59, COLUMN(C$2:N$2)-COLUMN(C$2)+1), AF59)), "-")</f>
        <v>YARDIES</v>
      </c>
      <c r="AI59" s="13">
        <v>2.0</v>
      </c>
    </row>
    <row r="60" ht="15.75" customHeight="1">
      <c r="A60" s="462" t="s">
        <v>461</v>
      </c>
      <c r="B60" s="510" t="s">
        <v>432</v>
      </c>
      <c r="C60" s="512">
        <f t="shared" ref="C60:L60" si="53">_xlfn.RANK.EQ(Q14,$Q14:$Z14,0)</f>
        <v>3</v>
      </c>
      <c r="D60" s="512">
        <f t="shared" si="53"/>
        <v>5</v>
      </c>
      <c r="E60" s="512">
        <f t="shared" si="53"/>
        <v>1</v>
      </c>
      <c r="F60" s="512">
        <f t="shared" si="53"/>
        <v>9</v>
      </c>
      <c r="G60" s="512">
        <f t="shared" si="53"/>
        <v>3</v>
      </c>
      <c r="H60" s="512">
        <f t="shared" si="53"/>
        <v>5</v>
      </c>
      <c r="I60" s="512">
        <f t="shared" si="53"/>
        <v>9</v>
      </c>
      <c r="J60" s="512">
        <f t="shared" si="53"/>
        <v>1</v>
      </c>
      <c r="K60" s="512">
        <f t="shared" si="53"/>
        <v>5</v>
      </c>
      <c r="L60" s="512">
        <f t="shared" si="53"/>
        <v>5</v>
      </c>
      <c r="AC60" s="346" t="s">
        <v>300</v>
      </c>
      <c r="AD60" s="471" t="s">
        <v>132</v>
      </c>
      <c r="AE60" s="471" t="s">
        <v>307</v>
      </c>
      <c r="AF60" s="13">
        <v>2.0</v>
      </c>
      <c r="AG60" s="13">
        <v>2.0</v>
      </c>
      <c r="AH60" s="13" t="str">
        <f t="array" ref="AH60">IFERROR(INDEX(C$2:N$2, SMALL(IF(C$33:N$33=AG60, COLUMN(C$2:N$2)-COLUMN(C$2)+1), AF60)), "-")</f>
        <v>-</v>
      </c>
      <c r="AI60" s="13">
        <v>2.0</v>
      </c>
    </row>
    <row r="61" ht="15.75" customHeight="1">
      <c r="A61" s="462" t="s">
        <v>462</v>
      </c>
      <c r="B61" s="510" t="s">
        <v>432</v>
      </c>
      <c r="C61" s="512">
        <f t="shared" ref="C61:G61" si="54">_xlfn.RANK.EQ(Q14,$Q14:$U14,0)</f>
        <v>2</v>
      </c>
      <c r="D61" s="512">
        <f t="shared" si="54"/>
        <v>4</v>
      </c>
      <c r="E61" s="512">
        <f t="shared" si="54"/>
        <v>1</v>
      </c>
      <c r="F61" s="512">
        <f t="shared" si="54"/>
        <v>5</v>
      </c>
      <c r="G61" s="512">
        <f t="shared" si="54"/>
        <v>2</v>
      </c>
      <c r="H61" s="13" t="s">
        <v>452</v>
      </c>
      <c r="I61" s="13" t="s">
        <v>452</v>
      </c>
      <c r="J61" s="13" t="s">
        <v>452</v>
      </c>
      <c r="K61" s="13" t="s">
        <v>452</v>
      </c>
      <c r="L61" s="13" t="s">
        <v>452</v>
      </c>
      <c r="AC61" s="346" t="s">
        <v>300</v>
      </c>
      <c r="AD61" s="471" t="s">
        <v>132</v>
      </c>
      <c r="AE61" s="471" t="s">
        <v>307</v>
      </c>
      <c r="AF61" s="13">
        <v>3.0</v>
      </c>
      <c r="AG61" s="13">
        <v>2.0</v>
      </c>
      <c r="AH61" s="13" t="str">
        <f t="array" ref="AH61">IFERROR(INDEX(C$2:N$2, SMALL(IF(C$33:N$33=AG61, COLUMN(C$2:N$2)-COLUMN(C$2)+1), AF61)), "-")</f>
        <v>-</v>
      </c>
      <c r="AI61" s="13">
        <v>2.0</v>
      </c>
    </row>
    <row r="62" ht="15.75" customHeight="1">
      <c r="A62" s="462" t="s">
        <v>463</v>
      </c>
      <c r="B62" s="510" t="s">
        <v>432</v>
      </c>
      <c r="C62" s="13" t="s">
        <v>452</v>
      </c>
      <c r="D62" s="13" t="s">
        <v>452</v>
      </c>
      <c r="E62" s="13" t="s">
        <v>452</v>
      </c>
      <c r="F62" s="13" t="s">
        <v>452</v>
      </c>
      <c r="G62" s="13" t="s">
        <v>452</v>
      </c>
      <c r="H62" s="512">
        <f t="shared" ref="H62:L62" si="55">_xlfn.RANK.EQ(V14,$V14:$Z14,0)</f>
        <v>2</v>
      </c>
      <c r="I62" s="512">
        <f t="shared" si="55"/>
        <v>5</v>
      </c>
      <c r="J62" s="512">
        <f t="shared" si="55"/>
        <v>1</v>
      </c>
      <c r="K62" s="512">
        <f t="shared" si="55"/>
        <v>2</v>
      </c>
      <c r="L62" s="512">
        <f t="shared" si="55"/>
        <v>2</v>
      </c>
      <c r="AC62" s="346" t="s">
        <v>300</v>
      </c>
      <c r="AD62" s="471" t="s">
        <v>132</v>
      </c>
      <c r="AE62" s="471" t="s">
        <v>307</v>
      </c>
      <c r="AF62" s="13">
        <v>1.0</v>
      </c>
      <c r="AG62" s="13">
        <v>3.0</v>
      </c>
      <c r="AH62" s="13" t="str">
        <f t="array" ref="AH62">IFERROR(INDEX(C$2:N$2, SMALL(IF(C$33:N$33=AG62, COLUMN(C$2:N$2)-COLUMN(C$2)+1), AF62)), "-")</f>
        <v>MUTTS</v>
      </c>
      <c r="AI62" s="13">
        <v>1.0</v>
      </c>
    </row>
    <row r="63" ht="15.75" customHeight="1">
      <c r="A63" s="462" t="s">
        <v>464</v>
      </c>
      <c r="B63" s="510" t="s">
        <v>432</v>
      </c>
      <c r="C63" s="512">
        <f t="shared" ref="C63:L63" si="56">_xlfn.RANK.EQ(Q15,$Q15:$Z15,1)</f>
        <v>3</v>
      </c>
      <c r="D63" s="512">
        <f t="shared" si="56"/>
        <v>2</v>
      </c>
      <c r="E63" s="512">
        <f t="shared" si="56"/>
        <v>1</v>
      </c>
      <c r="F63" s="512">
        <f t="shared" si="56"/>
        <v>5</v>
      </c>
      <c r="G63" s="512">
        <f t="shared" si="56"/>
        <v>10</v>
      </c>
      <c r="H63" s="512">
        <f t="shared" si="56"/>
        <v>6</v>
      </c>
      <c r="I63" s="512">
        <f t="shared" si="56"/>
        <v>6</v>
      </c>
      <c r="J63" s="512">
        <f t="shared" si="56"/>
        <v>3</v>
      </c>
      <c r="K63" s="512">
        <f t="shared" si="56"/>
        <v>6</v>
      </c>
      <c r="L63" s="512">
        <f t="shared" si="56"/>
        <v>6</v>
      </c>
      <c r="AC63" s="346" t="s">
        <v>300</v>
      </c>
      <c r="AD63" s="471" t="s">
        <v>132</v>
      </c>
      <c r="AE63" s="471" t="s">
        <v>307</v>
      </c>
      <c r="AF63" s="13">
        <v>2.0</v>
      </c>
      <c r="AG63" s="13">
        <v>3.0</v>
      </c>
      <c r="AH63" s="13" t="str">
        <f t="array" ref="AH63">IFERROR(INDEX(C$2:N$2, SMALL(IF(C$33:N$33=AG63, COLUMN(C$2:N$2)-COLUMN(C$2)+1), AF63)), "-")</f>
        <v>-</v>
      </c>
      <c r="AI63" s="13">
        <v>1.0</v>
      </c>
    </row>
    <row r="64" ht="15.75" customHeight="1">
      <c r="A64" s="462" t="s">
        <v>465</v>
      </c>
      <c r="B64" s="510" t="s">
        <v>432</v>
      </c>
      <c r="C64" s="512">
        <f t="shared" ref="C64:G64" si="57">_xlfn.RANK.EQ(Q15,$Q15:$U15,1)</f>
        <v>3</v>
      </c>
      <c r="D64" s="512">
        <f t="shared" si="57"/>
        <v>2</v>
      </c>
      <c r="E64" s="512">
        <f t="shared" si="57"/>
        <v>1</v>
      </c>
      <c r="F64" s="512">
        <f t="shared" si="57"/>
        <v>4</v>
      </c>
      <c r="G64" s="512">
        <f t="shared" si="57"/>
        <v>5</v>
      </c>
      <c r="H64" s="13" t="s">
        <v>452</v>
      </c>
      <c r="I64" s="13" t="s">
        <v>452</v>
      </c>
      <c r="J64" s="13" t="s">
        <v>452</v>
      </c>
      <c r="K64" s="13" t="s">
        <v>452</v>
      </c>
      <c r="L64" s="13" t="s">
        <v>452</v>
      </c>
      <c r="AC64" s="346" t="s">
        <v>300</v>
      </c>
      <c r="AD64" s="471" t="s">
        <v>132</v>
      </c>
      <c r="AE64" s="471" t="s">
        <v>307</v>
      </c>
      <c r="AF64" s="13">
        <v>3.0</v>
      </c>
      <c r="AG64" s="13">
        <v>3.0</v>
      </c>
      <c r="AH64" s="13" t="str">
        <f t="array" ref="AH64">IFERROR(INDEX(C$2:N$2, SMALL(IF(C$33:N$33=AG64, COLUMN(C$2:N$2)-COLUMN(C$2)+1), AF64)), "-")</f>
        <v>-</v>
      </c>
      <c r="AI64" s="13">
        <v>1.0</v>
      </c>
    </row>
    <row r="65" ht="15.75" customHeight="1">
      <c r="A65" s="462" t="s">
        <v>466</v>
      </c>
      <c r="B65" s="510" t="s">
        <v>432</v>
      </c>
      <c r="C65" s="13" t="s">
        <v>452</v>
      </c>
      <c r="D65" s="13" t="s">
        <v>452</v>
      </c>
      <c r="E65" s="13" t="s">
        <v>452</v>
      </c>
      <c r="F65" s="13" t="s">
        <v>452</v>
      </c>
      <c r="G65" s="13" t="s">
        <v>452</v>
      </c>
      <c r="H65" s="512">
        <f t="shared" ref="H65:L65" si="58">_xlfn.RANK.EQ(V15,$V15:$Z15,1)</f>
        <v>2</v>
      </c>
      <c r="I65" s="512">
        <f t="shared" si="58"/>
        <v>2</v>
      </c>
      <c r="J65" s="512">
        <f t="shared" si="58"/>
        <v>1</v>
      </c>
      <c r="K65" s="512">
        <f t="shared" si="58"/>
        <v>2</v>
      </c>
      <c r="L65" s="512">
        <f t="shared" si="58"/>
        <v>2</v>
      </c>
      <c r="AC65" s="346" t="s">
        <v>300</v>
      </c>
      <c r="AD65" s="498" t="s">
        <v>132</v>
      </c>
      <c r="AE65" s="498" t="s">
        <v>369</v>
      </c>
      <c r="AF65" s="13">
        <v>1.0</v>
      </c>
      <c r="AG65" s="13">
        <v>1.0</v>
      </c>
      <c r="AH65" s="13" t="str">
        <f t="array" ref="AH65">IFERROR(INDEX(C$2:N$2, SMALL(IF(C$34:N$34=AG65, COLUMN(C$2:N$2)-COLUMN(C$2)+1), AF65)), "-")</f>
        <v>YARDIES</v>
      </c>
      <c r="AI65" s="13">
        <v>2.0</v>
      </c>
    </row>
    <row r="66" ht="15.75" customHeight="1">
      <c r="A66" s="462" t="s">
        <v>309</v>
      </c>
      <c r="B66" s="510" t="s">
        <v>432</v>
      </c>
      <c r="C66" s="519" t="s">
        <v>38</v>
      </c>
      <c r="D66" s="512">
        <f t="shared" ref="D66:L66" si="59">_xlfn.RANK.EQ(R3,$Q3:$Z3,0)</f>
        <v>2</v>
      </c>
      <c r="E66" s="512">
        <f t="shared" si="59"/>
        <v>1</v>
      </c>
      <c r="F66" s="512">
        <f t="shared" si="59"/>
        <v>6</v>
      </c>
      <c r="G66" s="512">
        <f t="shared" si="59"/>
        <v>6</v>
      </c>
      <c r="H66" s="512">
        <f t="shared" si="59"/>
        <v>6</v>
      </c>
      <c r="I66" s="512">
        <f t="shared" si="59"/>
        <v>6</v>
      </c>
      <c r="J66" s="512">
        <f t="shared" si="59"/>
        <v>6</v>
      </c>
      <c r="K66" s="512">
        <f t="shared" si="59"/>
        <v>4</v>
      </c>
      <c r="L66" s="512">
        <f t="shared" si="59"/>
        <v>4</v>
      </c>
      <c r="AC66" s="346" t="s">
        <v>300</v>
      </c>
      <c r="AD66" s="498" t="s">
        <v>132</v>
      </c>
      <c r="AE66" s="498" t="s">
        <v>369</v>
      </c>
      <c r="AF66" s="13">
        <v>2.0</v>
      </c>
      <c r="AG66" s="13">
        <v>1.0</v>
      </c>
      <c r="AH66" s="13" t="str">
        <f t="array" ref="AH66">IFERROR(INDEX(C$2:N$2, SMALL(IF(C$34:N$34=AG66, COLUMN(C$2:N$2)-COLUMN(C$2)+1), AF66)), "-")</f>
        <v>-</v>
      </c>
      <c r="AI66" s="13">
        <v>2.0</v>
      </c>
    </row>
    <row r="67" ht="15.75" customHeight="1">
      <c r="A67" s="462" t="s">
        <v>468</v>
      </c>
      <c r="B67" s="510" t="s">
        <v>432</v>
      </c>
      <c r="C67" s="512">
        <f t="shared" ref="C67:G67" si="60">_xlfn.RANK.EQ(Q3,$Q3:$U3,0)</f>
        <v>2</v>
      </c>
      <c r="D67" s="512">
        <f t="shared" si="60"/>
        <v>2</v>
      </c>
      <c r="E67" s="512">
        <f t="shared" si="60"/>
        <v>1</v>
      </c>
      <c r="F67" s="512">
        <f t="shared" si="60"/>
        <v>4</v>
      </c>
      <c r="G67" s="512">
        <f t="shared" si="60"/>
        <v>4</v>
      </c>
      <c r="H67" s="13" t="s">
        <v>452</v>
      </c>
      <c r="I67" s="13" t="s">
        <v>452</v>
      </c>
      <c r="J67" s="13" t="s">
        <v>452</v>
      </c>
      <c r="K67" s="13" t="s">
        <v>452</v>
      </c>
      <c r="L67" s="13" t="s">
        <v>452</v>
      </c>
      <c r="AC67" s="346" t="s">
        <v>300</v>
      </c>
      <c r="AD67" s="498" t="s">
        <v>132</v>
      </c>
      <c r="AE67" s="498" t="s">
        <v>369</v>
      </c>
      <c r="AF67" s="13">
        <v>3.0</v>
      </c>
      <c r="AG67" s="13">
        <v>1.0</v>
      </c>
      <c r="AH67" s="13" t="str">
        <f t="array" ref="AH67">IFERROR(INDEX(C$2:N$2, SMALL(IF(C$34:N$34=AG67, COLUMN(C$2:N$2)-COLUMN(C$2)+1), AF67)), "-")</f>
        <v>-</v>
      </c>
      <c r="AI67" s="13">
        <v>2.0</v>
      </c>
    </row>
    <row r="68" ht="15.75" customHeight="1">
      <c r="A68" s="462" t="s">
        <v>469</v>
      </c>
      <c r="B68" s="510" t="s">
        <v>432</v>
      </c>
      <c r="C68" s="13" t="s">
        <v>452</v>
      </c>
      <c r="D68" s="13" t="s">
        <v>452</v>
      </c>
      <c r="E68" s="13" t="s">
        <v>452</v>
      </c>
      <c r="F68" s="13" t="s">
        <v>452</v>
      </c>
      <c r="G68" s="13" t="s">
        <v>452</v>
      </c>
      <c r="H68" s="512">
        <f t="shared" ref="H68:L68" si="61">_xlfn.RANK.EQ(V3,$V3:$Z3,0)</f>
        <v>3</v>
      </c>
      <c r="I68" s="512">
        <f t="shared" si="61"/>
        <v>3</v>
      </c>
      <c r="J68" s="512">
        <f t="shared" si="61"/>
        <v>3</v>
      </c>
      <c r="K68" s="512">
        <f t="shared" si="61"/>
        <v>1</v>
      </c>
      <c r="L68" s="512">
        <f t="shared" si="61"/>
        <v>1</v>
      </c>
      <c r="AC68" s="346" t="s">
        <v>300</v>
      </c>
      <c r="AD68" s="498" t="s">
        <v>132</v>
      </c>
      <c r="AE68" s="498" t="s">
        <v>369</v>
      </c>
      <c r="AF68" s="13">
        <v>1.0</v>
      </c>
      <c r="AG68" s="13">
        <v>2.0</v>
      </c>
      <c r="AH68" s="13" t="str">
        <f t="array" ref="AH68">IFERROR(INDEX(C$2:N$2, SMALL(IF(C$34:N$34=AG68, COLUMN(C$2:N$2)-COLUMN(C$2)+1), AF68)), "-")</f>
        <v>DECOUPES</v>
      </c>
      <c r="AI68" s="13">
        <v>1.0</v>
      </c>
    </row>
    <row r="69" ht="15.75" customHeight="1">
      <c r="A69" s="521" t="s">
        <v>378</v>
      </c>
      <c r="B69" s="510" t="s">
        <v>432</v>
      </c>
      <c r="C69" s="522">
        <f t="shared" ref="C69:L69" si="62">_xlfn.RANK.EQ(Q16,$Q16:$Z16,1)</f>
        <v>2</v>
      </c>
      <c r="D69" s="522">
        <f t="shared" si="62"/>
        <v>5</v>
      </c>
      <c r="E69" s="522">
        <f t="shared" si="62"/>
        <v>1</v>
      </c>
      <c r="F69" s="522">
        <f t="shared" si="62"/>
        <v>5</v>
      </c>
      <c r="G69" s="522">
        <f t="shared" si="62"/>
        <v>5</v>
      </c>
      <c r="H69" s="522">
        <f t="shared" si="62"/>
        <v>2</v>
      </c>
      <c r="I69" s="522">
        <f t="shared" si="62"/>
        <v>10</v>
      </c>
      <c r="J69" s="522">
        <f t="shared" si="62"/>
        <v>5</v>
      </c>
      <c r="K69" s="522">
        <f t="shared" si="62"/>
        <v>2</v>
      </c>
      <c r="L69" s="522">
        <f t="shared" si="62"/>
        <v>5</v>
      </c>
      <c r="AC69" s="346" t="s">
        <v>300</v>
      </c>
      <c r="AD69" s="498" t="s">
        <v>132</v>
      </c>
      <c r="AE69" s="498" t="s">
        <v>369</v>
      </c>
      <c r="AF69" s="13">
        <v>2.0</v>
      </c>
      <c r="AG69" s="13">
        <v>2.0</v>
      </c>
      <c r="AH69" s="13" t="str">
        <f t="array" ref="AH69">IFERROR(INDEX(C$2:N$2, SMALL(IF(C$34:N$34=AG69, COLUMN(C$2:N$2)-COLUMN(C$2)+1), AF69)), "-")</f>
        <v>-</v>
      </c>
      <c r="AI69" s="13">
        <v>1.0</v>
      </c>
    </row>
    <row r="70" ht="15.75" customHeight="1">
      <c r="A70" s="521" t="s">
        <v>476</v>
      </c>
      <c r="B70" s="510" t="s">
        <v>432</v>
      </c>
      <c r="C70" s="534">
        <f t="shared" ref="C70:G70" si="63">_xlfn.RANK.EQ(Q16,$Q16:$U16,1)</f>
        <v>2</v>
      </c>
      <c r="D70" s="534">
        <f t="shared" si="63"/>
        <v>3</v>
      </c>
      <c r="E70" s="534">
        <f t="shared" si="63"/>
        <v>1</v>
      </c>
      <c r="F70" s="534">
        <f t="shared" si="63"/>
        <v>3</v>
      </c>
      <c r="G70" s="534">
        <f t="shared" si="63"/>
        <v>3</v>
      </c>
      <c r="H70" s="540" t="s">
        <v>452</v>
      </c>
      <c r="I70" s="540" t="s">
        <v>452</v>
      </c>
      <c r="J70" s="540" t="s">
        <v>452</v>
      </c>
      <c r="K70" s="540" t="s">
        <v>452</v>
      </c>
      <c r="L70" s="540" t="s">
        <v>452</v>
      </c>
      <c r="AC70" s="346" t="s">
        <v>300</v>
      </c>
      <c r="AD70" s="498" t="s">
        <v>132</v>
      </c>
      <c r="AE70" s="498" t="s">
        <v>369</v>
      </c>
      <c r="AF70" s="13">
        <v>3.0</v>
      </c>
      <c r="AG70" s="13">
        <v>2.0</v>
      </c>
      <c r="AH70" s="13" t="str">
        <f t="array" ref="AH70">IFERROR(INDEX(C$2:N$2, SMALL(IF(C$34:N$34=AG70, COLUMN(C$2:N$2)-COLUMN(C$2)+1), AF70)), "-")</f>
        <v>-</v>
      </c>
      <c r="AI70" s="13">
        <v>1.0</v>
      </c>
    </row>
    <row r="71" ht="15.75" customHeight="1">
      <c r="A71" s="521" t="s">
        <v>483</v>
      </c>
      <c r="B71" s="510" t="s">
        <v>432</v>
      </c>
      <c r="C71" s="540" t="s">
        <v>452</v>
      </c>
      <c r="D71" s="540" t="s">
        <v>452</v>
      </c>
      <c r="E71" s="540" t="s">
        <v>452</v>
      </c>
      <c r="F71" s="540" t="s">
        <v>452</v>
      </c>
      <c r="G71" s="540" t="s">
        <v>452</v>
      </c>
      <c r="H71" s="534">
        <f t="shared" ref="H71:L71" si="64">_xlfn.RANK.EQ(V16,$V16:$Z16,1)</f>
        <v>1</v>
      </c>
      <c r="I71" s="534">
        <f t="shared" si="64"/>
        <v>5</v>
      </c>
      <c r="J71" s="534">
        <f t="shared" si="64"/>
        <v>3</v>
      </c>
      <c r="K71" s="534">
        <f t="shared" si="64"/>
        <v>1</v>
      </c>
      <c r="L71" s="534">
        <f t="shared" si="64"/>
        <v>3</v>
      </c>
      <c r="AC71" s="346" t="s">
        <v>300</v>
      </c>
      <c r="AD71" s="498" t="s">
        <v>132</v>
      </c>
      <c r="AE71" s="498" t="s">
        <v>369</v>
      </c>
      <c r="AF71" s="13">
        <v>1.0</v>
      </c>
      <c r="AG71" s="13">
        <v>3.0</v>
      </c>
      <c r="AH71" s="13" t="str">
        <f t="array" ref="AH71">IFERROR(INDEX(C$2:N$2, SMALL(IF(C$34:N$34=AG71, COLUMN(C$2:N$2)-COLUMN(C$2)+1), AF71)), "-")</f>
        <v>SAVAGES</v>
      </c>
      <c r="AI71" s="13">
        <v>0.5</v>
      </c>
    </row>
    <row r="72" ht="15.75" customHeight="1">
      <c r="A72" s="521" t="s">
        <v>379</v>
      </c>
      <c r="B72" s="510" t="s">
        <v>432</v>
      </c>
      <c r="C72" s="522">
        <f t="shared" ref="C72:L72" si="65">_xlfn.RANK.EQ(Q17,$Q17:$Z17,1)</f>
        <v>3</v>
      </c>
      <c r="D72" s="522">
        <f t="shared" si="65"/>
        <v>4</v>
      </c>
      <c r="E72" s="522">
        <f t="shared" si="65"/>
        <v>1</v>
      </c>
      <c r="F72" s="522">
        <f t="shared" si="65"/>
        <v>8</v>
      </c>
      <c r="G72" s="522">
        <f t="shared" si="65"/>
        <v>8</v>
      </c>
      <c r="H72" s="522">
        <f t="shared" si="65"/>
        <v>8</v>
      </c>
      <c r="I72" s="522">
        <f t="shared" si="65"/>
        <v>5</v>
      </c>
      <c r="J72" s="522">
        <f t="shared" si="65"/>
        <v>1</v>
      </c>
      <c r="K72" s="522">
        <f t="shared" si="65"/>
        <v>5</v>
      </c>
      <c r="L72" s="522">
        <f t="shared" si="65"/>
        <v>5</v>
      </c>
      <c r="AC72" s="346" t="s">
        <v>300</v>
      </c>
      <c r="AD72" s="498" t="s">
        <v>132</v>
      </c>
      <c r="AE72" s="498" t="s">
        <v>369</v>
      </c>
      <c r="AF72" s="13">
        <v>2.0</v>
      </c>
      <c r="AG72" s="13">
        <v>3.0</v>
      </c>
      <c r="AH72" s="13" t="str">
        <f t="array" ref="AH72">IFERROR(INDEX(C$2:N$2, SMALL(IF(C$34:N$34=AG72, COLUMN(C$2:N$2)-COLUMN(C$2)+1), AF72)), "-")</f>
        <v>-</v>
      </c>
      <c r="AI72" s="13">
        <v>0.5</v>
      </c>
    </row>
    <row r="73" ht="15.75" customHeight="1">
      <c r="A73" s="521" t="s">
        <v>476</v>
      </c>
      <c r="B73" s="510" t="s">
        <v>432</v>
      </c>
      <c r="C73" s="534">
        <f t="shared" ref="C73:G73" si="66">_xlfn.RANK.EQ(Q17,$Q17:$U17,1)</f>
        <v>2</v>
      </c>
      <c r="D73" s="534">
        <f t="shared" si="66"/>
        <v>3</v>
      </c>
      <c r="E73" s="534">
        <f t="shared" si="66"/>
        <v>1</v>
      </c>
      <c r="F73" s="534">
        <f t="shared" si="66"/>
        <v>4</v>
      </c>
      <c r="G73" s="534">
        <f t="shared" si="66"/>
        <v>4</v>
      </c>
      <c r="H73" s="540" t="s">
        <v>452</v>
      </c>
      <c r="I73" s="540" t="s">
        <v>452</v>
      </c>
      <c r="J73" s="540" t="s">
        <v>452</v>
      </c>
      <c r="K73" s="540" t="s">
        <v>452</v>
      </c>
      <c r="L73" s="540" t="s">
        <v>452</v>
      </c>
      <c r="AC73" s="346" t="s">
        <v>300</v>
      </c>
      <c r="AD73" s="498" t="s">
        <v>132</v>
      </c>
      <c r="AE73" s="498" t="s">
        <v>369</v>
      </c>
      <c r="AF73" s="13">
        <v>3.0</v>
      </c>
      <c r="AG73" s="13">
        <v>3.0</v>
      </c>
      <c r="AH73" s="13" t="str">
        <f t="array" ref="AH73">IFERROR(INDEX(C$2:N$2, SMALL(IF(C$34:N$34=AG73, COLUMN(C$2:N$2)-COLUMN(C$2)+1), AF73)), "-")</f>
        <v>-</v>
      </c>
      <c r="AI73" s="13">
        <v>0.5</v>
      </c>
    </row>
    <row r="74" ht="15.75" customHeight="1">
      <c r="A74" s="521" t="s">
        <v>483</v>
      </c>
      <c r="B74" s="510" t="s">
        <v>432</v>
      </c>
      <c r="C74" s="540" t="s">
        <v>452</v>
      </c>
      <c r="D74" s="540" t="s">
        <v>452</v>
      </c>
      <c r="E74" s="540" t="s">
        <v>452</v>
      </c>
      <c r="F74" s="540" t="s">
        <v>452</v>
      </c>
      <c r="G74" s="540" t="s">
        <v>452</v>
      </c>
      <c r="H74" s="534">
        <f t="shared" ref="H74:L74" si="67">_xlfn.RANK.EQ(V17,$V17:$Z17,1)</f>
        <v>5</v>
      </c>
      <c r="I74" s="534">
        <f t="shared" si="67"/>
        <v>2</v>
      </c>
      <c r="J74" s="534">
        <f t="shared" si="67"/>
        <v>1</v>
      </c>
      <c r="K74" s="534">
        <f t="shared" si="67"/>
        <v>2</v>
      </c>
      <c r="L74" s="534">
        <f t="shared" si="67"/>
        <v>2</v>
      </c>
      <c r="AC74" s="346" t="s">
        <v>300</v>
      </c>
      <c r="AD74" s="365" t="s">
        <v>136</v>
      </c>
      <c r="AE74" s="365" t="s">
        <v>307</v>
      </c>
      <c r="AF74" s="13">
        <v>1.0</v>
      </c>
      <c r="AG74" s="13">
        <v>1.0</v>
      </c>
      <c r="AH74" s="13" t="str">
        <f t="array" ref="AH74">IFERROR(INDEX(C$2:N$2, SMALL(IF(C$35:N$35=AG74, COLUMN(C$2:N$2)-COLUMN(C$2)+1), AF74)), "-")</f>
        <v>GREEN</v>
      </c>
      <c r="AI74" s="13">
        <v>4.0</v>
      </c>
    </row>
    <row r="75" ht="15.75" customHeight="1">
      <c r="A75" s="491"/>
      <c r="AC75" s="346" t="s">
        <v>300</v>
      </c>
      <c r="AD75" s="365" t="s">
        <v>136</v>
      </c>
      <c r="AE75" s="365" t="s">
        <v>307</v>
      </c>
      <c r="AF75" s="13">
        <v>2.0</v>
      </c>
      <c r="AG75" s="13">
        <v>1.0</v>
      </c>
      <c r="AH75" s="13" t="str">
        <f t="array" ref="AH75">IFERROR(INDEX(C$2:N$2, SMALL(IF(C$35:N$35=AG75, COLUMN(C$2:N$2)-COLUMN(C$2)+1), AF75)), "-")</f>
        <v>-</v>
      </c>
      <c r="AI75" s="13">
        <v>4.0</v>
      </c>
    </row>
    <row r="76" ht="15.75" customHeight="1">
      <c r="A76" s="491"/>
      <c r="AC76" s="346" t="s">
        <v>300</v>
      </c>
      <c r="AD76" s="365" t="s">
        <v>136</v>
      </c>
      <c r="AE76" s="365" t="s">
        <v>307</v>
      </c>
      <c r="AF76" s="13">
        <v>3.0</v>
      </c>
      <c r="AG76" s="13">
        <v>1.0</v>
      </c>
      <c r="AH76" s="13" t="str">
        <f t="array" ref="AH76">IFERROR(INDEX(C$2:N$2, SMALL(IF(C$35:N$35=AG76, COLUMN(C$2:N$2)-COLUMN(C$2)+1), AF76)), "-")</f>
        <v>-</v>
      </c>
      <c r="AI76" s="13">
        <v>4.0</v>
      </c>
    </row>
    <row r="77" ht="15.75" customHeight="1">
      <c r="A77" s="491"/>
      <c r="AC77" s="346" t="s">
        <v>300</v>
      </c>
      <c r="AD77" s="365" t="s">
        <v>136</v>
      </c>
      <c r="AE77" s="365" t="s">
        <v>307</v>
      </c>
      <c r="AF77" s="13">
        <v>1.0</v>
      </c>
      <c r="AG77" s="13">
        <v>2.0</v>
      </c>
      <c r="AH77" s="13" t="str">
        <f t="array" ref="AH77">IFERROR(INDEX(C$2:N$2, SMALL(IF(C$35:N$35=AG77, COLUMN(C$2:N$2)-COLUMN(C$2)+1), AF77)), "-")</f>
        <v>EAGLES</v>
      </c>
      <c r="AI77" s="13">
        <v>2.0</v>
      </c>
    </row>
    <row r="78" ht="15.75" customHeight="1">
      <c r="A78" s="491"/>
      <c r="AC78" s="346" t="s">
        <v>300</v>
      </c>
      <c r="AD78" s="365" t="s">
        <v>136</v>
      </c>
      <c r="AE78" s="365" t="s">
        <v>307</v>
      </c>
      <c r="AF78" s="13">
        <v>2.0</v>
      </c>
      <c r="AG78" s="13">
        <v>2.0</v>
      </c>
      <c r="AH78" s="13" t="str">
        <f t="array" ref="AH78">IFERROR(INDEX(C$2:N$2, SMALL(IF(C$35:N$35=AG78, COLUMN(C$2:N$2)-COLUMN(C$2)+1), AF78)), "-")</f>
        <v>-</v>
      </c>
      <c r="AI78" s="13">
        <v>2.0</v>
      </c>
    </row>
    <row r="79" ht="15.75" customHeight="1">
      <c r="A79" s="491"/>
      <c r="AC79" s="346" t="s">
        <v>300</v>
      </c>
      <c r="AD79" s="365" t="s">
        <v>136</v>
      </c>
      <c r="AE79" s="365" t="s">
        <v>307</v>
      </c>
      <c r="AF79" s="13">
        <v>3.0</v>
      </c>
      <c r="AG79" s="13">
        <v>2.0</v>
      </c>
      <c r="AH79" s="13" t="str">
        <f t="array" ref="AH79">IFERROR(INDEX(C$2:N$2, SMALL(IF(C$35:N$35=AG79, COLUMN(C$2:N$2)-COLUMN(C$2)+1), AF79)), "-")</f>
        <v>-</v>
      </c>
      <c r="AI79" s="13">
        <v>2.0</v>
      </c>
    </row>
    <row r="80" ht="15.75" customHeight="1">
      <c r="A80" s="491"/>
      <c r="AC80" s="346" t="s">
        <v>300</v>
      </c>
      <c r="AD80" s="365" t="s">
        <v>136</v>
      </c>
      <c r="AE80" s="365" t="s">
        <v>307</v>
      </c>
      <c r="AF80" s="13">
        <v>1.0</v>
      </c>
      <c r="AG80" s="13">
        <v>3.0</v>
      </c>
      <c r="AH80" s="13" t="str">
        <f t="array" ref="AH80">IFERROR(INDEX(C$2:N$2, SMALL(IF(C$35:N$35=AG80, COLUMN(C$2:N$2)-COLUMN(C$2)+1), AF80)), "-")</f>
        <v>YARDIES</v>
      </c>
      <c r="AI80" s="13">
        <v>1.0</v>
      </c>
    </row>
    <row r="81" ht="15.75" customHeight="1">
      <c r="A81" s="491"/>
      <c r="AC81" s="346" t="s">
        <v>300</v>
      </c>
      <c r="AD81" s="365" t="s">
        <v>136</v>
      </c>
      <c r="AE81" s="365" t="s">
        <v>307</v>
      </c>
      <c r="AF81" s="13">
        <v>2.0</v>
      </c>
      <c r="AG81" s="13">
        <v>3.0</v>
      </c>
      <c r="AH81" s="13" t="str">
        <f t="array" ref="AH81">IFERROR(INDEX(C$2:N$2, SMALL(IF(C$35:N$35=AG81, COLUMN(C$2:N$2)-COLUMN(C$2)+1), AF81)), "-")</f>
        <v>-</v>
      </c>
      <c r="AI81" s="13">
        <v>1.0</v>
      </c>
    </row>
    <row r="82" ht="15.75" customHeight="1">
      <c r="A82" s="491"/>
      <c r="AC82" s="346" t="s">
        <v>300</v>
      </c>
      <c r="AD82" s="365" t="s">
        <v>136</v>
      </c>
      <c r="AE82" s="365" t="s">
        <v>307</v>
      </c>
      <c r="AF82" s="13">
        <v>3.0</v>
      </c>
      <c r="AG82" s="13">
        <v>3.0</v>
      </c>
      <c r="AH82" s="13" t="str">
        <f t="array" ref="AH82">IFERROR(INDEX(C$2:N$2, SMALL(IF(C$35:N$35=AG82, COLUMN(C$2:N$2)-COLUMN(C$2)+1), AF82)), "-")</f>
        <v>-</v>
      </c>
      <c r="AI82" s="13">
        <v>1.0</v>
      </c>
    </row>
    <row r="83" ht="15.75" customHeight="1">
      <c r="A83" s="491"/>
      <c r="AC83" s="346" t="s">
        <v>300</v>
      </c>
      <c r="AD83" s="428" t="s">
        <v>136</v>
      </c>
      <c r="AE83" s="428" t="s">
        <v>369</v>
      </c>
      <c r="AF83" s="13">
        <v>1.0</v>
      </c>
      <c r="AG83" s="13">
        <v>1.0</v>
      </c>
      <c r="AH83" s="13" t="str">
        <f t="array" ref="AH83">IFERROR(INDEX(C$2:N$2, SMALL(IF(C$36:N$36=AG83, COLUMN(C$2:N$2)-COLUMN(C$2)+1), AF83)), "-")</f>
        <v>YARDIES</v>
      </c>
      <c r="AI83" s="13">
        <v>2.0</v>
      </c>
    </row>
    <row r="84" ht="15.75" customHeight="1">
      <c r="A84" s="491"/>
      <c r="AC84" s="346" t="s">
        <v>300</v>
      </c>
      <c r="AD84" s="428" t="s">
        <v>136</v>
      </c>
      <c r="AE84" s="428" t="s">
        <v>369</v>
      </c>
      <c r="AF84" s="13">
        <v>2.0</v>
      </c>
      <c r="AG84" s="13">
        <v>1.0</v>
      </c>
      <c r="AH84" s="13" t="str">
        <f t="array" ref="AH84">IFERROR(INDEX(C$2:N$2, SMALL(IF(C$36:N$36=AG84, COLUMN(C$2:N$2)-COLUMN(C$2)+1), AF84)), "-")</f>
        <v>-</v>
      </c>
      <c r="AI84" s="13">
        <v>2.0</v>
      </c>
    </row>
    <row r="85" ht="15.75" customHeight="1">
      <c r="A85" s="491"/>
      <c r="AC85" s="346" t="s">
        <v>300</v>
      </c>
      <c r="AD85" s="428" t="s">
        <v>136</v>
      </c>
      <c r="AE85" s="428" t="s">
        <v>369</v>
      </c>
      <c r="AF85" s="13">
        <v>3.0</v>
      </c>
      <c r="AG85" s="13">
        <v>1.0</v>
      </c>
      <c r="AH85" s="13" t="str">
        <f t="array" ref="AH85">IFERROR(INDEX(C$2:N$2, SMALL(IF(C$36:N$36=AG85, COLUMN(C$2:N$2)-COLUMN(C$2)+1), AF85)), "-")</f>
        <v>-</v>
      </c>
      <c r="AI85" s="13">
        <v>2.0</v>
      </c>
    </row>
    <row r="86" ht="15.75" customHeight="1">
      <c r="A86" s="491"/>
      <c r="AC86" s="346" t="s">
        <v>300</v>
      </c>
      <c r="AD86" s="428" t="s">
        <v>136</v>
      </c>
      <c r="AE86" s="428" t="s">
        <v>369</v>
      </c>
      <c r="AF86" s="13">
        <v>1.0</v>
      </c>
      <c r="AG86" s="13">
        <v>2.0</v>
      </c>
      <c r="AH86" s="13" t="str">
        <f t="array" ref="AH86">IFERROR(INDEX(C$2:N$2, SMALL(IF(C$36:N$36=AG86, COLUMN(C$2:N$2)-COLUMN(C$2)+1), AF86)), "-")</f>
        <v>EAGLES</v>
      </c>
      <c r="AI86" s="13">
        <v>1.0</v>
      </c>
    </row>
    <row r="87" ht="15.75" customHeight="1">
      <c r="A87" s="491"/>
      <c r="AC87" s="346" t="s">
        <v>300</v>
      </c>
      <c r="AD87" s="428" t="s">
        <v>136</v>
      </c>
      <c r="AE87" s="428" t="s">
        <v>369</v>
      </c>
      <c r="AF87" s="13">
        <v>2.0</v>
      </c>
      <c r="AG87" s="13">
        <v>2.0</v>
      </c>
      <c r="AH87" s="13" t="str">
        <f t="array" ref="AH87">IFERROR(INDEX(C$2:N$2, SMALL(IF(C$36:N$36=AG87, COLUMN(C$2:N$2)-COLUMN(C$2)+1), AF87)), "-")</f>
        <v>-</v>
      </c>
      <c r="AI87" s="13">
        <v>1.0</v>
      </c>
    </row>
    <row r="88" ht="15.75" customHeight="1">
      <c r="A88" s="491"/>
      <c r="AC88" s="346" t="s">
        <v>300</v>
      </c>
      <c r="AD88" s="428" t="s">
        <v>136</v>
      </c>
      <c r="AE88" s="428" t="s">
        <v>369</v>
      </c>
      <c r="AF88" s="13">
        <v>3.0</v>
      </c>
      <c r="AG88" s="13">
        <v>2.0</v>
      </c>
      <c r="AH88" s="13" t="str">
        <f t="array" ref="AH88">IFERROR(INDEX(C$2:N$2, SMALL(IF(C$36:N$36=AG88, COLUMN(C$2:N$2)-COLUMN(C$2)+1), AF88)), "-")</f>
        <v>-</v>
      </c>
      <c r="AI88" s="13">
        <v>1.0</v>
      </c>
    </row>
    <row r="89" ht="15.75" customHeight="1">
      <c r="A89" s="491"/>
      <c r="AC89" s="346" t="s">
        <v>300</v>
      </c>
      <c r="AD89" s="428" t="s">
        <v>136</v>
      </c>
      <c r="AE89" s="428" t="s">
        <v>369</v>
      </c>
      <c r="AF89" s="13">
        <v>1.0</v>
      </c>
      <c r="AG89" s="13">
        <v>3.0</v>
      </c>
      <c r="AH89" s="13" t="str">
        <f t="array" ref="AH89">IFERROR(INDEX(C$2:N$2, SMALL(IF(C$36:N$36=AG89, COLUMN(C$2:N$2)-COLUMN(C$2)+1), AF89)), "-")</f>
        <v>GREEN</v>
      </c>
      <c r="AI89" s="13">
        <v>0.5</v>
      </c>
    </row>
    <row r="90" ht="15.75" customHeight="1">
      <c r="A90" s="491"/>
      <c r="AC90" s="346" t="s">
        <v>300</v>
      </c>
      <c r="AD90" s="428" t="s">
        <v>136</v>
      </c>
      <c r="AE90" s="428" t="s">
        <v>369</v>
      </c>
      <c r="AF90" s="13">
        <v>2.0</v>
      </c>
      <c r="AG90" s="13">
        <v>3.0</v>
      </c>
      <c r="AH90" s="13" t="str">
        <f t="array" ref="AH90">IFERROR(INDEX(C$2:N$2, SMALL(IF(C$36:N$36=AG90, COLUMN(C$2:N$2)-COLUMN(C$2)+1), AF90)), "-")</f>
        <v>-</v>
      </c>
      <c r="AI90" s="13">
        <v>0.5</v>
      </c>
    </row>
    <row r="91" ht="15.75" customHeight="1">
      <c r="A91" s="491"/>
      <c r="AC91" s="346" t="s">
        <v>300</v>
      </c>
      <c r="AD91" s="428" t="s">
        <v>136</v>
      </c>
      <c r="AE91" s="428" t="s">
        <v>369</v>
      </c>
      <c r="AF91" s="13">
        <v>3.0</v>
      </c>
      <c r="AG91" s="13">
        <v>3.0</v>
      </c>
      <c r="AH91" s="13" t="str">
        <f t="array" ref="AH91">IFERROR(INDEX(C$2:N$2, SMALL(IF(C$36:N$36=AG91, COLUMN(C$2:N$2)-COLUMN(C$2)+1), AF91)), "-")</f>
        <v>-</v>
      </c>
      <c r="AI91" s="13">
        <v>0.5</v>
      </c>
    </row>
    <row r="92" ht="15.75" customHeight="1">
      <c r="A92" s="491"/>
      <c r="AC92" s="346" t="s">
        <v>300</v>
      </c>
      <c r="AD92" s="471" t="s">
        <v>139</v>
      </c>
      <c r="AE92" s="471" t="s">
        <v>307</v>
      </c>
      <c r="AF92" s="13">
        <v>1.0</v>
      </c>
      <c r="AG92" s="13">
        <v>1.0</v>
      </c>
      <c r="AH92" s="13" t="str">
        <f t="array" ref="AH92">IFERROR(INDEX(C$2:N$2, SMALL(IF(C$37:N$37=AG92, COLUMN(C$2:N$2)-COLUMN(C$2)+1), AF92)), "-")</f>
        <v>EAGLES</v>
      </c>
      <c r="AI92" s="13">
        <v>4.0</v>
      </c>
    </row>
    <row r="93" ht="15.75" customHeight="1">
      <c r="A93" s="491"/>
      <c r="AC93" s="346" t="s">
        <v>300</v>
      </c>
      <c r="AD93" s="471" t="s">
        <v>139</v>
      </c>
      <c r="AE93" s="471" t="s">
        <v>307</v>
      </c>
      <c r="AF93" s="13">
        <v>2.0</v>
      </c>
      <c r="AG93" s="13">
        <v>1.0</v>
      </c>
      <c r="AH93" s="13" t="str">
        <f t="array" ref="AH93">IFERROR(INDEX(C$2:N$2, SMALL(IF(C$37:N$37=AG93, COLUMN(C$2:N$2)-COLUMN(C$2)+1), AF93)), "-")</f>
        <v>-</v>
      </c>
      <c r="AI93" s="13">
        <v>4.0</v>
      </c>
    </row>
    <row r="94" ht="15.75" customHeight="1">
      <c r="A94" s="491"/>
      <c r="AC94" s="346" t="s">
        <v>300</v>
      </c>
      <c r="AD94" s="471" t="s">
        <v>139</v>
      </c>
      <c r="AE94" s="471" t="s">
        <v>307</v>
      </c>
      <c r="AF94" s="13">
        <v>3.0</v>
      </c>
      <c r="AG94" s="13">
        <v>1.0</v>
      </c>
      <c r="AH94" s="13" t="str">
        <f t="array" ref="AH94">IFERROR(INDEX(C$2:N$2, SMALL(IF(C$37:N$37=AG94, COLUMN(C$2:N$2)-COLUMN(C$2)+1), AF94)), "-")</f>
        <v>-</v>
      </c>
      <c r="AI94" s="13">
        <v>4.0</v>
      </c>
    </row>
    <row r="95" ht="15.75" customHeight="1">
      <c r="A95" s="491"/>
      <c r="AC95" s="346" t="s">
        <v>300</v>
      </c>
      <c r="AD95" s="471" t="s">
        <v>139</v>
      </c>
      <c r="AE95" s="471" t="s">
        <v>307</v>
      </c>
      <c r="AF95" s="13">
        <v>1.0</v>
      </c>
      <c r="AG95" s="13">
        <v>2.0</v>
      </c>
      <c r="AH95" s="13" t="str">
        <f t="array" ref="AH95">IFERROR(INDEX(C$2:N$2, SMALL(IF(C$37:N$37=AG95, COLUMN(C$2:N$2)-COLUMN(C$2)+1), AF95)), "-")</f>
        <v>YARDIES</v>
      </c>
      <c r="AI95" s="13">
        <v>2.0</v>
      </c>
    </row>
    <row r="96" ht="15.75" customHeight="1">
      <c r="A96" s="491"/>
      <c r="AC96" s="346" t="s">
        <v>300</v>
      </c>
      <c r="AD96" s="471" t="s">
        <v>139</v>
      </c>
      <c r="AE96" s="471" t="s">
        <v>307</v>
      </c>
      <c r="AF96" s="13">
        <v>2.0</v>
      </c>
      <c r="AG96" s="13">
        <v>2.0</v>
      </c>
      <c r="AH96" s="13" t="str">
        <f t="array" ref="AH96">IFERROR(INDEX(C$2:N$2, SMALL(IF(C$37:N$37=AG96, COLUMN(C$2:N$2)-COLUMN(C$2)+1), AF96)), "-")</f>
        <v>-</v>
      </c>
      <c r="AI96" s="13">
        <v>2.0</v>
      </c>
    </row>
    <row r="97" ht="15.75" customHeight="1">
      <c r="A97" s="491"/>
      <c r="AC97" s="346" t="s">
        <v>300</v>
      </c>
      <c r="AD97" s="471" t="s">
        <v>139</v>
      </c>
      <c r="AE97" s="471" t="s">
        <v>307</v>
      </c>
      <c r="AF97" s="13">
        <v>3.0</v>
      </c>
      <c r="AG97" s="13">
        <v>2.0</v>
      </c>
      <c r="AH97" s="13" t="str">
        <f t="array" ref="AH97">IFERROR(INDEX(C$2:N$2, SMALL(IF(C$37:N$37=AG97, COLUMN(C$2:N$2)-COLUMN(C$2)+1), AF97)), "-")</f>
        <v>-</v>
      </c>
      <c r="AI97" s="13">
        <v>2.0</v>
      </c>
    </row>
    <row r="98" ht="15.75" customHeight="1">
      <c r="A98" s="491"/>
      <c r="AC98" s="346" t="s">
        <v>300</v>
      </c>
      <c r="AD98" s="471" t="s">
        <v>139</v>
      </c>
      <c r="AE98" s="471" t="s">
        <v>307</v>
      </c>
      <c r="AF98" s="13">
        <v>1.0</v>
      </c>
      <c r="AG98" s="13">
        <v>3.0</v>
      </c>
      <c r="AH98" s="13" t="str">
        <f t="array" ref="AH98">IFERROR(INDEX(C$2:N$2, SMALL(IF(C$37:N$37=AG98, COLUMN(C$2:N$2)-COLUMN(C$2)+1), AF98)), "-")</f>
        <v>POPEYES</v>
      </c>
      <c r="AI98" s="13">
        <v>1.0</v>
      </c>
    </row>
    <row r="99" ht="15.75" customHeight="1">
      <c r="A99" s="491"/>
      <c r="AC99" s="346" t="s">
        <v>300</v>
      </c>
      <c r="AD99" s="471" t="s">
        <v>139</v>
      </c>
      <c r="AE99" s="471" t="s">
        <v>307</v>
      </c>
      <c r="AF99" s="13">
        <v>2.0</v>
      </c>
      <c r="AG99" s="13">
        <v>3.0</v>
      </c>
      <c r="AH99" s="13" t="str">
        <f t="array" ref="AH99">IFERROR(INDEX(C$2:N$2, SMALL(IF(C$37:N$37=AG99, COLUMN(C$2:N$2)-COLUMN(C$2)+1), AF99)), "-")</f>
        <v>-</v>
      </c>
      <c r="AI99" s="13">
        <v>1.0</v>
      </c>
    </row>
    <row r="100" ht="15.75" customHeight="1">
      <c r="A100" s="491"/>
      <c r="AC100" s="346" t="s">
        <v>300</v>
      </c>
      <c r="AD100" s="471" t="s">
        <v>139</v>
      </c>
      <c r="AE100" s="471" t="s">
        <v>307</v>
      </c>
      <c r="AF100" s="13">
        <v>3.0</v>
      </c>
      <c r="AG100" s="13">
        <v>3.0</v>
      </c>
      <c r="AH100" s="13" t="str">
        <f t="array" ref="AH100">IFERROR(INDEX(C$2:N$2, SMALL(IF(C$37:N$37=AG100, COLUMN(C$2:N$2)-COLUMN(C$2)+1), AF100)), "-")</f>
        <v>-</v>
      </c>
      <c r="AI100" s="13">
        <v>1.0</v>
      </c>
    </row>
    <row r="101" ht="15.75" customHeight="1">
      <c r="A101" s="491"/>
      <c r="AC101" s="346" t="s">
        <v>300</v>
      </c>
      <c r="AD101" s="498" t="s">
        <v>139</v>
      </c>
      <c r="AE101" s="498" t="s">
        <v>369</v>
      </c>
      <c r="AF101" s="13">
        <v>1.0</v>
      </c>
      <c r="AG101" s="13">
        <v>1.0</v>
      </c>
      <c r="AH101" s="13" t="str">
        <f t="array" ref="AH101">IFERROR(INDEX(C$2:N$2, SMALL(IF(C$38:N$38=AG101, COLUMN(C$2:N$2)-COLUMN(C$2)+1), AF101)), "-")</f>
        <v>CHAMPS</v>
      </c>
      <c r="AI101" s="13">
        <v>2.0</v>
      </c>
    </row>
    <row r="102" ht="15.75" customHeight="1">
      <c r="A102" s="491"/>
      <c r="AC102" s="346" t="s">
        <v>300</v>
      </c>
      <c r="AD102" s="498" t="s">
        <v>139</v>
      </c>
      <c r="AE102" s="498" t="s">
        <v>369</v>
      </c>
      <c r="AF102" s="13">
        <v>2.0</v>
      </c>
      <c r="AG102" s="13">
        <v>1.0</v>
      </c>
      <c r="AH102" s="13" t="str">
        <f t="array" ref="AH102">IFERROR(INDEX(C$2:N$2, SMALL(IF(C$38:N$38=AG102, COLUMN(C$2:N$2)-COLUMN(C$2)+1), AF102)), "-")</f>
        <v>-</v>
      </c>
      <c r="AI102" s="13">
        <v>2.0</v>
      </c>
    </row>
    <row r="103" ht="15.75" customHeight="1">
      <c r="A103" s="491"/>
      <c r="AC103" s="346" t="s">
        <v>300</v>
      </c>
      <c r="AD103" s="498" t="s">
        <v>139</v>
      </c>
      <c r="AE103" s="498" t="s">
        <v>369</v>
      </c>
      <c r="AF103" s="13">
        <v>3.0</v>
      </c>
      <c r="AG103" s="13">
        <v>1.0</v>
      </c>
      <c r="AH103" s="13" t="str">
        <f t="array" ref="AH103">IFERROR(INDEX(C$2:N$2, SMALL(IF(C$38:N$38=AG103, COLUMN(C$2:N$2)-COLUMN(C$2)+1), AF103)), "-")</f>
        <v>-</v>
      </c>
      <c r="AI103" s="13">
        <v>2.0</v>
      </c>
    </row>
    <row r="104" ht="15.75" customHeight="1">
      <c r="A104" s="491"/>
      <c r="AC104" s="346" t="s">
        <v>300</v>
      </c>
      <c r="AD104" s="498" t="s">
        <v>139</v>
      </c>
      <c r="AE104" s="498" t="s">
        <v>369</v>
      </c>
      <c r="AF104" s="13">
        <v>1.0</v>
      </c>
      <c r="AG104" s="13">
        <v>2.0</v>
      </c>
      <c r="AH104" s="13" t="str">
        <f t="array" ref="AH104">IFERROR(INDEX(C$2:N$2, SMALL(IF(C$38:N$38=AG104, COLUMN(C$2:N$2)-COLUMN(C$2)+1), AF104)), "-")</f>
        <v>POPEYES</v>
      </c>
      <c r="AI104" s="13">
        <v>1.0</v>
      </c>
    </row>
    <row r="105" ht="15.75" customHeight="1">
      <c r="A105" s="491"/>
      <c r="AC105" s="346" t="s">
        <v>300</v>
      </c>
      <c r="AD105" s="498" t="s">
        <v>139</v>
      </c>
      <c r="AE105" s="498" t="s">
        <v>369</v>
      </c>
      <c r="AF105" s="13">
        <v>2.0</v>
      </c>
      <c r="AG105" s="13">
        <v>2.0</v>
      </c>
      <c r="AH105" s="13" t="str">
        <f t="array" ref="AH105">IFERROR(INDEX(C$2:N$2, SMALL(IF(C$38:N$38=AG105, COLUMN(C$2:N$2)-COLUMN(C$2)+1), AF105)), "-")</f>
        <v>-</v>
      </c>
      <c r="AI105" s="13">
        <v>1.0</v>
      </c>
    </row>
    <row r="106" ht="15.75" customHeight="1">
      <c r="A106" s="491"/>
      <c r="AC106" s="346" t="s">
        <v>300</v>
      </c>
      <c r="AD106" s="498" t="s">
        <v>139</v>
      </c>
      <c r="AE106" s="498" t="s">
        <v>369</v>
      </c>
      <c r="AF106" s="13">
        <v>3.0</v>
      </c>
      <c r="AG106" s="13">
        <v>2.0</v>
      </c>
      <c r="AH106" s="13" t="str">
        <f t="array" ref="AH106">IFERROR(INDEX(C$2:N$2, SMALL(IF(C$38:N$38=AG106, COLUMN(C$2:N$2)-COLUMN(C$2)+1), AF106)), "-")</f>
        <v>-</v>
      </c>
      <c r="AI106" s="13">
        <v>1.0</v>
      </c>
    </row>
    <row r="107" ht="15.75" customHeight="1">
      <c r="A107" s="491"/>
      <c r="AC107" s="346" t="s">
        <v>300</v>
      </c>
      <c r="AD107" s="498" t="s">
        <v>139</v>
      </c>
      <c r="AE107" s="498" t="s">
        <v>369</v>
      </c>
      <c r="AF107" s="13">
        <v>1.0</v>
      </c>
      <c r="AG107" s="13">
        <v>3.0</v>
      </c>
      <c r="AH107" s="13" t="str">
        <f t="array" ref="AH107">IFERROR(INDEX(C$2:N$2, SMALL(IF(C$38:N$38=AG107, COLUMN(C$2:N$2)-COLUMN(C$2)+1), AF107)), "-")</f>
        <v>KINGS</v>
      </c>
      <c r="AI107" s="13">
        <v>0.5</v>
      </c>
    </row>
    <row r="108" ht="15.75" customHeight="1">
      <c r="A108" s="491"/>
      <c r="AC108" s="346" t="s">
        <v>300</v>
      </c>
      <c r="AD108" s="498" t="s">
        <v>139</v>
      </c>
      <c r="AE108" s="498" t="s">
        <v>369</v>
      </c>
      <c r="AF108" s="13">
        <v>2.0</v>
      </c>
      <c r="AG108" s="13">
        <v>3.0</v>
      </c>
      <c r="AH108" s="13" t="str">
        <f t="array" ref="AH108">IFERROR(INDEX(C$2:N$2, SMALL(IF(C$38:N$38=AG108, COLUMN(C$2:N$2)-COLUMN(C$2)+1), AF108)), "-")</f>
        <v>-</v>
      </c>
      <c r="AI108" s="13">
        <v>0.5</v>
      </c>
    </row>
    <row r="109" ht="15.75" customHeight="1">
      <c r="A109" s="491"/>
      <c r="AC109" s="346" t="s">
        <v>300</v>
      </c>
      <c r="AD109" s="498" t="s">
        <v>139</v>
      </c>
      <c r="AE109" s="498" t="s">
        <v>369</v>
      </c>
      <c r="AF109" s="13">
        <v>3.0</v>
      </c>
      <c r="AG109" s="13">
        <v>3.0</v>
      </c>
      <c r="AH109" s="13" t="str">
        <f t="array" ref="AH109">IFERROR(INDEX(C$2:N$2, SMALL(IF(C$38:N$38=AG109, COLUMN(C$2:N$2)-COLUMN(C$2)+1), AF109)), "-")</f>
        <v>-</v>
      </c>
      <c r="AI109" s="13">
        <v>0.5</v>
      </c>
    </row>
    <row r="110" ht="15.75" customHeight="1">
      <c r="A110" s="491"/>
      <c r="AC110" s="346" t="s">
        <v>300</v>
      </c>
      <c r="AD110" s="365" t="s">
        <v>146</v>
      </c>
      <c r="AE110" s="365" t="s">
        <v>307</v>
      </c>
      <c r="AF110" s="13">
        <v>1.0</v>
      </c>
      <c r="AG110" s="13">
        <v>1.0</v>
      </c>
      <c r="AH110" s="13" t="str">
        <f t="array" ref="AH110">IFERROR(INDEX(C$2:N$2, SMALL(IF(C$39:N$39=AG110, COLUMN(C$2:N$2)-COLUMN(C$2)+1), AF110)), "-")</f>
        <v>MUTTS</v>
      </c>
      <c r="AI110" s="13">
        <v>4.0</v>
      </c>
    </row>
    <row r="111" ht="15.75" customHeight="1">
      <c r="A111" s="491"/>
      <c r="AC111" s="346" t="s">
        <v>300</v>
      </c>
      <c r="AD111" s="365" t="s">
        <v>146</v>
      </c>
      <c r="AE111" s="365" t="s">
        <v>307</v>
      </c>
      <c r="AF111" s="13">
        <v>2.0</v>
      </c>
      <c r="AG111" s="13">
        <v>1.0</v>
      </c>
      <c r="AH111" s="13" t="str">
        <f t="array" ref="AH111">IFERROR(INDEX(C$2:N$2, SMALL(IF(C$39:N$39=AG111, COLUMN(C$2:N$2)-COLUMN(C$2)+1), AF111)), "-")</f>
        <v>-</v>
      </c>
      <c r="AI111" s="13">
        <v>4.0</v>
      </c>
    </row>
    <row r="112" ht="15.75" customHeight="1">
      <c r="A112" s="491"/>
      <c r="AC112" s="346" t="s">
        <v>300</v>
      </c>
      <c r="AD112" s="365" t="s">
        <v>146</v>
      </c>
      <c r="AE112" s="365" t="s">
        <v>307</v>
      </c>
      <c r="AF112" s="13">
        <v>3.0</v>
      </c>
      <c r="AG112" s="13">
        <v>1.0</v>
      </c>
      <c r="AH112" s="13" t="str">
        <f t="array" ref="AH112">IFERROR(INDEX(C$2:N$2, SMALL(IF(C$39:N$39=AG112, COLUMN(C$2:N$2)-COLUMN(C$2)+1), AF112)), "-")</f>
        <v>-</v>
      </c>
      <c r="AI112" s="13">
        <v>4.0</v>
      </c>
    </row>
    <row r="113" ht="15.75" customHeight="1">
      <c r="A113" s="491"/>
      <c r="AC113" s="346" t="s">
        <v>300</v>
      </c>
      <c r="AD113" s="365" t="s">
        <v>146</v>
      </c>
      <c r="AE113" s="365" t="s">
        <v>307</v>
      </c>
      <c r="AF113" s="13">
        <v>1.0</v>
      </c>
      <c r="AG113" s="13">
        <v>2.0</v>
      </c>
      <c r="AH113" s="13" t="str">
        <f t="array" ref="AH113">IFERROR(INDEX(C$2:N$2, SMALL(IF(C$39:N$39=AG113, COLUMN(C$2:N$2)-COLUMN(C$2)+1), AF113)), "-")</f>
        <v>METAMOOKDAWGS</v>
      </c>
      <c r="AI113" s="13">
        <v>2.0</v>
      </c>
    </row>
    <row r="114" ht="15.75" customHeight="1">
      <c r="A114" s="491"/>
      <c r="AC114" s="346" t="s">
        <v>300</v>
      </c>
      <c r="AD114" s="365" t="s">
        <v>146</v>
      </c>
      <c r="AE114" s="365" t="s">
        <v>307</v>
      </c>
      <c r="AF114" s="13">
        <v>2.0</v>
      </c>
      <c r="AG114" s="13">
        <v>2.0</v>
      </c>
      <c r="AH114" s="13" t="str">
        <f t="array" ref="AH114">IFERROR(INDEX(C$2:N$2, SMALL(IF(C$39:N$39=AG114, COLUMN(C$2:N$2)-COLUMN(C$2)+1), AF114)), "-")</f>
        <v>-</v>
      </c>
      <c r="AI114" s="13">
        <v>2.0</v>
      </c>
    </row>
    <row r="115" ht="15.75" customHeight="1">
      <c r="A115" s="491"/>
      <c r="AC115" s="346" t="s">
        <v>300</v>
      </c>
      <c r="AD115" s="365" t="s">
        <v>146</v>
      </c>
      <c r="AE115" s="365" t="s">
        <v>307</v>
      </c>
      <c r="AF115" s="13">
        <v>3.0</v>
      </c>
      <c r="AG115" s="13">
        <v>2.0</v>
      </c>
      <c r="AH115" s="13" t="str">
        <f t="array" ref="AH115">IFERROR(INDEX(C$2:N$2, SMALL(IF(C$39:N$39=AG115, COLUMN(C$2:N$2)-COLUMN(C$2)+1), AF115)), "-")</f>
        <v>-</v>
      </c>
      <c r="AI115" s="13">
        <v>2.0</v>
      </c>
    </row>
    <row r="116" ht="15.75" customHeight="1">
      <c r="A116" s="491"/>
      <c r="AC116" s="346" t="s">
        <v>300</v>
      </c>
      <c r="AD116" s="365" t="s">
        <v>146</v>
      </c>
      <c r="AE116" s="365" t="s">
        <v>307</v>
      </c>
      <c r="AF116" s="13">
        <v>1.0</v>
      </c>
      <c r="AG116" s="13">
        <v>3.0</v>
      </c>
      <c r="AH116" s="13" t="str">
        <f t="array" ref="AH116">IFERROR(INDEX(C$2:N$2, SMALL(IF(C$39:N$39=AG116, COLUMN(C$2:N$2)-COLUMN(C$2)+1), AF116)), "-")</f>
        <v>KINGS</v>
      </c>
      <c r="AI116" s="13">
        <v>1.0</v>
      </c>
    </row>
    <row r="117" ht="15.75" customHeight="1">
      <c r="A117" s="491"/>
      <c r="AC117" s="346" t="s">
        <v>300</v>
      </c>
      <c r="AD117" s="365" t="s">
        <v>146</v>
      </c>
      <c r="AE117" s="365" t="s">
        <v>307</v>
      </c>
      <c r="AF117" s="13">
        <v>2.0</v>
      </c>
      <c r="AG117" s="13">
        <v>3.0</v>
      </c>
      <c r="AH117" s="13" t="str">
        <f t="array" ref="AH117">IFERROR(INDEX(C$2:N$2, SMALL(IF(C$39:N$39=AG117, COLUMN(C$2:N$2)-COLUMN(C$2)+1), AF117)), "-")</f>
        <v>-</v>
      </c>
      <c r="AI117" s="13">
        <v>1.0</v>
      </c>
    </row>
    <row r="118" ht="15.75" customHeight="1">
      <c r="A118" s="491"/>
      <c r="AC118" s="346" t="s">
        <v>300</v>
      </c>
      <c r="AD118" s="365" t="s">
        <v>146</v>
      </c>
      <c r="AE118" s="365" t="s">
        <v>307</v>
      </c>
      <c r="AF118" s="13">
        <v>3.0</v>
      </c>
      <c r="AG118" s="13">
        <v>3.0</v>
      </c>
      <c r="AH118" s="13" t="str">
        <f t="array" ref="AH118">IFERROR(INDEX(C$2:N$2, SMALL(IF(C$39:N$39=AG118, COLUMN(C$2:N$2)-COLUMN(C$2)+1), AF118)), "-")</f>
        <v>-</v>
      </c>
      <c r="AI118" s="13">
        <v>1.0</v>
      </c>
    </row>
    <row r="119" ht="15.75" customHeight="1">
      <c r="A119" s="491"/>
      <c r="AC119" s="346" t="s">
        <v>300</v>
      </c>
      <c r="AD119" s="428" t="s">
        <v>146</v>
      </c>
      <c r="AE119" s="428" t="s">
        <v>369</v>
      </c>
      <c r="AF119" s="13">
        <v>1.0</v>
      </c>
      <c r="AG119" s="13">
        <v>1.0</v>
      </c>
      <c r="AH119" s="13" t="str">
        <f t="array" ref="AH119">IFERROR(INDEX(C$2:N$2, SMALL(IF(C$40:N$40=AG119, COLUMN(C$2:N$2)-COLUMN(C$2)+1), AF119)), "-")</f>
        <v>MUTTS</v>
      </c>
      <c r="AI119" s="13">
        <v>2.0</v>
      </c>
    </row>
    <row r="120" ht="15.75" customHeight="1">
      <c r="A120" s="491"/>
      <c r="AC120" s="346" t="s">
        <v>300</v>
      </c>
      <c r="AD120" s="428" t="s">
        <v>146</v>
      </c>
      <c r="AE120" s="428" t="s">
        <v>369</v>
      </c>
      <c r="AF120" s="13">
        <v>2.0</v>
      </c>
      <c r="AG120" s="13">
        <v>1.0</v>
      </c>
      <c r="AH120" s="13" t="str">
        <f t="array" ref="AH120">IFERROR(INDEX(C$2:N$2, SMALL(IF(C$40:N$40=AG120, COLUMN(C$2:N$2)-COLUMN(C$2)+1), AF120)), "-")</f>
        <v>-</v>
      </c>
      <c r="AI120" s="13">
        <v>2.0</v>
      </c>
    </row>
    <row r="121" ht="15.75" customHeight="1">
      <c r="A121" s="491"/>
      <c r="AC121" s="346" t="s">
        <v>300</v>
      </c>
      <c r="AD121" s="428" t="s">
        <v>146</v>
      </c>
      <c r="AE121" s="428" t="s">
        <v>369</v>
      </c>
      <c r="AF121" s="13">
        <v>3.0</v>
      </c>
      <c r="AG121" s="13">
        <v>1.0</v>
      </c>
      <c r="AH121" s="13" t="str">
        <f t="array" ref="AH121">IFERROR(INDEX(C$2:N$2, SMALL(IF(C$40:N$40=AG121, COLUMN(C$2:N$2)-COLUMN(C$2)+1), AF121)), "-")</f>
        <v>-</v>
      </c>
      <c r="AI121" s="13">
        <v>2.0</v>
      </c>
    </row>
    <row r="122" ht="15.75" customHeight="1">
      <c r="A122" s="491"/>
      <c r="AC122" s="346" t="s">
        <v>300</v>
      </c>
      <c r="AD122" s="428" t="s">
        <v>146</v>
      </c>
      <c r="AE122" s="428" t="s">
        <v>369</v>
      </c>
      <c r="AF122" s="13">
        <v>1.0</v>
      </c>
      <c r="AG122" s="13">
        <v>2.0</v>
      </c>
      <c r="AH122" s="13" t="str">
        <f t="array" ref="AH122">IFERROR(INDEX(C$2:N$2, SMALL(IF(C$40:N$40=AG122, COLUMN(C$2:N$2)-COLUMN(C$2)+1), AF122)), "-")</f>
        <v>METAMOOKDAWGS</v>
      </c>
      <c r="AI122" s="13">
        <v>1.0</v>
      </c>
    </row>
    <row r="123" ht="15.75" customHeight="1">
      <c r="A123" s="491"/>
      <c r="AC123" s="346" t="s">
        <v>300</v>
      </c>
      <c r="AD123" s="428" t="s">
        <v>146</v>
      </c>
      <c r="AE123" s="428" t="s">
        <v>369</v>
      </c>
      <c r="AF123" s="13">
        <v>2.0</v>
      </c>
      <c r="AG123" s="13">
        <v>2.0</v>
      </c>
      <c r="AH123" s="13" t="str">
        <f t="array" ref="AH123">IFERROR(INDEX(C$2:N$2, SMALL(IF(C$40:N$40=AG123, COLUMN(C$2:N$2)-COLUMN(C$2)+1), AF123)), "-")</f>
        <v>YARDIES</v>
      </c>
      <c r="AI123" s="13">
        <v>1.0</v>
      </c>
    </row>
    <row r="124" ht="15.75" customHeight="1">
      <c r="A124" s="491"/>
      <c r="AC124" s="346" t="s">
        <v>300</v>
      </c>
      <c r="AD124" s="428" t="s">
        <v>146</v>
      </c>
      <c r="AE124" s="428" t="s">
        <v>369</v>
      </c>
      <c r="AF124" s="13">
        <v>3.0</v>
      </c>
      <c r="AG124" s="13">
        <v>2.0</v>
      </c>
      <c r="AH124" s="13" t="str">
        <f t="array" ref="AH124">IFERROR(INDEX(C$2:N$2, SMALL(IF(C$40:N$40=AG124, COLUMN(C$2:N$2)-COLUMN(C$2)+1), AF124)), "-")</f>
        <v>-</v>
      </c>
      <c r="AI124" s="13">
        <v>1.0</v>
      </c>
    </row>
    <row r="125" ht="15.75" customHeight="1">
      <c r="A125" s="491"/>
      <c r="AC125" s="346" t="s">
        <v>300</v>
      </c>
      <c r="AD125" s="428" t="s">
        <v>146</v>
      </c>
      <c r="AE125" s="428" t="s">
        <v>369</v>
      </c>
      <c r="AF125" s="13">
        <v>1.0</v>
      </c>
      <c r="AG125" s="13">
        <v>3.0</v>
      </c>
      <c r="AH125" s="13" t="str">
        <f t="array" ref="AH125">IFERROR(INDEX(C$2:N$2, SMALL(IF(C$40:N$40=AG125, COLUMN(C$2:N$2)-COLUMN(C$2)+1), AF125)), "-")</f>
        <v>-</v>
      </c>
      <c r="AI125" s="13">
        <v>0.5</v>
      </c>
    </row>
    <row r="126" ht="15.75" customHeight="1">
      <c r="A126" s="491"/>
      <c r="AC126" s="346" t="s">
        <v>300</v>
      </c>
      <c r="AD126" s="428" t="s">
        <v>146</v>
      </c>
      <c r="AE126" s="428" t="s">
        <v>369</v>
      </c>
      <c r="AF126" s="13">
        <v>2.0</v>
      </c>
      <c r="AG126" s="13">
        <v>3.0</v>
      </c>
      <c r="AH126" s="13" t="str">
        <f t="array" ref="AH126">IFERROR(INDEX(C$2:N$2, SMALL(IF(C$40:N$40=AG126, COLUMN(C$2:N$2)-COLUMN(C$2)+1), AF126)), "-")</f>
        <v>-</v>
      </c>
      <c r="AI126" s="13">
        <v>0.5</v>
      </c>
    </row>
    <row r="127" ht="15.75" customHeight="1">
      <c r="A127" s="491"/>
      <c r="AC127" s="346" t="s">
        <v>300</v>
      </c>
      <c r="AD127" s="428" t="s">
        <v>146</v>
      </c>
      <c r="AE127" s="428" t="s">
        <v>369</v>
      </c>
      <c r="AF127" s="13">
        <v>3.0</v>
      </c>
      <c r="AG127" s="13">
        <v>3.0</v>
      </c>
      <c r="AH127" s="13" t="str">
        <f t="array" ref="AH127">IFERROR(INDEX(C$2:N$2, SMALL(IF(C$40:N$40=AG127, COLUMN(C$2:N$2)-COLUMN(C$2)+1), AF127)), "-")</f>
        <v>-</v>
      </c>
      <c r="AI127" s="13">
        <v>0.5</v>
      </c>
    </row>
    <row r="128" ht="15.75" customHeight="1">
      <c r="A128" s="491"/>
      <c r="AC128" s="346" t="s">
        <v>300</v>
      </c>
      <c r="AD128" s="471" t="s">
        <v>162</v>
      </c>
      <c r="AE128" s="471" t="s">
        <v>307</v>
      </c>
      <c r="AF128" s="13">
        <v>1.0</v>
      </c>
      <c r="AG128" s="13">
        <v>1.0</v>
      </c>
      <c r="AH128" s="13" t="str">
        <f t="array" ref="AH128">IFERROR(INDEX(C$2:N$2, SMALL(IF(C$41:N$41=AG128, COLUMN(C$2:N$2)-COLUMN(C$2)+1), AF128)), "-")</f>
        <v>GREEN</v>
      </c>
      <c r="AI128" s="13">
        <v>4.0</v>
      </c>
    </row>
    <row r="129" ht="15.75" customHeight="1">
      <c r="A129" s="491"/>
      <c r="AC129" s="346" t="s">
        <v>300</v>
      </c>
      <c r="AD129" s="471" t="s">
        <v>162</v>
      </c>
      <c r="AE129" s="471" t="s">
        <v>307</v>
      </c>
      <c r="AF129" s="13">
        <v>2.0</v>
      </c>
      <c r="AG129" s="13">
        <v>1.0</v>
      </c>
      <c r="AH129" s="13" t="str">
        <f t="array" ref="AH129">IFERROR(INDEX(C$2:N$2, SMALL(IF(C$41:N$41=AG129, COLUMN(C$2:N$2)-COLUMN(C$2)+1), AF129)), "-")</f>
        <v>-</v>
      </c>
      <c r="AI129" s="13">
        <v>4.0</v>
      </c>
    </row>
    <row r="130" ht="15.75" customHeight="1">
      <c r="A130" s="491"/>
      <c r="AC130" s="346" t="s">
        <v>300</v>
      </c>
      <c r="AD130" s="471" t="s">
        <v>162</v>
      </c>
      <c r="AE130" s="471" t="s">
        <v>307</v>
      </c>
      <c r="AF130" s="13">
        <v>3.0</v>
      </c>
      <c r="AG130" s="13">
        <v>1.0</v>
      </c>
      <c r="AH130" s="13" t="str">
        <f t="array" ref="AH130">IFERROR(INDEX(C$2:N$2, SMALL(IF(C$41:N$41=AG130, COLUMN(C$2:N$2)-COLUMN(C$2)+1), AF130)), "-")</f>
        <v>-</v>
      </c>
      <c r="AI130" s="13">
        <v>4.0</v>
      </c>
    </row>
    <row r="131" ht="15.75" customHeight="1">
      <c r="A131" s="491"/>
      <c r="AC131" s="346" t="s">
        <v>300</v>
      </c>
      <c r="AD131" s="471" t="s">
        <v>162</v>
      </c>
      <c r="AE131" s="471" t="s">
        <v>307</v>
      </c>
      <c r="AF131" s="13">
        <v>1.0</v>
      </c>
      <c r="AG131" s="13">
        <v>2.0</v>
      </c>
      <c r="AH131" s="13" t="str">
        <f t="array" ref="AH131">IFERROR(INDEX(C$2:N$2, SMALL(IF(C$41:N$41=AG131, COLUMN(C$2:N$2)-COLUMN(C$2)+1), AF131)), "-")</f>
        <v>DECOUPES</v>
      </c>
      <c r="AI131" s="13">
        <v>2.0</v>
      </c>
    </row>
    <row r="132" ht="15.75" customHeight="1">
      <c r="A132" s="491"/>
      <c r="AC132" s="346" t="s">
        <v>300</v>
      </c>
      <c r="AD132" s="471" t="s">
        <v>162</v>
      </c>
      <c r="AE132" s="471" t="s">
        <v>307</v>
      </c>
      <c r="AF132" s="13">
        <v>2.0</v>
      </c>
      <c r="AG132" s="13">
        <v>2.0</v>
      </c>
      <c r="AH132" s="13" t="str">
        <f t="array" ref="AH132">IFERROR(INDEX(C$2:N$2, SMALL(IF(C$41:N$41=AG132, COLUMN(C$2:N$2)-COLUMN(C$2)+1), AF132)), "-")</f>
        <v>-</v>
      </c>
      <c r="AI132" s="13">
        <v>2.0</v>
      </c>
    </row>
    <row r="133" ht="15.75" customHeight="1">
      <c r="A133" s="491"/>
      <c r="AC133" s="346" t="s">
        <v>300</v>
      </c>
      <c r="AD133" s="471" t="s">
        <v>162</v>
      </c>
      <c r="AE133" s="471" t="s">
        <v>307</v>
      </c>
      <c r="AF133" s="13">
        <v>3.0</v>
      </c>
      <c r="AG133" s="13">
        <v>2.0</v>
      </c>
      <c r="AH133" s="13" t="str">
        <f t="array" ref="AH133">IFERROR(INDEX(C$2:N$2, SMALL(IF(C$41:N$41=AG133, COLUMN(C$2:N$2)-COLUMN(C$2)+1), AF133)), "-")</f>
        <v>-</v>
      </c>
      <c r="AI133" s="13">
        <v>2.0</v>
      </c>
    </row>
    <row r="134" ht="15.75" customHeight="1">
      <c r="A134" s="491"/>
      <c r="AC134" s="346" t="s">
        <v>300</v>
      </c>
      <c r="AD134" s="471" t="s">
        <v>162</v>
      </c>
      <c r="AE134" s="471" t="s">
        <v>307</v>
      </c>
      <c r="AF134" s="13">
        <v>1.0</v>
      </c>
      <c r="AG134" s="13">
        <v>3.0</v>
      </c>
      <c r="AH134" s="13" t="str">
        <f t="array" ref="AH134">IFERROR(INDEX(C$2:N$2, SMALL(IF(C$41:N$41=AG134, COLUMN(C$2:N$2)-COLUMN(C$2)+1), AF134)), "-")</f>
        <v>MUTTS</v>
      </c>
      <c r="AI134" s="13">
        <v>1.0</v>
      </c>
    </row>
    <row r="135" ht="15.75" customHeight="1">
      <c r="A135" s="491"/>
      <c r="AC135" s="346" t="s">
        <v>300</v>
      </c>
      <c r="AD135" s="471" t="s">
        <v>162</v>
      </c>
      <c r="AE135" s="471" t="s">
        <v>307</v>
      </c>
      <c r="AF135" s="13">
        <v>2.0</v>
      </c>
      <c r="AG135" s="13">
        <v>3.0</v>
      </c>
      <c r="AH135" s="13" t="str">
        <f t="array" ref="AH135">IFERROR(INDEX(C$2:N$2, SMALL(IF(C$41:N$41=AG135, COLUMN(C$2:N$2)-COLUMN(C$2)+1), AF135)), "-")</f>
        <v>-</v>
      </c>
      <c r="AI135" s="13">
        <v>1.0</v>
      </c>
    </row>
    <row r="136" ht="15.75" customHeight="1">
      <c r="A136" s="491"/>
      <c r="AC136" s="346" t="s">
        <v>300</v>
      </c>
      <c r="AD136" s="471" t="s">
        <v>162</v>
      </c>
      <c r="AE136" s="471" t="s">
        <v>307</v>
      </c>
      <c r="AF136" s="13">
        <v>3.0</v>
      </c>
      <c r="AG136" s="13">
        <v>3.0</v>
      </c>
      <c r="AH136" s="13" t="str">
        <f t="array" ref="AH136">IFERROR(INDEX(C$2:N$2, SMALL(IF(C$41:N$41=AG136, COLUMN(C$2:N$2)-COLUMN(C$2)+1), AF136)), "-")</f>
        <v>-</v>
      </c>
      <c r="AI136" s="13">
        <v>1.0</v>
      </c>
    </row>
    <row r="137" ht="15.75" customHeight="1">
      <c r="A137" s="491"/>
      <c r="AC137" s="346" t="s">
        <v>300</v>
      </c>
      <c r="AD137" s="498" t="s">
        <v>162</v>
      </c>
      <c r="AE137" s="498" t="s">
        <v>369</v>
      </c>
      <c r="AF137" s="13">
        <v>1.0</v>
      </c>
      <c r="AG137" s="13">
        <v>1.0</v>
      </c>
      <c r="AH137" s="13" t="str">
        <f t="array" ref="AH137">IFERROR(INDEX(C$2:N$2, SMALL(IF(C$42:N$42=AG137, COLUMN(C$2:N$2)-COLUMN(C$2)+1), AF137)), "-")</f>
        <v>YARDIES</v>
      </c>
      <c r="AI137" s="13">
        <v>2.0</v>
      </c>
    </row>
    <row r="138" ht="15.75" customHeight="1">
      <c r="A138" s="491"/>
      <c r="AC138" s="346" t="s">
        <v>300</v>
      </c>
      <c r="AD138" s="498" t="s">
        <v>162</v>
      </c>
      <c r="AE138" s="498" t="s">
        <v>369</v>
      </c>
      <c r="AF138" s="13">
        <v>2.0</v>
      </c>
      <c r="AG138" s="13">
        <v>1.0</v>
      </c>
      <c r="AH138" s="13" t="str">
        <f t="array" ref="AH138">IFERROR(INDEX(C$2:N$2, SMALL(IF(C$42:N$42=AG138, COLUMN(C$2:N$2)-COLUMN(C$2)+1), AF138)), "-")</f>
        <v>-</v>
      </c>
      <c r="AI138" s="13">
        <v>2.0</v>
      </c>
    </row>
    <row r="139" ht="15.75" customHeight="1">
      <c r="A139" s="491"/>
      <c r="AC139" s="346" t="s">
        <v>300</v>
      </c>
      <c r="AD139" s="498" t="s">
        <v>162</v>
      </c>
      <c r="AE139" s="498" t="s">
        <v>369</v>
      </c>
      <c r="AF139" s="13">
        <v>3.0</v>
      </c>
      <c r="AG139" s="13">
        <v>1.0</v>
      </c>
      <c r="AH139" s="13" t="str">
        <f t="array" ref="AH139">IFERROR(INDEX(C$2:N$2, SMALL(IF(C$42:N$42=AG139, COLUMN(C$2:N$2)-COLUMN(C$2)+1), AF139)), "-")</f>
        <v>-</v>
      </c>
      <c r="AI139" s="13">
        <v>2.0</v>
      </c>
    </row>
    <row r="140" ht="15.75" customHeight="1">
      <c r="A140" s="491"/>
      <c r="AC140" s="346" t="s">
        <v>300</v>
      </c>
      <c r="AD140" s="498" t="s">
        <v>162</v>
      </c>
      <c r="AE140" s="498" t="s">
        <v>369</v>
      </c>
      <c r="AF140" s="13">
        <v>1.0</v>
      </c>
      <c r="AG140" s="13">
        <v>2.0</v>
      </c>
      <c r="AH140" s="13" t="str">
        <f t="array" ref="AH140">IFERROR(INDEX(C$2:N$2, SMALL(IF(C$42:N$42=AG140, COLUMN(C$2:N$2)-COLUMN(C$2)+1), AF140)), "-")</f>
        <v>GREEN</v>
      </c>
      <c r="AI140" s="13">
        <v>1.0</v>
      </c>
    </row>
    <row r="141" ht="15.75" customHeight="1">
      <c r="A141" s="491"/>
      <c r="AC141" s="346" t="s">
        <v>300</v>
      </c>
      <c r="AD141" s="498" t="s">
        <v>162</v>
      </c>
      <c r="AE141" s="498" t="s">
        <v>369</v>
      </c>
      <c r="AF141" s="13">
        <v>2.0</v>
      </c>
      <c r="AG141" s="13">
        <v>2.0</v>
      </c>
      <c r="AH141" s="13" t="str">
        <f t="array" ref="AH141">IFERROR(INDEX(C$2:N$2, SMALL(IF(C$42:N$42=AG141, COLUMN(C$2:N$2)-COLUMN(C$2)+1), AF141)), "-")</f>
        <v>-</v>
      </c>
      <c r="AI141" s="13">
        <v>1.0</v>
      </c>
    </row>
    <row r="142" ht="15.75" customHeight="1">
      <c r="A142" s="491"/>
      <c r="AC142" s="346" t="s">
        <v>300</v>
      </c>
      <c r="AD142" s="498" t="s">
        <v>162</v>
      </c>
      <c r="AE142" s="498" t="s">
        <v>369</v>
      </c>
      <c r="AF142" s="13">
        <v>3.0</v>
      </c>
      <c r="AG142" s="13">
        <v>2.0</v>
      </c>
      <c r="AH142" s="13" t="str">
        <f t="array" ref="AH142">IFERROR(INDEX(C$2:N$2, SMALL(IF(C$42:N$42=AG142, COLUMN(C$2:N$2)-COLUMN(C$2)+1), AF142)), "-")</f>
        <v>-</v>
      </c>
      <c r="AI142" s="13">
        <v>1.0</v>
      </c>
    </row>
    <row r="143" ht="15.75" customHeight="1">
      <c r="A143" s="491"/>
      <c r="AC143" s="346" t="s">
        <v>300</v>
      </c>
      <c r="AD143" s="498" t="s">
        <v>162</v>
      </c>
      <c r="AE143" s="498" t="s">
        <v>369</v>
      </c>
      <c r="AF143" s="13">
        <v>1.0</v>
      </c>
      <c r="AG143" s="13">
        <v>3.0</v>
      </c>
      <c r="AH143" s="13" t="str">
        <f t="array" ref="AH143">IFERROR(INDEX(C$2:N$2, SMALL(IF(C$42:N$42=AG143, COLUMN(C$2:N$2)-COLUMN(C$2)+1), AF143)), "-")</f>
        <v>POPEYES</v>
      </c>
      <c r="AI143" s="13">
        <v>0.5</v>
      </c>
    </row>
    <row r="144" ht="15.75" customHeight="1">
      <c r="A144" s="491"/>
      <c r="AC144" s="346" t="s">
        <v>300</v>
      </c>
      <c r="AD144" s="498" t="s">
        <v>162</v>
      </c>
      <c r="AE144" s="498" t="s">
        <v>369</v>
      </c>
      <c r="AF144" s="13">
        <v>2.0</v>
      </c>
      <c r="AG144" s="13">
        <v>3.0</v>
      </c>
      <c r="AH144" s="13" t="str">
        <f t="array" ref="AH144">IFERROR(INDEX(C$2:N$2, SMALL(IF(C$42:N$42=AG144, COLUMN(C$2:N$2)-COLUMN(C$2)+1), AF144)), "-")</f>
        <v>-</v>
      </c>
      <c r="AI144" s="13">
        <v>0.5</v>
      </c>
    </row>
    <row r="145" ht="15.75" customHeight="1">
      <c r="A145" s="491"/>
      <c r="AC145" s="346" t="s">
        <v>300</v>
      </c>
      <c r="AD145" s="498" t="s">
        <v>162</v>
      </c>
      <c r="AE145" s="498" t="s">
        <v>369</v>
      </c>
      <c r="AF145" s="13">
        <v>3.0</v>
      </c>
      <c r="AG145" s="13">
        <v>3.0</v>
      </c>
      <c r="AH145" s="13" t="str">
        <f t="array" ref="AH145">IFERROR(INDEX(C$2:N$2, SMALL(IF(C$42:N$42=AG145, COLUMN(C$2:N$2)-COLUMN(C$2)+1), AF145)), "-")</f>
        <v>-</v>
      </c>
      <c r="AI145" s="13">
        <v>0.5</v>
      </c>
    </row>
    <row r="146" ht="15.75" customHeight="1">
      <c r="A146" s="491"/>
      <c r="AC146" s="346" t="s">
        <v>301</v>
      </c>
      <c r="AD146" s="365" t="s">
        <v>168</v>
      </c>
      <c r="AE146" s="365" t="s">
        <v>369</v>
      </c>
      <c r="AF146" s="13">
        <v>1.0</v>
      </c>
      <c r="AG146" s="13">
        <v>1.0</v>
      </c>
      <c r="AH146" s="13" t="str">
        <f t="array" ref="AH146">IFERROR(INDEX(C$2:N$2, SMALL(IF(C$43:N$43=AG146, COLUMN(C$2:N$2)-COLUMN(C$2)+1), AF146)), "-")</f>
        <v>DECOUPES</v>
      </c>
      <c r="AI146" s="13">
        <v>4.0</v>
      </c>
    </row>
    <row r="147" ht="15.75" customHeight="1">
      <c r="A147" s="491"/>
      <c r="AC147" s="346" t="s">
        <v>301</v>
      </c>
      <c r="AD147" s="365" t="s">
        <v>168</v>
      </c>
      <c r="AE147" s="365" t="s">
        <v>369</v>
      </c>
      <c r="AF147" s="13">
        <v>2.0</v>
      </c>
      <c r="AG147" s="13">
        <v>1.0</v>
      </c>
      <c r="AH147" s="13" t="str">
        <f t="array" ref="AH147">IFERROR(INDEX(C$2:N$2, SMALL(IF(C$43:N$43=AG147, COLUMN(C$2:N$2)-COLUMN(C$2)+1), AF147)), "-")</f>
        <v>-</v>
      </c>
      <c r="AI147" s="13">
        <v>4.0</v>
      </c>
    </row>
    <row r="148" ht="15.75" customHeight="1">
      <c r="A148" s="491"/>
      <c r="AC148" s="346" t="s">
        <v>301</v>
      </c>
      <c r="AD148" s="365" t="s">
        <v>168</v>
      </c>
      <c r="AE148" s="365" t="s">
        <v>369</v>
      </c>
      <c r="AF148" s="13">
        <v>3.0</v>
      </c>
      <c r="AG148" s="13">
        <v>1.0</v>
      </c>
      <c r="AH148" s="13" t="str">
        <f t="array" ref="AH148">IFERROR(INDEX(C$2:N$2, SMALL(IF(C$43:N$43=AG148, COLUMN(C$2:N$2)-COLUMN(C$2)+1), AF148)), "-")</f>
        <v>-</v>
      </c>
      <c r="AI148" s="13">
        <v>4.0</v>
      </c>
    </row>
    <row r="149" ht="15.75" customHeight="1">
      <c r="A149" s="491"/>
      <c r="AC149" s="346" t="s">
        <v>301</v>
      </c>
      <c r="AD149" s="365" t="s">
        <v>168</v>
      </c>
      <c r="AE149" s="365" t="s">
        <v>369</v>
      </c>
      <c r="AF149" s="13">
        <v>1.0</v>
      </c>
      <c r="AG149" s="13">
        <v>2.0</v>
      </c>
      <c r="AH149" s="13" t="str">
        <f t="array" ref="AH149">IFERROR(INDEX(C$2:N$2, SMALL(IF(C$43:N$43=AG149, COLUMN(C$2:N$2)-COLUMN(C$2)+1), AF149)), "-")</f>
        <v>GREEN</v>
      </c>
      <c r="AI149" s="13">
        <v>2.0</v>
      </c>
    </row>
    <row r="150" ht="15.75" customHeight="1">
      <c r="A150" s="491"/>
      <c r="AC150" s="346" t="s">
        <v>301</v>
      </c>
      <c r="AD150" s="365" t="s">
        <v>168</v>
      </c>
      <c r="AE150" s="365" t="s">
        <v>369</v>
      </c>
      <c r="AF150" s="13">
        <v>2.0</v>
      </c>
      <c r="AG150" s="13">
        <v>2.0</v>
      </c>
      <c r="AH150" s="13" t="str">
        <f t="array" ref="AH150">IFERROR(INDEX(C$2:N$2, SMALL(IF(C$43:N$43=AG150, COLUMN(C$2:N$2)-COLUMN(C$2)+1), AF150)), "-")</f>
        <v>-</v>
      </c>
      <c r="AI150" s="13">
        <v>2.0</v>
      </c>
    </row>
    <row r="151" ht="15.75" customHeight="1">
      <c r="A151" s="491"/>
      <c r="AC151" s="346" t="s">
        <v>301</v>
      </c>
      <c r="AD151" s="365" t="s">
        <v>168</v>
      </c>
      <c r="AE151" s="365" t="s">
        <v>369</v>
      </c>
      <c r="AF151" s="13">
        <v>3.0</v>
      </c>
      <c r="AG151" s="13">
        <v>2.0</v>
      </c>
      <c r="AH151" s="13" t="str">
        <f t="array" ref="AH151">IFERROR(INDEX(C$2:N$2, SMALL(IF(C$43:N$43=AG151, COLUMN(C$2:N$2)-COLUMN(C$2)+1), AF151)), "-")</f>
        <v>-</v>
      </c>
      <c r="AI151" s="13">
        <v>2.0</v>
      </c>
    </row>
    <row r="152" ht="15.75" customHeight="1">
      <c r="A152" s="491"/>
      <c r="AC152" s="346" t="s">
        <v>301</v>
      </c>
      <c r="AD152" s="365" t="s">
        <v>168</v>
      </c>
      <c r="AE152" s="365" t="s">
        <v>369</v>
      </c>
      <c r="AF152" s="13">
        <v>1.0</v>
      </c>
      <c r="AG152" s="13">
        <v>3.0</v>
      </c>
      <c r="AH152" s="13" t="str">
        <f t="array" ref="AH152">IFERROR(INDEX(C$2:N$2, SMALL(IF(C$43:N$43=AG152, COLUMN(C$2:N$2)-COLUMN(C$2)+1), AF152)), "-")</f>
        <v>CHAMPS</v>
      </c>
      <c r="AI152" s="13">
        <v>1.0</v>
      </c>
    </row>
    <row r="153" ht="15.75" customHeight="1">
      <c r="A153" s="491"/>
      <c r="AC153" s="346" t="s">
        <v>301</v>
      </c>
      <c r="AD153" s="365" t="s">
        <v>168</v>
      </c>
      <c r="AE153" s="365" t="s">
        <v>369</v>
      </c>
      <c r="AF153" s="13">
        <v>2.0</v>
      </c>
      <c r="AG153" s="13">
        <v>3.0</v>
      </c>
      <c r="AH153" s="13" t="str">
        <f t="array" ref="AH153">IFERROR(INDEX(C$2:N$2, SMALL(IF(C$43:N$43=AG153, COLUMN(C$2:N$2)-COLUMN(C$2)+1), AF153)), "-")</f>
        <v>-</v>
      </c>
      <c r="AI153" s="13">
        <v>1.0</v>
      </c>
    </row>
    <row r="154" ht="15.75" customHeight="1">
      <c r="A154" s="491"/>
      <c r="AC154" s="346" t="s">
        <v>301</v>
      </c>
      <c r="AD154" s="365" t="s">
        <v>168</v>
      </c>
      <c r="AE154" s="365" t="s">
        <v>369</v>
      </c>
      <c r="AF154" s="13">
        <v>3.0</v>
      </c>
      <c r="AG154" s="13">
        <v>3.0</v>
      </c>
      <c r="AH154" s="13" t="str">
        <f t="array" ref="AH154">IFERROR(INDEX(C$2:N$2, SMALL(IF(C$43:N$43=AG154, COLUMN(C$2:N$2)-COLUMN(C$2)+1), AF154)), "-")</f>
        <v>-</v>
      </c>
      <c r="AI154" s="13">
        <v>1.0</v>
      </c>
    </row>
    <row r="155" ht="15.75" customHeight="1">
      <c r="A155" s="491"/>
      <c r="AC155" s="346" t="s">
        <v>301</v>
      </c>
      <c r="AD155" s="471" t="s">
        <v>91</v>
      </c>
      <c r="AE155" s="471" t="s">
        <v>307</v>
      </c>
      <c r="AF155" s="13">
        <v>1.0</v>
      </c>
      <c r="AG155" s="13">
        <v>1.0</v>
      </c>
      <c r="AH155" s="13" t="str">
        <f t="array" ref="AH155">IFERROR(INDEX(C$2:N$2, SMALL(IF(C$44:N$44=AG155, COLUMN(C$2:N$2)-COLUMN(C$2)+1), AF155)), "-")</f>
        <v>GREEN</v>
      </c>
      <c r="AI155" s="13">
        <v>8.0</v>
      </c>
    </row>
    <row r="156" ht="15.75" customHeight="1">
      <c r="A156" s="491"/>
      <c r="AC156" s="346" t="s">
        <v>301</v>
      </c>
      <c r="AD156" s="471" t="s">
        <v>91</v>
      </c>
      <c r="AE156" s="471" t="s">
        <v>307</v>
      </c>
      <c r="AF156" s="13">
        <v>2.0</v>
      </c>
      <c r="AG156" s="13">
        <v>1.0</v>
      </c>
      <c r="AH156" s="13" t="str">
        <f t="array" ref="AH156">IFERROR(INDEX(C$2:N$2, SMALL(IF(C$44:N$44=AG156, COLUMN(C$2:N$2)-COLUMN(C$2)+1), AF156)), "-")</f>
        <v>-</v>
      </c>
      <c r="AI156" s="13">
        <v>8.0</v>
      </c>
    </row>
    <row r="157" ht="15.75" customHeight="1">
      <c r="A157" s="491"/>
      <c r="AC157" s="346" t="s">
        <v>301</v>
      </c>
      <c r="AD157" s="471" t="s">
        <v>91</v>
      </c>
      <c r="AE157" s="471" t="s">
        <v>307</v>
      </c>
      <c r="AF157" s="13">
        <v>3.0</v>
      </c>
      <c r="AG157" s="13">
        <v>1.0</v>
      </c>
      <c r="AH157" s="13" t="str">
        <f t="array" ref="AH157">IFERROR(INDEX(C$2:N$2, SMALL(IF(C$44:N$44=AG157, COLUMN(C$2:N$2)-COLUMN(C$2)+1), AF157)), "-")</f>
        <v>-</v>
      </c>
      <c r="AI157" s="13">
        <v>8.0</v>
      </c>
    </row>
    <row r="158" ht="15.75" customHeight="1">
      <c r="A158" s="491"/>
      <c r="AC158" s="346" t="s">
        <v>301</v>
      </c>
      <c r="AD158" s="471" t="s">
        <v>91</v>
      </c>
      <c r="AE158" s="471" t="s">
        <v>307</v>
      </c>
      <c r="AF158" s="13">
        <v>1.0</v>
      </c>
      <c r="AG158" s="13">
        <v>2.0</v>
      </c>
      <c r="AH158" s="13" t="str">
        <f t="array" ref="AH158">IFERROR(INDEX(C$2:N$2, SMALL(IF(C$44:N$44=AG158, COLUMN(C$2:N$2)-COLUMN(C$2)+1), AF158)), "-")</f>
        <v>CHAMPS</v>
      </c>
      <c r="AI158" s="13">
        <v>4.0</v>
      </c>
    </row>
    <row r="159" ht="15.75" customHeight="1">
      <c r="A159" s="491"/>
      <c r="AC159" s="346" t="s">
        <v>301</v>
      </c>
      <c r="AD159" s="471" t="s">
        <v>91</v>
      </c>
      <c r="AE159" s="471" t="s">
        <v>307</v>
      </c>
      <c r="AF159" s="13">
        <v>2.0</v>
      </c>
      <c r="AG159" s="13">
        <v>2.0</v>
      </c>
      <c r="AH159" s="13" t="str">
        <f t="array" ref="AH159">IFERROR(INDEX(C$2:N$2, SMALL(IF(C$44:N$44=AG159, COLUMN(C$2:N$2)-COLUMN(C$2)+1), AF159)), "-")</f>
        <v>-</v>
      </c>
      <c r="AI159" s="13">
        <v>4.0</v>
      </c>
    </row>
    <row r="160" ht="15.75" customHeight="1">
      <c r="A160" s="491"/>
      <c r="AC160" s="346" t="s">
        <v>301</v>
      </c>
      <c r="AD160" s="471" t="s">
        <v>91</v>
      </c>
      <c r="AE160" s="471" t="s">
        <v>307</v>
      </c>
      <c r="AF160" s="13">
        <v>3.0</v>
      </c>
      <c r="AG160" s="13">
        <v>2.0</v>
      </c>
      <c r="AH160" s="13" t="str">
        <f t="array" ref="AH160">IFERROR(INDEX(C$2:N$2, SMALL(IF(C$44:N$44=AG160, COLUMN(C$2:N$2)-COLUMN(C$2)+1), AF160)), "-")</f>
        <v>-</v>
      </c>
      <c r="AI160" s="13">
        <v>4.0</v>
      </c>
    </row>
    <row r="161" ht="15.75" customHeight="1">
      <c r="A161" s="491"/>
      <c r="AC161" s="346" t="s">
        <v>301</v>
      </c>
      <c r="AD161" s="471" t="s">
        <v>91</v>
      </c>
      <c r="AE161" s="471" t="s">
        <v>307</v>
      </c>
      <c r="AF161" s="13">
        <v>1.0</v>
      </c>
      <c r="AG161" s="13">
        <v>3.0</v>
      </c>
      <c r="AH161" s="13" t="str">
        <f t="array" ref="AH161">IFERROR(INDEX(C$2:N$2, SMALL(IF(C$44:N$44=AG161, COLUMN(C$2:N$2)-COLUMN(C$2)+1), AF161)), "-")</f>
        <v>DECOUPES</v>
      </c>
      <c r="AI161" s="13">
        <v>2.0</v>
      </c>
    </row>
    <row r="162" ht="15.75" customHeight="1">
      <c r="A162" s="491"/>
      <c r="AC162" s="346" t="s">
        <v>301</v>
      </c>
      <c r="AD162" s="471" t="s">
        <v>91</v>
      </c>
      <c r="AE162" s="471" t="s">
        <v>307</v>
      </c>
      <c r="AF162" s="13">
        <v>2.0</v>
      </c>
      <c r="AG162" s="13">
        <v>3.0</v>
      </c>
      <c r="AH162" s="13" t="str">
        <f t="array" ref="AH162">IFERROR(INDEX(C$2:N$2, SMALL(IF(C$44:N$44=AG162, COLUMN(C$2:N$2)-COLUMN(C$2)+1), AF162)), "-")</f>
        <v>-</v>
      </c>
      <c r="AI162" s="13">
        <v>2.0</v>
      </c>
    </row>
    <row r="163" ht="15.75" customHeight="1">
      <c r="A163" s="491"/>
      <c r="AC163" s="346" t="s">
        <v>301</v>
      </c>
      <c r="AD163" s="471" t="s">
        <v>91</v>
      </c>
      <c r="AE163" s="471" t="s">
        <v>307</v>
      </c>
      <c r="AF163" s="13">
        <v>3.0</v>
      </c>
      <c r="AG163" s="13">
        <v>3.0</v>
      </c>
      <c r="AH163" s="13" t="str">
        <f t="array" ref="AH163">IFERROR(INDEX(C$2:N$2, SMALL(IF(C$44:N$44=AG163, COLUMN(C$2:N$2)-COLUMN(C$2)+1), AF163)), "-")</f>
        <v>-</v>
      </c>
      <c r="AI163" s="13">
        <v>2.0</v>
      </c>
    </row>
    <row r="164" ht="15.75" customHeight="1">
      <c r="A164" s="491"/>
      <c r="AC164" s="346" t="s">
        <v>301</v>
      </c>
      <c r="AD164" s="498" t="s">
        <v>91</v>
      </c>
      <c r="AE164" s="498" t="s">
        <v>369</v>
      </c>
      <c r="AF164" s="13">
        <v>1.0</v>
      </c>
      <c r="AG164" s="13">
        <v>1.0</v>
      </c>
      <c r="AH164" s="13" t="str">
        <f t="array" ref="AH164">IFERROR(INDEX(C$2:N$2, SMALL(IF(C$45:N$45=AG164, COLUMN(C$2:N$2)-COLUMN(C$2)+1), AF164)), "-")</f>
        <v>DECOUPES</v>
      </c>
      <c r="AI164" s="13">
        <v>6.0</v>
      </c>
    </row>
    <row r="165" ht="15.75" customHeight="1">
      <c r="A165" s="491"/>
      <c r="AC165" s="346" t="s">
        <v>301</v>
      </c>
      <c r="AD165" s="498" t="s">
        <v>91</v>
      </c>
      <c r="AE165" s="498" t="s">
        <v>369</v>
      </c>
      <c r="AF165" s="13">
        <v>2.0</v>
      </c>
      <c r="AG165" s="13">
        <v>1.0</v>
      </c>
      <c r="AH165" s="13" t="str">
        <f t="array" ref="AH165">IFERROR(INDEX(C$2:N$2, SMALL(IF(C$45:N$45=AG165, COLUMN(C$2:N$2)-COLUMN(C$2)+1), AF165)), "-")</f>
        <v>-</v>
      </c>
      <c r="AI165" s="13">
        <v>6.0</v>
      </c>
    </row>
    <row r="166" ht="15.75" customHeight="1">
      <c r="A166" s="491"/>
      <c r="AC166" s="346" t="s">
        <v>301</v>
      </c>
      <c r="AD166" s="498" t="s">
        <v>91</v>
      </c>
      <c r="AE166" s="498" t="s">
        <v>369</v>
      </c>
      <c r="AF166" s="13">
        <v>3.0</v>
      </c>
      <c r="AG166" s="13">
        <v>1.0</v>
      </c>
      <c r="AH166" s="13" t="str">
        <f t="array" ref="AH166">IFERROR(INDEX(C$2:N$2, SMALL(IF(C$45:N$45=AG166, COLUMN(C$2:N$2)-COLUMN(C$2)+1), AF166)), "-")</f>
        <v>-</v>
      </c>
      <c r="AI166" s="13">
        <v>6.0</v>
      </c>
    </row>
    <row r="167" ht="15.75" customHeight="1">
      <c r="A167" s="491"/>
      <c r="AC167" s="346" t="s">
        <v>301</v>
      </c>
      <c r="AD167" s="498" t="s">
        <v>91</v>
      </c>
      <c r="AE167" s="498" t="s">
        <v>369</v>
      </c>
      <c r="AF167" s="13">
        <v>1.0</v>
      </c>
      <c r="AG167" s="13">
        <v>2.0</v>
      </c>
      <c r="AH167" s="13" t="str">
        <f t="array" ref="AH167">IFERROR(INDEX(C$2:N$2, SMALL(IF(C$45:N$45=AG167, COLUMN(C$2:N$2)-COLUMN(C$2)+1), AF167)), "-")</f>
        <v>MUTTS</v>
      </c>
      <c r="AI167" s="13">
        <v>3.0</v>
      </c>
    </row>
    <row r="168" ht="15.75" customHeight="1">
      <c r="A168" s="491"/>
      <c r="AC168" s="346" t="s">
        <v>301</v>
      </c>
      <c r="AD168" s="498" t="s">
        <v>91</v>
      </c>
      <c r="AE168" s="498" t="s">
        <v>369</v>
      </c>
      <c r="AF168" s="13">
        <v>2.0</v>
      </c>
      <c r="AG168" s="13">
        <v>2.0</v>
      </c>
      <c r="AH168" s="13" t="str">
        <f t="array" ref="AH168">IFERROR(INDEX(C$2:N$2, SMALL(IF(C$45:N$45=AG168, COLUMN(C$2:N$2)-COLUMN(C$2)+1), AF168)), "-")</f>
        <v>-</v>
      </c>
      <c r="AI168" s="13">
        <v>3.0</v>
      </c>
    </row>
    <row r="169" ht="15.75" customHeight="1">
      <c r="A169" s="491"/>
      <c r="AC169" s="346" t="s">
        <v>301</v>
      </c>
      <c r="AD169" s="498" t="s">
        <v>91</v>
      </c>
      <c r="AE169" s="498" t="s">
        <v>369</v>
      </c>
      <c r="AF169" s="13">
        <v>3.0</v>
      </c>
      <c r="AG169" s="13">
        <v>2.0</v>
      </c>
      <c r="AH169" s="13" t="str">
        <f t="array" ref="AH169">IFERROR(INDEX(C$2:N$2, SMALL(IF(C$45:N$45=AG169, COLUMN(C$2:N$2)-COLUMN(C$2)+1), AF169)), "-")</f>
        <v>-</v>
      </c>
      <c r="AI169" s="13">
        <v>3.0</v>
      </c>
    </row>
    <row r="170" ht="15.75" customHeight="1">
      <c r="A170" s="491"/>
      <c r="AC170" s="346" t="s">
        <v>301</v>
      </c>
      <c r="AD170" s="498" t="s">
        <v>91</v>
      </c>
      <c r="AE170" s="498" t="s">
        <v>369</v>
      </c>
      <c r="AF170" s="13">
        <v>1.0</v>
      </c>
      <c r="AG170" s="13">
        <v>3.0</v>
      </c>
      <c r="AH170" s="13" t="str">
        <f t="array" ref="AH170">IFERROR(INDEX(C$2:N$2, SMALL(IF(C$45:N$45=AG170, COLUMN(C$2:N$2)-COLUMN(C$2)+1), AF170)), "-")</f>
        <v>CHAMPS</v>
      </c>
      <c r="AI170" s="13">
        <v>1.5</v>
      </c>
    </row>
    <row r="171" ht="15.75" customHeight="1">
      <c r="A171" s="491"/>
      <c r="AC171" s="346" t="s">
        <v>301</v>
      </c>
      <c r="AD171" s="498" t="s">
        <v>91</v>
      </c>
      <c r="AE171" s="498" t="s">
        <v>369</v>
      </c>
      <c r="AF171" s="13">
        <v>2.0</v>
      </c>
      <c r="AG171" s="13">
        <v>3.0</v>
      </c>
      <c r="AH171" s="13" t="str">
        <f t="array" ref="AH171">IFERROR(INDEX(C$2:N$2, SMALL(IF(C$45:N$45=AG171, COLUMN(C$2:N$2)-COLUMN(C$2)+1), AF171)), "-")</f>
        <v>-</v>
      </c>
      <c r="AI171" s="13">
        <v>1.5</v>
      </c>
    </row>
    <row r="172" ht="15.75" customHeight="1">
      <c r="A172" s="491"/>
      <c r="AC172" s="346" t="s">
        <v>301</v>
      </c>
      <c r="AD172" s="498" t="s">
        <v>91</v>
      </c>
      <c r="AE172" s="498" t="s">
        <v>369</v>
      </c>
      <c r="AF172" s="13">
        <v>3.0</v>
      </c>
      <c r="AG172" s="13">
        <v>3.0</v>
      </c>
      <c r="AH172" s="13" t="str">
        <f t="array" ref="AH172">IFERROR(INDEX(C$2:N$2, SMALL(IF(C$45:N$45=AG172, COLUMN(C$2:N$2)-COLUMN(C$2)+1), AF172)), "-")</f>
        <v>-</v>
      </c>
      <c r="AI172" s="13">
        <v>1.5</v>
      </c>
    </row>
    <row r="173" ht="15.75" customHeight="1">
      <c r="A173" s="491"/>
      <c r="AC173" s="346" t="s">
        <v>301</v>
      </c>
      <c r="AD173" s="365" t="s">
        <v>542</v>
      </c>
      <c r="AE173" s="365" t="s">
        <v>439</v>
      </c>
      <c r="AF173" s="13">
        <v>1.0</v>
      </c>
      <c r="AG173" s="13">
        <v>1.0</v>
      </c>
      <c r="AH173" s="13" t="str">
        <f t="array" ref="AH173">IFERROR(INDEX(C$2:N$2, SMALL(IF(C$47:N$47=AG173, COLUMN(C$2:N$2)-COLUMN(C$2)+1), AF173)), "-")</f>
        <v>GREEN</v>
      </c>
      <c r="AI173" s="13">
        <v>6.0</v>
      </c>
    </row>
    <row r="174" ht="15.75" customHeight="1">
      <c r="A174" s="491"/>
      <c r="AC174" s="346" t="s">
        <v>301</v>
      </c>
      <c r="AD174" s="365" t="s">
        <v>542</v>
      </c>
      <c r="AE174" s="365" t="s">
        <v>439</v>
      </c>
      <c r="AF174" s="13">
        <v>2.0</v>
      </c>
      <c r="AG174" s="13">
        <v>1.0</v>
      </c>
      <c r="AH174" s="13" t="str">
        <f t="array" ref="AH174">IFERROR(INDEX(C$2:N$2, SMALL(IF(C$47:N$47=AG174, COLUMN(C$2:N$2)-COLUMN(C$2)+1), AF174)), "-")</f>
        <v>-</v>
      </c>
      <c r="AI174" s="13">
        <v>6.0</v>
      </c>
    </row>
    <row r="175" ht="15.75" customHeight="1">
      <c r="A175" s="491"/>
      <c r="AC175" s="346" t="s">
        <v>301</v>
      </c>
      <c r="AD175" s="365" t="s">
        <v>542</v>
      </c>
      <c r="AE175" s="365" t="s">
        <v>439</v>
      </c>
      <c r="AF175" s="13">
        <v>3.0</v>
      </c>
      <c r="AG175" s="13">
        <v>1.0</v>
      </c>
      <c r="AH175" s="13" t="str">
        <f t="array" ref="AH175">IFERROR(INDEX(C$2:N$2, SMALL(IF(C$47:N$47=AG175, COLUMN(C$2:N$2)-COLUMN(C$2)+1), AF175)), "-")</f>
        <v>-</v>
      </c>
      <c r="AI175" s="13">
        <v>6.0</v>
      </c>
    </row>
    <row r="176" ht="15.75" customHeight="1">
      <c r="A176" s="491"/>
      <c r="AC176" s="346" t="s">
        <v>301</v>
      </c>
      <c r="AD176" s="365" t="s">
        <v>542</v>
      </c>
      <c r="AE176" s="365" t="s">
        <v>439</v>
      </c>
      <c r="AF176" s="13">
        <v>1.0</v>
      </c>
      <c r="AG176" s="13">
        <v>2.0</v>
      </c>
      <c r="AH176" s="13" t="str">
        <f t="array" ref="AH176">IFERROR(INDEX(C$2:N$2, SMALL(IF(C$47:N$47=AG176, COLUMN(C$2:N$2)-COLUMN(C$2)+1), AF176)), "-")</f>
        <v>YARDIES</v>
      </c>
      <c r="AI176" s="13">
        <v>3.0</v>
      </c>
    </row>
    <row r="177" ht="15.75" customHeight="1">
      <c r="A177" s="491"/>
      <c r="AC177" s="346" t="s">
        <v>301</v>
      </c>
      <c r="AD177" s="365" t="s">
        <v>542</v>
      </c>
      <c r="AE177" s="365" t="s">
        <v>439</v>
      </c>
      <c r="AF177" s="13">
        <v>2.0</v>
      </c>
      <c r="AG177" s="13">
        <v>2.0</v>
      </c>
      <c r="AH177" s="13" t="str">
        <f t="array" ref="AH177">IFERROR(INDEX(C$2:N$2, SMALL(IF(C$47:N$47=AG177, COLUMN(C$2:N$2)-COLUMN(C$2)+1), AF177)), "-")</f>
        <v>-</v>
      </c>
      <c r="AI177" s="13">
        <v>3.0</v>
      </c>
    </row>
    <row r="178" ht="15.75" customHeight="1">
      <c r="A178" s="491"/>
      <c r="AC178" s="346" t="s">
        <v>301</v>
      </c>
      <c r="AD178" s="365" t="s">
        <v>542</v>
      </c>
      <c r="AE178" s="365" t="s">
        <v>439</v>
      </c>
      <c r="AF178" s="13">
        <v>3.0</v>
      </c>
      <c r="AG178" s="13">
        <v>2.0</v>
      </c>
      <c r="AH178" s="13" t="str">
        <f t="array" ref="AH178">IFERROR(INDEX(C$2:N$2, SMALL(IF(C$47:N$47=AG178, COLUMN(C$2:N$2)-COLUMN(C$2)+1), AF178)), "-")</f>
        <v>-</v>
      </c>
      <c r="AI178" s="13">
        <v>3.0</v>
      </c>
    </row>
    <row r="179" ht="15.75" customHeight="1">
      <c r="A179" s="491"/>
      <c r="AC179" s="346" t="s">
        <v>301</v>
      </c>
      <c r="AD179" s="365" t="s">
        <v>542</v>
      </c>
      <c r="AE179" s="365" t="s">
        <v>439</v>
      </c>
      <c r="AF179" s="13">
        <v>1.0</v>
      </c>
      <c r="AG179" s="13">
        <v>3.0</v>
      </c>
      <c r="AH179" s="13" t="str">
        <f t="array" ref="AH179">IFERROR(INDEX(C$2:N$2, SMALL(IF(C$47:N$47=AG179, COLUMN(C$2:N$2)-COLUMN(C$2)+1), AF179)), "-")</f>
        <v>SAVAGES</v>
      </c>
      <c r="AI179" s="13">
        <v>1.5</v>
      </c>
    </row>
    <row r="180" ht="15.75" customHeight="1">
      <c r="A180" s="491"/>
      <c r="AC180" s="346" t="s">
        <v>301</v>
      </c>
      <c r="AD180" s="365" t="s">
        <v>542</v>
      </c>
      <c r="AE180" s="365" t="s">
        <v>439</v>
      </c>
      <c r="AF180" s="13">
        <v>2.0</v>
      </c>
      <c r="AG180" s="13">
        <v>3.0</v>
      </c>
      <c r="AH180" s="13" t="str">
        <f t="array" ref="AH180">IFERROR(INDEX(C$2:N$2, SMALL(IF(C$47:N$47=AG180, COLUMN(C$2:N$2)-COLUMN(C$2)+1), AF180)), "-")</f>
        <v>KINGS</v>
      </c>
      <c r="AI180" s="13">
        <v>1.5</v>
      </c>
    </row>
    <row r="181" ht="15.75" customHeight="1">
      <c r="A181" s="491"/>
      <c r="AC181" s="346" t="s">
        <v>301</v>
      </c>
      <c r="AD181" s="365" t="s">
        <v>542</v>
      </c>
      <c r="AE181" s="365" t="s">
        <v>439</v>
      </c>
      <c r="AF181" s="13">
        <v>3.0</v>
      </c>
      <c r="AG181" s="13">
        <v>3.0</v>
      </c>
      <c r="AH181" s="13" t="str">
        <f t="array" ref="AH181">IFERROR(INDEX(C$2:N$2, SMALL(IF(C$47:N$47=AG181, COLUMN(C$2:N$2)-COLUMN(C$2)+1), AF181)), "-")</f>
        <v>METAMOOKDAWGS</v>
      </c>
      <c r="AI181" s="13">
        <v>1.0</v>
      </c>
    </row>
    <row r="182" ht="15.75" customHeight="1">
      <c r="A182" s="491"/>
      <c r="AC182" s="346" t="s">
        <v>301</v>
      </c>
      <c r="AD182" s="471" t="s">
        <v>317</v>
      </c>
      <c r="AE182" s="471" t="s">
        <v>439</v>
      </c>
      <c r="AF182" s="13">
        <v>1.0</v>
      </c>
      <c r="AG182" s="13">
        <v>1.0</v>
      </c>
      <c r="AH182" s="13" t="str">
        <f t="array" ref="AH182">IFERROR(INDEX(C$2:N$2, SMALL(IF(C$48:N$48=AG182, COLUMN(C$2:N$2)-COLUMN(C$2)+1), AF182)), "-")</f>
        <v>DECOUPES</v>
      </c>
      <c r="AI182" s="13">
        <v>1.0</v>
      </c>
    </row>
    <row r="183" ht="15.75" customHeight="1">
      <c r="A183" s="491"/>
      <c r="AC183" s="346" t="s">
        <v>301</v>
      </c>
      <c r="AD183" s="471" t="s">
        <v>317</v>
      </c>
      <c r="AE183" s="471" t="s">
        <v>439</v>
      </c>
      <c r="AF183" s="13">
        <v>2.0</v>
      </c>
      <c r="AG183" s="13">
        <v>1.0</v>
      </c>
      <c r="AH183" s="13" t="str">
        <f t="array" ref="AH183">IFERROR(INDEX(C$2:N$2, SMALL(IF(C$48:N$48=AG183, COLUMN(C$2:N$2)-COLUMN(C$2)+1), AF183)), "-")</f>
        <v>-</v>
      </c>
      <c r="AI183" s="13">
        <v>1.0</v>
      </c>
    </row>
    <row r="184" ht="15.75" customHeight="1">
      <c r="A184" s="491"/>
      <c r="AC184" s="346" t="s">
        <v>301</v>
      </c>
      <c r="AD184" s="471" t="s">
        <v>317</v>
      </c>
      <c r="AE184" s="471" t="s">
        <v>439</v>
      </c>
      <c r="AF184" s="13">
        <v>3.0</v>
      </c>
      <c r="AG184" s="13">
        <v>1.0</v>
      </c>
      <c r="AH184" s="13" t="str">
        <f t="array" ref="AH184">IFERROR(INDEX(C$2:N$2, SMALL(IF(C$48:N$48=AG184, COLUMN(C$2:N$2)-COLUMN(C$2)+1), AF184)), "-")</f>
        <v>-</v>
      </c>
      <c r="AI184" s="13">
        <v>1.0</v>
      </c>
    </row>
    <row r="185" ht="15.75" customHeight="1">
      <c r="A185" s="491"/>
      <c r="AC185" s="346" t="s">
        <v>301</v>
      </c>
      <c r="AD185" s="471" t="s">
        <v>317</v>
      </c>
      <c r="AE185" s="471" t="s">
        <v>439</v>
      </c>
      <c r="AF185" s="13">
        <v>1.0</v>
      </c>
      <c r="AG185" s="13">
        <v>2.0</v>
      </c>
      <c r="AH185" s="13" t="str">
        <f t="array" ref="AH185">IFERROR(INDEX(C$2:N$2, SMALL(IF(C$48:N$48=AG185, COLUMN(C$2:N$2)-COLUMN(C$2)+1), AF185)), "-")</f>
        <v>POPEYES</v>
      </c>
      <c r="AI185" s="13">
        <v>0.5</v>
      </c>
    </row>
    <row r="186" ht="15.75" customHeight="1">
      <c r="A186" s="491"/>
      <c r="AC186" s="346" t="s">
        <v>301</v>
      </c>
      <c r="AD186" s="471" t="s">
        <v>317</v>
      </c>
      <c r="AE186" s="471" t="s">
        <v>439</v>
      </c>
      <c r="AF186" s="13">
        <v>2.0</v>
      </c>
      <c r="AG186" s="13">
        <v>2.0</v>
      </c>
      <c r="AH186" s="13" t="str">
        <f t="array" ref="AH186">IFERROR(INDEX(C$2:N$2, SMALL(IF(C$48:N$48=AG186, COLUMN(C$2:N$2)-COLUMN(C$2)+1), AF186)), "-")</f>
        <v>GREEN</v>
      </c>
      <c r="AI186" s="13">
        <v>0.5</v>
      </c>
    </row>
    <row r="187" ht="15.75" customHeight="1">
      <c r="A187" s="491"/>
      <c r="AC187" s="346" t="s">
        <v>301</v>
      </c>
      <c r="AD187" s="471" t="s">
        <v>317</v>
      </c>
      <c r="AE187" s="471" t="s">
        <v>439</v>
      </c>
      <c r="AF187" s="13">
        <v>3.0</v>
      </c>
      <c r="AG187" s="13">
        <v>2.0</v>
      </c>
      <c r="AH187" s="13" t="str">
        <f t="array" ref="AH187">IFERROR(INDEX(C$2:N$2, SMALL(IF(C$48:N$48=AG187, COLUMN(C$2:N$2)-COLUMN(C$2)+1), AF187)), "-")</f>
        <v>CHAMPS</v>
      </c>
      <c r="AI187" s="13">
        <v>0.5</v>
      </c>
    </row>
    <row r="188" ht="15.75" customHeight="1">
      <c r="A188" s="491"/>
      <c r="AC188" s="346" t="s">
        <v>301</v>
      </c>
      <c r="AD188" s="471" t="s">
        <v>317</v>
      </c>
      <c r="AE188" s="471" t="s">
        <v>439</v>
      </c>
      <c r="AF188" s="13">
        <v>1.0</v>
      </c>
      <c r="AG188" s="13">
        <v>3.0</v>
      </c>
      <c r="AH188" s="13" t="str">
        <f t="array" ref="AH188">IFERROR(INDEX(C$2:N$2, SMALL(IF(C$48:N$48=AG188, COLUMN(C$2:N$2)-COLUMN(C$2)+1), AF188)), "-")</f>
        <v>-</v>
      </c>
      <c r="AI188" s="13">
        <v>0.25</v>
      </c>
    </row>
    <row r="189" ht="15.75" customHeight="1">
      <c r="A189" s="491"/>
      <c r="AC189" s="346" t="s">
        <v>301</v>
      </c>
      <c r="AD189" s="471" t="s">
        <v>317</v>
      </c>
      <c r="AE189" s="471" t="s">
        <v>439</v>
      </c>
      <c r="AF189" s="13">
        <v>2.0</v>
      </c>
      <c r="AG189" s="13">
        <v>3.0</v>
      </c>
      <c r="AH189" s="13" t="str">
        <f t="array" ref="AH189">IFERROR(INDEX(C$2:N$2, SMALL(IF(C$48:N$48=AG189, COLUMN(C$2:N$2)-COLUMN(C$2)+1), AF189)), "-")</f>
        <v>-</v>
      </c>
      <c r="AI189" s="13">
        <v>0.25</v>
      </c>
    </row>
    <row r="190" ht="15.75" customHeight="1">
      <c r="A190" s="491"/>
      <c r="AC190" s="346" t="s">
        <v>301</v>
      </c>
      <c r="AD190" s="471" t="s">
        <v>317</v>
      </c>
      <c r="AE190" s="471" t="s">
        <v>439</v>
      </c>
      <c r="AF190" s="13">
        <v>3.0</v>
      </c>
      <c r="AG190" s="13">
        <v>3.0</v>
      </c>
      <c r="AH190" s="13" t="str">
        <f t="array" ref="AH190">IFERROR(INDEX(C$2:N$2, SMALL(IF(C$48:N$48=AG190, COLUMN(C$2:N$2)-COLUMN(C$2)+1), AF190)), "-")</f>
        <v>-</v>
      </c>
      <c r="AI190" s="13">
        <v>0.25</v>
      </c>
    </row>
    <row r="191" ht="15.75" customHeight="1">
      <c r="A191" s="491"/>
      <c r="AC191" s="346" t="s">
        <v>301</v>
      </c>
      <c r="AD191" s="365" t="s">
        <v>328</v>
      </c>
      <c r="AE191" s="365" t="s">
        <v>439</v>
      </c>
      <c r="AF191" s="13">
        <v>1.0</v>
      </c>
      <c r="AG191" s="13">
        <v>1.0</v>
      </c>
      <c r="AH191" s="13" t="str">
        <f t="array" ref="AH191">IFERROR(INDEX(C$2:N$2, SMALL(IF(C$49:N$49=AG191, COLUMN(C$2:N$2)-COLUMN(C$2)+1), AF191)), "-")</f>
        <v>DECOUPES</v>
      </c>
      <c r="AI191" s="13">
        <v>1.0</v>
      </c>
    </row>
    <row r="192" ht="15.75" customHeight="1">
      <c r="A192" s="491"/>
      <c r="AC192" s="346" t="s">
        <v>301</v>
      </c>
      <c r="AD192" s="365" t="s">
        <v>328</v>
      </c>
      <c r="AE192" s="365" t="s">
        <v>439</v>
      </c>
      <c r="AF192" s="13">
        <v>2.0</v>
      </c>
      <c r="AG192" s="13">
        <v>1.0</v>
      </c>
      <c r="AH192" s="13" t="str">
        <f t="array" ref="AH192">IFERROR(INDEX(C$2:N$2, SMALL(IF(C$49:N$49=AG192, COLUMN(C$2:N$2)-COLUMN(C$2)+1), AF192)), "-")</f>
        <v>-</v>
      </c>
      <c r="AI192" s="13">
        <v>1.0</v>
      </c>
    </row>
    <row r="193" ht="15.75" customHeight="1">
      <c r="A193" s="491"/>
      <c r="AC193" s="346" t="s">
        <v>301</v>
      </c>
      <c r="AD193" s="365" t="s">
        <v>328</v>
      </c>
      <c r="AE193" s="365" t="s">
        <v>439</v>
      </c>
      <c r="AF193" s="13">
        <v>3.0</v>
      </c>
      <c r="AG193" s="13">
        <v>1.0</v>
      </c>
      <c r="AH193" s="13" t="str">
        <f t="array" ref="AH193">IFERROR(INDEX(C$2:N$2, SMALL(IF(C$49:N$49=AG193, COLUMN(C$2:N$2)-COLUMN(C$2)+1), AF193)), "-")</f>
        <v>-</v>
      </c>
      <c r="AI193" s="13">
        <v>1.0</v>
      </c>
    </row>
    <row r="194" ht="15.75" customHeight="1">
      <c r="A194" s="491"/>
      <c r="AC194" s="346" t="s">
        <v>301</v>
      </c>
      <c r="AD194" s="365" t="s">
        <v>328</v>
      </c>
      <c r="AE194" s="365" t="s">
        <v>439</v>
      </c>
      <c r="AF194" s="13">
        <v>1.0</v>
      </c>
      <c r="AG194" s="13">
        <v>2.0</v>
      </c>
      <c r="AH194" s="13" t="str">
        <f t="array" ref="AH194">IFERROR(INDEX(C$2:N$2, SMALL(IF(C$49:N$49=AG194, COLUMN(C$2:N$2)-COLUMN(C$2)+1), AF194)), "-")</f>
        <v>POPEYES</v>
      </c>
      <c r="AI194" s="13">
        <v>0.5</v>
      </c>
    </row>
    <row r="195" ht="15.75" customHeight="1">
      <c r="A195" s="491"/>
      <c r="AC195" s="346" t="s">
        <v>301</v>
      </c>
      <c r="AD195" s="365" t="s">
        <v>328</v>
      </c>
      <c r="AE195" s="365" t="s">
        <v>439</v>
      </c>
      <c r="AF195" s="13">
        <v>2.0</v>
      </c>
      <c r="AG195" s="13">
        <v>2.0</v>
      </c>
      <c r="AH195" s="13" t="str">
        <f t="array" ref="AH195">IFERROR(INDEX(C$2:N$2, SMALL(IF(C$49:N$49=AG195, COLUMN(C$2:N$2)-COLUMN(C$2)+1), AF195)), "-")</f>
        <v>-</v>
      </c>
      <c r="AI195" s="13">
        <v>0.5</v>
      </c>
    </row>
    <row r="196" ht="15.75" customHeight="1">
      <c r="A196" s="491"/>
      <c r="AC196" s="346" t="s">
        <v>301</v>
      </c>
      <c r="AD196" s="365" t="s">
        <v>328</v>
      </c>
      <c r="AE196" s="365" t="s">
        <v>439</v>
      </c>
      <c r="AF196" s="13">
        <v>3.0</v>
      </c>
      <c r="AG196" s="13">
        <v>2.0</v>
      </c>
      <c r="AH196" s="13" t="str">
        <f t="array" ref="AH196">IFERROR(INDEX(C$2:N$2, SMALL(IF(C$49:N$49=AG196, COLUMN(C$2:N$2)-COLUMN(C$2)+1), AF196)), "-")</f>
        <v>-</v>
      </c>
      <c r="AI196" s="13">
        <v>0.5</v>
      </c>
    </row>
    <row r="197" ht="15.75" customHeight="1">
      <c r="A197" s="491"/>
      <c r="AC197" s="346" t="s">
        <v>301</v>
      </c>
      <c r="AD197" s="365" t="s">
        <v>328</v>
      </c>
      <c r="AE197" s="365" t="s">
        <v>439</v>
      </c>
      <c r="AF197" s="13">
        <v>1.0</v>
      </c>
      <c r="AG197" s="13">
        <v>3.0</v>
      </c>
      <c r="AH197" s="13" t="str">
        <f t="array" ref="AH197">IFERROR(INDEX(C$2:N$2, SMALL(IF(C$49:N$49=AG197, COLUMN(C$2:N$2)-COLUMN(C$2)+1), AF197)), "-")</f>
        <v>YARDIES</v>
      </c>
      <c r="AI197" s="13">
        <v>0.25</v>
      </c>
    </row>
    <row r="198" ht="15.75" customHeight="1">
      <c r="A198" s="491"/>
      <c r="AC198" s="346" t="s">
        <v>301</v>
      </c>
      <c r="AD198" s="365" t="s">
        <v>328</v>
      </c>
      <c r="AE198" s="365" t="s">
        <v>439</v>
      </c>
      <c r="AF198" s="13">
        <v>2.0</v>
      </c>
      <c r="AG198" s="13">
        <v>3.0</v>
      </c>
      <c r="AH198" s="13" t="str">
        <f t="array" ref="AH198">IFERROR(INDEX(C$2:N$2, SMALL(IF(C$49:N$49=AG198, COLUMN(C$2:N$2)-COLUMN(C$2)+1), AF198)), "-")</f>
        <v>-</v>
      </c>
      <c r="AI198" s="13">
        <v>0.25</v>
      </c>
    </row>
    <row r="199" ht="15.75" customHeight="1">
      <c r="A199" s="491"/>
      <c r="AC199" s="346" t="s">
        <v>301</v>
      </c>
      <c r="AD199" s="365" t="s">
        <v>328</v>
      </c>
      <c r="AE199" s="365" t="s">
        <v>439</v>
      </c>
      <c r="AF199" s="13">
        <v>3.0</v>
      </c>
      <c r="AG199" s="13">
        <v>3.0</v>
      </c>
      <c r="AH199" s="13" t="str">
        <f t="array" ref="AH199">IFERROR(INDEX(C$2:N$2, SMALL(IF(C$49:N$49=AG199, COLUMN(C$2:N$2)-COLUMN(C$2)+1), AF199)), "-")</f>
        <v>-</v>
      </c>
      <c r="AI199" s="13">
        <v>0.25</v>
      </c>
    </row>
    <row r="200" ht="15.75" customHeight="1">
      <c r="A200" s="491"/>
      <c r="AC200" s="346" t="s">
        <v>301</v>
      </c>
      <c r="AD200" s="698" t="s">
        <v>344</v>
      </c>
      <c r="AE200" s="698" t="s">
        <v>432</v>
      </c>
      <c r="AF200" s="13">
        <v>1.0</v>
      </c>
      <c r="AG200" s="13">
        <v>1.0</v>
      </c>
      <c r="AH200" s="13" t="str">
        <f t="array" ref="AH200">IFERROR(INDEX(C$2:N$2, SMALL(IF(C$51:N$51=AG200, COLUMN(C$2:N$2)-COLUMN(C$2)+1), AF200)), "-")</f>
        <v>YARDIES</v>
      </c>
      <c r="AI200" s="700">
        <v>6.0</v>
      </c>
    </row>
    <row r="201" ht="15.75" customHeight="1">
      <c r="A201" s="491"/>
      <c r="AC201" s="346" t="s">
        <v>301</v>
      </c>
      <c r="AD201" s="698" t="s">
        <v>344</v>
      </c>
      <c r="AE201" s="698" t="s">
        <v>432</v>
      </c>
      <c r="AF201" s="13">
        <v>2.0</v>
      </c>
      <c r="AG201" s="13">
        <v>1.0</v>
      </c>
      <c r="AH201" s="13" t="str">
        <f t="array" ref="AH201">IFERROR(INDEX(C$2:N$2, SMALL(IF(C$51:N$51=AG201, COLUMN(C$2:N$2)-COLUMN(C$2)+1), AF201)), "-")</f>
        <v>-</v>
      </c>
      <c r="AI201" s="700">
        <v>6.0</v>
      </c>
    </row>
    <row r="202" ht="15.75" customHeight="1">
      <c r="A202" s="491"/>
      <c r="AC202" s="346" t="s">
        <v>301</v>
      </c>
      <c r="AD202" s="698" t="s">
        <v>344</v>
      </c>
      <c r="AE202" s="698" t="s">
        <v>432</v>
      </c>
      <c r="AF202" s="13">
        <v>3.0</v>
      </c>
      <c r="AG202" s="13">
        <v>1.0</v>
      </c>
      <c r="AH202" s="13" t="str">
        <f t="array" ref="AH202">IFERROR(INDEX(C$2:N$2, SMALL(IF(C$51:N$51=AG202, COLUMN(C$2:N$2)-COLUMN(C$2)+1), AF202)), "-")</f>
        <v>-</v>
      </c>
      <c r="AI202" s="700">
        <v>6.0</v>
      </c>
    </row>
    <row r="203" ht="15.75" customHeight="1">
      <c r="A203" s="491"/>
      <c r="AC203" s="346" t="s">
        <v>301</v>
      </c>
      <c r="AD203" s="698" t="s">
        <v>344</v>
      </c>
      <c r="AE203" s="698" t="s">
        <v>432</v>
      </c>
      <c r="AF203" s="13">
        <v>1.0</v>
      </c>
      <c r="AG203" s="13">
        <v>2.0</v>
      </c>
      <c r="AH203" s="13" t="str">
        <f t="array" ref="AH203">IFERROR(INDEX(C$2:N$2, SMALL(IF(C$51:N$51=AG203, COLUMN(C$2:N$2)-COLUMN(C$2)+1), AF203)), "-")</f>
        <v>GREEN</v>
      </c>
      <c r="AI203" s="700">
        <v>3.0</v>
      </c>
    </row>
    <row r="204" ht="15.75" customHeight="1">
      <c r="A204" s="491"/>
      <c r="AC204" s="346" t="s">
        <v>301</v>
      </c>
      <c r="AD204" s="698" t="s">
        <v>344</v>
      </c>
      <c r="AE204" s="698" t="s">
        <v>432</v>
      </c>
      <c r="AF204" s="13">
        <v>2.0</v>
      </c>
      <c r="AG204" s="13">
        <v>2.0</v>
      </c>
      <c r="AH204" s="13" t="str">
        <f t="array" ref="AH204">IFERROR(INDEX(C$2:N$2, SMALL(IF(C$51:N$51=AG204, COLUMN(C$2:N$2)-COLUMN(C$2)+1), AF204)), "-")</f>
        <v>-</v>
      </c>
      <c r="AI204" s="700">
        <v>3.0</v>
      </c>
    </row>
    <row r="205" ht="15.75" customHeight="1">
      <c r="A205" s="491"/>
      <c r="AC205" s="346" t="s">
        <v>301</v>
      </c>
      <c r="AD205" s="698" t="s">
        <v>344</v>
      </c>
      <c r="AE205" s="698" t="s">
        <v>432</v>
      </c>
      <c r="AF205" s="13">
        <v>3.0</v>
      </c>
      <c r="AG205" s="13">
        <v>2.0</v>
      </c>
      <c r="AH205" s="13" t="str">
        <f t="array" ref="AH205">IFERROR(INDEX(C$2:N$2, SMALL(IF(C$51:N$51=AG205, COLUMN(C$2:N$2)-COLUMN(C$2)+1), AF205)), "-")</f>
        <v>-</v>
      </c>
      <c r="AI205" s="700">
        <v>3.0</v>
      </c>
    </row>
    <row r="206" ht="15.75" customHeight="1">
      <c r="A206" s="491"/>
      <c r="AC206" s="346" t="s">
        <v>301</v>
      </c>
      <c r="AD206" s="698" t="s">
        <v>344</v>
      </c>
      <c r="AE206" s="698" t="s">
        <v>432</v>
      </c>
      <c r="AF206" s="13">
        <v>1.0</v>
      </c>
      <c r="AG206" s="13">
        <v>3.0</v>
      </c>
      <c r="AH206" s="13" t="str">
        <f t="array" ref="AH206">IFERROR(INDEX(C$2:N$2, SMALL(IF(C$51:N$51=AG206, COLUMN(C$2:N$2)-COLUMN(C$2)+1), AF206)), "-")</f>
        <v>POPEYES</v>
      </c>
      <c r="AI206" s="700">
        <v>1.5</v>
      </c>
    </row>
    <row r="207" ht="15.75" customHeight="1">
      <c r="A207" s="491"/>
      <c r="AC207" s="346" t="s">
        <v>301</v>
      </c>
      <c r="AD207" s="698" t="s">
        <v>344</v>
      </c>
      <c r="AE207" s="698" t="s">
        <v>432</v>
      </c>
      <c r="AF207" s="13">
        <v>2.0</v>
      </c>
      <c r="AG207" s="13">
        <v>3.0</v>
      </c>
      <c r="AH207" s="13" t="str">
        <f t="array" ref="AH207">IFERROR(INDEX(C$2:N$2, SMALL(IF(C$51:N$51=AG207, COLUMN(C$2:N$2)-COLUMN(C$2)+1), AF207)), "-")</f>
        <v>-</v>
      </c>
      <c r="AI207" s="700">
        <v>1.5</v>
      </c>
    </row>
    <row r="208" ht="15.75" customHeight="1">
      <c r="A208" s="491"/>
      <c r="AC208" s="346" t="s">
        <v>301</v>
      </c>
      <c r="AD208" s="698" t="s">
        <v>344</v>
      </c>
      <c r="AE208" s="698" t="s">
        <v>432</v>
      </c>
      <c r="AF208" s="13">
        <v>3.0</v>
      </c>
      <c r="AG208" s="13">
        <v>3.0</v>
      </c>
      <c r="AH208" s="13" t="str">
        <f t="array" ref="AH208">IFERROR(INDEX(C$2:N$2, SMALL(IF(C$51:N$51=AG208, COLUMN(C$2:N$2)-COLUMN(C$2)+1), AF208)), "-")</f>
        <v>-</v>
      </c>
      <c r="AI208" s="700">
        <v>1.5</v>
      </c>
    </row>
    <row r="209" ht="15.75" customHeight="1">
      <c r="A209" s="491"/>
      <c r="AC209" s="346" t="s">
        <v>301</v>
      </c>
      <c r="AD209" s="471" t="s">
        <v>351</v>
      </c>
      <c r="AE209" s="471" t="s">
        <v>439</v>
      </c>
      <c r="AF209" s="13">
        <v>1.0</v>
      </c>
      <c r="AG209" s="13">
        <v>1.0</v>
      </c>
      <c r="AH209" s="13" t="str">
        <f t="array" ref="AH209">IFERROR(INDEX(C$2:N$2, SMALL(IF(C$52:N$52=AG209, COLUMN(C$2:N$2)-COLUMN(C$2)+1), AF209)), "-")</f>
        <v>GREEN</v>
      </c>
      <c r="AI209" s="13">
        <v>4.0</v>
      </c>
    </row>
    <row r="210" ht="15.75" customHeight="1">
      <c r="A210" s="491"/>
      <c r="AC210" s="346" t="s">
        <v>301</v>
      </c>
      <c r="AD210" s="471" t="s">
        <v>351</v>
      </c>
      <c r="AE210" s="471" t="s">
        <v>439</v>
      </c>
      <c r="AF210" s="13">
        <v>2.0</v>
      </c>
      <c r="AG210" s="13">
        <v>1.0</v>
      </c>
      <c r="AH210" s="13" t="str">
        <f t="array" ref="AH210">IFERROR(INDEX(C$2:N$2, SMALL(IF(C$52:N$52=AG210, COLUMN(C$2:N$2)-COLUMN(C$2)+1), AF210)), "-")</f>
        <v>KINGS</v>
      </c>
      <c r="AI210" s="13">
        <v>4.0</v>
      </c>
    </row>
    <row r="211" ht="15.75" customHeight="1">
      <c r="A211" s="491"/>
      <c r="AC211" s="346" t="s">
        <v>301</v>
      </c>
      <c r="AD211" s="471" t="s">
        <v>351</v>
      </c>
      <c r="AE211" s="471" t="s">
        <v>439</v>
      </c>
      <c r="AF211" s="13">
        <v>3.0</v>
      </c>
      <c r="AG211" s="13">
        <v>1.0</v>
      </c>
      <c r="AH211" s="13" t="str">
        <f t="array" ref="AH211">IFERROR(INDEX(C$2:N$2, SMALL(IF(C$52:N$52=AG211, COLUMN(C$2:N$2)-COLUMN(C$2)+1), AF211)), "-")</f>
        <v>-</v>
      </c>
      <c r="AI211" s="13">
        <v>4.0</v>
      </c>
    </row>
    <row r="212" ht="15.75" customHeight="1">
      <c r="A212" s="491"/>
      <c r="AC212" s="346" t="s">
        <v>301</v>
      </c>
      <c r="AD212" s="471" t="s">
        <v>351</v>
      </c>
      <c r="AE212" s="471" t="s">
        <v>439</v>
      </c>
      <c r="AF212" s="13">
        <v>4.0</v>
      </c>
      <c r="AG212" s="13">
        <v>1.0</v>
      </c>
      <c r="AH212" s="13" t="str">
        <f t="array" ref="AH212">IFERROR(INDEX(C$2:N$2, SMALL(IF(C$52:N$52=AG212, COLUMN(C$2:N$2)-COLUMN(C$2)+1), AF212)), "-")</f>
        <v>-</v>
      </c>
      <c r="AI212" s="13">
        <v>4.0</v>
      </c>
    </row>
    <row r="213" ht="15.75" customHeight="1">
      <c r="A213" s="491"/>
      <c r="AC213" s="346" t="s">
        <v>301</v>
      </c>
      <c r="AD213" s="471" t="s">
        <v>351</v>
      </c>
      <c r="AE213" s="471" t="s">
        <v>439</v>
      </c>
      <c r="AF213" s="13">
        <v>5.0</v>
      </c>
      <c r="AG213" s="13">
        <v>1.0</v>
      </c>
      <c r="AH213" s="13" t="str">
        <f t="array" ref="AH213">IFERROR(INDEX(C$2:N$2, SMALL(IF(C$52:N$52=AG213, COLUMN(C$2:N$2)-COLUMN(C$2)+1), AF213)), "-")</f>
        <v>-</v>
      </c>
      <c r="AI213" s="13">
        <v>4.0</v>
      </c>
    </row>
    <row r="214" ht="15.75" customHeight="1">
      <c r="A214" s="491"/>
      <c r="AC214" s="346" t="s">
        <v>301</v>
      </c>
      <c r="AD214" s="471" t="s">
        <v>351</v>
      </c>
      <c r="AE214" s="471" t="s">
        <v>439</v>
      </c>
      <c r="AF214" s="13">
        <v>6.0</v>
      </c>
      <c r="AG214" s="13">
        <v>1.0</v>
      </c>
      <c r="AH214" s="13" t="str">
        <f t="array" ref="AH214">IFERROR(INDEX(C$2:N$2, SMALL(IF(C$52:N$52=AG214, COLUMN(C$2:N$2)-COLUMN(C$2)+1), AF214)), "-")</f>
        <v>-</v>
      </c>
      <c r="AI214" s="13">
        <v>4.0</v>
      </c>
    </row>
    <row r="215" ht="15.75" customHeight="1">
      <c r="A215" s="491"/>
      <c r="AC215" s="346" t="s">
        <v>301</v>
      </c>
      <c r="AD215" s="471" t="s">
        <v>351</v>
      </c>
      <c r="AE215" s="471" t="s">
        <v>439</v>
      </c>
      <c r="AF215" s="13">
        <v>7.0</v>
      </c>
      <c r="AG215" s="13">
        <v>1.0</v>
      </c>
      <c r="AH215" s="13" t="str">
        <f t="array" ref="AH215">IFERROR(INDEX(C$2:N$2, SMALL(IF(C$52:N$52=AG215, COLUMN(C$2:N$2)-COLUMN(C$2)+1), AF215)), "-")</f>
        <v>-</v>
      </c>
      <c r="AI215" s="13">
        <v>4.0</v>
      </c>
    </row>
    <row r="216" ht="15.75" customHeight="1">
      <c r="A216" s="491"/>
      <c r="AC216" s="346" t="s">
        <v>301</v>
      </c>
      <c r="AD216" s="471" t="s">
        <v>351</v>
      </c>
      <c r="AE216" s="471" t="s">
        <v>439</v>
      </c>
      <c r="AF216" s="13">
        <v>8.0</v>
      </c>
      <c r="AG216" s="13">
        <v>1.0</v>
      </c>
      <c r="AH216" s="13" t="str">
        <f t="array" ref="AH216">IFERROR(INDEX(C$2:N$2, SMALL(IF(C$52:N$52=AG216, COLUMN(C$2:N$2)-COLUMN(C$2)+1), AF216)), "-")</f>
        <v>-</v>
      </c>
      <c r="AI216" s="13">
        <v>4.0</v>
      </c>
    </row>
    <row r="217" ht="15.75" customHeight="1">
      <c r="A217" s="491"/>
      <c r="AC217" s="346" t="s">
        <v>301</v>
      </c>
      <c r="AD217" s="471" t="s">
        <v>351</v>
      </c>
      <c r="AE217" s="471" t="s">
        <v>439</v>
      </c>
      <c r="AF217" s="13">
        <v>9.0</v>
      </c>
      <c r="AG217" s="13">
        <v>1.0</v>
      </c>
      <c r="AH217" s="13" t="str">
        <f t="array" ref="AH217">IFERROR(INDEX(C$2:N$2, SMALL(IF(C$52:N$52=AG217, COLUMN(C$2:N$2)-COLUMN(C$2)+1), AF217)), "-")</f>
        <v>-</v>
      </c>
      <c r="AI217" s="13">
        <v>4.0</v>
      </c>
    </row>
    <row r="218" ht="15.75" customHeight="1">
      <c r="A218" s="491"/>
      <c r="AC218" s="346" t="s">
        <v>301</v>
      </c>
      <c r="AD218" s="471" t="s">
        <v>351</v>
      </c>
      <c r="AE218" s="471" t="s">
        <v>439</v>
      </c>
      <c r="AF218" s="13">
        <v>10.0</v>
      </c>
      <c r="AG218" s="13">
        <v>1.0</v>
      </c>
      <c r="AH218" s="13" t="str">
        <f t="array" ref="AH218">IFERROR(INDEX(C$2:N$2, SMALL(IF(C$52:N$52=AG218, COLUMN(C$2:N$2)-COLUMN(C$2)+1), AF218)), "-")</f>
        <v>-</v>
      </c>
      <c r="AI218" s="13">
        <v>4.0</v>
      </c>
    </row>
    <row r="219" ht="15.75" customHeight="1">
      <c r="A219" s="491"/>
      <c r="AC219" s="346" t="s">
        <v>301</v>
      </c>
      <c r="AD219" s="471" t="s">
        <v>351</v>
      </c>
      <c r="AE219" s="471" t="s">
        <v>439</v>
      </c>
      <c r="AF219" s="13">
        <v>1.0</v>
      </c>
      <c r="AG219" s="13">
        <v>2.0</v>
      </c>
      <c r="AH219" s="13" t="str">
        <f t="array" ref="AH219">IFERROR(INDEX(C$2:N$2, SMALL(IF(C$52:N$52=AG219, COLUMN(C$2:N$2)-COLUMN(C$2)+1), AF219)), "-")</f>
        <v>-</v>
      </c>
      <c r="AI219" s="13">
        <v>2.0</v>
      </c>
    </row>
    <row r="220" ht="15.75" customHeight="1">
      <c r="A220" s="491"/>
      <c r="AC220" s="346" t="s">
        <v>301</v>
      </c>
      <c r="AD220" s="471" t="s">
        <v>351</v>
      </c>
      <c r="AE220" s="471" t="s">
        <v>439</v>
      </c>
      <c r="AF220" s="13">
        <v>2.0</v>
      </c>
      <c r="AG220" s="13">
        <v>2.0</v>
      </c>
      <c r="AH220" s="13" t="str">
        <f t="array" ref="AH220">IFERROR(INDEX(C$2:N$2, SMALL(IF(C$52:N$52=AG220, COLUMN(C$2:N$2)-COLUMN(C$2)+1), AF220)), "-")</f>
        <v>-</v>
      </c>
      <c r="AI220" s="13">
        <v>2.0</v>
      </c>
    </row>
    <row r="221" ht="15.75" customHeight="1">
      <c r="A221" s="491"/>
      <c r="AC221" s="346" t="s">
        <v>301</v>
      </c>
      <c r="AD221" s="471" t="s">
        <v>351</v>
      </c>
      <c r="AE221" s="471" t="s">
        <v>439</v>
      </c>
      <c r="AF221" s="13">
        <v>3.0</v>
      </c>
      <c r="AG221" s="13">
        <v>2.0</v>
      </c>
      <c r="AH221" s="13" t="str">
        <f t="array" ref="AH221">IFERROR(INDEX(C$2:N$2, SMALL(IF(C$52:N$52=AG221, COLUMN(C$2:N$2)-COLUMN(C$2)+1), AF221)), "-")</f>
        <v>-</v>
      </c>
      <c r="AI221" s="13">
        <v>2.0</v>
      </c>
    </row>
    <row r="222" ht="15.75" customHeight="1">
      <c r="A222" s="491"/>
      <c r="AC222" s="346" t="s">
        <v>301</v>
      </c>
      <c r="AD222" s="471" t="s">
        <v>351</v>
      </c>
      <c r="AE222" s="471" t="s">
        <v>439</v>
      </c>
      <c r="AF222" s="13">
        <v>4.0</v>
      </c>
      <c r="AG222" s="13">
        <v>2.0</v>
      </c>
      <c r="AH222" s="13" t="str">
        <f t="array" ref="AH222">IFERROR(INDEX(C$2:N$2, SMALL(IF(C$52:N$52=AG222, COLUMN(C$2:N$2)-COLUMN(C$2)+1), AF222)), "-")</f>
        <v>-</v>
      </c>
      <c r="AI222" s="13">
        <v>2.0</v>
      </c>
    </row>
    <row r="223" ht="15.75" customHeight="1">
      <c r="A223" s="491"/>
      <c r="AC223" s="346" t="s">
        <v>301</v>
      </c>
      <c r="AD223" s="471" t="s">
        <v>351</v>
      </c>
      <c r="AE223" s="471" t="s">
        <v>439</v>
      </c>
      <c r="AF223" s="13">
        <v>5.0</v>
      </c>
      <c r="AG223" s="13">
        <v>2.0</v>
      </c>
      <c r="AH223" s="13" t="str">
        <f t="array" ref="AH223">IFERROR(INDEX(C$2:N$2, SMALL(IF(C$52:N$52=AG223, COLUMN(C$2:N$2)-COLUMN(C$2)+1), AF223)), "-")</f>
        <v>-</v>
      </c>
      <c r="AI223" s="13">
        <v>2.0</v>
      </c>
    </row>
    <row r="224" ht="15.75" customHeight="1">
      <c r="A224" s="491"/>
      <c r="AC224" s="346" t="s">
        <v>301</v>
      </c>
      <c r="AD224" s="471" t="s">
        <v>351</v>
      </c>
      <c r="AE224" s="471" t="s">
        <v>439</v>
      </c>
      <c r="AF224" s="13">
        <v>6.0</v>
      </c>
      <c r="AG224" s="13">
        <v>2.0</v>
      </c>
      <c r="AH224" s="13" t="str">
        <f t="array" ref="AH224">IFERROR(INDEX(C$2:N$2, SMALL(IF(C$52:N$52=AG224, COLUMN(C$2:N$2)-COLUMN(C$2)+1), AF224)), "-")</f>
        <v>-</v>
      </c>
      <c r="AI224" s="13">
        <v>2.0</v>
      </c>
    </row>
    <row r="225" ht="15.75" customHeight="1">
      <c r="A225" s="491"/>
      <c r="AC225" s="346" t="s">
        <v>301</v>
      </c>
      <c r="AD225" s="471" t="s">
        <v>351</v>
      </c>
      <c r="AE225" s="471" t="s">
        <v>439</v>
      </c>
      <c r="AF225" s="13">
        <v>7.0</v>
      </c>
      <c r="AG225" s="13">
        <v>2.0</v>
      </c>
      <c r="AH225" s="13" t="str">
        <f t="array" ref="AH225">IFERROR(INDEX(C$2:N$2, SMALL(IF(C$52:N$52=AG225, COLUMN(C$2:N$2)-COLUMN(C$2)+1), AF225)), "-")</f>
        <v>-</v>
      </c>
      <c r="AI225" s="13">
        <v>2.0</v>
      </c>
    </row>
    <row r="226" ht="15.75" customHeight="1">
      <c r="A226" s="491"/>
      <c r="AC226" s="346" t="s">
        <v>301</v>
      </c>
      <c r="AD226" s="471" t="s">
        <v>351</v>
      </c>
      <c r="AE226" s="471" t="s">
        <v>439</v>
      </c>
      <c r="AF226" s="13">
        <v>8.0</v>
      </c>
      <c r="AG226" s="13">
        <v>2.0</v>
      </c>
      <c r="AH226" s="13" t="str">
        <f t="array" ref="AH226">IFERROR(INDEX(C$2:N$2, SMALL(IF(C$52:N$52=AG226, COLUMN(C$2:N$2)-COLUMN(C$2)+1), AF226)), "-")</f>
        <v>-</v>
      </c>
      <c r="AI226" s="13">
        <v>2.0</v>
      </c>
    </row>
    <row r="227" ht="15.75" customHeight="1">
      <c r="A227" s="491"/>
      <c r="AC227" s="346" t="s">
        <v>301</v>
      </c>
      <c r="AD227" s="471" t="s">
        <v>351</v>
      </c>
      <c r="AE227" s="471" t="s">
        <v>439</v>
      </c>
      <c r="AF227" s="13">
        <v>9.0</v>
      </c>
      <c r="AG227" s="13">
        <v>2.0</v>
      </c>
      <c r="AH227" s="13" t="str">
        <f t="array" ref="AH227">IFERROR(INDEX(C$2:N$2, SMALL(IF(C$52:N$52=AG227, COLUMN(C$2:N$2)-COLUMN(C$2)+1), AF227)), "-")</f>
        <v>-</v>
      </c>
      <c r="AI227" s="13">
        <v>2.0</v>
      </c>
    </row>
    <row r="228" ht="15.75" customHeight="1">
      <c r="A228" s="491"/>
      <c r="AC228" s="346" t="s">
        <v>301</v>
      </c>
      <c r="AD228" s="471" t="s">
        <v>351</v>
      </c>
      <c r="AE228" s="471" t="s">
        <v>439</v>
      </c>
      <c r="AF228" s="13">
        <v>10.0</v>
      </c>
      <c r="AG228" s="13">
        <v>2.0</v>
      </c>
      <c r="AH228" s="13" t="str">
        <f t="array" ref="AH228">IFERROR(INDEX(C$2:N$2, SMALL(IF(C$52:N$52=AG228, COLUMN(C$2:N$2)-COLUMN(C$2)+1), AF228)), "-")</f>
        <v>-</v>
      </c>
      <c r="AI228" s="13">
        <v>2.0</v>
      </c>
    </row>
    <row r="229" ht="15.75" customHeight="1">
      <c r="A229" s="491"/>
      <c r="AC229" s="346" t="s">
        <v>301</v>
      </c>
      <c r="AD229" s="471" t="s">
        <v>351</v>
      </c>
      <c r="AE229" s="471" t="s">
        <v>439</v>
      </c>
      <c r="AF229" s="13">
        <v>1.0</v>
      </c>
      <c r="AG229" s="13">
        <v>3.0</v>
      </c>
      <c r="AH229" s="13" t="str">
        <f t="array" ref="AH229">IFERROR(INDEX(C$2:N$2, SMALL(IF(C$52:N$52=AG229, COLUMN(C$2:N$2)-COLUMN(C$2)+1), AF229)), "-")</f>
        <v>DECOUPES</v>
      </c>
      <c r="AI229" s="13">
        <v>1.0</v>
      </c>
    </row>
    <row r="230" ht="15.75" customHeight="1">
      <c r="A230" s="491"/>
      <c r="AC230" s="346" t="s">
        <v>301</v>
      </c>
      <c r="AD230" s="471" t="s">
        <v>351</v>
      </c>
      <c r="AE230" s="471" t="s">
        <v>439</v>
      </c>
      <c r="AF230" s="13">
        <v>2.0</v>
      </c>
      <c r="AG230" s="13">
        <v>3.0</v>
      </c>
      <c r="AH230" s="13" t="str">
        <f t="array" ref="AH230">IFERROR(INDEX(C$2:N$2, SMALL(IF(C$52:N$52=AG230, COLUMN(C$2:N$2)-COLUMN(C$2)+1), AF230)), "-")</f>
        <v>-</v>
      </c>
      <c r="AI230" s="13">
        <v>1.0</v>
      </c>
    </row>
    <row r="231" ht="15.75" customHeight="1">
      <c r="A231" s="491"/>
      <c r="AC231" s="346" t="s">
        <v>301</v>
      </c>
      <c r="AD231" s="471" t="s">
        <v>351</v>
      </c>
      <c r="AE231" s="471" t="s">
        <v>439</v>
      </c>
      <c r="AF231" s="13">
        <v>3.0</v>
      </c>
      <c r="AG231" s="13">
        <v>3.0</v>
      </c>
      <c r="AH231" s="13" t="str">
        <f t="array" ref="AH231">IFERROR(INDEX(C$2:N$2, SMALL(IF(C$52:N$52=AG231, COLUMN(C$2:N$2)-COLUMN(C$2)+1), AF231)), "-")</f>
        <v>-</v>
      </c>
      <c r="AI231" s="13">
        <v>1.0</v>
      </c>
    </row>
    <row r="232" ht="15.75" customHeight="1">
      <c r="A232" s="491"/>
      <c r="AC232" s="346" t="s">
        <v>301</v>
      </c>
      <c r="AD232" s="471" t="s">
        <v>351</v>
      </c>
      <c r="AE232" s="471" t="s">
        <v>439</v>
      </c>
      <c r="AF232" s="13">
        <v>4.0</v>
      </c>
      <c r="AG232" s="13">
        <v>3.0</v>
      </c>
      <c r="AH232" s="13" t="str">
        <f t="array" ref="AH232">IFERROR(INDEX(C$2:N$2, SMALL(IF(C$52:N$52=AG232, COLUMN(C$2:N$2)-COLUMN(C$2)+1), AF232)), "-")</f>
        <v>-</v>
      </c>
      <c r="AI232" s="13">
        <v>1.0</v>
      </c>
    </row>
    <row r="233" ht="15.75" customHeight="1">
      <c r="A233" s="491"/>
      <c r="AC233" s="346" t="s">
        <v>301</v>
      </c>
      <c r="AD233" s="471" t="s">
        <v>351</v>
      </c>
      <c r="AE233" s="471" t="s">
        <v>439</v>
      </c>
      <c r="AF233" s="13">
        <v>5.0</v>
      </c>
      <c r="AG233" s="13">
        <v>3.0</v>
      </c>
      <c r="AH233" s="13" t="str">
        <f t="array" ref="AH233">IFERROR(INDEX(C$2:N$2, SMALL(IF(C$52:N$52=AG233, COLUMN(C$2:N$2)-COLUMN(C$2)+1), AF233)), "-")</f>
        <v>-</v>
      </c>
      <c r="AI233" s="13">
        <v>1.0</v>
      </c>
    </row>
    <row r="234" ht="15.75" customHeight="1">
      <c r="A234" s="491"/>
      <c r="AC234" s="346" t="s">
        <v>301</v>
      </c>
      <c r="AD234" s="471" t="s">
        <v>351</v>
      </c>
      <c r="AE234" s="471" t="s">
        <v>439</v>
      </c>
      <c r="AF234" s="13">
        <v>6.0</v>
      </c>
      <c r="AG234" s="13">
        <v>3.0</v>
      </c>
      <c r="AH234" s="13" t="str">
        <f t="array" ref="AH234">IFERROR(INDEX(C$2:N$2, SMALL(IF(C$52:N$52=AG234, COLUMN(C$2:N$2)-COLUMN(C$2)+1), AF234)), "-")</f>
        <v>-</v>
      </c>
      <c r="AI234" s="13">
        <v>1.0</v>
      </c>
    </row>
    <row r="235" ht="15.75" customHeight="1">
      <c r="A235" s="491"/>
      <c r="AC235" s="346" t="s">
        <v>301</v>
      </c>
      <c r="AD235" s="471" t="s">
        <v>351</v>
      </c>
      <c r="AE235" s="471" t="s">
        <v>439</v>
      </c>
      <c r="AF235" s="13">
        <v>7.0</v>
      </c>
      <c r="AG235" s="13">
        <v>3.0</v>
      </c>
      <c r="AH235" s="13" t="str">
        <f t="array" ref="AH235">IFERROR(INDEX(C$2:N$2, SMALL(IF(C$52:N$52=AG235, COLUMN(C$2:N$2)-COLUMN(C$2)+1), AF235)), "-")</f>
        <v>-</v>
      </c>
      <c r="AI235" s="13">
        <v>1.0</v>
      </c>
    </row>
    <row r="236" ht="15.75" customHeight="1">
      <c r="A236" s="491"/>
      <c r="AC236" s="346" t="s">
        <v>301</v>
      </c>
      <c r="AD236" s="471" t="s">
        <v>351</v>
      </c>
      <c r="AE236" s="471" t="s">
        <v>439</v>
      </c>
      <c r="AF236" s="13">
        <v>8.0</v>
      </c>
      <c r="AG236" s="13">
        <v>3.0</v>
      </c>
      <c r="AH236" s="13" t="str">
        <f t="array" ref="AH236">IFERROR(INDEX(C$2:N$2, SMALL(IF(C$52:N$52=AG236, COLUMN(C$2:N$2)-COLUMN(C$2)+1), AF236)), "-")</f>
        <v>-</v>
      </c>
      <c r="AI236" s="13">
        <v>1.0</v>
      </c>
    </row>
    <row r="237" ht="15.75" customHeight="1">
      <c r="A237" s="491"/>
      <c r="AC237" s="346" t="s">
        <v>301</v>
      </c>
      <c r="AD237" s="471" t="s">
        <v>351</v>
      </c>
      <c r="AE237" s="471" t="s">
        <v>439</v>
      </c>
      <c r="AF237" s="13">
        <v>9.0</v>
      </c>
      <c r="AG237" s="13">
        <v>3.0</v>
      </c>
      <c r="AH237" s="13" t="str">
        <f t="array" ref="AH237">IFERROR(INDEX(C$2:N$2, SMALL(IF(C$52:N$52=AG237, COLUMN(C$2:N$2)-COLUMN(C$2)+1), AF237)), "-")</f>
        <v>-</v>
      </c>
      <c r="AI237" s="13">
        <v>1.0</v>
      </c>
    </row>
    <row r="238" ht="15.75" customHeight="1">
      <c r="A238" s="491"/>
      <c r="AC238" s="346" t="s">
        <v>301</v>
      </c>
      <c r="AD238" s="471" t="s">
        <v>351</v>
      </c>
      <c r="AE238" s="471" t="s">
        <v>439</v>
      </c>
      <c r="AF238" s="13">
        <v>10.0</v>
      </c>
      <c r="AG238" s="13">
        <v>3.0</v>
      </c>
      <c r="AH238" s="13" t="str">
        <f t="array" ref="AH238">IFERROR(INDEX(C$2:N$2, SMALL(IF(C$52:N$52=AG238, COLUMN(C$2:N$2)-COLUMN(C$2)+1), AF238)), "-")</f>
        <v>-</v>
      </c>
      <c r="AI238" s="13">
        <v>1.0</v>
      </c>
    </row>
    <row r="239" ht="15.75" customHeight="1">
      <c r="A239" s="491"/>
      <c r="AC239" s="346" t="s">
        <v>301</v>
      </c>
      <c r="AD239" s="365" t="s">
        <v>366</v>
      </c>
      <c r="AE239" s="365" t="s">
        <v>439</v>
      </c>
      <c r="AF239" s="13">
        <v>1.0</v>
      </c>
      <c r="AG239" s="13">
        <v>1.0</v>
      </c>
      <c r="AH239" s="13" t="str">
        <f t="array" ref="AH239">IFERROR(INDEX(C$2:N$2, SMALL(IF(C$53:N$53=AG239, COLUMN(C$2:N$2)-COLUMN(C$2)+1), AF239)), "-")</f>
        <v>KINGS</v>
      </c>
      <c r="AI239" s="13">
        <v>4.0</v>
      </c>
    </row>
    <row r="240" ht="15.75" customHeight="1">
      <c r="A240" s="491"/>
      <c r="AC240" s="346" t="s">
        <v>301</v>
      </c>
      <c r="AD240" s="365" t="s">
        <v>366</v>
      </c>
      <c r="AE240" s="365" t="s">
        <v>439</v>
      </c>
      <c r="AF240" s="13">
        <v>2.0</v>
      </c>
      <c r="AG240" s="13">
        <v>1.0</v>
      </c>
      <c r="AH240" s="13" t="str">
        <f t="array" ref="AH240">IFERROR(INDEX(C$2:N$2, SMALL(IF(C$53:N$53=AG240, COLUMN(C$2:N$2)-COLUMN(C$2)+1), AF240)), "-")</f>
        <v>EAGLES</v>
      </c>
      <c r="AI240" s="13">
        <v>4.0</v>
      </c>
    </row>
    <row r="241" ht="15.75" customHeight="1">
      <c r="A241" s="491"/>
      <c r="AC241" s="346" t="s">
        <v>301</v>
      </c>
      <c r="AD241" s="365" t="s">
        <v>366</v>
      </c>
      <c r="AE241" s="365" t="s">
        <v>439</v>
      </c>
      <c r="AF241" s="13">
        <v>3.0</v>
      </c>
      <c r="AG241" s="13">
        <v>1.0</v>
      </c>
      <c r="AH241" s="13" t="str">
        <f t="array" ref="AH241">IFERROR(INDEX(C$2:N$2, SMALL(IF(C$53:N$53=AG241, COLUMN(C$2:N$2)-COLUMN(C$2)+1), AF241)), "-")</f>
        <v>-</v>
      </c>
      <c r="AI241" s="13">
        <v>4.0</v>
      </c>
    </row>
    <row r="242" ht="15.75" customHeight="1">
      <c r="A242" s="491"/>
      <c r="AC242" s="346" t="s">
        <v>301</v>
      </c>
      <c r="AD242" s="365" t="s">
        <v>366</v>
      </c>
      <c r="AE242" s="365" t="s">
        <v>439</v>
      </c>
      <c r="AF242" s="13">
        <v>4.0</v>
      </c>
      <c r="AG242" s="13">
        <v>1.0</v>
      </c>
      <c r="AH242" s="13" t="str">
        <f t="array" ref="AH242">IFERROR(INDEX(C$2:N$2, SMALL(IF(C$53:N$53=AG242, COLUMN(C$2:N$2)-COLUMN(C$2)+1), AF242)), "-")</f>
        <v>-</v>
      </c>
      <c r="AI242" s="13">
        <v>4.0</v>
      </c>
    </row>
    <row r="243" ht="15.75" customHeight="1">
      <c r="A243" s="491"/>
      <c r="AC243" s="346" t="s">
        <v>301</v>
      </c>
      <c r="AD243" s="365" t="s">
        <v>366</v>
      </c>
      <c r="AE243" s="365" t="s">
        <v>439</v>
      </c>
      <c r="AF243" s="13">
        <v>5.0</v>
      </c>
      <c r="AG243" s="13">
        <v>1.0</v>
      </c>
      <c r="AH243" s="13" t="str">
        <f t="array" ref="AH243">IFERROR(INDEX(C$2:N$2, SMALL(IF(C$53:N$53=AG243, COLUMN(C$2:N$2)-COLUMN(C$2)+1), AF243)), "-")</f>
        <v>-</v>
      </c>
      <c r="AI243" s="13">
        <v>4.0</v>
      </c>
    </row>
    <row r="244" ht="15.75" customHeight="1">
      <c r="A244" s="491"/>
      <c r="AC244" s="346" t="s">
        <v>301</v>
      </c>
      <c r="AD244" s="365" t="s">
        <v>366</v>
      </c>
      <c r="AE244" s="365" t="s">
        <v>439</v>
      </c>
      <c r="AF244" s="13">
        <v>6.0</v>
      </c>
      <c r="AG244" s="13">
        <v>1.0</v>
      </c>
      <c r="AH244" s="13" t="str">
        <f t="array" ref="AH244">IFERROR(INDEX(C$2:N$2, SMALL(IF(C$53:N$53=AG244, COLUMN(C$2:N$2)-COLUMN(C$2)+1), AF244)), "-")</f>
        <v>-</v>
      </c>
      <c r="AI244" s="13">
        <v>4.0</v>
      </c>
    </row>
    <row r="245" ht="15.75" customHeight="1">
      <c r="A245" s="491"/>
      <c r="AC245" s="346" t="s">
        <v>301</v>
      </c>
      <c r="AD245" s="365" t="s">
        <v>366</v>
      </c>
      <c r="AE245" s="365" t="s">
        <v>439</v>
      </c>
      <c r="AF245" s="13">
        <v>7.0</v>
      </c>
      <c r="AG245" s="13">
        <v>1.0</v>
      </c>
      <c r="AH245" s="13" t="str">
        <f t="array" ref="AH245">IFERROR(INDEX(C$2:N$2, SMALL(IF(C$53:N$53=AG245, COLUMN(C$2:N$2)-COLUMN(C$2)+1), AF245)), "-")</f>
        <v>-</v>
      </c>
      <c r="AI245" s="13">
        <v>4.0</v>
      </c>
    </row>
    <row r="246" ht="15.75" customHeight="1">
      <c r="A246" s="491"/>
      <c r="AC246" s="346" t="s">
        <v>301</v>
      </c>
      <c r="AD246" s="365" t="s">
        <v>366</v>
      </c>
      <c r="AE246" s="365" t="s">
        <v>439</v>
      </c>
      <c r="AF246" s="13">
        <v>8.0</v>
      </c>
      <c r="AG246" s="13">
        <v>1.0</v>
      </c>
      <c r="AH246" s="13" t="str">
        <f t="array" ref="AH246">IFERROR(INDEX(C$2:N$2, SMALL(IF(C$53:N$53=AG246, COLUMN(C$2:N$2)-COLUMN(C$2)+1), AF246)), "-")</f>
        <v>-</v>
      </c>
      <c r="AI246" s="13">
        <v>4.0</v>
      </c>
    </row>
    <row r="247" ht="15.75" customHeight="1">
      <c r="A247" s="491"/>
      <c r="AC247" s="346" t="s">
        <v>301</v>
      </c>
      <c r="AD247" s="365" t="s">
        <v>366</v>
      </c>
      <c r="AE247" s="365" t="s">
        <v>439</v>
      </c>
      <c r="AF247" s="13">
        <v>9.0</v>
      </c>
      <c r="AG247" s="13">
        <v>1.0</v>
      </c>
      <c r="AH247" s="13" t="str">
        <f t="array" ref="AH247">IFERROR(INDEX(C$2:N$2, SMALL(IF(C$53:N$53=AG247, COLUMN(C$2:N$2)-COLUMN(C$2)+1), AF247)), "-")</f>
        <v>-</v>
      </c>
      <c r="AI247" s="13">
        <v>4.0</v>
      </c>
    </row>
    <row r="248" ht="15.75" customHeight="1">
      <c r="A248" s="491"/>
      <c r="AC248" s="346" t="s">
        <v>301</v>
      </c>
      <c r="AD248" s="365" t="s">
        <v>366</v>
      </c>
      <c r="AE248" s="365" t="s">
        <v>439</v>
      </c>
      <c r="AF248" s="13">
        <v>10.0</v>
      </c>
      <c r="AG248" s="13">
        <v>1.0</v>
      </c>
      <c r="AH248" s="13" t="str">
        <f t="array" ref="AH248">IFERROR(INDEX(C$2:N$2, SMALL(IF(C$53:N$53=AG248, COLUMN(C$2:N$2)-COLUMN(C$2)+1), AF248)), "-")</f>
        <v>-</v>
      </c>
      <c r="AI248" s="13">
        <v>4.0</v>
      </c>
    </row>
    <row r="249" ht="15.75" customHeight="1">
      <c r="A249" s="491"/>
      <c r="AC249" s="346" t="s">
        <v>301</v>
      </c>
      <c r="AD249" s="365" t="s">
        <v>366</v>
      </c>
      <c r="AE249" s="365" t="s">
        <v>439</v>
      </c>
      <c r="AF249" s="13">
        <v>1.0</v>
      </c>
      <c r="AG249" s="13">
        <v>2.0</v>
      </c>
      <c r="AH249" s="13" t="str">
        <f t="array" ref="AH249">IFERROR(INDEX(C$2:N$2, SMALL(IF(C$53:N$53=AG249, COLUMN(C$2:N$2)-COLUMN(C$2)+1), AF249)), "-")</f>
        <v>-</v>
      </c>
      <c r="AI249" s="13">
        <v>2.0</v>
      </c>
    </row>
    <row r="250" ht="15.75" customHeight="1">
      <c r="A250" s="491"/>
      <c r="AC250" s="346" t="s">
        <v>301</v>
      </c>
      <c r="AD250" s="365" t="s">
        <v>366</v>
      </c>
      <c r="AE250" s="365" t="s">
        <v>439</v>
      </c>
      <c r="AF250" s="13">
        <v>2.0</v>
      </c>
      <c r="AG250" s="13">
        <v>2.0</v>
      </c>
      <c r="AH250" s="13" t="str">
        <f t="array" ref="AH250">IFERROR(INDEX(C$2:N$2, SMALL(IF(C$53:N$53=AG250, COLUMN(C$2:N$2)-COLUMN(C$2)+1), AF250)), "-")</f>
        <v>-</v>
      </c>
      <c r="AI250" s="13">
        <v>2.0</v>
      </c>
    </row>
    <row r="251" ht="15.75" customHeight="1">
      <c r="A251" s="491"/>
      <c r="AC251" s="346" t="s">
        <v>301</v>
      </c>
      <c r="AD251" s="365" t="s">
        <v>366</v>
      </c>
      <c r="AE251" s="365" t="s">
        <v>439</v>
      </c>
      <c r="AF251" s="13">
        <v>3.0</v>
      </c>
      <c r="AG251" s="13">
        <v>2.0</v>
      </c>
      <c r="AH251" s="13" t="str">
        <f t="array" ref="AH251">IFERROR(INDEX(C$2:N$2, SMALL(IF(C$53:N$53=AG251, COLUMN(C$2:N$2)-COLUMN(C$2)+1), AF251)), "-")</f>
        <v>-</v>
      </c>
      <c r="AI251" s="13">
        <v>2.0</v>
      </c>
    </row>
    <row r="252" ht="15.75" customHeight="1">
      <c r="A252" s="491"/>
      <c r="AC252" s="346" t="s">
        <v>301</v>
      </c>
      <c r="AD252" s="365" t="s">
        <v>366</v>
      </c>
      <c r="AE252" s="365" t="s">
        <v>439</v>
      </c>
      <c r="AF252" s="13">
        <v>4.0</v>
      </c>
      <c r="AG252" s="13">
        <v>2.0</v>
      </c>
      <c r="AH252" s="13" t="str">
        <f t="array" ref="AH252">IFERROR(INDEX(C$2:N$2, SMALL(IF(C$53:N$53=AG252, COLUMN(C$2:N$2)-COLUMN(C$2)+1), AF252)), "-")</f>
        <v>-</v>
      </c>
      <c r="AI252" s="13">
        <v>2.0</v>
      </c>
    </row>
    <row r="253" ht="15.75" customHeight="1">
      <c r="A253" s="491"/>
      <c r="AC253" s="346" t="s">
        <v>301</v>
      </c>
      <c r="AD253" s="365" t="s">
        <v>366</v>
      </c>
      <c r="AE253" s="365" t="s">
        <v>439</v>
      </c>
      <c r="AF253" s="13">
        <v>5.0</v>
      </c>
      <c r="AG253" s="13">
        <v>2.0</v>
      </c>
      <c r="AH253" s="13" t="str">
        <f t="array" ref="AH253">IFERROR(INDEX(C$2:N$2, SMALL(IF(C$53:N$53=AG253, COLUMN(C$2:N$2)-COLUMN(C$2)+1), AF253)), "-")</f>
        <v>-</v>
      </c>
      <c r="AI253" s="13">
        <v>2.0</v>
      </c>
    </row>
    <row r="254" ht="15.75" customHeight="1">
      <c r="A254" s="491"/>
      <c r="AC254" s="346" t="s">
        <v>301</v>
      </c>
      <c r="AD254" s="365" t="s">
        <v>366</v>
      </c>
      <c r="AE254" s="365" t="s">
        <v>439</v>
      </c>
      <c r="AF254" s="13">
        <v>6.0</v>
      </c>
      <c r="AG254" s="13">
        <v>2.0</v>
      </c>
      <c r="AH254" s="13" t="str">
        <f t="array" ref="AH254">IFERROR(INDEX(C$2:N$2, SMALL(IF(C$53:N$53=AG254, COLUMN(C$2:N$2)-COLUMN(C$2)+1), AF254)), "-")</f>
        <v>-</v>
      </c>
      <c r="AI254" s="13">
        <v>2.0</v>
      </c>
    </row>
    <row r="255" ht="15.75" customHeight="1">
      <c r="A255" s="491"/>
      <c r="AC255" s="346" t="s">
        <v>301</v>
      </c>
      <c r="AD255" s="365" t="s">
        <v>366</v>
      </c>
      <c r="AE255" s="365" t="s">
        <v>439</v>
      </c>
      <c r="AF255" s="13">
        <v>7.0</v>
      </c>
      <c r="AG255" s="13">
        <v>2.0</v>
      </c>
      <c r="AH255" s="13" t="str">
        <f t="array" ref="AH255">IFERROR(INDEX(C$2:N$2, SMALL(IF(C$53:N$53=AG255, COLUMN(C$2:N$2)-COLUMN(C$2)+1), AF255)), "-")</f>
        <v>-</v>
      </c>
      <c r="AI255" s="13">
        <v>2.0</v>
      </c>
    </row>
    <row r="256" ht="15.75" customHeight="1">
      <c r="A256" s="491"/>
      <c r="AC256" s="346" t="s">
        <v>301</v>
      </c>
      <c r="AD256" s="365" t="s">
        <v>366</v>
      </c>
      <c r="AE256" s="365" t="s">
        <v>439</v>
      </c>
      <c r="AF256" s="13">
        <v>8.0</v>
      </c>
      <c r="AG256" s="13">
        <v>2.0</v>
      </c>
      <c r="AH256" s="13" t="str">
        <f t="array" ref="AH256">IFERROR(INDEX(C$2:N$2, SMALL(IF(C$53:N$53=AG256, COLUMN(C$2:N$2)-COLUMN(C$2)+1), AF256)), "-")</f>
        <v>-</v>
      </c>
      <c r="AI256" s="13">
        <v>2.0</v>
      </c>
    </row>
    <row r="257" ht="15.75" customHeight="1">
      <c r="A257" s="491"/>
      <c r="AC257" s="346" t="s">
        <v>301</v>
      </c>
      <c r="AD257" s="365" t="s">
        <v>366</v>
      </c>
      <c r="AE257" s="365" t="s">
        <v>439</v>
      </c>
      <c r="AF257" s="13">
        <v>9.0</v>
      </c>
      <c r="AG257" s="13">
        <v>2.0</v>
      </c>
      <c r="AH257" s="13" t="str">
        <f t="array" ref="AH257">IFERROR(INDEX(C$2:N$2, SMALL(IF(C$53:N$53=AG257, COLUMN(C$2:N$2)-COLUMN(C$2)+1), AF257)), "-")</f>
        <v>-</v>
      </c>
      <c r="AI257" s="13">
        <v>2.0</v>
      </c>
    </row>
    <row r="258" ht="15.75" customHeight="1">
      <c r="A258" s="491"/>
      <c r="AC258" s="346" t="s">
        <v>301</v>
      </c>
      <c r="AD258" s="365" t="s">
        <v>366</v>
      </c>
      <c r="AE258" s="365" t="s">
        <v>439</v>
      </c>
      <c r="AF258" s="13">
        <v>10.0</v>
      </c>
      <c r="AG258" s="13">
        <v>2.0</v>
      </c>
      <c r="AH258" s="13" t="str">
        <f t="array" ref="AH258">IFERROR(INDEX(C$2:N$2, SMALL(IF(C$53:N$53=AG258, COLUMN(C$2:N$2)-COLUMN(C$2)+1), AF258)), "-")</f>
        <v>-</v>
      </c>
      <c r="AI258" s="13">
        <v>2.0</v>
      </c>
    </row>
    <row r="259" ht="15.75" customHeight="1">
      <c r="A259" s="491"/>
      <c r="AC259" s="346" t="s">
        <v>301</v>
      </c>
      <c r="AD259" s="365" t="s">
        <v>366</v>
      </c>
      <c r="AE259" s="365" t="s">
        <v>439</v>
      </c>
      <c r="AF259" s="13">
        <v>1.0</v>
      </c>
      <c r="AG259" s="13">
        <v>3.0</v>
      </c>
      <c r="AH259" s="13" t="str">
        <f t="array" ref="AH259">IFERROR(INDEX(C$2:N$2, SMALL(IF(C$53:N$53=AG259, COLUMN(C$2:N$2)-COLUMN(C$2)+1), AF259)), "-")</f>
        <v>DECOUPES</v>
      </c>
      <c r="AI259" s="13">
        <v>1.0</v>
      </c>
    </row>
    <row r="260" ht="15.75" customHeight="1">
      <c r="A260" s="491"/>
      <c r="AC260" s="346" t="s">
        <v>301</v>
      </c>
      <c r="AD260" s="365" t="s">
        <v>366</v>
      </c>
      <c r="AE260" s="365" t="s">
        <v>439</v>
      </c>
      <c r="AF260" s="13">
        <v>2.0</v>
      </c>
      <c r="AG260" s="13">
        <v>3.0</v>
      </c>
      <c r="AH260" s="13" t="str">
        <f t="array" ref="AH260">IFERROR(INDEX(C$2:N$2, SMALL(IF(C$53:N$53=AG260, COLUMN(C$2:N$2)-COLUMN(C$2)+1), AF260)), "-")</f>
        <v>METAMOOKDAWGS</v>
      </c>
      <c r="AI260" s="13">
        <v>1.0</v>
      </c>
    </row>
    <row r="261" ht="15.75" customHeight="1">
      <c r="A261" s="491"/>
      <c r="AC261" s="346" t="s">
        <v>301</v>
      </c>
      <c r="AD261" s="365" t="s">
        <v>366</v>
      </c>
      <c r="AE261" s="365" t="s">
        <v>439</v>
      </c>
      <c r="AF261" s="13">
        <v>3.0</v>
      </c>
      <c r="AG261" s="13">
        <v>3.0</v>
      </c>
      <c r="AH261" s="13" t="str">
        <f t="array" ref="AH261">IFERROR(INDEX(C$2:N$2, SMALL(IF(C$53:N$53=AG261, COLUMN(C$2:N$2)-COLUMN(C$2)+1), AF261)), "-")</f>
        <v>-</v>
      </c>
      <c r="AI261" s="13">
        <v>1.0</v>
      </c>
    </row>
    <row r="262" ht="15.75" customHeight="1">
      <c r="A262" s="491"/>
      <c r="AC262" s="346" t="s">
        <v>301</v>
      </c>
      <c r="AD262" s="365" t="s">
        <v>366</v>
      </c>
      <c r="AE262" s="365" t="s">
        <v>439</v>
      </c>
      <c r="AF262" s="13">
        <v>4.0</v>
      </c>
      <c r="AG262" s="13">
        <v>3.0</v>
      </c>
      <c r="AH262" s="13" t="str">
        <f t="array" ref="AH262">IFERROR(INDEX(C$2:N$2, SMALL(IF(C$53:N$53=AG262, COLUMN(C$2:N$2)-COLUMN(C$2)+1), AF262)), "-")</f>
        <v>-</v>
      </c>
      <c r="AI262" s="13">
        <v>1.0</v>
      </c>
    </row>
    <row r="263" ht="15.75" customHeight="1">
      <c r="A263" s="491"/>
      <c r="AC263" s="346" t="s">
        <v>301</v>
      </c>
      <c r="AD263" s="365" t="s">
        <v>366</v>
      </c>
      <c r="AE263" s="365" t="s">
        <v>439</v>
      </c>
      <c r="AF263" s="13">
        <v>5.0</v>
      </c>
      <c r="AG263" s="13">
        <v>3.0</v>
      </c>
      <c r="AH263" s="13" t="str">
        <f t="array" ref="AH263">IFERROR(INDEX(C$2:N$2, SMALL(IF(C$53:N$53=AG263, COLUMN(C$2:N$2)-COLUMN(C$2)+1), AF263)), "-")</f>
        <v>-</v>
      </c>
      <c r="AI263" s="13">
        <v>1.0</v>
      </c>
    </row>
    <row r="264" ht="15.75" customHeight="1">
      <c r="A264" s="491"/>
      <c r="AC264" s="346" t="s">
        <v>301</v>
      </c>
      <c r="AD264" s="365" t="s">
        <v>366</v>
      </c>
      <c r="AE264" s="365" t="s">
        <v>439</v>
      </c>
      <c r="AF264" s="13">
        <v>6.0</v>
      </c>
      <c r="AG264" s="13">
        <v>3.0</v>
      </c>
      <c r="AH264" s="13" t="str">
        <f t="array" ref="AH264">IFERROR(INDEX(C$2:N$2, SMALL(IF(C$53:N$53=AG264, COLUMN(C$2:N$2)-COLUMN(C$2)+1), AF264)), "-")</f>
        <v>-</v>
      </c>
      <c r="AI264" s="13">
        <v>1.0</v>
      </c>
    </row>
    <row r="265" ht="15.75" customHeight="1">
      <c r="A265" s="491"/>
      <c r="AC265" s="346" t="s">
        <v>301</v>
      </c>
      <c r="AD265" s="365" t="s">
        <v>366</v>
      </c>
      <c r="AE265" s="365" t="s">
        <v>439</v>
      </c>
      <c r="AF265" s="13">
        <v>7.0</v>
      </c>
      <c r="AG265" s="13">
        <v>3.0</v>
      </c>
      <c r="AH265" s="13" t="str">
        <f t="array" ref="AH265">IFERROR(INDEX(C$2:N$2, SMALL(IF(C$53:N$53=AG265, COLUMN(C$2:N$2)-COLUMN(C$2)+1), AF265)), "-")</f>
        <v>-</v>
      </c>
      <c r="AI265" s="13">
        <v>1.0</v>
      </c>
    </row>
    <row r="266" ht="15.75" customHeight="1">
      <c r="A266" s="491"/>
      <c r="AC266" s="346" t="s">
        <v>301</v>
      </c>
      <c r="AD266" s="365" t="s">
        <v>366</v>
      </c>
      <c r="AE266" s="365" t="s">
        <v>439</v>
      </c>
      <c r="AF266" s="13">
        <v>8.0</v>
      </c>
      <c r="AG266" s="13">
        <v>3.0</v>
      </c>
      <c r="AH266" s="13" t="str">
        <f t="array" ref="AH266">IFERROR(INDEX(C$2:N$2, SMALL(IF(C$53:N$53=AG266, COLUMN(C$2:N$2)-COLUMN(C$2)+1), AF266)), "-")</f>
        <v>-</v>
      </c>
      <c r="AI266" s="13">
        <v>1.0</v>
      </c>
    </row>
    <row r="267" ht="15.75" customHeight="1">
      <c r="A267" s="491"/>
      <c r="AC267" s="346" t="s">
        <v>301</v>
      </c>
      <c r="AD267" s="365" t="s">
        <v>366</v>
      </c>
      <c r="AE267" s="365" t="s">
        <v>439</v>
      </c>
      <c r="AF267" s="13">
        <v>9.0</v>
      </c>
      <c r="AG267" s="13">
        <v>3.0</v>
      </c>
      <c r="AH267" s="13" t="str">
        <f t="array" ref="AH267">IFERROR(INDEX(C$2:N$2, SMALL(IF(C$53:N$53=AG267, COLUMN(C$2:N$2)-COLUMN(C$2)+1), AF267)), "-")</f>
        <v>-</v>
      </c>
      <c r="AI267" s="13">
        <v>1.0</v>
      </c>
    </row>
    <row r="268" ht="15.75" customHeight="1">
      <c r="A268" s="491"/>
      <c r="AC268" s="346" t="s">
        <v>301</v>
      </c>
      <c r="AD268" s="365" t="s">
        <v>366</v>
      </c>
      <c r="AE268" s="365" t="s">
        <v>439</v>
      </c>
      <c r="AF268" s="13">
        <v>10.0</v>
      </c>
      <c r="AG268" s="13">
        <v>3.0</v>
      </c>
      <c r="AH268" s="13" t="str">
        <f t="array" ref="AH268">IFERROR(INDEX(C$2:N$2, SMALL(IF(C$53:N$53=AG268, COLUMN(C$2:N$2)-COLUMN(C$2)+1), AF268)), "-")</f>
        <v>-</v>
      </c>
      <c r="AI268" s="13">
        <v>1.0</v>
      </c>
    </row>
    <row r="269" ht="15.75" customHeight="1">
      <c r="A269" s="491"/>
      <c r="AC269" s="346" t="s">
        <v>302</v>
      </c>
      <c r="AD269" s="471" t="s">
        <v>372</v>
      </c>
      <c r="AE269" s="471" t="s">
        <v>432</v>
      </c>
      <c r="AF269" s="13">
        <v>1.0</v>
      </c>
      <c r="AG269" s="13">
        <v>1.0</v>
      </c>
      <c r="AH269" s="13" t="str">
        <f t="array" ref="AH269">IFERROR(INDEX(C$2:N$2, SMALL(IF(C$54:N$54=AG269, COLUMN(C$2:N$2)-COLUMN(C$2)+1), AF269)), "-")</f>
        <v>GREEN</v>
      </c>
      <c r="AI269" s="13">
        <v>2.0</v>
      </c>
    </row>
    <row r="270" ht="15.75" customHeight="1">
      <c r="A270" s="491"/>
      <c r="AC270" s="346" t="s">
        <v>302</v>
      </c>
      <c r="AD270" s="471" t="s">
        <v>372</v>
      </c>
      <c r="AE270" s="471" t="s">
        <v>432</v>
      </c>
      <c r="AF270" s="13">
        <v>2.0</v>
      </c>
      <c r="AG270" s="13">
        <v>1.0</v>
      </c>
      <c r="AH270" s="13" t="str">
        <f t="array" ref="AH270">IFERROR(INDEX(C$2:N$2, SMALL(IF(C$54:N$54=AG270, COLUMN(C$2:N$2)-COLUMN(C$2)+1), AF270)), "-")</f>
        <v>-</v>
      </c>
      <c r="AI270" s="13">
        <v>2.0</v>
      </c>
    </row>
    <row r="271" ht="15.75" customHeight="1">
      <c r="A271" s="491"/>
      <c r="AC271" s="346" t="s">
        <v>302</v>
      </c>
      <c r="AD271" s="471" t="s">
        <v>372</v>
      </c>
      <c r="AE271" s="471" t="s">
        <v>432</v>
      </c>
      <c r="AF271" s="13">
        <v>3.0</v>
      </c>
      <c r="AG271" s="13">
        <v>1.0</v>
      </c>
      <c r="AH271" s="13" t="str">
        <f t="array" ref="AH271">IFERROR(INDEX(C$2:N$2, SMALL(IF(C$54:N$54=AG271, COLUMN(C$2:N$2)-COLUMN(C$2)+1), AF271)), "-")</f>
        <v>-</v>
      </c>
      <c r="AI271" s="13">
        <v>2.0</v>
      </c>
    </row>
    <row r="272" ht="15.75" customHeight="1">
      <c r="A272" s="491"/>
      <c r="AC272" s="346" t="s">
        <v>302</v>
      </c>
      <c r="AD272" s="471" t="s">
        <v>372</v>
      </c>
      <c r="AE272" s="471" t="s">
        <v>432</v>
      </c>
      <c r="AF272" s="13">
        <v>4.0</v>
      </c>
      <c r="AG272" s="13">
        <v>1.0</v>
      </c>
      <c r="AH272" s="13" t="str">
        <f t="array" ref="AH272">IFERROR(INDEX(C$2:N$2, SMALL(IF(C$54:N$54=AG272, COLUMN(C$2:N$2)-COLUMN(C$2)+1), AF272)), "-")</f>
        <v>-</v>
      </c>
      <c r="AI272" s="13">
        <v>2.0</v>
      </c>
    </row>
    <row r="273" ht="15.75" customHeight="1">
      <c r="A273" s="491"/>
      <c r="AC273" s="346" t="s">
        <v>302</v>
      </c>
      <c r="AD273" s="471" t="s">
        <v>372</v>
      </c>
      <c r="AE273" s="471" t="s">
        <v>432</v>
      </c>
      <c r="AF273" s="13">
        <v>5.0</v>
      </c>
      <c r="AG273" s="13">
        <v>1.0</v>
      </c>
      <c r="AH273" s="13" t="str">
        <f t="array" ref="AH273">IFERROR(INDEX(C$2:N$2, SMALL(IF(C$54:N$54=AG273, COLUMN(C$2:N$2)-COLUMN(C$2)+1), AF273)), "-")</f>
        <v>-</v>
      </c>
      <c r="AI273" s="13">
        <v>2.0</v>
      </c>
    </row>
    <row r="274" ht="15.75" customHeight="1">
      <c r="A274" s="491"/>
      <c r="AC274" s="346" t="s">
        <v>302</v>
      </c>
      <c r="AD274" s="471" t="s">
        <v>372</v>
      </c>
      <c r="AE274" s="471" t="s">
        <v>432</v>
      </c>
      <c r="AF274" s="13">
        <v>6.0</v>
      </c>
      <c r="AG274" s="13">
        <v>1.0</v>
      </c>
      <c r="AH274" s="13" t="str">
        <f t="array" ref="AH274">IFERROR(INDEX(C$2:N$2, SMALL(IF(C$54:N$54=AG274, COLUMN(C$2:N$2)-COLUMN(C$2)+1), AF274)), "-")</f>
        <v>-</v>
      </c>
      <c r="AI274" s="13">
        <v>2.0</v>
      </c>
    </row>
    <row r="275" ht="15.75" customHeight="1">
      <c r="A275" s="491"/>
      <c r="AC275" s="346" t="s">
        <v>302</v>
      </c>
      <c r="AD275" s="471" t="s">
        <v>372</v>
      </c>
      <c r="AE275" s="471" t="s">
        <v>432</v>
      </c>
      <c r="AF275" s="13">
        <v>7.0</v>
      </c>
      <c r="AG275" s="13">
        <v>1.0</v>
      </c>
      <c r="AH275" s="13" t="str">
        <f t="array" ref="AH275">IFERROR(INDEX(C$2:N$2, SMALL(IF(C$54:N$54=AG275, COLUMN(C$2:N$2)-COLUMN(C$2)+1), AF275)), "-")</f>
        <v>-</v>
      </c>
      <c r="AI275" s="13">
        <v>2.0</v>
      </c>
    </row>
    <row r="276" ht="15.75" customHeight="1">
      <c r="A276" s="491"/>
      <c r="AC276" s="346" t="s">
        <v>302</v>
      </c>
      <c r="AD276" s="471" t="s">
        <v>372</v>
      </c>
      <c r="AE276" s="471" t="s">
        <v>432</v>
      </c>
      <c r="AF276" s="13">
        <v>8.0</v>
      </c>
      <c r="AG276" s="13">
        <v>1.0</v>
      </c>
      <c r="AH276" s="13" t="str">
        <f t="array" ref="AH276">IFERROR(INDEX(C$2:N$2, SMALL(IF(C$54:N$54=AG276, COLUMN(C$2:N$2)-COLUMN(C$2)+1), AF276)), "-")</f>
        <v>-</v>
      </c>
      <c r="AI276" s="13">
        <v>2.0</v>
      </c>
    </row>
    <row r="277" ht="15.75" customHeight="1">
      <c r="A277" s="491"/>
      <c r="AC277" s="346" t="s">
        <v>302</v>
      </c>
      <c r="AD277" s="471" t="s">
        <v>372</v>
      </c>
      <c r="AE277" s="471" t="s">
        <v>432</v>
      </c>
      <c r="AF277" s="13">
        <v>9.0</v>
      </c>
      <c r="AG277" s="13">
        <v>1.0</v>
      </c>
      <c r="AH277" s="13" t="str">
        <f t="array" ref="AH277">IFERROR(INDEX(C$2:N$2, SMALL(IF(C$54:N$54=AG277, COLUMN(C$2:N$2)-COLUMN(C$2)+1), AF277)), "-")</f>
        <v>-</v>
      </c>
      <c r="AI277" s="13">
        <v>2.0</v>
      </c>
    </row>
    <row r="278" ht="15.75" customHeight="1">
      <c r="A278" s="491"/>
      <c r="AC278" s="346" t="s">
        <v>302</v>
      </c>
      <c r="AD278" s="471" t="s">
        <v>372</v>
      </c>
      <c r="AE278" s="471" t="s">
        <v>432</v>
      </c>
      <c r="AF278" s="13">
        <v>10.0</v>
      </c>
      <c r="AG278" s="13">
        <v>1.0</v>
      </c>
      <c r="AH278" s="13" t="str">
        <f t="array" ref="AH278">IFERROR(INDEX(C$2:N$2, SMALL(IF(C$54:N$54=AG278, COLUMN(C$2:N$2)-COLUMN(C$2)+1), AF278)), "-")</f>
        <v>-</v>
      </c>
      <c r="AI278" s="13">
        <v>2.0</v>
      </c>
    </row>
    <row r="279" ht="15.75" customHeight="1">
      <c r="A279" s="491"/>
      <c r="AC279" s="346" t="s">
        <v>302</v>
      </c>
      <c r="AD279" s="731" t="s">
        <v>450</v>
      </c>
      <c r="AE279" s="731" t="s">
        <v>432</v>
      </c>
      <c r="AF279" s="13">
        <v>1.0</v>
      </c>
      <c r="AG279" s="13">
        <v>1.0</v>
      </c>
      <c r="AH279" s="13" t="str">
        <f t="array" ref="AH279">IFERROR(INDEX(C$2:N$2, SMALL(IF(C$55:N$55=AG279, COLUMN(C$2:N$2)-COLUMN(C$2)+1), AF279)), "-")</f>
        <v>GREEN</v>
      </c>
      <c r="AI279" s="13">
        <v>1.0</v>
      </c>
    </row>
    <row r="280" ht="15.75" customHeight="1">
      <c r="A280" s="491"/>
      <c r="AC280" s="346" t="s">
        <v>302</v>
      </c>
      <c r="AD280" s="731" t="s">
        <v>450</v>
      </c>
      <c r="AE280" s="731" t="s">
        <v>432</v>
      </c>
      <c r="AF280" s="13">
        <v>2.0</v>
      </c>
      <c r="AG280" s="13">
        <v>1.0</v>
      </c>
      <c r="AH280" s="13" t="str">
        <f t="array" ref="AH280">IFERROR(INDEX(C$2:N$2, SMALL(IF(C$55:N$55=AG280, COLUMN(C$2:N$2)-COLUMN(C$2)+1), AF280)), "-")</f>
        <v>-</v>
      </c>
      <c r="AI280" s="13">
        <v>1.0</v>
      </c>
    </row>
    <row r="281" ht="15.75" customHeight="1">
      <c r="A281" s="491"/>
      <c r="AC281" s="346" t="s">
        <v>302</v>
      </c>
      <c r="AD281" s="731" t="s">
        <v>450</v>
      </c>
      <c r="AE281" s="731" t="s">
        <v>432</v>
      </c>
      <c r="AF281" s="13">
        <v>3.0</v>
      </c>
      <c r="AG281" s="13">
        <v>1.0</v>
      </c>
      <c r="AH281" s="13" t="str">
        <f t="array" ref="AH281">IFERROR(INDEX(C$2:N$2, SMALL(IF(C$55:N$55=AG281, COLUMN(C$2:N$2)-COLUMN(C$2)+1), AF281)), "-")</f>
        <v>-</v>
      </c>
      <c r="AI281" s="13">
        <v>1.0</v>
      </c>
    </row>
    <row r="282" ht="15.75" customHeight="1">
      <c r="A282" s="491"/>
      <c r="AC282" s="346" t="s">
        <v>302</v>
      </c>
      <c r="AD282" s="731" t="s">
        <v>450</v>
      </c>
      <c r="AE282" s="731" t="s">
        <v>432</v>
      </c>
      <c r="AF282" s="13">
        <v>4.0</v>
      </c>
      <c r="AG282" s="13">
        <v>1.0</v>
      </c>
      <c r="AH282" s="13" t="str">
        <f t="array" ref="AH282">IFERROR(INDEX(C$2:N$2, SMALL(IF(C$55:N$55=AG282, COLUMN(C$2:N$2)-COLUMN(C$2)+1), AF282)), "-")</f>
        <v>-</v>
      </c>
      <c r="AI282" s="13">
        <v>1.0</v>
      </c>
    </row>
    <row r="283" ht="15.75" customHeight="1">
      <c r="A283" s="491"/>
      <c r="AC283" s="346" t="s">
        <v>302</v>
      </c>
      <c r="AD283" s="731" t="s">
        <v>450</v>
      </c>
      <c r="AE283" s="731" t="s">
        <v>432</v>
      </c>
      <c r="AF283" s="13">
        <v>5.0</v>
      </c>
      <c r="AG283" s="13">
        <v>1.0</v>
      </c>
      <c r="AH283" s="13" t="str">
        <f t="array" ref="AH283">IFERROR(INDEX(C$2:N$2, SMALL(IF(C$55:N$55=AG283, COLUMN(C$2:N$2)-COLUMN(C$2)+1), AF283)), "-")</f>
        <v>-</v>
      </c>
      <c r="AI283" s="13">
        <v>1.0</v>
      </c>
    </row>
    <row r="284" ht="15.75" customHeight="1">
      <c r="A284" s="491"/>
      <c r="AC284" s="346" t="s">
        <v>302</v>
      </c>
      <c r="AD284" s="498" t="s">
        <v>457</v>
      </c>
      <c r="AE284" s="498" t="s">
        <v>432</v>
      </c>
      <c r="AF284" s="13">
        <v>1.0</v>
      </c>
      <c r="AG284" s="13">
        <v>1.0</v>
      </c>
      <c r="AH284" s="13" t="str">
        <f t="array" ref="AH284">IFERROR(INDEX(C$2:N$2, SMALL(IF(C$56:N$56=AG284, COLUMN(C$2:N$2)-COLUMN(C$2)+1), AF284)), "-")</f>
        <v>YARDIES</v>
      </c>
      <c r="AI284" s="13">
        <v>1.0</v>
      </c>
    </row>
    <row r="285" ht="15.75" customHeight="1">
      <c r="A285" s="491"/>
      <c r="AC285" s="346" t="s">
        <v>302</v>
      </c>
      <c r="AD285" s="498" t="s">
        <v>457</v>
      </c>
      <c r="AE285" s="498" t="s">
        <v>432</v>
      </c>
      <c r="AF285" s="13">
        <v>2.0</v>
      </c>
      <c r="AG285" s="13">
        <v>1.0</v>
      </c>
      <c r="AH285" s="13" t="str">
        <f t="array" ref="AH285">IFERROR(INDEX(C$2:N$2, SMALL(IF(C$56:N$56=AG285, COLUMN(C$2:N$2)-COLUMN(C$2)+1), AF285)), "-")</f>
        <v>-</v>
      </c>
      <c r="AI285" s="13">
        <v>1.0</v>
      </c>
    </row>
    <row r="286" ht="15.75" customHeight="1">
      <c r="A286" s="491"/>
      <c r="AC286" s="346" t="s">
        <v>302</v>
      </c>
      <c r="AD286" s="498" t="s">
        <v>457</v>
      </c>
      <c r="AE286" s="498" t="s">
        <v>432</v>
      </c>
      <c r="AF286" s="13">
        <v>3.0</v>
      </c>
      <c r="AG286" s="13">
        <v>1.0</v>
      </c>
      <c r="AH286" s="13" t="str">
        <f t="array" ref="AH286">IFERROR(INDEX(C$2:N$2, SMALL(IF(C$56:N$56=AG286, COLUMN(C$2:N$2)-COLUMN(C$2)+1), AF286)), "-")</f>
        <v>-</v>
      </c>
      <c r="AI286" s="13">
        <v>1.0</v>
      </c>
    </row>
    <row r="287" ht="15.75" customHeight="1">
      <c r="A287" s="491"/>
      <c r="AC287" s="346" t="s">
        <v>302</v>
      </c>
      <c r="AD287" s="498" t="s">
        <v>457</v>
      </c>
      <c r="AE287" s="498" t="s">
        <v>432</v>
      </c>
      <c r="AF287" s="13">
        <v>4.0</v>
      </c>
      <c r="AG287" s="13">
        <v>1.0</v>
      </c>
      <c r="AH287" s="13" t="str">
        <f t="array" ref="AH287">IFERROR(INDEX(C$2:N$2, SMALL(IF(C$56:N$56=AG287, COLUMN(C$2:N$2)-COLUMN(C$2)+1), AF287)), "-")</f>
        <v>-</v>
      </c>
      <c r="AI287" s="13">
        <v>1.0</v>
      </c>
    </row>
    <row r="288" ht="15.75" customHeight="1">
      <c r="A288" s="491"/>
      <c r="AC288" s="346" t="s">
        <v>302</v>
      </c>
      <c r="AD288" s="498" t="s">
        <v>457</v>
      </c>
      <c r="AE288" s="498" t="s">
        <v>432</v>
      </c>
      <c r="AF288" s="13">
        <v>5.0</v>
      </c>
      <c r="AG288" s="13">
        <v>1.0</v>
      </c>
      <c r="AH288" s="13" t="str">
        <f t="array" ref="AH288">IFERROR(INDEX(C$2:N$2, SMALL(IF(C$56:N$56=AG288, COLUMN(C$2:N$2)-COLUMN(C$2)+1), AF288)), "-")</f>
        <v>-</v>
      </c>
      <c r="AI288" s="13">
        <v>1.0</v>
      </c>
    </row>
    <row r="289" ht="15.75" customHeight="1">
      <c r="A289" s="491"/>
      <c r="AC289" s="346" t="s">
        <v>302</v>
      </c>
      <c r="AD289" s="365" t="s">
        <v>458</v>
      </c>
      <c r="AE289" s="365" t="s">
        <v>432</v>
      </c>
      <c r="AF289" s="13">
        <v>1.0</v>
      </c>
      <c r="AG289" s="13">
        <v>1.0</v>
      </c>
      <c r="AH289" s="13" t="str">
        <f t="array" ref="AH289">IFERROR(INDEX(C$2:N$2, SMALL(IF(C$57:N$57=AG289, COLUMN(C$2:N$2)-COLUMN(C$2)+1), AF289)), "-")</f>
        <v>GREEN</v>
      </c>
      <c r="AI289" s="13">
        <v>2.0</v>
      </c>
    </row>
    <row r="290" ht="15.75" customHeight="1">
      <c r="A290" s="491"/>
      <c r="AC290" s="346" t="s">
        <v>302</v>
      </c>
      <c r="AD290" s="365" t="s">
        <v>458</v>
      </c>
      <c r="AE290" s="365" t="s">
        <v>432</v>
      </c>
      <c r="AF290" s="13">
        <v>2.0</v>
      </c>
      <c r="AG290" s="13">
        <v>1.0</v>
      </c>
      <c r="AH290" s="13" t="str">
        <f t="array" ref="AH290">IFERROR(INDEX(C$2:N$2, SMALL(IF(C$57:N$57=AG290, COLUMN(C$2:N$2)-COLUMN(C$2)+1), AF290)), "-")</f>
        <v>-</v>
      </c>
      <c r="AI290" s="13">
        <v>2.0</v>
      </c>
    </row>
    <row r="291" ht="15.75" customHeight="1">
      <c r="A291" s="491"/>
      <c r="AC291" s="346" t="s">
        <v>302</v>
      </c>
      <c r="AD291" s="365" t="s">
        <v>458</v>
      </c>
      <c r="AE291" s="365" t="s">
        <v>432</v>
      </c>
      <c r="AF291" s="13">
        <v>3.0</v>
      </c>
      <c r="AG291" s="13">
        <v>1.0</v>
      </c>
      <c r="AH291" s="13" t="str">
        <f t="array" ref="AH291">IFERROR(INDEX(C$2:N$2, SMALL(IF(C$57:N$57=AG291, COLUMN(C$2:N$2)-COLUMN(C$2)+1), AF291)), "-")</f>
        <v>-</v>
      </c>
      <c r="AI291" s="13">
        <v>2.0</v>
      </c>
    </row>
    <row r="292" ht="15.75" customHeight="1">
      <c r="A292" s="491"/>
      <c r="AC292" s="346" t="s">
        <v>302</v>
      </c>
      <c r="AD292" s="365" t="s">
        <v>458</v>
      </c>
      <c r="AE292" s="365" t="s">
        <v>432</v>
      </c>
      <c r="AF292" s="13">
        <v>4.0</v>
      </c>
      <c r="AG292" s="13">
        <v>1.0</v>
      </c>
      <c r="AH292" s="13" t="str">
        <f t="array" ref="AH292">IFERROR(INDEX(C$2:N$2, SMALL(IF(C$57:N$57=AG292, COLUMN(C$2:N$2)-COLUMN(C$2)+1), AF292)), "-")</f>
        <v>-</v>
      </c>
      <c r="AI292" s="13">
        <v>2.0</v>
      </c>
    </row>
    <row r="293" ht="15.75" customHeight="1">
      <c r="A293" s="491"/>
      <c r="AC293" s="346" t="s">
        <v>302</v>
      </c>
      <c r="AD293" s="365" t="s">
        <v>458</v>
      </c>
      <c r="AE293" s="365" t="s">
        <v>432</v>
      </c>
      <c r="AF293" s="13">
        <v>5.0</v>
      </c>
      <c r="AG293" s="13">
        <v>1.0</v>
      </c>
      <c r="AH293" s="13" t="str">
        <f t="array" ref="AH293">IFERROR(INDEX(C$2:N$2, SMALL(IF(C$57:N$57=AG293, COLUMN(C$2:N$2)-COLUMN(C$2)+1), AF293)), "-")</f>
        <v>-</v>
      </c>
      <c r="AI293" s="13">
        <v>2.0</v>
      </c>
    </row>
    <row r="294" ht="15.75" customHeight="1">
      <c r="A294" s="491"/>
      <c r="AC294" s="346" t="s">
        <v>302</v>
      </c>
      <c r="AD294" s="365" t="s">
        <v>458</v>
      </c>
      <c r="AE294" s="365" t="s">
        <v>432</v>
      </c>
      <c r="AF294" s="13">
        <v>6.0</v>
      </c>
      <c r="AG294" s="13">
        <v>1.0</v>
      </c>
      <c r="AH294" s="13" t="str">
        <f t="array" ref="AH294">IFERROR(INDEX(C$2:N$2, SMALL(IF(C$57:N$57=AG294, COLUMN(C$2:N$2)-COLUMN(C$2)+1), AF294)), "-")</f>
        <v>-</v>
      </c>
      <c r="AI294" s="13">
        <v>2.0</v>
      </c>
    </row>
    <row r="295" ht="15.75" customHeight="1">
      <c r="A295" s="491"/>
      <c r="AC295" s="346" t="s">
        <v>302</v>
      </c>
      <c r="AD295" s="365" t="s">
        <v>458</v>
      </c>
      <c r="AE295" s="365" t="s">
        <v>432</v>
      </c>
      <c r="AF295" s="13">
        <v>7.0</v>
      </c>
      <c r="AG295" s="13">
        <v>1.0</v>
      </c>
      <c r="AH295" s="13" t="str">
        <f t="array" ref="AH295">IFERROR(INDEX(C$2:N$2, SMALL(IF(C$57:N$57=AG295, COLUMN(C$2:N$2)-COLUMN(C$2)+1), AF295)), "-")</f>
        <v>-</v>
      </c>
      <c r="AI295" s="13">
        <v>2.0</v>
      </c>
    </row>
    <row r="296" ht="15.75" customHeight="1">
      <c r="A296" s="491"/>
      <c r="AC296" s="346" t="s">
        <v>302</v>
      </c>
      <c r="AD296" s="365" t="s">
        <v>458</v>
      </c>
      <c r="AE296" s="365" t="s">
        <v>432</v>
      </c>
      <c r="AF296" s="13">
        <v>8.0</v>
      </c>
      <c r="AG296" s="13">
        <v>1.0</v>
      </c>
      <c r="AH296" s="13" t="str">
        <f t="array" ref="AH296">IFERROR(INDEX(C$2:N$2, SMALL(IF(C$57:N$57=AG296, COLUMN(C$2:N$2)-COLUMN(C$2)+1), AF296)), "-")</f>
        <v>-</v>
      </c>
      <c r="AI296" s="13">
        <v>2.0</v>
      </c>
    </row>
    <row r="297" ht="15.75" customHeight="1">
      <c r="A297" s="491"/>
      <c r="AC297" s="346" t="s">
        <v>302</v>
      </c>
      <c r="AD297" s="365" t="s">
        <v>458</v>
      </c>
      <c r="AE297" s="365" t="s">
        <v>432</v>
      </c>
      <c r="AF297" s="13">
        <v>9.0</v>
      </c>
      <c r="AG297" s="13">
        <v>1.0</v>
      </c>
      <c r="AH297" s="13" t="str">
        <f t="array" ref="AH297">IFERROR(INDEX(C$2:N$2, SMALL(IF(C$57:N$57=AG297, COLUMN(C$2:N$2)-COLUMN(C$2)+1), AF297)), "-")</f>
        <v>-</v>
      </c>
      <c r="AI297" s="13">
        <v>2.0</v>
      </c>
    </row>
    <row r="298" ht="15.75" customHeight="1">
      <c r="A298" s="491"/>
      <c r="AC298" s="346" t="s">
        <v>302</v>
      </c>
      <c r="AD298" s="365" t="s">
        <v>458</v>
      </c>
      <c r="AE298" s="365" t="s">
        <v>432</v>
      </c>
      <c r="AF298" s="13">
        <v>10.0</v>
      </c>
      <c r="AG298" s="13">
        <v>1.0</v>
      </c>
      <c r="AH298" s="13" t="str">
        <f t="array" ref="AH298">IFERROR(INDEX(C$2:N$2, SMALL(IF(C$57:N$57=AG298, COLUMN(C$2:N$2)-COLUMN(C$2)+1), AF298)), "-")</f>
        <v>-</v>
      </c>
      <c r="AI298" s="13">
        <v>2.0</v>
      </c>
    </row>
    <row r="299" ht="15.75" customHeight="1">
      <c r="A299" s="491"/>
      <c r="AC299" s="346" t="s">
        <v>302</v>
      </c>
      <c r="AD299" s="740" t="s">
        <v>459</v>
      </c>
      <c r="AE299" s="740" t="s">
        <v>432</v>
      </c>
      <c r="AF299" s="13">
        <v>1.0</v>
      </c>
      <c r="AG299" s="13">
        <v>1.0</v>
      </c>
      <c r="AH299" s="13" t="str">
        <f t="array" ref="AH299">IFERROR(INDEX(C$2:N$2, SMALL(IF(C$58:N$58=AG299, COLUMN(C$2:N$2)-COLUMN(C$2)+1), AF299)), "-")</f>
        <v>GREEN</v>
      </c>
      <c r="AI299" s="13">
        <v>1.0</v>
      </c>
    </row>
    <row r="300" ht="15.75" customHeight="1">
      <c r="A300" s="491"/>
      <c r="AC300" s="346" t="s">
        <v>302</v>
      </c>
      <c r="AD300" s="740" t="s">
        <v>459</v>
      </c>
      <c r="AE300" s="740" t="s">
        <v>432</v>
      </c>
      <c r="AF300" s="13">
        <v>2.0</v>
      </c>
      <c r="AG300" s="13">
        <v>1.0</v>
      </c>
      <c r="AH300" s="13" t="str">
        <f t="array" ref="AH300">IFERROR(INDEX(C$2:N$2, SMALL(IF(C$58:N$58=AG300, COLUMN(C$2:N$2)-COLUMN(C$2)+1), AF300)), "-")</f>
        <v>-</v>
      </c>
      <c r="AI300" s="13">
        <v>1.0</v>
      </c>
    </row>
    <row r="301" ht="15.75" customHeight="1">
      <c r="A301" s="491"/>
      <c r="AC301" s="346" t="s">
        <v>302</v>
      </c>
      <c r="AD301" s="740" t="s">
        <v>459</v>
      </c>
      <c r="AE301" s="740" t="s">
        <v>432</v>
      </c>
      <c r="AF301" s="13">
        <v>3.0</v>
      </c>
      <c r="AG301" s="13">
        <v>1.0</v>
      </c>
      <c r="AH301" s="13" t="str">
        <f t="array" ref="AH301">IFERROR(INDEX(C$2:N$2, SMALL(IF(C$58:N$58=AG301, COLUMN(C$2:N$2)-COLUMN(C$2)+1), AF301)), "-")</f>
        <v>-</v>
      </c>
      <c r="AI301" s="13">
        <v>1.0</v>
      </c>
    </row>
    <row r="302" ht="15.75" customHeight="1">
      <c r="A302" s="491"/>
      <c r="AC302" s="346" t="s">
        <v>302</v>
      </c>
      <c r="AD302" s="740" t="s">
        <v>459</v>
      </c>
      <c r="AE302" s="740" t="s">
        <v>432</v>
      </c>
      <c r="AF302" s="13">
        <v>4.0</v>
      </c>
      <c r="AG302" s="13">
        <v>1.0</v>
      </c>
      <c r="AH302" s="13" t="str">
        <f t="array" ref="AH302">IFERROR(INDEX(C$2:N$2, SMALL(IF(C$58:N$58=AG302, COLUMN(C$2:N$2)-COLUMN(C$2)+1), AF302)), "-")</f>
        <v>-</v>
      </c>
      <c r="AI302" s="13">
        <v>1.0</v>
      </c>
    </row>
    <row r="303" ht="15.75" customHeight="1">
      <c r="A303" s="491"/>
      <c r="AC303" s="346" t="s">
        <v>302</v>
      </c>
      <c r="AD303" s="740" t="s">
        <v>459</v>
      </c>
      <c r="AE303" s="740" t="s">
        <v>432</v>
      </c>
      <c r="AF303" s="13">
        <v>5.0</v>
      </c>
      <c r="AG303" s="13">
        <v>1.0</v>
      </c>
      <c r="AH303" s="13" t="str">
        <f t="array" ref="AH303">IFERROR(INDEX(C$2:N$2, SMALL(IF(C$58:N$58=AG303, COLUMN(C$2:N$2)-COLUMN(C$2)+1), AF303)), "-")</f>
        <v>-</v>
      </c>
      <c r="AI303" s="13">
        <v>1.0</v>
      </c>
    </row>
    <row r="304" ht="15.75" customHeight="1">
      <c r="A304" s="491"/>
      <c r="AC304" s="346" t="s">
        <v>302</v>
      </c>
      <c r="AD304" s="428" t="s">
        <v>460</v>
      </c>
      <c r="AE304" s="428" t="s">
        <v>432</v>
      </c>
      <c r="AF304" s="13">
        <v>1.0</v>
      </c>
      <c r="AG304" s="13">
        <v>1.0</v>
      </c>
      <c r="AH304" s="13" t="str">
        <f t="array" ref="AH304">IFERROR(INDEX(C$2:N$2, SMALL(IF(C$59:N$59=AG304, COLUMN(C$2:N$2)-COLUMN(C$2)+1), AF304)), "-")</f>
        <v>YARDIES</v>
      </c>
      <c r="AI304" s="13">
        <v>1.0</v>
      </c>
    </row>
    <row r="305" ht="15.75" customHeight="1">
      <c r="A305" s="491"/>
      <c r="AC305" s="346" t="s">
        <v>302</v>
      </c>
      <c r="AD305" s="428" t="s">
        <v>460</v>
      </c>
      <c r="AE305" s="428" t="s">
        <v>432</v>
      </c>
      <c r="AF305" s="13">
        <v>2.0</v>
      </c>
      <c r="AG305" s="13">
        <v>1.0</v>
      </c>
      <c r="AH305" s="13" t="str">
        <f t="array" ref="AH305">IFERROR(INDEX(C$2:N$2, SMALL(IF(C$59:N$59=AG305, COLUMN(C$2:N$2)-COLUMN(C$2)+1), AF305)), "-")</f>
        <v>MUTTS</v>
      </c>
      <c r="AI305" s="13">
        <v>1.0</v>
      </c>
    </row>
    <row r="306" ht="15.75" customHeight="1">
      <c r="A306" s="491"/>
      <c r="AC306" s="346" t="s">
        <v>302</v>
      </c>
      <c r="AD306" s="428" t="s">
        <v>460</v>
      </c>
      <c r="AE306" s="428" t="s">
        <v>432</v>
      </c>
      <c r="AF306" s="13">
        <v>3.0</v>
      </c>
      <c r="AG306" s="13">
        <v>1.0</v>
      </c>
      <c r="AH306" s="13" t="str">
        <f t="array" ref="AH306">IFERROR(INDEX(C$2:N$2, SMALL(IF(C$59:N$59=AG306, COLUMN(C$2:N$2)-COLUMN(C$2)+1), AF306)), "-")</f>
        <v>-</v>
      </c>
      <c r="AI306" s="13">
        <v>1.0</v>
      </c>
    </row>
    <row r="307" ht="15.75" customHeight="1">
      <c r="A307" s="491"/>
      <c r="AC307" s="346" t="s">
        <v>302</v>
      </c>
      <c r="AD307" s="428" t="s">
        <v>460</v>
      </c>
      <c r="AE307" s="428" t="s">
        <v>432</v>
      </c>
      <c r="AF307" s="13">
        <v>4.0</v>
      </c>
      <c r="AG307" s="13">
        <v>1.0</v>
      </c>
      <c r="AH307" s="13" t="str">
        <f t="array" ref="AH307">IFERROR(INDEX(C$2:N$2, SMALL(IF(C$59:N$59=AG307, COLUMN(C$2:N$2)-COLUMN(C$2)+1), AF307)), "-")</f>
        <v>-</v>
      </c>
      <c r="AI307" s="13">
        <v>1.0</v>
      </c>
    </row>
    <row r="308" ht="15.75" customHeight="1">
      <c r="A308" s="491"/>
      <c r="AC308" s="346" t="s">
        <v>302</v>
      </c>
      <c r="AD308" s="428" t="s">
        <v>460</v>
      </c>
      <c r="AE308" s="428" t="s">
        <v>432</v>
      </c>
      <c r="AF308" s="13">
        <v>5.0</v>
      </c>
      <c r="AG308" s="13">
        <v>1.0</v>
      </c>
      <c r="AH308" s="13" t="str">
        <f t="array" ref="AH308">IFERROR(INDEX(C$2:N$2, SMALL(IF(C$59:N$59=AG308, COLUMN(C$2:N$2)-COLUMN(C$2)+1), AF308)), "-")</f>
        <v>-</v>
      </c>
      <c r="AI308" s="13">
        <v>1.0</v>
      </c>
    </row>
    <row r="309" ht="15.75" customHeight="1">
      <c r="A309" s="491"/>
      <c r="AC309" s="346" t="s">
        <v>302</v>
      </c>
      <c r="AD309" s="471" t="s">
        <v>559</v>
      </c>
      <c r="AE309" s="471" t="s">
        <v>432</v>
      </c>
      <c r="AF309" s="13">
        <v>1.0</v>
      </c>
      <c r="AG309" s="13">
        <v>1.0</v>
      </c>
      <c r="AH309" s="13" t="str">
        <f t="array" ref="AH309">IFERROR(INDEX(C$2:N$2, SMALL(IF(C$60:N$60=AG309, COLUMN(C$2:N$2)-COLUMN(C$2)+1), AF309)), "-")</f>
        <v>GREEN</v>
      </c>
      <c r="AI309" s="13">
        <v>2.0</v>
      </c>
    </row>
    <row r="310" ht="15.75" customHeight="1">
      <c r="A310" s="491"/>
      <c r="AC310" s="346" t="s">
        <v>302</v>
      </c>
      <c r="AD310" s="471" t="s">
        <v>559</v>
      </c>
      <c r="AE310" s="471" t="s">
        <v>432</v>
      </c>
      <c r="AF310" s="13">
        <v>2.0</v>
      </c>
      <c r="AG310" s="13">
        <v>1.0</v>
      </c>
      <c r="AH310" s="13" t="str">
        <f t="array" ref="AH310">IFERROR(INDEX(C$2:N$2, SMALL(IF(C$60:N$60=AG310, COLUMN(C$2:N$2)-COLUMN(C$2)+1), AF310)), "-")</f>
        <v>YARDIES</v>
      </c>
      <c r="AI310" s="13">
        <v>2.0</v>
      </c>
    </row>
    <row r="311" ht="15.75" customHeight="1">
      <c r="A311" s="491"/>
      <c r="AC311" s="346" t="s">
        <v>302</v>
      </c>
      <c r="AD311" s="471" t="s">
        <v>559</v>
      </c>
      <c r="AE311" s="471" t="s">
        <v>432</v>
      </c>
      <c r="AF311" s="13">
        <v>3.0</v>
      </c>
      <c r="AG311" s="13">
        <v>1.0</v>
      </c>
      <c r="AH311" s="13" t="str">
        <f t="array" ref="AH311">IFERROR(INDEX(C$2:N$2, SMALL(IF(C$60:N$60=AG311, COLUMN(C$2:N$2)-COLUMN(C$2)+1), AF311)), "-")</f>
        <v>-</v>
      </c>
      <c r="AI311" s="13">
        <v>2.0</v>
      </c>
    </row>
    <row r="312" ht="15.75" customHeight="1">
      <c r="A312" s="491"/>
      <c r="AC312" s="346" t="s">
        <v>302</v>
      </c>
      <c r="AD312" s="471" t="s">
        <v>559</v>
      </c>
      <c r="AE312" s="471" t="s">
        <v>432</v>
      </c>
      <c r="AF312" s="13">
        <v>4.0</v>
      </c>
      <c r="AG312" s="13">
        <v>1.0</v>
      </c>
      <c r="AH312" s="13" t="str">
        <f t="array" ref="AH312">IFERROR(INDEX(C$2:N$2, SMALL(IF(C$60:N$60=AG312, COLUMN(C$2:N$2)-COLUMN(C$2)+1), AF312)), "-")</f>
        <v>-</v>
      </c>
      <c r="AI312" s="13">
        <v>2.0</v>
      </c>
    </row>
    <row r="313" ht="15.75" customHeight="1">
      <c r="A313" s="491"/>
      <c r="AC313" s="346" t="s">
        <v>302</v>
      </c>
      <c r="AD313" s="471" t="s">
        <v>559</v>
      </c>
      <c r="AE313" s="471" t="s">
        <v>432</v>
      </c>
      <c r="AF313" s="13">
        <v>5.0</v>
      </c>
      <c r="AG313" s="13">
        <v>1.0</v>
      </c>
      <c r="AH313" s="13" t="str">
        <f t="array" ref="AH313">IFERROR(INDEX(C$2:N$2, SMALL(IF(C$60:N$60=AG313, COLUMN(C$2:N$2)-COLUMN(C$2)+1), AF313)), "-")</f>
        <v>-</v>
      </c>
      <c r="AI313" s="13">
        <v>2.0</v>
      </c>
    </row>
    <row r="314" ht="15.75" customHeight="1">
      <c r="A314" s="491"/>
      <c r="AC314" s="346" t="s">
        <v>302</v>
      </c>
      <c r="AD314" s="471" t="s">
        <v>559</v>
      </c>
      <c r="AE314" s="471" t="s">
        <v>432</v>
      </c>
      <c r="AF314" s="13">
        <v>6.0</v>
      </c>
      <c r="AG314" s="13">
        <v>1.0</v>
      </c>
      <c r="AH314" s="13" t="str">
        <f t="array" ref="AH314">IFERROR(INDEX(C$2:N$2, SMALL(IF(C$60:N$60=AG314, COLUMN(C$2:N$2)-COLUMN(C$2)+1), AF314)), "-")</f>
        <v>-</v>
      </c>
      <c r="AI314" s="13">
        <v>2.0</v>
      </c>
    </row>
    <row r="315" ht="15.75" customHeight="1">
      <c r="A315" s="491"/>
      <c r="AC315" s="346" t="s">
        <v>302</v>
      </c>
      <c r="AD315" s="471" t="s">
        <v>559</v>
      </c>
      <c r="AE315" s="471" t="s">
        <v>432</v>
      </c>
      <c r="AF315" s="13">
        <v>7.0</v>
      </c>
      <c r="AG315" s="13">
        <v>1.0</v>
      </c>
      <c r="AH315" s="13" t="str">
        <f t="array" ref="AH315">IFERROR(INDEX(C$2:N$2, SMALL(IF(C$60:N$60=AG315, COLUMN(C$2:N$2)-COLUMN(C$2)+1), AF315)), "-")</f>
        <v>-</v>
      </c>
      <c r="AI315" s="13">
        <v>2.0</v>
      </c>
    </row>
    <row r="316" ht="15.75" customHeight="1">
      <c r="A316" s="491"/>
      <c r="AC316" s="346" t="s">
        <v>302</v>
      </c>
      <c r="AD316" s="471" t="s">
        <v>559</v>
      </c>
      <c r="AE316" s="471" t="s">
        <v>432</v>
      </c>
      <c r="AF316" s="13">
        <v>8.0</v>
      </c>
      <c r="AG316" s="13">
        <v>1.0</v>
      </c>
      <c r="AH316" s="13" t="str">
        <f t="array" ref="AH316">IFERROR(INDEX(C$2:N$2, SMALL(IF(C$60:N$60=AG316, COLUMN(C$2:N$2)-COLUMN(C$2)+1), AF316)), "-")</f>
        <v>-</v>
      </c>
      <c r="AI316" s="13">
        <v>2.0</v>
      </c>
    </row>
    <row r="317" ht="15.75" customHeight="1">
      <c r="A317" s="491"/>
      <c r="AC317" s="346" t="s">
        <v>302</v>
      </c>
      <c r="AD317" s="471" t="s">
        <v>559</v>
      </c>
      <c r="AE317" s="471" t="s">
        <v>432</v>
      </c>
      <c r="AF317" s="13">
        <v>9.0</v>
      </c>
      <c r="AG317" s="13">
        <v>1.0</v>
      </c>
      <c r="AH317" s="13" t="str">
        <f t="array" ref="AH317">IFERROR(INDEX(C$2:N$2, SMALL(IF(C$60:N$60=AG317, COLUMN(C$2:N$2)-COLUMN(C$2)+1), AF317)), "-")</f>
        <v>-</v>
      </c>
      <c r="AI317" s="13">
        <v>2.0</v>
      </c>
    </row>
    <row r="318" ht="15.75" customHeight="1">
      <c r="A318" s="491"/>
      <c r="AC318" s="346" t="s">
        <v>302</v>
      </c>
      <c r="AD318" s="471" t="s">
        <v>559</v>
      </c>
      <c r="AE318" s="471" t="s">
        <v>432</v>
      </c>
      <c r="AF318" s="13">
        <v>10.0</v>
      </c>
      <c r="AG318" s="13">
        <v>1.0</v>
      </c>
      <c r="AH318" s="13" t="str">
        <f t="array" ref="AH318">IFERROR(INDEX(C$2:N$2, SMALL(IF(C$60:N$60=AG318, COLUMN(C$2:N$2)-COLUMN(C$2)+1), AF318)), "-")</f>
        <v>-</v>
      </c>
      <c r="AI318" s="13">
        <v>2.0</v>
      </c>
    </row>
    <row r="319" ht="15.75" customHeight="1">
      <c r="A319" s="491"/>
      <c r="AC319" s="346" t="s">
        <v>302</v>
      </c>
      <c r="AD319" s="471" t="s">
        <v>560</v>
      </c>
      <c r="AE319" s="731" t="s">
        <v>432</v>
      </c>
      <c r="AF319" s="13">
        <v>1.0</v>
      </c>
      <c r="AG319" s="13">
        <v>1.0</v>
      </c>
      <c r="AH319" s="13" t="str">
        <f t="array" ref="AH319">IFERROR(INDEX(C$2:N$2, SMALL(IF(C$61:N$61=AG319, COLUMN(C$2:N$2)-COLUMN(C$2)+1), AF319)), "-")</f>
        <v>GREEN</v>
      </c>
      <c r="AI319" s="13">
        <v>1.0</v>
      </c>
    </row>
    <row r="320" ht="15.75" customHeight="1">
      <c r="A320" s="491"/>
      <c r="AC320" s="346" t="s">
        <v>302</v>
      </c>
      <c r="AD320" s="471" t="s">
        <v>560</v>
      </c>
      <c r="AE320" s="731" t="s">
        <v>432</v>
      </c>
      <c r="AF320" s="13">
        <v>2.0</v>
      </c>
      <c r="AG320" s="13">
        <v>1.0</v>
      </c>
      <c r="AH320" s="13" t="str">
        <f t="array" ref="AH320">IFERROR(INDEX(C$2:N$2, SMALL(IF(C$61:N$61=AG320, COLUMN(C$2:N$2)-COLUMN(C$2)+1), AF320)), "-")</f>
        <v>-</v>
      </c>
      <c r="AI320" s="13">
        <v>1.0</v>
      </c>
    </row>
    <row r="321" ht="15.75" customHeight="1">
      <c r="A321" s="491"/>
      <c r="AC321" s="346" t="s">
        <v>302</v>
      </c>
      <c r="AD321" s="471" t="s">
        <v>560</v>
      </c>
      <c r="AE321" s="731" t="s">
        <v>432</v>
      </c>
      <c r="AF321" s="13">
        <v>3.0</v>
      </c>
      <c r="AG321" s="13">
        <v>1.0</v>
      </c>
      <c r="AH321" s="13" t="str">
        <f t="array" ref="AH321">IFERROR(INDEX(C$2:N$2, SMALL(IF(C$61:N$61=AG321, COLUMN(C$2:N$2)-COLUMN(C$2)+1), AF321)), "-")</f>
        <v>-</v>
      </c>
      <c r="AI321" s="13">
        <v>1.0</v>
      </c>
    </row>
    <row r="322" ht="15.75" customHeight="1">
      <c r="A322" s="491"/>
      <c r="AC322" s="346" t="s">
        <v>302</v>
      </c>
      <c r="AD322" s="471" t="s">
        <v>560</v>
      </c>
      <c r="AE322" s="731" t="s">
        <v>432</v>
      </c>
      <c r="AF322" s="13">
        <v>4.0</v>
      </c>
      <c r="AG322" s="13">
        <v>1.0</v>
      </c>
      <c r="AH322" s="13" t="str">
        <f t="array" ref="AH322">IFERROR(INDEX(C$2:N$2, SMALL(IF(C$61:N$61=AG322, COLUMN(C$2:N$2)-COLUMN(C$2)+1), AF322)), "-")</f>
        <v>-</v>
      </c>
      <c r="AI322" s="13">
        <v>1.0</v>
      </c>
    </row>
    <row r="323" ht="15.75" customHeight="1">
      <c r="A323" s="491"/>
      <c r="AC323" s="346" t="s">
        <v>302</v>
      </c>
      <c r="AD323" s="471" t="s">
        <v>560</v>
      </c>
      <c r="AE323" s="731" t="s">
        <v>432</v>
      </c>
      <c r="AF323" s="13">
        <v>5.0</v>
      </c>
      <c r="AG323" s="13">
        <v>1.0</v>
      </c>
      <c r="AH323" s="13" t="str">
        <f t="array" ref="AH323">IFERROR(INDEX(C$2:N$2, SMALL(IF(C$61:N$61=AG323, COLUMN(C$2:N$2)-COLUMN(C$2)+1), AF323)), "-")</f>
        <v>-</v>
      </c>
      <c r="AI323" s="13">
        <v>1.0</v>
      </c>
    </row>
    <row r="324" ht="15.75" customHeight="1">
      <c r="A324" s="491"/>
      <c r="AC324" s="346" t="s">
        <v>302</v>
      </c>
      <c r="AD324" s="471" t="s">
        <v>561</v>
      </c>
      <c r="AE324" s="498" t="s">
        <v>432</v>
      </c>
      <c r="AF324" s="13">
        <v>1.0</v>
      </c>
      <c r="AG324" s="13">
        <v>1.0</v>
      </c>
      <c r="AH324" s="13" t="str">
        <f t="array" ref="AH324">IFERROR(INDEX(C$2:N$2, SMALL(IF(C$62:N$62=AG324, COLUMN(C$2:N$2)-COLUMN(C$2)+1), AF324)), "-")</f>
        <v>YARDIES</v>
      </c>
      <c r="AI324" s="13">
        <v>1.0</v>
      </c>
      <c r="AL324" s="13" t="s">
        <v>562</v>
      </c>
    </row>
    <row r="325" ht="15.75" customHeight="1">
      <c r="A325" s="491"/>
      <c r="AC325" s="346" t="s">
        <v>302</v>
      </c>
      <c r="AD325" s="471" t="s">
        <v>561</v>
      </c>
      <c r="AE325" s="498" t="s">
        <v>432</v>
      </c>
      <c r="AF325" s="13">
        <v>2.0</v>
      </c>
      <c r="AG325" s="13">
        <v>1.0</v>
      </c>
      <c r="AH325" s="13" t="str">
        <f t="array" ref="AH325">IFERROR(INDEX(C$2:N$2, SMALL(IF(C$62:N$62=AG325, COLUMN(C$2:N$2)-COLUMN(C$2)+1), AF325)), "-")</f>
        <v>-</v>
      </c>
      <c r="AI325" s="13">
        <v>1.0</v>
      </c>
    </row>
    <row r="326" ht="15.75" customHeight="1">
      <c r="A326" s="491"/>
      <c r="AC326" s="346" t="s">
        <v>302</v>
      </c>
      <c r="AD326" s="471" t="s">
        <v>561</v>
      </c>
      <c r="AE326" s="498" t="s">
        <v>432</v>
      </c>
      <c r="AF326" s="13">
        <v>3.0</v>
      </c>
      <c r="AG326" s="13">
        <v>1.0</v>
      </c>
      <c r="AH326" s="13" t="str">
        <f t="array" ref="AH326">IFERROR(INDEX(C$2:N$2, SMALL(IF(C$62:N$62=AG326, COLUMN(C$2:N$2)-COLUMN(C$2)+1), AF326)), "-")</f>
        <v>-</v>
      </c>
      <c r="AI326" s="13">
        <v>1.0</v>
      </c>
    </row>
    <row r="327" ht="15.75" customHeight="1">
      <c r="A327" s="491"/>
      <c r="AC327" s="346" t="s">
        <v>302</v>
      </c>
      <c r="AD327" s="471" t="s">
        <v>561</v>
      </c>
      <c r="AE327" s="498" t="s">
        <v>432</v>
      </c>
      <c r="AF327" s="13">
        <v>4.0</v>
      </c>
      <c r="AG327" s="13">
        <v>1.0</v>
      </c>
      <c r="AH327" s="13" t="str">
        <f t="array" ref="AH327">IFERROR(INDEX(C$2:N$2, SMALL(IF(C$62:N$62=AG327, COLUMN(C$2:N$2)-COLUMN(C$2)+1), AF327)), "-")</f>
        <v>-</v>
      </c>
      <c r="AI327" s="13">
        <v>1.0</v>
      </c>
    </row>
    <row r="328" ht="15.75" customHeight="1">
      <c r="A328" s="491"/>
      <c r="AC328" s="346" t="s">
        <v>302</v>
      </c>
      <c r="AD328" s="471" t="s">
        <v>561</v>
      </c>
      <c r="AE328" s="498" t="s">
        <v>432</v>
      </c>
      <c r="AF328" s="13">
        <v>5.0</v>
      </c>
      <c r="AG328" s="13">
        <v>1.0</v>
      </c>
      <c r="AH328" s="13" t="str">
        <f t="array" ref="AH328">IFERROR(INDEX(C$2:N$2, SMALL(IF(C$62:N$62=AG328, COLUMN(C$2:N$2)-COLUMN(C$2)+1), AF328)), "-")</f>
        <v>-</v>
      </c>
      <c r="AI328" s="13">
        <v>1.0</v>
      </c>
    </row>
    <row r="329" ht="15.75" customHeight="1">
      <c r="A329" s="491"/>
      <c r="AC329" s="346" t="s">
        <v>302</v>
      </c>
      <c r="AD329" s="365" t="s">
        <v>563</v>
      </c>
      <c r="AE329" s="365" t="s">
        <v>432</v>
      </c>
      <c r="AF329" s="13">
        <v>1.0</v>
      </c>
      <c r="AG329" s="13">
        <v>1.0</v>
      </c>
      <c r="AH329" s="13" t="str">
        <f t="array" ref="AH329">IFERROR(INDEX(C$2:N$2, SMALL(IF(C$63:N$63=AG329, COLUMN(C$2:N$2)-COLUMN(C$2)+1), AF329)), "-")</f>
        <v>GREEN</v>
      </c>
      <c r="AI329" s="13">
        <v>2.0</v>
      </c>
    </row>
    <row r="330" ht="15.75" customHeight="1">
      <c r="A330" s="491"/>
      <c r="AC330" s="346" t="s">
        <v>302</v>
      </c>
      <c r="AD330" s="365" t="s">
        <v>563</v>
      </c>
      <c r="AE330" s="365" t="s">
        <v>432</v>
      </c>
      <c r="AF330" s="13">
        <v>2.0</v>
      </c>
      <c r="AG330" s="13">
        <v>1.0</v>
      </c>
      <c r="AH330" s="13" t="str">
        <f t="array" ref="AH330">IFERROR(INDEX(C$2:N$2, SMALL(IF(C$63:N$63=AG330, COLUMN(C$2:N$2)-COLUMN(C$2)+1), AF330)), "-")</f>
        <v>-</v>
      </c>
      <c r="AI330" s="13">
        <v>2.0</v>
      </c>
    </row>
    <row r="331" ht="15.75" customHeight="1">
      <c r="A331" s="491"/>
      <c r="AC331" s="346" t="s">
        <v>302</v>
      </c>
      <c r="AD331" s="365" t="s">
        <v>563</v>
      </c>
      <c r="AE331" s="365" t="s">
        <v>432</v>
      </c>
      <c r="AF331" s="13">
        <v>3.0</v>
      </c>
      <c r="AG331" s="13">
        <v>1.0</v>
      </c>
      <c r="AH331" s="13" t="str">
        <f t="array" ref="AH331">IFERROR(INDEX(C$2:N$2, SMALL(IF(C$63:N$63=AG331, COLUMN(C$2:N$2)-COLUMN(C$2)+1), AF331)), "-")</f>
        <v>-</v>
      </c>
      <c r="AI331" s="13">
        <v>2.0</v>
      </c>
    </row>
    <row r="332" ht="15.75" customHeight="1">
      <c r="A332" s="491"/>
      <c r="AC332" s="346" t="s">
        <v>302</v>
      </c>
      <c r="AD332" s="365" t="s">
        <v>563</v>
      </c>
      <c r="AE332" s="365" t="s">
        <v>432</v>
      </c>
      <c r="AF332" s="13">
        <v>4.0</v>
      </c>
      <c r="AG332" s="13">
        <v>1.0</v>
      </c>
      <c r="AH332" s="13" t="str">
        <f t="array" ref="AH332">IFERROR(INDEX(C$2:N$2, SMALL(IF(C$63:N$63=AG332, COLUMN(C$2:N$2)-COLUMN(C$2)+1), AF332)), "-")</f>
        <v>-</v>
      </c>
      <c r="AI332" s="13">
        <v>2.0</v>
      </c>
    </row>
    <row r="333" ht="15.75" customHeight="1">
      <c r="A333" s="491"/>
      <c r="AC333" s="346" t="s">
        <v>302</v>
      </c>
      <c r="AD333" s="365" t="s">
        <v>563</v>
      </c>
      <c r="AE333" s="365" t="s">
        <v>432</v>
      </c>
      <c r="AF333" s="13">
        <v>5.0</v>
      </c>
      <c r="AG333" s="13">
        <v>1.0</v>
      </c>
      <c r="AH333" s="13" t="str">
        <f t="array" ref="AH333">IFERROR(INDEX(C$2:N$2, SMALL(IF(C$63:N$63=AG333, COLUMN(C$2:N$2)-COLUMN(C$2)+1), AF333)), "-")</f>
        <v>-</v>
      </c>
      <c r="AI333" s="13">
        <v>2.0</v>
      </c>
    </row>
    <row r="334" ht="15.75" customHeight="1">
      <c r="A334" s="491"/>
      <c r="AC334" s="346" t="s">
        <v>302</v>
      </c>
      <c r="AD334" s="365" t="s">
        <v>563</v>
      </c>
      <c r="AE334" s="365" t="s">
        <v>432</v>
      </c>
      <c r="AF334" s="13">
        <v>6.0</v>
      </c>
      <c r="AG334" s="13">
        <v>1.0</v>
      </c>
      <c r="AH334" s="13" t="str">
        <f t="array" ref="AH334">IFERROR(INDEX(C$2:N$2, SMALL(IF(C$63:N$63=AG334, COLUMN(C$2:N$2)-COLUMN(C$2)+1), AF334)), "-")</f>
        <v>-</v>
      </c>
      <c r="AI334" s="13">
        <v>2.0</v>
      </c>
    </row>
    <row r="335" ht="15.75" customHeight="1">
      <c r="A335" s="491"/>
      <c r="AC335" s="346" t="s">
        <v>302</v>
      </c>
      <c r="AD335" s="365" t="s">
        <v>563</v>
      </c>
      <c r="AE335" s="365" t="s">
        <v>432</v>
      </c>
      <c r="AF335" s="13">
        <v>7.0</v>
      </c>
      <c r="AG335" s="13">
        <v>1.0</v>
      </c>
      <c r="AH335" s="13" t="str">
        <f t="array" ref="AH335">IFERROR(INDEX(C$2:N$2, SMALL(IF(C$63:N$63=AG335, COLUMN(C$2:N$2)-COLUMN(C$2)+1), AF335)), "-")</f>
        <v>-</v>
      </c>
      <c r="AI335" s="13">
        <v>2.0</v>
      </c>
    </row>
    <row r="336" ht="15.75" customHeight="1">
      <c r="A336" s="491"/>
      <c r="AC336" s="346" t="s">
        <v>302</v>
      </c>
      <c r="AD336" s="365" t="s">
        <v>563</v>
      </c>
      <c r="AE336" s="365" t="s">
        <v>432</v>
      </c>
      <c r="AF336" s="13">
        <v>8.0</v>
      </c>
      <c r="AG336" s="13">
        <v>1.0</v>
      </c>
      <c r="AH336" s="13" t="str">
        <f t="array" ref="AH336">IFERROR(INDEX(C$2:N$2, SMALL(IF(C$63:N$63=AG336, COLUMN(C$2:N$2)-COLUMN(C$2)+1), AF336)), "-")</f>
        <v>-</v>
      </c>
      <c r="AI336" s="13">
        <v>2.0</v>
      </c>
    </row>
    <row r="337" ht="15.75" customHeight="1">
      <c r="A337" s="491"/>
      <c r="AC337" s="346" t="s">
        <v>302</v>
      </c>
      <c r="AD337" s="365" t="s">
        <v>563</v>
      </c>
      <c r="AE337" s="365" t="s">
        <v>432</v>
      </c>
      <c r="AF337" s="13">
        <v>9.0</v>
      </c>
      <c r="AG337" s="13">
        <v>1.0</v>
      </c>
      <c r="AH337" s="13" t="str">
        <f t="array" ref="AH337">IFERROR(INDEX(C$2:N$2, SMALL(IF(C$63:N$63=AG337, COLUMN(C$2:N$2)-COLUMN(C$2)+1), AF337)), "-")</f>
        <v>-</v>
      </c>
      <c r="AI337" s="13">
        <v>2.0</v>
      </c>
    </row>
    <row r="338" ht="15.75" customHeight="1">
      <c r="A338" s="491"/>
      <c r="AC338" s="346" t="s">
        <v>302</v>
      </c>
      <c r="AD338" s="365" t="s">
        <v>563</v>
      </c>
      <c r="AE338" s="365" t="s">
        <v>432</v>
      </c>
      <c r="AF338" s="13">
        <v>10.0</v>
      </c>
      <c r="AG338" s="13">
        <v>1.0</v>
      </c>
      <c r="AH338" s="13" t="str">
        <f t="array" ref="AH338">IFERROR(INDEX(C$2:N$2, SMALL(IF(C$63:N$63=AG338, COLUMN(C$2:N$2)-COLUMN(C$2)+1), AF338)), "-")</f>
        <v>-</v>
      </c>
      <c r="AI338" s="13">
        <v>2.0</v>
      </c>
    </row>
    <row r="339" ht="15.75" customHeight="1">
      <c r="A339" s="491"/>
      <c r="AC339" s="346" t="s">
        <v>302</v>
      </c>
      <c r="AD339" s="365" t="s">
        <v>564</v>
      </c>
      <c r="AE339" s="740" t="s">
        <v>432</v>
      </c>
      <c r="AF339" s="13">
        <v>1.0</v>
      </c>
      <c r="AG339" s="13">
        <v>1.0</v>
      </c>
      <c r="AH339" s="13" t="str">
        <f t="array" ref="AH339">IFERROR(INDEX(C$2:N$2, SMALL(IF(C$64:N$64=AG339, COLUMN(C$2:N$2)-COLUMN(C$2)+1), AF339)), "-")</f>
        <v>GREEN</v>
      </c>
      <c r="AI339" s="13">
        <v>1.0</v>
      </c>
    </row>
    <row r="340" ht="15.75" customHeight="1">
      <c r="A340" s="491"/>
      <c r="AC340" s="346" t="s">
        <v>302</v>
      </c>
      <c r="AD340" s="365" t="s">
        <v>564</v>
      </c>
      <c r="AE340" s="740" t="s">
        <v>432</v>
      </c>
      <c r="AF340" s="13">
        <v>2.0</v>
      </c>
      <c r="AG340" s="13">
        <v>1.0</v>
      </c>
      <c r="AH340" s="13" t="str">
        <f t="array" ref="AH340">IFERROR(INDEX(C$2:N$2, SMALL(IF(C$64:N$64=AG340, COLUMN(C$2:N$2)-COLUMN(C$2)+1), AF340)), "-")</f>
        <v>-</v>
      </c>
      <c r="AI340" s="13">
        <v>1.0</v>
      </c>
    </row>
    <row r="341" ht="15.75" customHeight="1">
      <c r="A341" s="491"/>
      <c r="AC341" s="346" t="s">
        <v>302</v>
      </c>
      <c r="AD341" s="365" t="s">
        <v>564</v>
      </c>
      <c r="AE341" s="740" t="s">
        <v>432</v>
      </c>
      <c r="AF341" s="13">
        <v>3.0</v>
      </c>
      <c r="AG341" s="13">
        <v>1.0</v>
      </c>
      <c r="AH341" s="13" t="str">
        <f t="array" ref="AH341">IFERROR(INDEX(C$2:N$2, SMALL(IF(C$64:N$64=AG341, COLUMN(C$2:N$2)-COLUMN(C$2)+1), AF341)), "-")</f>
        <v>-</v>
      </c>
      <c r="AI341" s="13">
        <v>1.0</v>
      </c>
    </row>
    <row r="342" ht="15.75" customHeight="1">
      <c r="A342" s="491"/>
      <c r="AC342" s="346" t="s">
        <v>302</v>
      </c>
      <c r="AD342" s="365" t="s">
        <v>564</v>
      </c>
      <c r="AE342" s="740" t="s">
        <v>432</v>
      </c>
      <c r="AF342" s="13">
        <v>4.0</v>
      </c>
      <c r="AG342" s="13">
        <v>1.0</v>
      </c>
      <c r="AH342" s="13" t="str">
        <f t="array" ref="AH342">IFERROR(INDEX(C$2:N$2, SMALL(IF(C$64:N$64=AG342, COLUMN(C$2:N$2)-COLUMN(C$2)+1), AF342)), "-")</f>
        <v>-</v>
      </c>
      <c r="AI342" s="13">
        <v>1.0</v>
      </c>
    </row>
    <row r="343" ht="15.75" customHeight="1">
      <c r="A343" s="491"/>
      <c r="AC343" s="346" t="s">
        <v>302</v>
      </c>
      <c r="AD343" s="365" t="s">
        <v>564</v>
      </c>
      <c r="AE343" s="740" t="s">
        <v>432</v>
      </c>
      <c r="AF343" s="13">
        <v>5.0</v>
      </c>
      <c r="AG343" s="13">
        <v>1.0</v>
      </c>
      <c r="AH343" s="13" t="str">
        <f t="array" ref="AH343">IFERROR(INDEX(C$2:N$2, SMALL(IF(C$64:N$64=AG343, COLUMN(C$2:N$2)-COLUMN(C$2)+1), AF343)), "-")</f>
        <v>-</v>
      </c>
      <c r="AI343" s="13">
        <v>1.0</v>
      </c>
    </row>
    <row r="344" ht="15.75" customHeight="1">
      <c r="A344" s="491"/>
      <c r="AC344" s="346" t="s">
        <v>302</v>
      </c>
      <c r="AD344" s="365" t="s">
        <v>566</v>
      </c>
      <c r="AE344" s="428" t="s">
        <v>432</v>
      </c>
      <c r="AF344" s="13">
        <v>1.0</v>
      </c>
      <c r="AG344" s="13">
        <v>1.0</v>
      </c>
      <c r="AH344" s="13" t="str">
        <f t="array" ref="AH344">IFERROR(INDEX(C$2:N$2, SMALL(IF(C$65:N$65=AG344, COLUMN(C$2:N$2)-COLUMN(C$2)+1), AF344)), "-")</f>
        <v>YARDIES</v>
      </c>
      <c r="AI344" s="13">
        <v>1.0</v>
      </c>
    </row>
    <row r="345" ht="15.75" customHeight="1">
      <c r="A345" s="491"/>
      <c r="AC345" s="346" t="s">
        <v>302</v>
      </c>
      <c r="AD345" s="365" t="s">
        <v>566</v>
      </c>
      <c r="AE345" s="428" t="s">
        <v>432</v>
      </c>
      <c r="AF345" s="13">
        <v>2.0</v>
      </c>
      <c r="AG345" s="13">
        <v>1.0</v>
      </c>
      <c r="AH345" s="13" t="str">
        <f t="array" ref="AH345">IFERROR(INDEX(C$2:N$2, SMALL(IF(C$65:N$65=AG345, COLUMN(C$2:N$2)-COLUMN(C$2)+1), AF345)), "-")</f>
        <v>-</v>
      </c>
      <c r="AI345" s="13">
        <v>1.0</v>
      </c>
    </row>
    <row r="346" ht="15.75" customHeight="1">
      <c r="A346" s="491"/>
      <c r="AC346" s="346" t="s">
        <v>302</v>
      </c>
      <c r="AD346" s="365" t="s">
        <v>566</v>
      </c>
      <c r="AE346" s="428" t="s">
        <v>432</v>
      </c>
      <c r="AF346" s="13">
        <v>3.0</v>
      </c>
      <c r="AG346" s="13">
        <v>1.0</v>
      </c>
      <c r="AH346" s="13" t="str">
        <f t="array" ref="AH346">IFERROR(INDEX(C$2:N$2, SMALL(IF(C$65:N$65=AG346, COLUMN(C$2:N$2)-COLUMN(C$2)+1), AF346)), "-")</f>
        <v>-</v>
      </c>
      <c r="AI346" s="13">
        <v>1.0</v>
      </c>
    </row>
    <row r="347" ht="15.75" customHeight="1">
      <c r="A347" s="491"/>
      <c r="AC347" s="346" t="s">
        <v>302</v>
      </c>
      <c r="AD347" s="365" t="s">
        <v>566</v>
      </c>
      <c r="AE347" s="428" t="s">
        <v>432</v>
      </c>
      <c r="AF347" s="13">
        <v>4.0</v>
      </c>
      <c r="AG347" s="13">
        <v>1.0</v>
      </c>
      <c r="AH347" s="13" t="str">
        <f t="array" ref="AH347">IFERROR(INDEX(C$2:N$2, SMALL(IF(C$65:N$65=AG347, COLUMN(C$2:N$2)-COLUMN(C$2)+1), AF347)), "-")</f>
        <v>-</v>
      </c>
      <c r="AI347" s="13">
        <v>1.0</v>
      </c>
    </row>
    <row r="348" ht="15.75" customHeight="1">
      <c r="A348" s="491"/>
      <c r="AC348" s="346" t="s">
        <v>302</v>
      </c>
      <c r="AD348" s="365" t="s">
        <v>566</v>
      </c>
      <c r="AE348" s="428" t="s">
        <v>432</v>
      </c>
      <c r="AF348" s="13">
        <v>5.0</v>
      </c>
      <c r="AG348" s="13">
        <v>1.0</v>
      </c>
      <c r="AH348" s="13" t="str">
        <f t="array" ref="AH348">IFERROR(INDEX(C$2:N$2, SMALL(IF(C$65:N$65=AG348, COLUMN(C$2:N$2)-COLUMN(C$2)+1), AF348)), "-")</f>
        <v>-</v>
      </c>
      <c r="AI348" s="13">
        <v>1.0</v>
      </c>
    </row>
    <row r="349" ht="15.75" customHeight="1">
      <c r="A349" s="491"/>
      <c r="AC349" s="346" t="s">
        <v>302</v>
      </c>
      <c r="AD349" s="471" t="s">
        <v>309</v>
      </c>
      <c r="AE349" s="471" t="s">
        <v>432</v>
      </c>
      <c r="AF349" s="13">
        <v>1.0</v>
      </c>
      <c r="AG349" s="13">
        <v>1.0</v>
      </c>
      <c r="AH349" s="13" t="str">
        <f t="array" ref="AH349">IFERROR(INDEX(C$2:N$2, SMALL(IF(C$66:N$66=AG349, COLUMN(C$2:N$2)-COLUMN(C$2)+1), AF349)), "-")</f>
        <v>GREEN</v>
      </c>
      <c r="AI349" s="13">
        <v>2.0</v>
      </c>
    </row>
    <row r="350" ht="15.75" customHeight="1">
      <c r="A350" s="491"/>
      <c r="AC350" s="346" t="s">
        <v>302</v>
      </c>
      <c r="AD350" s="471" t="s">
        <v>309</v>
      </c>
      <c r="AE350" s="471" t="s">
        <v>432</v>
      </c>
      <c r="AF350" s="13">
        <v>2.0</v>
      </c>
      <c r="AG350" s="13">
        <v>1.0</v>
      </c>
      <c r="AH350" s="13" t="str">
        <f t="array" ref="AH350">IFERROR(INDEX(C$2:N$2, SMALL(IF(C$66:N$66=AG350, COLUMN(C$2:N$2)-COLUMN(C$2)+1), AF350)), "-")</f>
        <v>-</v>
      </c>
      <c r="AI350" s="13">
        <v>2.0</v>
      </c>
    </row>
    <row r="351" ht="15.75" customHeight="1">
      <c r="A351" s="491"/>
      <c r="AC351" s="346" t="s">
        <v>302</v>
      </c>
      <c r="AD351" s="471" t="s">
        <v>309</v>
      </c>
      <c r="AE351" s="471" t="s">
        <v>432</v>
      </c>
      <c r="AF351" s="13">
        <v>3.0</v>
      </c>
      <c r="AG351" s="13">
        <v>1.0</v>
      </c>
      <c r="AH351" s="13" t="str">
        <f t="array" ref="AH351">IFERROR(INDEX(C$2:N$2, SMALL(IF(C$66:N$66=AG351, COLUMN(C$2:N$2)-COLUMN(C$2)+1), AF351)), "-")</f>
        <v>-</v>
      </c>
      <c r="AI351" s="13">
        <v>2.0</v>
      </c>
    </row>
    <row r="352" ht="15.75" customHeight="1">
      <c r="A352" s="491"/>
      <c r="AC352" s="346" t="s">
        <v>302</v>
      </c>
      <c r="AD352" s="471" t="s">
        <v>309</v>
      </c>
      <c r="AE352" s="471" t="s">
        <v>432</v>
      </c>
      <c r="AF352" s="13">
        <v>4.0</v>
      </c>
      <c r="AG352" s="13">
        <v>1.0</v>
      </c>
      <c r="AH352" s="13" t="str">
        <f t="array" ref="AH352">IFERROR(INDEX(C$2:N$2, SMALL(IF(C$66:N$66=AG352, COLUMN(C$2:N$2)-COLUMN(C$2)+1), AF352)), "-")</f>
        <v>-</v>
      </c>
      <c r="AI352" s="13">
        <v>2.0</v>
      </c>
    </row>
    <row r="353" ht="15.75" customHeight="1">
      <c r="A353" s="491"/>
      <c r="AC353" s="346" t="s">
        <v>302</v>
      </c>
      <c r="AD353" s="471" t="s">
        <v>309</v>
      </c>
      <c r="AE353" s="471" t="s">
        <v>432</v>
      </c>
      <c r="AF353" s="13">
        <v>5.0</v>
      </c>
      <c r="AG353" s="13">
        <v>1.0</v>
      </c>
      <c r="AH353" s="13" t="str">
        <f t="array" ref="AH353">IFERROR(INDEX(C$2:N$2, SMALL(IF(C$66:N$66=AG353, COLUMN(C$2:N$2)-COLUMN(C$2)+1), AF353)), "-")</f>
        <v>-</v>
      </c>
      <c r="AI353" s="13">
        <v>2.0</v>
      </c>
    </row>
    <row r="354" ht="15.75" customHeight="1">
      <c r="A354" s="491"/>
      <c r="AC354" s="346" t="s">
        <v>302</v>
      </c>
      <c r="AD354" s="471" t="s">
        <v>309</v>
      </c>
      <c r="AE354" s="471" t="s">
        <v>432</v>
      </c>
      <c r="AF354" s="13">
        <v>6.0</v>
      </c>
      <c r="AG354" s="13">
        <v>1.0</v>
      </c>
      <c r="AH354" s="13" t="str">
        <f t="array" ref="AH354">IFERROR(INDEX(C$2:N$2, SMALL(IF(C$66:N$66=AG354, COLUMN(C$2:N$2)-COLUMN(C$2)+1), AF354)), "-")</f>
        <v>-</v>
      </c>
      <c r="AI354" s="13">
        <v>2.0</v>
      </c>
    </row>
    <row r="355" ht="15.75" customHeight="1">
      <c r="A355" s="491"/>
      <c r="AC355" s="346" t="s">
        <v>302</v>
      </c>
      <c r="AD355" s="471" t="s">
        <v>309</v>
      </c>
      <c r="AE355" s="471" t="s">
        <v>432</v>
      </c>
      <c r="AF355" s="13">
        <v>7.0</v>
      </c>
      <c r="AG355" s="13">
        <v>1.0</v>
      </c>
      <c r="AH355" s="13" t="str">
        <f t="array" ref="AH355">IFERROR(INDEX(C$2:N$2, SMALL(IF(C$66:N$66=AG355, COLUMN(C$2:N$2)-COLUMN(C$2)+1), AF355)), "-")</f>
        <v>-</v>
      </c>
      <c r="AI355" s="13">
        <v>2.0</v>
      </c>
    </row>
    <row r="356" ht="15.75" customHeight="1">
      <c r="A356" s="491"/>
      <c r="AC356" s="346" t="s">
        <v>302</v>
      </c>
      <c r="AD356" s="471" t="s">
        <v>309</v>
      </c>
      <c r="AE356" s="471" t="s">
        <v>432</v>
      </c>
      <c r="AF356" s="13">
        <v>8.0</v>
      </c>
      <c r="AG356" s="13">
        <v>1.0</v>
      </c>
      <c r="AH356" s="13" t="str">
        <f t="array" ref="AH356">IFERROR(INDEX(C$2:N$2, SMALL(IF(C$66:N$66=AG356, COLUMN(C$2:N$2)-COLUMN(C$2)+1), AF356)), "-")</f>
        <v>-</v>
      </c>
      <c r="AI356" s="13">
        <v>2.0</v>
      </c>
    </row>
    <row r="357" ht="15.75" customHeight="1">
      <c r="A357" s="491"/>
      <c r="AC357" s="346" t="s">
        <v>302</v>
      </c>
      <c r="AD357" s="471" t="s">
        <v>309</v>
      </c>
      <c r="AE357" s="471" t="s">
        <v>432</v>
      </c>
      <c r="AF357" s="13">
        <v>9.0</v>
      </c>
      <c r="AG357" s="13">
        <v>1.0</v>
      </c>
      <c r="AH357" s="13" t="str">
        <f t="array" ref="AH357">IFERROR(INDEX(C$2:N$2, SMALL(IF(C$66:N$66=AG357, COLUMN(C$2:N$2)-COLUMN(C$2)+1), AF357)), "-")</f>
        <v>-</v>
      </c>
      <c r="AI357" s="13">
        <v>2.0</v>
      </c>
    </row>
    <row r="358" ht="15.75" customHeight="1">
      <c r="A358" s="491"/>
      <c r="AC358" s="346" t="s">
        <v>302</v>
      </c>
      <c r="AD358" s="471" t="s">
        <v>309</v>
      </c>
      <c r="AE358" s="471" t="s">
        <v>432</v>
      </c>
      <c r="AF358" s="13">
        <v>10.0</v>
      </c>
      <c r="AG358" s="13">
        <v>1.0</v>
      </c>
      <c r="AH358" s="13" t="str">
        <f t="array" ref="AH358">IFERROR(INDEX(C$2:N$2, SMALL(IF(C$66:N$66=AG358, COLUMN(C$2:N$2)-COLUMN(C$2)+1), AF358)), "-")</f>
        <v>-</v>
      </c>
      <c r="AI358" s="13">
        <v>2.0</v>
      </c>
    </row>
    <row r="359" ht="15.75" customHeight="1">
      <c r="A359" s="491"/>
      <c r="AC359" s="346" t="s">
        <v>302</v>
      </c>
      <c r="AD359" s="471" t="s">
        <v>468</v>
      </c>
      <c r="AE359" s="731" t="s">
        <v>432</v>
      </c>
      <c r="AF359" s="13">
        <v>1.0</v>
      </c>
      <c r="AG359" s="13">
        <v>1.0</v>
      </c>
      <c r="AH359" s="13" t="str">
        <f t="array" ref="AH359">IFERROR(INDEX(C$2:N$2, SMALL(IF(C$67:N$67=AG359, COLUMN(C$2:N$2)-COLUMN(C$2)+1), AF359)), "-")</f>
        <v>GREEN</v>
      </c>
      <c r="AI359" s="13">
        <v>1.0</v>
      </c>
    </row>
    <row r="360" ht="15.75" customHeight="1">
      <c r="A360" s="491"/>
      <c r="AC360" s="346" t="s">
        <v>302</v>
      </c>
      <c r="AD360" s="471" t="s">
        <v>468</v>
      </c>
      <c r="AE360" s="731" t="s">
        <v>432</v>
      </c>
      <c r="AF360" s="13">
        <v>2.0</v>
      </c>
      <c r="AG360" s="13">
        <v>1.0</v>
      </c>
      <c r="AH360" s="13" t="str">
        <f t="array" ref="AH360">IFERROR(INDEX(C$2:N$2, SMALL(IF(C$67:N$67=AG360, COLUMN(C$2:N$2)-COLUMN(C$2)+1), AF360)), "-")</f>
        <v>-</v>
      </c>
      <c r="AI360" s="13">
        <v>1.0</v>
      </c>
    </row>
    <row r="361" ht="15.75" customHeight="1">
      <c r="A361" s="491"/>
      <c r="AC361" s="346" t="s">
        <v>302</v>
      </c>
      <c r="AD361" s="471" t="s">
        <v>468</v>
      </c>
      <c r="AE361" s="731" t="s">
        <v>432</v>
      </c>
      <c r="AF361" s="13">
        <v>3.0</v>
      </c>
      <c r="AG361" s="13">
        <v>1.0</v>
      </c>
      <c r="AH361" s="13" t="str">
        <f t="array" ref="AH361">IFERROR(INDEX(C$2:N$2, SMALL(IF(C$67:N$67=AG361, COLUMN(C$2:N$2)-COLUMN(C$2)+1), AF361)), "-")</f>
        <v>-</v>
      </c>
      <c r="AI361" s="13">
        <v>1.0</v>
      </c>
    </row>
    <row r="362" ht="15.75" customHeight="1">
      <c r="A362" s="491"/>
      <c r="AC362" s="346" t="s">
        <v>302</v>
      </c>
      <c r="AD362" s="471" t="s">
        <v>468</v>
      </c>
      <c r="AE362" s="731" t="s">
        <v>432</v>
      </c>
      <c r="AF362" s="13">
        <v>4.0</v>
      </c>
      <c r="AG362" s="13">
        <v>1.0</v>
      </c>
      <c r="AH362" s="13" t="str">
        <f t="array" ref="AH362">IFERROR(INDEX(C$2:N$2, SMALL(IF(C$67:N$67=AG362, COLUMN(C$2:N$2)-COLUMN(C$2)+1), AF362)), "-")</f>
        <v>-</v>
      </c>
      <c r="AI362" s="13">
        <v>1.0</v>
      </c>
    </row>
    <row r="363" ht="15.75" customHeight="1">
      <c r="A363" s="491"/>
      <c r="AC363" s="346" t="s">
        <v>302</v>
      </c>
      <c r="AD363" s="471" t="s">
        <v>468</v>
      </c>
      <c r="AE363" s="731" t="s">
        <v>432</v>
      </c>
      <c r="AF363" s="13">
        <v>5.0</v>
      </c>
      <c r="AG363" s="13">
        <v>1.0</v>
      </c>
      <c r="AH363" s="13" t="str">
        <f t="array" ref="AH363">IFERROR(INDEX(C$2:N$2, SMALL(IF(C$67:N$67=AG363, COLUMN(C$2:N$2)-COLUMN(C$2)+1), AF363)), "-")</f>
        <v>-</v>
      </c>
      <c r="AI363" s="13">
        <v>1.0</v>
      </c>
    </row>
    <row r="364" ht="15.75" customHeight="1">
      <c r="A364" s="491"/>
      <c r="AC364" s="346" t="s">
        <v>302</v>
      </c>
      <c r="AD364" s="471" t="s">
        <v>469</v>
      </c>
      <c r="AE364" s="498" t="s">
        <v>432</v>
      </c>
      <c r="AF364" s="13">
        <v>1.0</v>
      </c>
      <c r="AG364" s="13">
        <v>1.0</v>
      </c>
      <c r="AH364" s="13" t="str">
        <f t="array" ref="AH364">IFERROR(INDEX(C$2:N$2, SMALL(IF(C$68:N$68=AG364, COLUMN(C$2:N$2)-COLUMN(C$2)+1), AF364)), "-")</f>
        <v>MUTTS</v>
      </c>
      <c r="AI364" s="13">
        <v>1.0</v>
      </c>
    </row>
    <row r="365" ht="15.75" customHeight="1">
      <c r="A365" s="491"/>
      <c r="AC365" s="346" t="s">
        <v>302</v>
      </c>
      <c r="AD365" s="471" t="s">
        <v>469</v>
      </c>
      <c r="AE365" s="498" t="s">
        <v>432</v>
      </c>
      <c r="AF365" s="13">
        <v>2.0</v>
      </c>
      <c r="AG365" s="13">
        <v>1.0</v>
      </c>
      <c r="AH365" s="13" t="str">
        <f t="array" ref="AH365">IFERROR(INDEX(C$2:N$2, SMALL(IF(C$68:N$68=AG365, COLUMN(C$2:N$2)-COLUMN(C$2)+1), AF365)), "-")</f>
        <v>EAGLES</v>
      </c>
      <c r="AI365" s="13">
        <v>1.0</v>
      </c>
    </row>
    <row r="366" ht="15.75" customHeight="1">
      <c r="A366" s="491"/>
      <c r="AC366" s="346" t="s">
        <v>302</v>
      </c>
      <c r="AD366" s="471" t="s">
        <v>469</v>
      </c>
      <c r="AE366" s="498" t="s">
        <v>432</v>
      </c>
      <c r="AF366" s="13">
        <v>3.0</v>
      </c>
      <c r="AG366" s="13">
        <v>1.0</v>
      </c>
      <c r="AH366" s="13" t="str">
        <f t="array" ref="AH366">IFERROR(INDEX(C$2:N$2, SMALL(IF(C$68:N$68=AG366, COLUMN(C$2:N$2)-COLUMN(C$2)+1), AF366)), "-")</f>
        <v>-</v>
      </c>
      <c r="AI366" s="13">
        <v>1.0</v>
      </c>
    </row>
    <row r="367" ht="15.75" customHeight="1">
      <c r="A367" s="491"/>
      <c r="AC367" s="346" t="s">
        <v>302</v>
      </c>
      <c r="AD367" s="471" t="s">
        <v>469</v>
      </c>
      <c r="AE367" s="498" t="s">
        <v>432</v>
      </c>
      <c r="AF367" s="13">
        <v>4.0</v>
      </c>
      <c r="AG367" s="13">
        <v>1.0</v>
      </c>
      <c r="AH367" s="13" t="str">
        <f t="array" ref="AH367">IFERROR(INDEX(C$2:N$2, SMALL(IF(C$68:N$68=AG367, COLUMN(C$2:N$2)-COLUMN(C$2)+1), AF367)), "-")</f>
        <v>-</v>
      </c>
      <c r="AI367" s="13">
        <v>1.0</v>
      </c>
    </row>
    <row r="368" ht="15.75" customHeight="1">
      <c r="A368" s="491"/>
      <c r="AC368" s="346" t="s">
        <v>302</v>
      </c>
      <c r="AD368" s="471" t="s">
        <v>469</v>
      </c>
      <c r="AE368" s="498" t="s">
        <v>432</v>
      </c>
      <c r="AF368" s="13">
        <v>5.0</v>
      </c>
      <c r="AG368" s="13">
        <v>1.0</v>
      </c>
      <c r="AH368" s="13" t="str">
        <f t="array" ref="AH368">IFERROR(INDEX(C$2:N$2, SMALL(IF(C$68:N$68=AG368, COLUMN(C$2:N$2)-COLUMN(C$2)+1), AF368)), "-")</f>
        <v>-</v>
      </c>
      <c r="AI368" s="13">
        <v>1.0</v>
      </c>
    </row>
    <row r="369" ht="15.75" customHeight="1">
      <c r="A369" s="491"/>
      <c r="AB369" s="747"/>
      <c r="AC369" s="346" t="s">
        <v>302</v>
      </c>
      <c r="AD369" s="748" t="s">
        <v>378</v>
      </c>
      <c r="AE369" s="365" t="s">
        <v>432</v>
      </c>
      <c r="AG369" s="13">
        <v>1.0</v>
      </c>
      <c r="AH369" s="13" t="str">
        <f t="array" ref="AH369">IFERROR(
    INDEX(C$2:N$2, SMALL(IF(C$69:N$69=AG349, COLUMN(C$2:N$2)-COLUMN(C$2)+1), AF349)),
  "-")
</f>
        <v>GREEN</v>
      </c>
      <c r="AI369" s="18">
        <v>1.0</v>
      </c>
    </row>
    <row r="370" ht="15.75" customHeight="1">
      <c r="A370" s="491"/>
      <c r="AB370" s="747"/>
      <c r="AC370" s="346" t="s">
        <v>302</v>
      </c>
      <c r="AD370" s="748" t="s">
        <v>378</v>
      </c>
      <c r="AE370" s="365" t="s">
        <v>432</v>
      </c>
      <c r="AG370" s="13">
        <v>1.0</v>
      </c>
      <c r="AH370" s="13" t="str">
        <f t="array" ref="AH370">IFERROR(
    INDEX(C$2:N$2, SMALL(IF(C$69:N$69=AG350, COLUMN(C$2:N$2)-COLUMN(C$2)+1), AF350)),
  "-")
</f>
        <v>-</v>
      </c>
      <c r="AI370" s="18">
        <v>1.0</v>
      </c>
    </row>
    <row r="371" ht="15.75" customHeight="1">
      <c r="A371" s="491"/>
      <c r="AB371" s="747"/>
      <c r="AC371" s="346" t="s">
        <v>302</v>
      </c>
      <c r="AD371" s="748" t="s">
        <v>378</v>
      </c>
      <c r="AE371" s="365" t="s">
        <v>432</v>
      </c>
      <c r="AG371" s="13">
        <v>1.0</v>
      </c>
      <c r="AH371" s="13" t="str">
        <f t="array" ref="AH371">IFERROR(
    INDEX(C$2:N$2, SMALL(IF(C$69:N$69=AG351, COLUMN(C$2:N$2)-COLUMN(C$2)+1), AF351)),
  "-")
</f>
        <v>-</v>
      </c>
      <c r="AI371" s="18">
        <v>1.0</v>
      </c>
    </row>
    <row r="372" ht="15.75" customHeight="1">
      <c r="A372" s="491"/>
      <c r="AB372" s="747"/>
      <c r="AC372" s="346" t="s">
        <v>302</v>
      </c>
      <c r="AD372" s="748" t="s">
        <v>378</v>
      </c>
      <c r="AE372" s="365" t="s">
        <v>432</v>
      </c>
      <c r="AG372" s="13">
        <v>1.0</v>
      </c>
      <c r="AH372" s="13" t="str">
        <f t="array" ref="AH372">IFERROR(
    INDEX(C$2:N$2, SMALL(IF(C$69:N$69=AG352, COLUMN(C$2:N$2)-COLUMN(C$2)+1), AF352)),
  "-")
</f>
        <v>-</v>
      </c>
      <c r="AI372" s="18">
        <v>1.0</v>
      </c>
    </row>
    <row r="373" ht="15.75" customHeight="1">
      <c r="A373" s="491"/>
      <c r="AB373" s="747"/>
      <c r="AC373" s="346" t="s">
        <v>302</v>
      </c>
      <c r="AD373" s="748" t="s">
        <v>378</v>
      </c>
      <c r="AE373" s="365" t="s">
        <v>432</v>
      </c>
      <c r="AG373" s="13">
        <v>1.0</v>
      </c>
      <c r="AH373" s="13" t="str">
        <f t="array" ref="AH373">IFERROR(
    INDEX(C$2:N$2, SMALL(IF(C$69:N$69=AG353, COLUMN(C$2:N$2)-COLUMN(C$2)+1), AF353)),
  "-")
</f>
        <v>-</v>
      </c>
      <c r="AI373" s="18">
        <v>1.0</v>
      </c>
    </row>
    <row r="374" ht="15.75" customHeight="1">
      <c r="A374" s="491"/>
      <c r="AB374" s="747"/>
      <c r="AC374" s="346" t="s">
        <v>302</v>
      </c>
      <c r="AD374" s="748" t="s">
        <v>378</v>
      </c>
      <c r="AE374" s="365" t="s">
        <v>432</v>
      </c>
      <c r="AG374" s="13">
        <v>1.0</v>
      </c>
      <c r="AH374" s="13" t="str">
        <f t="array" ref="AH374">IFERROR(
    INDEX(C$2:N$2, SMALL(IF(C$69:N$69=AG354, COLUMN(C$2:N$2)-COLUMN(C$2)+1), AF354)),
  "-")
</f>
        <v>-</v>
      </c>
      <c r="AI374" s="18">
        <v>1.0</v>
      </c>
    </row>
    <row r="375" ht="15.75" customHeight="1">
      <c r="A375" s="491"/>
      <c r="AB375" s="747"/>
      <c r="AC375" s="346" t="s">
        <v>302</v>
      </c>
      <c r="AD375" s="748" t="s">
        <v>378</v>
      </c>
      <c r="AE375" s="365" t="s">
        <v>432</v>
      </c>
      <c r="AG375" s="13">
        <v>1.0</v>
      </c>
      <c r="AH375" s="13" t="str">
        <f t="array" ref="AH375">IFERROR(
    INDEX(C$2:N$2, SMALL(IF(C$69:N$69=AG355, COLUMN(C$2:N$2)-COLUMN(C$2)+1), AF355)),
  "-")
</f>
        <v>-</v>
      </c>
      <c r="AI375" s="18">
        <v>1.0</v>
      </c>
    </row>
    <row r="376" ht="15.75" customHeight="1">
      <c r="A376" s="491"/>
      <c r="AB376" s="747"/>
      <c r="AC376" s="346" t="s">
        <v>302</v>
      </c>
      <c r="AD376" s="748" t="s">
        <v>378</v>
      </c>
      <c r="AE376" s="365" t="s">
        <v>432</v>
      </c>
      <c r="AG376" s="13">
        <v>1.0</v>
      </c>
      <c r="AH376" s="13" t="str">
        <f t="array" ref="AH376">IFERROR(
    INDEX(C$2:N$2, SMALL(IF(C$69:N$69=AG356, COLUMN(C$2:N$2)-COLUMN(C$2)+1), AF356)),
  "-")
</f>
        <v>-</v>
      </c>
      <c r="AI376" s="18">
        <v>1.0</v>
      </c>
    </row>
    <row r="377" ht="15.75" customHeight="1">
      <c r="A377" s="491"/>
      <c r="AB377" s="747"/>
      <c r="AC377" s="346" t="s">
        <v>302</v>
      </c>
      <c r="AD377" s="748" t="s">
        <v>378</v>
      </c>
      <c r="AE377" s="365" t="s">
        <v>432</v>
      </c>
      <c r="AG377" s="13">
        <v>1.0</v>
      </c>
      <c r="AH377" s="13" t="str">
        <f t="array" ref="AH377">IFERROR(
    INDEX(C$2:N$2, SMALL(IF(C$69:N$69=AG357, COLUMN(C$2:N$2)-COLUMN(C$2)+1), AF357)),
  "-")
</f>
        <v>-</v>
      </c>
      <c r="AI377" s="18">
        <v>1.0</v>
      </c>
    </row>
    <row r="378" ht="15.75" customHeight="1">
      <c r="A378" s="491"/>
      <c r="AB378" s="747"/>
      <c r="AC378" s="346" t="s">
        <v>302</v>
      </c>
      <c r="AD378" s="748" t="s">
        <v>378</v>
      </c>
      <c r="AE378" s="365" t="s">
        <v>432</v>
      </c>
      <c r="AG378" s="13">
        <v>1.0</v>
      </c>
      <c r="AH378" s="13" t="str">
        <f t="array" ref="AH378">IFERROR(
    INDEX(C$2:N$2, SMALL(IF(C$69:N$69=AG358, COLUMN(C$2:N$2)-COLUMN(C$2)+1), AF358)),
  "-")
</f>
        <v>-</v>
      </c>
      <c r="AI378" s="18">
        <v>1.0</v>
      </c>
    </row>
    <row r="379" ht="15.75" customHeight="1">
      <c r="A379" s="491"/>
      <c r="AB379" s="747"/>
      <c r="AC379" s="346" t="s">
        <v>302</v>
      </c>
      <c r="AD379" s="748" t="s">
        <v>476</v>
      </c>
      <c r="AE379" s="740" t="s">
        <v>432</v>
      </c>
      <c r="AG379" s="13">
        <v>1.0</v>
      </c>
      <c r="AH379" s="13" t="str">
        <f t="array" ref="AH379">IFERROR(
    INDEX(C$2:N$2, SMALL(IF(C$70:N$70=AG349, COLUMN(C$2:N$2)-COLUMN(C$2)+1), AF349)),
  "-")
</f>
        <v>GREEN</v>
      </c>
      <c r="AI379" s="18">
        <v>1.0</v>
      </c>
    </row>
    <row r="380" ht="15.75" customHeight="1">
      <c r="A380" s="491"/>
      <c r="AB380" s="747"/>
      <c r="AC380" s="346" t="s">
        <v>302</v>
      </c>
      <c r="AD380" s="748" t="s">
        <v>476</v>
      </c>
      <c r="AE380" s="740" t="s">
        <v>432</v>
      </c>
      <c r="AG380" s="13">
        <v>1.0</v>
      </c>
      <c r="AH380" s="13" t="str">
        <f t="array" ref="AH380">IFERROR(
    INDEX(C$2:N$2, SMALL(IF(C$70:N$70=AG350, COLUMN(C$2:N$2)-COLUMN(C$2)+1), AF350)),
  "-")
</f>
        <v>-</v>
      </c>
      <c r="AI380" s="18">
        <v>1.0</v>
      </c>
    </row>
    <row r="381" ht="15.75" customHeight="1">
      <c r="A381" s="491"/>
      <c r="AB381" s="747"/>
      <c r="AC381" s="346" t="s">
        <v>302</v>
      </c>
      <c r="AD381" s="748" t="s">
        <v>476</v>
      </c>
      <c r="AE381" s="740" t="s">
        <v>432</v>
      </c>
      <c r="AG381" s="13">
        <v>1.0</v>
      </c>
      <c r="AH381" s="13" t="str">
        <f t="array" ref="AH381">IFERROR(
    INDEX(C$2:N$2, SMALL(IF(C$70:N$70=AG351, COLUMN(C$2:N$2)-COLUMN(C$2)+1), AF351)),
  "-")
</f>
        <v>-</v>
      </c>
      <c r="AI381" s="18">
        <v>1.0</v>
      </c>
    </row>
    <row r="382" ht="15.75" customHeight="1">
      <c r="A382" s="491"/>
      <c r="AB382" s="747"/>
      <c r="AC382" s="346" t="s">
        <v>302</v>
      </c>
      <c r="AD382" s="748" t="s">
        <v>476</v>
      </c>
      <c r="AE382" s="740" t="s">
        <v>432</v>
      </c>
      <c r="AG382" s="13">
        <v>1.0</v>
      </c>
      <c r="AH382" s="13" t="str">
        <f t="array" ref="AH382">IFERROR(
    INDEX(C$2:N$2, SMALL(IF(C$70:N$70=AG352, COLUMN(C$2:N$2)-COLUMN(C$2)+1), AF352)),
  "-")
</f>
        <v>-</v>
      </c>
      <c r="AI382" s="18">
        <v>1.0</v>
      </c>
    </row>
    <row r="383" ht="15.75" customHeight="1">
      <c r="A383" s="491"/>
      <c r="AB383" s="747"/>
      <c r="AC383" s="346" t="s">
        <v>302</v>
      </c>
      <c r="AD383" s="748" t="s">
        <v>476</v>
      </c>
      <c r="AE383" s="740" t="s">
        <v>432</v>
      </c>
      <c r="AG383" s="13">
        <v>1.0</v>
      </c>
      <c r="AH383" s="13" t="str">
        <f t="array" ref="AH383">IFERROR(
    INDEX(C$2:N$2, SMALL(IF(C$70:N$70=AG353, COLUMN(C$2:N$2)-COLUMN(C$2)+1), AF353)),
  "-")
</f>
        <v>-</v>
      </c>
      <c r="AI383" s="18">
        <v>1.0</v>
      </c>
    </row>
    <row r="384" ht="15.75" customHeight="1">
      <c r="A384" s="491"/>
      <c r="AB384" s="747"/>
      <c r="AC384" s="346" t="s">
        <v>302</v>
      </c>
      <c r="AD384" s="748" t="s">
        <v>483</v>
      </c>
      <c r="AE384" s="428" t="s">
        <v>432</v>
      </c>
      <c r="AG384" s="13">
        <v>1.0</v>
      </c>
      <c r="AH384" s="13" t="str">
        <f t="array" ref="AH384">IFERROR(
    INDEX(C$2:N$2, SMALL(IF(C$71:N$71=AG349, COLUMN(C$2:N$2)-COLUMN(C$2)+1), AF349)),
  "-")
</f>
        <v>CHAMPS</v>
      </c>
      <c r="AI384" s="18">
        <v>1.0</v>
      </c>
    </row>
    <row r="385" ht="15.75" customHeight="1">
      <c r="A385" s="491"/>
      <c r="AB385" s="747"/>
      <c r="AC385" s="346" t="s">
        <v>302</v>
      </c>
      <c r="AD385" s="748" t="s">
        <v>483</v>
      </c>
      <c r="AE385" s="428" t="s">
        <v>432</v>
      </c>
      <c r="AG385" s="13">
        <v>1.0</v>
      </c>
      <c r="AH385" s="13" t="str">
        <f t="array" ref="AH385">IFERROR(
    INDEX(C$2:N$2, SMALL(IF(C$71:N$71=AG350, COLUMN(C$2:N$2)-COLUMN(C$2)+1), AF350)),
  "-")
</f>
        <v>MUTTS</v>
      </c>
      <c r="AI385" s="18">
        <v>1.0</v>
      </c>
    </row>
    <row r="386" ht="15.75" customHeight="1">
      <c r="A386" s="491"/>
      <c r="AB386" s="747"/>
      <c r="AC386" s="346" t="s">
        <v>302</v>
      </c>
      <c r="AD386" s="748" t="s">
        <v>483</v>
      </c>
      <c r="AE386" s="428" t="s">
        <v>432</v>
      </c>
      <c r="AG386" s="13">
        <v>1.0</v>
      </c>
      <c r="AH386" s="13" t="str">
        <f t="array" ref="AH386">IFERROR(
    INDEX(C$2:N$2, SMALL(IF(C$71:N$71=AG351, COLUMN(C$2:N$2)-COLUMN(C$2)+1), AF351)),
  "-")
</f>
        <v>-</v>
      </c>
      <c r="AI386" s="18">
        <v>1.0</v>
      </c>
    </row>
    <row r="387" ht="15.75" customHeight="1">
      <c r="A387" s="491"/>
      <c r="AB387" s="747"/>
      <c r="AC387" s="346" t="s">
        <v>302</v>
      </c>
      <c r="AD387" s="748" t="s">
        <v>483</v>
      </c>
      <c r="AE387" s="428" t="s">
        <v>432</v>
      </c>
      <c r="AG387" s="13">
        <v>1.0</v>
      </c>
      <c r="AH387" s="13" t="str">
        <f t="array" ref="AH387">IFERROR(
    INDEX(C$2:N$2, SMALL(IF(C$71:N$71=AG352, COLUMN(C$2:N$2)-COLUMN(C$2)+1), AF352)),
  "-")
</f>
        <v>-</v>
      </c>
      <c r="AI387" s="18">
        <v>1.0</v>
      </c>
    </row>
    <row r="388" ht="15.75" customHeight="1">
      <c r="A388" s="491"/>
      <c r="AB388" s="747"/>
      <c r="AC388" s="346" t="s">
        <v>302</v>
      </c>
      <c r="AD388" s="748" t="s">
        <v>483</v>
      </c>
      <c r="AE388" s="428" t="s">
        <v>432</v>
      </c>
      <c r="AG388" s="13">
        <v>1.0</v>
      </c>
      <c r="AH388" s="13" t="str">
        <f t="array" ref="AH388">IFERROR(
    INDEX(C$2:N$2, SMALL(IF(C$71:N$71=AG353, COLUMN(C$2:N$2)-COLUMN(C$2)+1), AF353)),
  "-")
</f>
        <v>-</v>
      </c>
      <c r="AI388" s="18">
        <v>1.0</v>
      </c>
    </row>
    <row r="389" ht="15.75" customHeight="1">
      <c r="A389" s="491"/>
      <c r="AB389" s="747"/>
      <c r="AC389" s="346" t="s">
        <v>302</v>
      </c>
      <c r="AD389" s="758" t="s">
        <v>567</v>
      </c>
      <c r="AE389" s="471" t="s">
        <v>432</v>
      </c>
      <c r="AG389" s="13">
        <v>1.0</v>
      </c>
      <c r="AH389" s="13" t="str">
        <f t="array" ref="AH389">IFERROR(
    INDEX(C$2:N$2, SMALL(IF(C$72:N$72=AG349, COLUMN(C$2:N$2)-COLUMN(C$2)+1), AF349)),
  "-")
</f>
        <v>GREEN</v>
      </c>
      <c r="AI389" s="18">
        <v>1.0</v>
      </c>
    </row>
    <row r="390" ht="15.75" customHeight="1">
      <c r="A390" s="491"/>
      <c r="AB390" s="747"/>
      <c r="AC390" s="346" t="s">
        <v>302</v>
      </c>
      <c r="AD390" s="758" t="s">
        <v>567</v>
      </c>
      <c r="AE390" s="471" t="s">
        <v>432</v>
      </c>
      <c r="AG390" s="13">
        <v>1.0</v>
      </c>
      <c r="AH390" s="13" t="str">
        <f t="array" ref="AH390">IFERROR(
    INDEX(C$2:N$2, SMALL(IF(C$72:N$72=AG350, COLUMN(C$2:N$2)-COLUMN(C$2)+1), AF350)),
  "-")
</f>
        <v>YARDIES</v>
      </c>
      <c r="AI390" s="18">
        <v>1.0</v>
      </c>
    </row>
    <row r="391" ht="15.75" customHeight="1">
      <c r="A391" s="491"/>
      <c r="AB391" s="747"/>
      <c r="AC391" s="346" t="s">
        <v>302</v>
      </c>
      <c r="AD391" s="758" t="s">
        <v>567</v>
      </c>
      <c r="AE391" s="471" t="s">
        <v>432</v>
      </c>
      <c r="AG391" s="13">
        <v>1.0</v>
      </c>
      <c r="AH391" s="13" t="str">
        <f t="array" ref="AH391">IFERROR(
    INDEX(C$2:N$2, SMALL(IF(C$72:N$72=AG351, COLUMN(C$2:N$2)-COLUMN(C$2)+1), AF351)),
  "-")
</f>
        <v>-</v>
      </c>
      <c r="AI391" s="18">
        <v>1.0</v>
      </c>
    </row>
    <row r="392" ht="15.75" customHeight="1">
      <c r="A392" s="491"/>
      <c r="AB392" s="747"/>
      <c r="AC392" s="346" t="s">
        <v>302</v>
      </c>
      <c r="AD392" s="758" t="s">
        <v>567</v>
      </c>
      <c r="AE392" s="471" t="s">
        <v>432</v>
      </c>
      <c r="AG392" s="13">
        <v>1.0</v>
      </c>
      <c r="AH392" s="13" t="str">
        <f t="array" ref="AH392">IFERROR(
    INDEX(C$2:N$2, SMALL(IF(C$72:N$72=AG352, COLUMN(C$2:N$2)-COLUMN(C$2)+1), AF352)),
  "-")
</f>
        <v>-</v>
      </c>
      <c r="AI392" s="18">
        <v>1.0</v>
      </c>
    </row>
    <row r="393" ht="15.75" customHeight="1">
      <c r="A393" s="491"/>
      <c r="AB393" s="747"/>
      <c r="AC393" s="346" t="s">
        <v>302</v>
      </c>
      <c r="AD393" s="758" t="s">
        <v>567</v>
      </c>
      <c r="AE393" s="471" t="s">
        <v>432</v>
      </c>
      <c r="AG393" s="13">
        <v>1.0</v>
      </c>
      <c r="AH393" s="13" t="str">
        <f t="array" ref="AH393">IFERROR(
    INDEX(C$2:N$2, SMALL(IF(C$72:N$72=AG353, COLUMN(C$2:N$2)-COLUMN(C$2)+1), AF353)),
  "-")
</f>
        <v>-</v>
      </c>
      <c r="AI393" s="18">
        <v>1.0</v>
      </c>
    </row>
    <row r="394" ht="15.75" customHeight="1">
      <c r="A394" s="491"/>
      <c r="AB394" s="747"/>
      <c r="AC394" s="346" t="s">
        <v>302</v>
      </c>
      <c r="AD394" s="758" t="s">
        <v>567</v>
      </c>
      <c r="AE394" s="471" t="s">
        <v>432</v>
      </c>
      <c r="AG394" s="13">
        <v>1.0</v>
      </c>
      <c r="AH394" s="13" t="str">
        <f t="array" ref="AH394">IFERROR(
    INDEX(C$2:N$2, SMALL(IF(C$72:N$72=AG354, COLUMN(C$2:N$2)-COLUMN(C$2)+1), AF354)),
  "-")
</f>
        <v>-</v>
      </c>
      <c r="AI394" s="18">
        <v>1.0</v>
      </c>
    </row>
    <row r="395" ht="15.75" customHeight="1">
      <c r="A395" s="491"/>
      <c r="AB395" s="747"/>
      <c r="AC395" s="346" t="s">
        <v>302</v>
      </c>
      <c r="AD395" s="758" t="s">
        <v>567</v>
      </c>
      <c r="AE395" s="471" t="s">
        <v>432</v>
      </c>
      <c r="AG395" s="13">
        <v>1.0</v>
      </c>
      <c r="AH395" s="13" t="str">
        <f t="array" ref="AH395">IFERROR(
    INDEX(C$2:N$2, SMALL(IF(C$72:N$72=AG355, COLUMN(C$2:N$2)-COLUMN(C$2)+1), AF355)),
  "-")
</f>
        <v>-</v>
      </c>
      <c r="AI395" s="18">
        <v>1.0</v>
      </c>
    </row>
    <row r="396" ht="15.75" customHeight="1">
      <c r="A396" s="491"/>
      <c r="AB396" s="747"/>
      <c r="AC396" s="346" t="s">
        <v>302</v>
      </c>
      <c r="AD396" s="758" t="s">
        <v>567</v>
      </c>
      <c r="AE396" s="471" t="s">
        <v>432</v>
      </c>
      <c r="AG396" s="13">
        <v>1.0</v>
      </c>
      <c r="AH396" s="13" t="str">
        <f t="array" ref="AH396">IFERROR(
    INDEX(C$2:N$2, SMALL(IF(C$72:N$72=AG356, COLUMN(C$2:N$2)-COLUMN(C$2)+1), AF356)),
  "-")
</f>
        <v>-</v>
      </c>
      <c r="AI396" s="18">
        <v>1.0</v>
      </c>
    </row>
    <row r="397" ht="15.75" customHeight="1">
      <c r="A397" s="491"/>
      <c r="AB397" s="747"/>
      <c r="AC397" s="346" t="s">
        <v>302</v>
      </c>
      <c r="AD397" s="758" t="s">
        <v>567</v>
      </c>
      <c r="AE397" s="471" t="s">
        <v>432</v>
      </c>
      <c r="AG397" s="13">
        <v>1.0</v>
      </c>
      <c r="AH397" s="13" t="str">
        <f t="array" ref="AH397">IFERROR(
    INDEX(C$2:N$2, SMALL(IF(C$72:N$72=AG357, COLUMN(C$2:N$2)-COLUMN(C$2)+1), AF357)),
  "-")
</f>
        <v>-</v>
      </c>
      <c r="AI397" s="18">
        <v>1.0</v>
      </c>
    </row>
    <row r="398" ht="15.75" customHeight="1">
      <c r="A398" s="491"/>
      <c r="AB398" s="747"/>
      <c r="AC398" s="346" t="s">
        <v>302</v>
      </c>
      <c r="AD398" s="758" t="s">
        <v>567</v>
      </c>
      <c r="AE398" s="471" t="s">
        <v>432</v>
      </c>
      <c r="AG398" s="13">
        <v>1.0</v>
      </c>
      <c r="AH398" s="13" t="str">
        <f t="array" ref="AH398">IFERROR(
    INDEX(C$2:N$2, SMALL(IF(C$72:N$72=AG358, COLUMN(C$2:N$2)-COLUMN(C$2)+1), AF358)),
  "-")
</f>
        <v>-</v>
      </c>
      <c r="AI398" s="18">
        <v>1.0</v>
      </c>
    </row>
    <row r="399" ht="15.75" customHeight="1">
      <c r="A399" s="491"/>
      <c r="AB399" s="747"/>
      <c r="AC399" s="346" t="s">
        <v>302</v>
      </c>
      <c r="AD399" s="758" t="s">
        <v>568</v>
      </c>
      <c r="AE399" s="731" t="s">
        <v>432</v>
      </c>
      <c r="AG399" s="13">
        <v>1.0</v>
      </c>
      <c r="AH399" s="13" t="str">
        <f t="array" ref="AH399">IFERROR(
    INDEX(C$2:N$2, SMALL(IF(C$73:N$73=AG349, COLUMN(C$2:N$2)-COLUMN(C$2)+1), AF349)),
  "-")
</f>
        <v>GREEN</v>
      </c>
      <c r="AI399" s="18">
        <v>1.0</v>
      </c>
    </row>
    <row r="400" ht="15.75" customHeight="1">
      <c r="A400" s="491"/>
      <c r="AB400" s="747"/>
      <c r="AC400" s="346" t="s">
        <v>302</v>
      </c>
      <c r="AD400" s="758" t="s">
        <v>568</v>
      </c>
      <c r="AE400" s="731" t="s">
        <v>432</v>
      </c>
      <c r="AG400" s="13">
        <v>1.0</v>
      </c>
      <c r="AH400" s="13" t="str">
        <f t="array" ref="AH400">IFERROR(
    INDEX(C$2:N$2, SMALL(IF(C$73:N$73=AG350, COLUMN(C$2:N$2)-COLUMN(C$2)+1), AF350)),
  "-")
</f>
        <v>-</v>
      </c>
      <c r="AI400" s="18">
        <v>1.0</v>
      </c>
    </row>
    <row r="401" ht="15.75" customHeight="1">
      <c r="A401" s="491"/>
      <c r="AB401" s="747"/>
      <c r="AC401" s="346" t="s">
        <v>302</v>
      </c>
      <c r="AD401" s="758" t="s">
        <v>568</v>
      </c>
      <c r="AE401" s="731" t="s">
        <v>432</v>
      </c>
      <c r="AG401" s="13">
        <v>1.0</v>
      </c>
      <c r="AH401" s="13" t="str">
        <f t="array" ref="AH401">IFERROR(
    INDEX(C$2:N$2, SMALL(IF(C$73:N$73=AG351, COLUMN(C$2:N$2)-COLUMN(C$2)+1), AF351)),
  "-")
</f>
        <v>-</v>
      </c>
      <c r="AI401" s="18">
        <v>1.0</v>
      </c>
    </row>
    <row r="402" ht="15.75" customHeight="1">
      <c r="A402" s="491"/>
      <c r="AB402" s="747"/>
      <c r="AC402" s="346" t="s">
        <v>302</v>
      </c>
      <c r="AD402" s="758" t="s">
        <v>568</v>
      </c>
      <c r="AE402" s="731" t="s">
        <v>432</v>
      </c>
      <c r="AG402" s="13">
        <v>1.0</v>
      </c>
      <c r="AH402" s="13" t="str">
        <f t="array" ref="AH402">IFERROR(
    INDEX(C$2:N$2, SMALL(IF(C$73:N$73=AG352, COLUMN(C$2:N$2)-COLUMN(C$2)+1), AF352)),
  "-")
</f>
        <v>-</v>
      </c>
      <c r="AI402" s="18">
        <v>1.0</v>
      </c>
    </row>
    <row r="403" ht="15.75" customHeight="1">
      <c r="A403" s="491"/>
      <c r="AB403" s="747"/>
      <c r="AC403" s="346" t="s">
        <v>302</v>
      </c>
      <c r="AD403" s="758" t="s">
        <v>568</v>
      </c>
      <c r="AE403" s="731" t="s">
        <v>432</v>
      </c>
      <c r="AG403" s="13">
        <v>1.0</v>
      </c>
      <c r="AH403" s="13" t="str">
        <f t="array" ref="AH403">IFERROR(
    INDEX(C$2:N$2, SMALL(IF(C$73:N$73=AG353, COLUMN(C$2:N$2)-COLUMN(C$2)+1), AF353)),
  "-")
</f>
        <v>-</v>
      </c>
      <c r="AI403" s="18">
        <v>1.0</v>
      </c>
    </row>
    <row r="404" ht="15.75" customHeight="1">
      <c r="A404" s="491"/>
      <c r="AB404" s="747"/>
      <c r="AC404" s="346" t="s">
        <v>302</v>
      </c>
      <c r="AD404" s="758" t="s">
        <v>569</v>
      </c>
      <c r="AE404" s="498" t="s">
        <v>432</v>
      </c>
      <c r="AG404" s="13">
        <v>1.0</v>
      </c>
      <c r="AH404" s="13" t="str">
        <f t="array" ref="AH404">IFERROR(
    INDEX(C$2:N$2, SMALL(IF(C$74:N$74=AG349, COLUMN(C$2:N$2)-COLUMN(C$2)+1), AF349)),
  "-")
</f>
        <v>YARDIES</v>
      </c>
      <c r="AI404" s="18">
        <v>1.0</v>
      </c>
    </row>
    <row r="405" ht="15.75" customHeight="1">
      <c r="A405" s="491"/>
      <c r="AB405" s="747"/>
      <c r="AC405" s="346" t="s">
        <v>302</v>
      </c>
      <c r="AD405" s="758" t="s">
        <v>569</v>
      </c>
      <c r="AE405" s="498" t="s">
        <v>432</v>
      </c>
      <c r="AG405" s="13">
        <v>1.0</v>
      </c>
      <c r="AH405" s="13" t="str">
        <f t="array" ref="AH405">IFERROR(
    INDEX(C$2:N$2, SMALL(IF(C$74:N$74=AG350, COLUMN(C$2:N$2)-COLUMN(C$2)+1), AF350)),
  "-")
</f>
        <v>-</v>
      </c>
      <c r="AI405" s="18">
        <v>1.0</v>
      </c>
    </row>
    <row r="406" ht="15.75" customHeight="1">
      <c r="A406" s="491"/>
      <c r="AB406" s="747"/>
      <c r="AC406" s="346" t="s">
        <v>302</v>
      </c>
      <c r="AD406" s="758" t="s">
        <v>569</v>
      </c>
      <c r="AE406" s="498" t="s">
        <v>432</v>
      </c>
      <c r="AG406" s="13">
        <v>1.0</v>
      </c>
      <c r="AH406" s="13" t="str">
        <f t="array" ref="AH406">IFERROR(
    INDEX(C$2:N$2, SMALL(IF(C$74:N$74=AG351, COLUMN(C$2:N$2)-COLUMN(C$2)+1), AF351)),
  "-")
</f>
        <v>-</v>
      </c>
      <c r="AI406" s="18">
        <v>1.0</v>
      </c>
    </row>
    <row r="407" ht="15.75" customHeight="1">
      <c r="A407" s="491"/>
      <c r="AB407" s="747"/>
      <c r="AC407" s="346" t="s">
        <v>302</v>
      </c>
      <c r="AD407" s="758" t="s">
        <v>569</v>
      </c>
      <c r="AE407" s="498" t="s">
        <v>432</v>
      </c>
      <c r="AG407" s="13">
        <v>1.0</v>
      </c>
      <c r="AH407" s="13" t="str">
        <f t="array" ref="AH407">IFERROR(
    INDEX(C$2:N$2, SMALL(IF(C$74:N$74=AG352, COLUMN(C$2:N$2)-COLUMN(C$2)+1), AF352)),
  "-")
</f>
        <v>-</v>
      </c>
      <c r="AI407" s="18">
        <v>1.0</v>
      </c>
    </row>
    <row r="408" ht="15.75" customHeight="1">
      <c r="A408" s="491"/>
      <c r="AB408" s="747"/>
      <c r="AC408" s="346" t="s">
        <v>302</v>
      </c>
      <c r="AD408" s="758" t="s">
        <v>569</v>
      </c>
      <c r="AE408" s="498" t="s">
        <v>432</v>
      </c>
      <c r="AG408" s="13">
        <v>1.0</v>
      </c>
      <c r="AH408" s="13" t="str">
        <f t="array" ref="AH408">IFERROR(
    INDEX(C$2:N$2, SMALL(IF(C$74:N$74=AG353, COLUMN(C$2:N$2)-COLUMN(C$2)+1), AF353)),
  "-")
</f>
        <v>-</v>
      </c>
      <c r="AI408" s="18">
        <v>1.0</v>
      </c>
    </row>
    <row r="409" ht="15.75" customHeight="1">
      <c r="A409" s="491"/>
      <c r="AB409" s="761"/>
      <c r="AC409" s="346" t="s">
        <v>303</v>
      </c>
      <c r="AD409" s="365" t="s">
        <v>126</v>
      </c>
      <c r="AE409" s="365" t="s">
        <v>22</v>
      </c>
      <c r="AF409" s="13">
        <v>1.0</v>
      </c>
      <c r="AG409" s="13">
        <v>1.0</v>
      </c>
      <c r="AH409" s="13" t="str">
        <f>'Weekly Scores'!AZ19</f>
        <v>MUTTS</v>
      </c>
      <c r="AI409" s="13">
        <v>2.0</v>
      </c>
    </row>
    <row r="410" ht="15.75" customHeight="1">
      <c r="A410" s="491"/>
      <c r="AB410" s="761"/>
      <c r="AC410" s="346" t="s">
        <v>303</v>
      </c>
      <c r="AD410" s="428" t="s">
        <v>570</v>
      </c>
      <c r="AE410" s="428" t="s">
        <v>22</v>
      </c>
      <c r="AF410" s="13">
        <v>1.0</v>
      </c>
      <c r="AG410" s="13">
        <v>1.0</v>
      </c>
      <c r="AH410" s="13" t="str">
        <f>'Weekly Scores'!AZ27</f>
        <v>CHAMPS</v>
      </c>
      <c r="AI410" s="13">
        <v>2.0</v>
      </c>
    </row>
    <row r="411" ht="15.75" customHeight="1">
      <c r="A411" s="491"/>
      <c r="AB411" s="761"/>
      <c r="AC411" s="346" t="s">
        <v>303</v>
      </c>
      <c r="AD411" s="365" t="s">
        <v>184</v>
      </c>
      <c r="AE411" s="365" t="s">
        <v>22</v>
      </c>
      <c r="AF411" s="13">
        <v>1.0</v>
      </c>
      <c r="AG411" s="13">
        <v>1.0</v>
      </c>
      <c r="AH411" s="13" t="str">
        <f>'Weekly Scores'!AZ35</f>
        <v>DECOUPES</v>
      </c>
      <c r="AI411" s="13">
        <v>2.0</v>
      </c>
    </row>
    <row r="412" ht="15.75" customHeight="1">
      <c r="A412" s="491"/>
      <c r="AB412" s="761"/>
      <c r="AC412" s="346" t="s">
        <v>303</v>
      </c>
      <c r="AD412" s="365" t="s">
        <v>216</v>
      </c>
      <c r="AE412" s="365" t="s">
        <v>571</v>
      </c>
      <c r="AF412" s="13">
        <v>1.0</v>
      </c>
      <c r="AG412" s="13">
        <v>1.0</v>
      </c>
      <c r="AH412" s="13" t="str">
        <f>'Weekly Scores'!BA35</f>
        <v>METAMOOKDAWGS</v>
      </c>
      <c r="AI412" s="13">
        <v>0.5</v>
      </c>
    </row>
    <row r="413" ht="15.75" customHeight="1">
      <c r="A413" s="491"/>
      <c r="AB413" s="761"/>
      <c r="AC413" s="346" t="s">
        <v>303</v>
      </c>
      <c r="AD413" s="428" t="s">
        <v>233</v>
      </c>
      <c r="AE413" s="428" t="s">
        <v>22</v>
      </c>
      <c r="AF413" s="13">
        <v>1.0</v>
      </c>
      <c r="AG413" s="13">
        <v>1.0</v>
      </c>
      <c r="AH413" s="13" t="str">
        <f>'Weekly Scores'!AZ59</f>
        <v>MUTTS</v>
      </c>
      <c r="AI413" s="13">
        <v>2.0</v>
      </c>
    </row>
    <row r="414" ht="15.75" customHeight="1">
      <c r="A414" s="491"/>
      <c r="AB414" s="761"/>
      <c r="AC414" s="346" t="s">
        <v>303</v>
      </c>
      <c r="AD414" s="428" t="s">
        <v>257</v>
      </c>
      <c r="AE414" s="428" t="s">
        <v>571</v>
      </c>
      <c r="AF414" s="13">
        <v>1.0</v>
      </c>
      <c r="AG414" s="13">
        <v>1.0</v>
      </c>
      <c r="AH414" s="13" t="str">
        <f>'Weekly Scores'!BA59</f>
        <v>CHAMPS</v>
      </c>
      <c r="AI414" s="13">
        <v>0.5</v>
      </c>
    </row>
    <row r="415" ht="15.75" customHeight="1">
      <c r="A415" s="491"/>
      <c r="AB415" s="761"/>
      <c r="AC415" s="346" t="s">
        <v>303</v>
      </c>
      <c r="AD415" s="365" t="s">
        <v>572</v>
      </c>
      <c r="AE415" s="365" t="s">
        <v>22</v>
      </c>
      <c r="AF415" s="13">
        <v>1.0</v>
      </c>
      <c r="AG415" s="13">
        <v>1.0</v>
      </c>
      <c r="AH415" s="13" t="str">
        <f>'Weekly Scores'!AZ3</f>
        <v>POPEYES</v>
      </c>
      <c r="AI415" s="13">
        <v>2.0</v>
      </c>
    </row>
    <row r="416" ht="15.75" customHeight="1">
      <c r="A416" s="491"/>
      <c r="AB416" s="761"/>
      <c r="AC416" s="346" t="s">
        <v>303</v>
      </c>
      <c r="AD416" s="365" t="s">
        <v>573</v>
      </c>
      <c r="AE416" s="365" t="s">
        <v>571</v>
      </c>
      <c r="AF416" s="13">
        <v>1.0</v>
      </c>
      <c r="AG416" s="13">
        <v>1.0</v>
      </c>
      <c r="AH416" s="13" t="str">
        <f>'Weekly Scores'!BA3</f>
        <v>MUTTS</v>
      </c>
      <c r="AI416" s="13">
        <v>0.5</v>
      </c>
    </row>
    <row r="417" ht="15.75" customHeight="1">
      <c r="A417" s="491"/>
      <c r="AB417" s="761"/>
      <c r="AC417" s="346" t="s">
        <v>303</v>
      </c>
      <c r="AD417" s="428" t="s">
        <v>574</v>
      </c>
      <c r="AE417" s="428" t="s">
        <v>22</v>
      </c>
      <c r="AF417" s="13">
        <v>1.0</v>
      </c>
      <c r="AG417" s="13">
        <v>1.0</v>
      </c>
      <c r="AH417" s="13" t="str">
        <f>'Weekly Scores'!AZ11</f>
        <v>POPEYES</v>
      </c>
      <c r="AI417" s="13">
        <v>2.0</v>
      </c>
    </row>
    <row r="418" ht="15.75" customHeight="1">
      <c r="A418" s="491"/>
      <c r="AB418" s="761"/>
      <c r="AC418" s="346" t="s">
        <v>303</v>
      </c>
      <c r="AD418" s="428" t="s">
        <v>575</v>
      </c>
      <c r="AE418" s="428" t="s">
        <v>571</v>
      </c>
      <c r="AF418" s="13">
        <v>1.0</v>
      </c>
      <c r="AG418" s="13">
        <v>1.0</v>
      </c>
      <c r="AH418" s="13" t="str">
        <f>'Weekly Scores'!BA11</f>
        <v>MUTTS</v>
      </c>
      <c r="AI418" s="13">
        <v>0.5</v>
      </c>
    </row>
    <row r="419" ht="15.75" customHeight="1">
      <c r="A419" s="491"/>
      <c r="AB419" s="761"/>
      <c r="AC419" s="346" t="s">
        <v>303</v>
      </c>
      <c r="AD419" s="365" t="s">
        <v>260</v>
      </c>
      <c r="AE419" s="365" t="s">
        <v>22</v>
      </c>
      <c r="AF419" s="13">
        <v>1.0</v>
      </c>
      <c r="AG419" s="13">
        <v>1.0</v>
      </c>
      <c r="AH419" s="13" t="str">
        <f>'Weekly Scores'!AZ67</f>
        <v>METAMOOKDAWGS</v>
      </c>
      <c r="AI419" s="13">
        <v>2.0</v>
      </c>
    </row>
    <row r="420" ht="15.75" customHeight="1">
      <c r="A420" s="491"/>
      <c r="AB420" s="761"/>
      <c r="AC420" s="346" t="s">
        <v>303</v>
      </c>
      <c r="AD420" s="471" t="s">
        <v>343</v>
      </c>
      <c r="AE420" s="471" t="s">
        <v>432</v>
      </c>
      <c r="AF420" s="13">
        <v>1.0</v>
      </c>
      <c r="AG420" s="13">
        <v>1.0</v>
      </c>
      <c r="AH420" s="13" t="str">
        <f t="array" ref="AH420">IFERROR(INDEX(C$2:N$2, SMALL(IF(C$50:N$50=AG420, COLUMN(C$2:N$2)-COLUMN(C$2)+1), AF420)), "-")</f>
        <v>YARDIES</v>
      </c>
      <c r="AI420" s="13">
        <v>2.0</v>
      </c>
    </row>
    <row r="421" ht="15.75" customHeight="1">
      <c r="A421" s="491"/>
      <c r="AB421" s="761"/>
      <c r="AC421" s="346" t="s">
        <v>303</v>
      </c>
      <c r="AD421" s="471" t="s">
        <v>343</v>
      </c>
      <c r="AE421" s="471" t="s">
        <v>432</v>
      </c>
      <c r="AF421" s="13">
        <v>2.0</v>
      </c>
      <c r="AG421" s="13">
        <v>1.0</v>
      </c>
      <c r="AH421" s="13" t="str">
        <f t="array" ref="AH421">IFERROR(INDEX(C$2:N$2, SMALL(IF(C$50:N$50=AG421, COLUMN(C$2:N$2)-COLUMN(C$2)+1), AF421)), "-")</f>
        <v>-</v>
      </c>
      <c r="AI421" s="13">
        <v>2.0</v>
      </c>
    </row>
    <row r="422" ht="15.75" customHeight="1">
      <c r="A422" s="491"/>
      <c r="AB422" s="761"/>
      <c r="AC422" s="346" t="s">
        <v>303</v>
      </c>
      <c r="AD422" s="471" t="s">
        <v>343</v>
      </c>
      <c r="AE422" s="471" t="s">
        <v>432</v>
      </c>
      <c r="AF422" s="13">
        <v>3.0</v>
      </c>
      <c r="AG422" s="13">
        <v>1.0</v>
      </c>
      <c r="AH422" s="13" t="str">
        <f t="array" ref="AH422">IFERROR(INDEX(C$2:N$2, SMALL(IF(C$50:N$50=AG422, COLUMN(C$2:N$2)-COLUMN(C$2)+1), AF422)), "-")</f>
        <v>-</v>
      </c>
      <c r="AI422" s="13">
        <v>2.0</v>
      </c>
    </row>
    <row r="423" ht="15.75" customHeight="1">
      <c r="A423" s="491"/>
      <c r="AB423" s="761"/>
    </row>
    <row r="424" ht="15.75" customHeight="1">
      <c r="A424" s="491"/>
      <c r="AB424" s="761"/>
    </row>
    <row r="425" ht="15.75" customHeight="1">
      <c r="A425" s="491"/>
      <c r="AB425" s="761"/>
    </row>
    <row r="426" ht="15.75" customHeight="1">
      <c r="A426" s="491"/>
      <c r="AB426" s="761"/>
    </row>
    <row r="427" ht="15.75" customHeight="1">
      <c r="A427" s="491"/>
      <c r="AB427" s="761"/>
    </row>
    <row r="428" ht="15.75" customHeight="1">
      <c r="A428" s="491"/>
      <c r="AB428" s="761"/>
    </row>
    <row r="429" ht="15.75" customHeight="1">
      <c r="A429" s="491"/>
    </row>
    <row r="430" ht="15.75" customHeight="1">
      <c r="A430" s="491"/>
    </row>
    <row r="431" ht="15.75" customHeight="1">
      <c r="A431" s="491"/>
    </row>
    <row r="432" ht="15.75" customHeight="1">
      <c r="A432" s="491"/>
    </row>
    <row r="433" ht="15.75" customHeight="1">
      <c r="A433" s="491"/>
    </row>
    <row r="434" ht="15.75" customHeight="1">
      <c r="A434" s="491"/>
    </row>
    <row r="435" ht="15.75" customHeight="1">
      <c r="A435" s="491"/>
    </row>
    <row r="436" ht="15.75" customHeight="1">
      <c r="A436" s="491"/>
    </row>
    <row r="437" ht="15.75" customHeight="1">
      <c r="A437" s="491"/>
    </row>
    <row r="438" ht="15.75" customHeight="1">
      <c r="A438" s="491"/>
    </row>
    <row r="439" ht="15.75" customHeight="1">
      <c r="A439" s="491"/>
    </row>
    <row r="440" ht="15.75" customHeight="1">
      <c r="A440" s="491"/>
    </row>
    <row r="441" ht="15.75" customHeight="1">
      <c r="A441" s="491"/>
    </row>
    <row r="442" ht="15.75" customHeight="1">
      <c r="A442" s="491"/>
    </row>
    <row r="443" ht="15.75" customHeight="1">
      <c r="A443" s="491"/>
    </row>
    <row r="444" ht="15.75" customHeight="1">
      <c r="A444" s="491"/>
    </row>
    <row r="445" ht="15.75" customHeight="1">
      <c r="A445" s="491"/>
    </row>
    <row r="446" ht="15.75" customHeight="1">
      <c r="A446" s="491"/>
    </row>
    <row r="447" ht="15.75" customHeight="1">
      <c r="A447" s="491"/>
    </row>
    <row r="448" ht="15.75" customHeight="1">
      <c r="A448" s="491"/>
    </row>
    <row r="449" ht="15.75" customHeight="1">
      <c r="A449" s="491"/>
    </row>
    <row r="450" ht="15.75" customHeight="1">
      <c r="A450" s="491"/>
    </row>
    <row r="451" ht="15.75" customHeight="1">
      <c r="A451" s="491"/>
    </row>
    <row r="452" ht="15.75" customHeight="1">
      <c r="A452" s="491"/>
    </row>
    <row r="453" ht="15.75" customHeight="1">
      <c r="A453" s="491"/>
    </row>
    <row r="454" ht="15.75" customHeight="1">
      <c r="A454" s="491"/>
    </row>
    <row r="455" ht="15.75" customHeight="1">
      <c r="A455" s="491"/>
    </row>
    <row r="456" ht="15.75" customHeight="1">
      <c r="A456" s="491"/>
    </row>
    <row r="457" ht="15.75" customHeight="1">
      <c r="A457" s="491"/>
    </row>
    <row r="458" ht="15.75" customHeight="1">
      <c r="A458" s="491"/>
    </row>
    <row r="459" ht="15.75" customHeight="1">
      <c r="A459" s="491"/>
    </row>
    <row r="460" ht="15.75" customHeight="1">
      <c r="A460" s="491"/>
    </row>
    <row r="461" ht="15.75" customHeight="1">
      <c r="A461" s="491"/>
    </row>
    <row r="462" ht="15.75" customHeight="1">
      <c r="A462" s="491"/>
    </row>
    <row r="463" ht="15.75" customHeight="1">
      <c r="A463" s="491"/>
    </row>
    <row r="464" ht="15.75" customHeight="1">
      <c r="A464" s="491"/>
    </row>
    <row r="465" ht="15.75" customHeight="1">
      <c r="A465" s="491"/>
    </row>
    <row r="466" ht="15.75" customHeight="1">
      <c r="A466" s="491"/>
    </row>
    <row r="467" ht="15.75" customHeight="1">
      <c r="A467" s="491"/>
    </row>
    <row r="468" ht="15.75" customHeight="1">
      <c r="A468" s="491"/>
    </row>
    <row r="469" ht="15.75" customHeight="1">
      <c r="A469" s="491"/>
    </row>
    <row r="470" ht="15.75" customHeight="1">
      <c r="A470" s="491"/>
    </row>
    <row r="471" ht="15.75" customHeight="1">
      <c r="A471" s="491"/>
    </row>
    <row r="472" ht="15.75" customHeight="1">
      <c r="A472" s="491"/>
    </row>
    <row r="473" ht="15.75" customHeight="1">
      <c r="A473" s="491"/>
    </row>
    <row r="474" ht="15.75" customHeight="1">
      <c r="A474" s="491"/>
    </row>
    <row r="475" ht="15.75" customHeight="1">
      <c r="A475" s="491"/>
    </row>
    <row r="476" ht="15.75" customHeight="1">
      <c r="A476" s="491"/>
    </row>
    <row r="477" ht="15.75" customHeight="1">
      <c r="A477" s="491"/>
    </row>
    <row r="478" ht="15.75" customHeight="1">
      <c r="A478" s="491"/>
    </row>
    <row r="479" ht="15.75" customHeight="1">
      <c r="A479" s="491"/>
    </row>
    <row r="480" ht="15.75" customHeight="1">
      <c r="A480" s="491"/>
    </row>
    <row r="481" ht="15.75" customHeight="1">
      <c r="A481" s="491"/>
    </row>
    <row r="482" ht="15.75" customHeight="1">
      <c r="A482" s="491"/>
    </row>
    <row r="483" ht="15.75" customHeight="1">
      <c r="A483" s="491"/>
    </row>
    <row r="484" ht="15.75" customHeight="1">
      <c r="A484" s="491"/>
    </row>
    <row r="485" ht="15.75" customHeight="1">
      <c r="A485" s="491"/>
    </row>
    <row r="486" ht="15.75" customHeight="1">
      <c r="A486" s="491"/>
    </row>
    <row r="487" ht="15.75" customHeight="1">
      <c r="A487" s="491"/>
    </row>
    <row r="488" ht="15.75" customHeight="1">
      <c r="A488" s="491"/>
    </row>
    <row r="489" ht="15.75" customHeight="1">
      <c r="A489" s="491"/>
    </row>
    <row r="490" ht="15.75" customHeight="1">
      <c r="A490" s="491"/>
    </row>
    <row r="491" ht="15.75" customHeight="1">
      <c r="A491" s="491"/>
    </row>
    <row r="492" ht="15.75" customHeight="1">
      <c r="A492" s="491"/>
    </row>
    <row r="493" ht="15.75" customHeight="1">
      <c r="A493" s="491"/>
    </row>
    <row r="494" ht="15.75" customHeight="1">
      <c r="A494" s="491"/>
    </row>
    <row r="495" ht="15.75" customHeight="1">
      <c r="A495" s="491"/>
    </row>
    <row r="496" ht="15.75" customHeight="1">
      <c r="A496" s="491"/>
    </row>
    <row r="497" ht="15.75" customHeight="1">
      <c r="A497" s="491"/>
    </row>
    <row r="498" ht="15.75" customHeight="1">
      <c r="A498" s="491"/>
    </row>
    <row r="499" ht="15.75" customHeight="1">
      <c r="A499" s="491"/>
    </row>
    <row r="500" ht="15.75" customHeight="1">
      <c r="A500" s="491"/>
    </row>
    <row r="501" ht="15.75" customHeight="1">
      <c r="A501" s="491"/>
    </row>
    <row r="502" ht="15.75" customHeight="1">
      <c r="A502" s="491"/>
    </row>
    <row r="503" ht="15.75" customHeight="1">
      <c r="A503" s="491"/>
    </row>
    <row r="504" ht="15.75" customHeight="1">
      <c r="A504" s="491"/>
    </row>
    <row r="505" ht="15.75" customHeight="1">
      <c r="A505" s="491"/>
    </row>
    <row r="506" ht="15.75" customHeight="1">
      <c r="A506" s="491"/>
    </row>
    <row r="507" ht="15.75" customHeight="1">
      <c r="A507" s="491"/>
    </row>
    <row r="508" ht="15.75" customHeight="1">
      <c r="A508" s="491"/>
    </row>
    <row r="509" ht="15.75" customHeight="1">
      <c r="A509" s="491"/>
    </row>
    <row r="510" ht="15.75" customHeight="1">
      <c r="A510" s="491"/>
    </row>
    <row r="511" ht="15.75" customHeight="1">
      <c r="A511" s="491"/>
    </row>
    <row r="512" ht="15.75" customHeight="1">
      <c r="A512" s="491"/>
    </row>
    <row r="513" ht="15.75" customHeight="1">
      <c r="A513" s="491"/>
    </row>
    <row r="514" ht="15.75" customHeight="1">
      <c r="A514" s="491"/>
    </row>
    <row r="515" ht="15.75" customHeight="1">
      <c r="A515" s="491"/>
    </row>
    <row r="516" ht="15.75" customHeight="1">
      <c r="A516" s="491"/>
    </row>
    <row r="517" ht="15.75" customHeight="1">
      <c r="A517" s="491"/>
    </row>
    <row r="518" ht="15.75" customHeight="1">
      <c r="A518" s="491"/>
    </row>
    <row r="519" ht="15.75" customHeight="1">
      <c r="A519" s="491"/>
    </row>
    <row r="520" ht="15.75" customHeight="1">
      <c r="A520" s="491"/>
    </row>
    <row r="521" ht="15.75" customHeight="1">
      <c r="A521" s="491"/>
    </row>
    <row r="522" ht="15.75" customHeight="1">
      <c r="A522" s="491"/>
    </row>
    <row r="523" ht="15.75" customHeight="1">
      <c r="A523" s="491"/>
    </row>
    <row r="524" ht="15.75" customHeight="1">
      <c r="A524" s="491"/>
    </row>
    <row r="525" ht="15.75" customHeight="1">
      <c r="A525" s="491"/>
    </row>
    <row r="526" ht="15.75" customHeight="1">
      <c r="A526" s="491"/>
    </row>
    <row r="527" ht="15.75" customHeight="1">
      <c r="A527" s="491"/>
    </row>
    <row r="528" ht="15.75" customHeight="1">
      <c r="A528" s="491"/>
    </row>
    <row r="529" ht="15.75" customHeight="1">
      <c r="A529" s="491"/>
    </row>
    <row r="530" ht="15.75" customHeight="1">
      <c r="A530" s="491"/>
    </row>
    <row r="531" ht="15.75" customHeight="1">
      <c r="A531" s="491"/>
    </row>
    <row r="532" ht="15.75" customHeight="1">
      <c r="A532" s="491"/>
    </row>
    <row r="533" ht="15.75" customHeight="1">
      <c r="A533" s="491"/>
    </row>
    <row r="534" ht="15.75" customHeight="1">
      <c r="A534" s="491"/>
    </row>
    <row r="535" ht="15.75" customHeight="1">
      <c r="A535" s="491"/>
    </row>
    <row r="536" ht="15.75" customHeight="1">
      <c r="A536" s="491"/>
    </row>
    <row r="537" ht="15.75" customHeight="1">
      <c r="A537" s="491"/>
    </row>
    <row r="538" ht="15.75" customHeight="1">
      <c r="A538" s="491"/>
    </row>
    <row r="539" ht="15.75" customHeight="1">
      <c r="A539" s="491"/>
    </row>
    <row r="540" ht="15.75" customHeight="1">
      <c r="A540" s="491"/>
    </row>
    <row r="541" ht="15.75" customHeight="1">
      <c r="A541" s="491"/>
    </row>
    <row r="542" ht="15.75" customHeight="1">
      <c r="A542" s="491"/>
    </row>
    <row r="543" ht="15.75" customHeight="1">
      <c r="A543" s="491"/>
    </row>
    <row r="544" ht="15.75" customHeight="1">
      <c r="A544" s="491"/>
    </row>
    <row r="545" ht="15.75" customHeight="1">
      <c r="A545" s="491"/>
    </row>
    <row r="546" ht="15.75" customHeight="1">
      <c r="A546" s="491"/>
    </row>
    <row r="547" ht="15.75" customHeight="1">
      <c r="A547" s="491"/>
    </row>
    <row r="548" ht="15.75" customHeight="1">
      <c r="A548" s="491"/>
    </row>
    <row r="549" ht="15.75" customHeight="1">
      <c r="A549" s="491"/>
    </row>
    <row r="550" ht="15.75" customHeight="1">
      <c r="A550" s="491"/>
    </row>
    <row r="551" ht="15.75" customHeight="1">
      <c r="A551" s="491"/>
    </row>
    <row r="552" ht="15.75" customHeight="1">
      <c r="A552" s="491"/>
    </row>
    <row r="553" ht="15.75" customHeight="1">
      <c r="A553" s="491"/>
    </row>
    <row r="554" ht="15.75" customHeight="1">
      <c r="A554" s="491"/>
    </row>
    <row r="555" ht="15.75" customHeight="1">
      <c r="A555" s="491"/>
    </row>
    <row r="556" ht="15.75" customHeight="1">
      <c r="A556" s="491"/>
    </row>
    <row r="557" ht="15.75" customHeight="1">
      <c r="A557" s="491"/>
    </row>
    <row r="558" ht="15.75" customHeight="1">
      <c r="A558" s="491"/>
    </row>
    <row r="559" ht="15.75" customHeight="1">
      <c r="A559" s="491"/>
    </row>
    <row r="560" ht="15.75" customHeight="1">
      <c r="A560" s="491"/>
    </row>
    <row r="561" ht="15.75" customHeight="1">
      <c r="A561" s="491"/>
    </row>
    <row r="562" ht="15.75" customHeight="1">
      <c r="A562" s="491"/>
    </row>
    <row r="563" ht="15.75" customHeight="1">
      <c r="A563" s="491"/>
    </row>
    <row r="564" ht="15.75" customHeight="1">
      <c r="A564" s="491"/>
    </row>
    <row r="565" ht="15.75" customHeight="1">
      <c r="A565" s="491"/>
    </row>
    <row r="566" ht="15.75" customHeight="1">
      <c r="A566" s="491"/>
    </row>
    <row r="567" ht="15.75" customHeight="1">
      <c r="A567" s="491"/>
    </row>
    <row r="568" ht="15.75" customHeight="1">
      <c r="A568" s="491"/>
    </row>
    <row r="569" ht="15.75" customHeight="1">
      <c r="A569" s="491"/>
    </row>
    <row r="570" ht="15.75" customHeight="1">
      <c r="A570" s="491"/>
    </row>
    <row r="571" ht="15.75" customHeight="1">
      <c r="A571" s="491"/>
    </row>
    <row r="572" ht="15.75" customHeight="1">
      <c r="A572" s="491"/>
    </row>
    <row r="573" ht="15.75" customHeight="1">
      <c r="A573" s="491"/>
    </row>
    <row r="574" ht="15.75" customHeight="1">
      <c r="A574" s="491"/>
    </row>
    <row r="575" ht="15.75" customHeight="1">
      <c r="A575" s="491"/>
    </row>
    <row r="576" ht="15.75" customHeight="1">
      <c r="A576" s="491"/>
    </row>
    <row r="577" ht="15.75" customHeight="1">
      <c r="A577" s="491"/>
    </row>
    <row r="578" ht="15.75" customHeight="1">
      <c r="A578" s="491"/>
    </row>
    <row r="579" ht="15.75" customHeight="1">
      <c r="A579" s="491"/>
    </row>
    <row r="580" ht="15.75" customHeight="1">
      <c r="A580" s="491"/>
    </row>
    <row r="581" ht="15.75" customHeight="1">
      <c r="A581" s="491"/>
    </row>
    <row r="582" ht="15.75" customHeight="1">
      <c r="A582" s="491"/>
    </row>
    <row r="583" ht="15.75" customHeight="1">
      <c r="A583" s="491"/>
    </row>
    <row r="584" ht="15.75" customHeight="1">
      <c r="A584" s="491"/>
    </row>
    <row r="585" ht="15.75" customHeight="1">
      <c r="A585" s="491"/>
    </row>
    <row r="586" ht="15.75" customHeight="1">
      <c r="A586" s="491"/>
    </row>
    <row r="587" ht="15.75" customHeight="1">
      <c r="A587" s="491"/>
    </row>
    <row r="588" ht="15.75" customHeight="1">
      <c r="A588" s="491"/>
    </row>
    <row r="589" ht="15.75" customHeight="1">
      <c r="A589" s="491"/>
    </row>
    <row r="590" ht="15.75" customHeight="1">
      <c r="A590" s="491"/>
    </row>
    <row r="591" ht="15.75" customHeight="1">
      <c r="A591" s="491"/>
    </row>
    <row r="592" ht="15.75" customHeight="1">
      <c r="A592" s="491"/>
    </row>
    <row r="593" ht="15.75" customHeight="1">
      <c r="A593" s="491"/>
    </row>
    <row r="594" ht="15.75" customHeight="1">
      <c r="A594" s="491"/>
    </row>
    <row r="595" ht="15.75" customHeight="1">
      <c r="A595" s="491"/>
    </row>
    <row r="596" ht="15.75" customHeight="1">
      <c r="A596" s="491"/>
    </row>
    <row r="597" ht="15.75" customHeight="1">
      <c r="A597" s="491"/>
    </row>
    <row r="598" ht="15.75" customHeight="1">
      <c r="A598" s="491"/>
    </row>
    <row r="599" ht="15.75" customHeight="1">
      <c r="A599" s="491"/>
    </row>
    <row r="600" ht="15.75" customHeight="1">
      <c r="A600" s="491"/>
    </row>
    <row r="601" ht="15.75" customHeight="1">
      <c r="A601" s="491"/>
    </row>
    <row r="602" ht="15.75" customHeight="1">
      <c r="A602" s="491"/>
    </row>
    <row r="603" ht="15.75" customHeight="1">
      <c r="A603" s="491"/>
    </row>
    <row r="604" ht="15.75" customHeight="1">
      <c r="A604" s="491"/>
    </row>
    <row r="605" ht="15.75" customHeight="1">
      <c r="A605" s="491"/>
    </row>
    <row r="606" ht="15.75" customHeight="1">
      <c r="A606" s="491"/>
    </row>
    <row r="607" ht="15.75" customHeight="1">
      <c r="A607" s="491"/>
    </row>
    <row r="608" ht="15.75" customHeight="1">
      <c r="A608" s="491"/>
    </row>
    <row r="609" ht="15.75" customHeight="1">
      <c r="A609" s="491"/>
    </row>
    <row r="610" ht="15.75" customHeight="1">
      <c r="A610" s="491"/>
    </row>
    <row r="611" ht="15.75" customHeight="1">
      <c r="A611" s="491"/>
    </row>
    <row r="612" ht="15.75" customHeight="1">
      <c r="A612" s="491"/>
    </row>
    <row r="613" ht="15.75" customHeight="1">
      <c r="A613" s="491"/>
    </row>
    <row r="614" ht="15.75" customHeight="1">
      <c r="A614" s="491"/>
    </row>
    <row r="615" ht="15.75" customHeight="1">
      <c r="A615" s="491"/>
    </row>
    <row r="616" ht="15.75" customHeight="1">
      <c r="A616" s="491"/>
    </row>
    <row r="617" ht="15.75" customHeight="1">
      <c r="A617" s="491"/>
    </row>
    <row r="618" ht="15.75" customHeight="1">
      <c r="A618" s="491"/>
    </row>
    <row r="619" ht="15.75" customHeight="1">
      <c r="A619" s="491"/>
    </row>
    <row r="620" ht="15.75" customHeight="1">
      <c r="A620" s="491"/>
    </row>
    <row r="621" ht="15.75" customHeight="1">
      <c r="A621" s="491"/>
    </row>
    <row r="622" ht="15.75" customHeight="1">
      <c r="A622" s="491"/>
    </row>
    <row r="623" ht="15.75" customHeight="1">
      <c r="A623" s="491"/>
    </row>
    <row r="624" ht="15.75" customHeight="1">
      <c r="A624" s="491"/>
    </row>
    <row r="625" ht="15.75" customHeight="1">
      <c r="A625" s="491"/>
    </row>
    <row r="626" ht="15.75" customHeight="1">
      <c r="A626" s="491"/>
    </row>
    <row r="627" ht="15.75" customHeight="1">
      <c r="A627" s="491"/>
    </row>
    <row r="628" ht="15.75" customHeight="1">
      <c r="A628" s="491"/>
    </row>
    <row r="629" ht="15.75" customHeight="1">
      <c r="A629" s="491"/>
    </row>
    <row r="630" ht="15.75" customHeight="1">
      <c r="A630" s="491"/>
    </row>
    <row r="631" ht="15.75" customHeight="1">
      <c r="A631" s="491"/>
    </row>
    <row r="632" ht="15.75" customHeight="1">
      <c r="A632" s="491"/>
    </row>
    <row r="633" ht="15.75" customHeight="1">
      <c r="A633" s="491"/>
    </row>
    <row r="634" ht="15.75" customHeight="1">
      <c r="A634" s="491"/>
    </row>
    <row r="635" ht="15.75" customHeight="1">
      <c r="A635" s="491"/>
    </row>
    <row r="636" ht="15.75" customHeight="1">
      <c r="A636" s="491"/>
    </row>
    <row r="637" ht="15.75" customHeight="1">
      <c r="A637" s="491"/>
    </row>
    <row r="638" ht="15.75" customHeight="1">
      <c r="A638" s="491"/>
    </row>
    <row r="639" ht="15.75" customHeight="1">
      <c r="A639" s="491"/>
    </row>
    <row r="640" ht="15.75" customHeight="1">
      <c r="A640" s="491"/>
    </row>
    <row r="641" ht="15.75" customHeight="1">
      <c r="A641" s="491"/>
    </row>
    <row r="642" ht="15.75" customHeight="1">
      <c r="A642" s="491"/>
    </row>
    <row r="643" ht="15.75" customHeight="1">
      <c r="A643" s="491"/>
    </row>
    <row r="644" ht="15.75" customHeight="1">
      <c r="A644" s="491"/>
    </row>
    <row r="645" ht="15.75" customHeight="1">
      <c r="A645" s="491"/>
    </row>
    <row r="646" ht="15.75" customHeight="1">
      <c r="A646" s="491"/>
    </row>
    <row r="647" ht="15.75" customHeight="1">
      <c r="A647" s="491"/>
    </row>
    <row r="648" ht="15.75" customHeight="1">
      <c r="A648" s="491"/>
    </row>
    <row r="649" ht="15.75" customHeight="1">
      <c r="A649" s="491"/>
    </row>
    <row r="650" ht="15.75" customHeight="1">
      <c r="A650" s="491"/>
    </row>
    <row r="651" ht="15.75" customHeight="1">
      <c r="A651" s="491"/>
    </row>
    <row r="652" ht="15.75" customHeight="1">
      <c r="A652" s="491"/>
    </row>
    <row r="653" ht="15.75" customHeight="1">
      <c r="A653" s="491"/>
    </row>
    <row r="654" ht="15.75" customHeight="1">
      <c r="A654" s="491"/>
    </row>
    <row r="655" ht="15.75" customHeight="1">
      <c r="A655" s="491"/>
    </row>
    <row r="656" ht="15.75" customHeight="1">
      <c r="A656" s="491"/>
    </row>
    <row r="657" ht="15.75" customHeight="1">
      <c r="A657" s="491"/>
    </row>
    <row r="658" ht="15.75" customHeight="1">
      <c r="A658" s="491"/>
    </row>
    <row r="659" ht="15.75" customHeight="1">
      <c r="A659" s="491"/>
    </row>
    <row r="660" ht="15.75" customHeight="1">
      <c r="A660" s="491"/>
    </row>
    <row r="661" ht="15.75" customHeight="1">
      <c r="A661" s="491"/>
    </row>
    <row r="662" ht="15.75" customHeight="1">
      <c r="A662" s="491"/>
    </row>
    <row r="663" ht="15.75" customHeight="1">
      <c r="A663" s="491"/>
    </row>
    <row r="664" ht="15.75" customHeight="1">
      <c r="A664" s="491"/>
    </row>
    <row r="665" ht="15.75" customHeight="1">
      <c r="A665" s="491"/>
    </row>
    <row r="666" ht="15.75" customHeight="1">
      <c r="A666" s="491"/>
    </row>
    <row r="667" ht="15.75" customHeight="1">
      <c r="A667" s="491"/>
    </row>
    <row r="668" ht="15.75" customHeight="1">
      <c r="A668" s="491"/>
    </row>
    <row r="669" ht="15.75" customHeight="1">
      <c r="A669" s="491"/>
    </row>
    <row r="670" ht="15.75" customHeight="1">
      <c r="A670" s="491"/>
    </row>
    <row r="671" ht="15.75" customHeight="1">
      <c r="A671" s="491"/>
    </row>
    <row r="672" ht="15.75" customHeight="1">
      <c r="A672" s="491"/>
    </row>
    <row r="673" ht="15.75" customHeight="1">
      <c r="A673" s="491"/>
    </row>
    <row r="674" ht="15.75" customHeight="1">
      <c r="A674" s="491"/>
    </row>
    <row r="675" ht="15.75" customHeight="1">
      <c r="A675" s="491"/>
    </row>
    <row r="676" ht="15.75" customHeight="1">
      <c r="A676" s="491"/>
    </row>
    <row r="677" ht="15.75" customHeight="1">
      <c r="A677" s="491"/>
    </row>
    <row r="678" ht="15.75" customHeight="1">
      <c r="A678" s="491"/>
    </row>
    <row r="679" ht="15.75" customHeight="1">
      <c r="A679" s="491"/>
    </row>
    <row r="680" ht="15.75" customHeight="1">
      <c r="A680" s="491"/>
    </row>
    <row r="681" ht="15.75" customHeight="1">
      <c r="A681" s="491"/>
    </row>
    <row r="682" ht="15.75" customHeight="1">
      <c r="A682" s="491"/>
    </row>
    <row r="683" ht="15.75" customHeight="1">
      <c r="A683" s="491"/>
    </row>
    <row r="684" ht="15.75" customHeight="1">
      <c r="A684" s="491"/>
    </row>
    <row r="685" ht="15.75" customHeight="1">
      <c r="A685" s="491"/>
    </row>
    <row r="686" ht="15.75" customHeight="1">
      <c r="A686" s="491"/>
    </row>
    <row r="687" ht="15.75" customHeight="1">
      <c r="A687" s="491"/>
    </row>
    <row r="688" ht="15.75" customHeight="1">
      <c r="A688" s="491"/>
    </row>
    <row r="689" ht="15.75" customHeight="1">
      <c r="A689" s="491"/>
    </row>
    <row r="690" ht="15.75" customHeight="1">
      <c r="A690" s="491"/>
    </row>
    <row r="691" ht="15.75" customHeight="1">
      <c r="A691" s="491"/>
    </row>
    <row r="692" ht="15.75" customHeight="1">
      <c r="A692" s="491"/>
    </row>
    <row r="693" ht="15.75" customHeight="1">
      <c r="A693" s="491"/>
    </row>
    <row r="694" ht="15.75" customHeight="1">
      <c r="A694" s="491"/>
    </row>
    <row r="695" ht="15.75" customHeight="1">
      <c r="A695" s="491"/>
    </row>
    <row r="696" ht="15.75" customHeight="1">
      <c r="A696" s="491"/>
    </row>
    <row r="697" ht="15.75" customHeight="1">
      <c r="A697" s="491"/>
    </row>
    <row r="698" ht="15.75" customHeight="1">
      <c r="A698" s="491"/>
    </row>
    <row r="699" ht="15.75" customHeight="1">
      <c r="A699" s="491"/>
    </row>
    <row r="700" ht="15.75" customHeight="1">
      <c r="A700" s="491"/>
    </row>
    <row r="701" ht="15.75" customHeight="1">
      <c r="A701" s="491"/>
    </row>
    <row r="702" ht="15.75" customHeight="1">
      <c r="A702" s="491"/>
    </row>
    <row r="703" ht="15.75" customHeight="1">
      <c r="A703" s="491"/>
    </row>
    <row r="704" ht="15.75" customHeight="1">
      <c r="A704" s="491"/>
    </row>
    <row r="705" ht="15.75" customHeight="1">
      <c r="A705" s="491"/>
    </row>
    <row r="706" ht="15.75" customHeight="1">
      <c r="A706" s="491"/>
    </row>
    <row r="707" ht="15.75" customHeight="1">
      <c r="A707" s="491"/>
    </row>
    <row r="708" ht="15.75" customHeight="1">
      <c r="A708" s="491"/>
    </row>
    <row r="709" ht="15.75" customHeight="1">
      <c r="A709" s="491"/>
    </row>
    <row r="710" ht="15.75" customHeight="1">
      <c r="A710" s="491"/>
    </row>
    <row r="711" ht="15.75" customHeight="1">
      <c r="A711" s="491"/>
    </row>
    <row r="712" ht="15.75" customHeight="1">
      <c r="A712" s="491"/>
    </row>
    <row r="713" ht="15.75" customHeight="1">
      <c r="A713" s="491"/>
    </row>
    <row r="714" ht="15.75" customHeight="1">
      <c r="A714" s="491"/>
    </row>
    <row r="715" ht="15.75" customHeight="1">
      <c r="A715" s="491"/>
    </row>
    <row r="716" ht="15.75" customHeight="1">
      <c r="A716" s="491"/>
    </row>
    <row r="717" ht="15.75" customHeight="1">
      <c r="A717" s="491"/>
    </row>
    <row r="718" ht="15.75" customHeight="1">
      <c r="A718" s="491"/>
    </row>
    <row r="719" ht="15.75" customHeight="1">
      <c r="A719" s="491"/>
    </row>
    <row r="720" ht="15.75" customHeight="1">
      <c r="A720" s="491"/>
    </row>
    <row r="721" ht="15.75" customHeight="1">
      <c r="A721" s="491"/>
    </row>
    <row r="722" ht="15.75" customHeight="1">
      <c r="A722" s="491"/>
    </row>
    <row r="723" ht="15.75" customHeight="1">
      <c r="A723" s="491"/>
    </row>
    <row r="724" ht="15.75" customHeight="1">
      <c r="A724" s="491"/>
    </row>
    <row r="725" ht="15.75" customHeight="1">
      <c r="A725" s="491"/>
    </row>
    <row r="726" ht="15.75" customHeight="1">
      <c r="A726" s="491"/>
    </row>
    <row r="727" ht="15.75" customHeight="1">
      <c r="A727" s="491"/>
    </row>
    <row r="728" ht="15.75" customHeight="1">
      <c r="A728" s="491"/>
    </row>
    <row r="729" ht="15.75" customHeight="1">
      <c r="A729" s="491"/>
    </row>
    <row r="730" ht="15.75" customHeight="1">
      <c r="A730" s="491"/>
    </row>
    <row r="731" ht="15.75" customHeight="1">
      <c r="A731" s="491"/>
    </row>
    <row r="732" ht="15.75" customHeight="1">
      <c r="A732" s="491"/>
    </row>
    <row r="733" ht="15.75" customHeight="1">
      <c r="A733" s="491"/>
    </row>
    <row r="734" ht="15.75" customHeight="1">
      <c r="A734" s="491"/>
    </row>
    <row r="735" ht="15.75" customHeight="1">
      <c r="A735" s="491"/>
    </row>
    <row r="736" ht="15.75" customHeight="1">
      <c r="A736" s="491"/>
    </row>
    <row r="737" ht="15.75" customHeight="1">
      <c r="A737" s="491"/>
    </row>
    <row r="738" ht="15.75" customHeight="1">
      <c r="A738" s="491"/>
    </row>
    <row r="739" ht="15.75" customHeight="1">
      <c r="A739" s="491"/>
    </row>
    <row r="740" ht="15.75" customHeight="1">
      <c r="A740" s="491"/>
    </row>
    <row r="741" ht="15.75" customHeight="1">
      <c r="A741" s="491"/>
    </row>
    <row r="742" ht="15.75" customHeight="1">
      <c r="A742" s="491"/>
    </row>
    <row r="743" ht="15.75" customHeight="1">
      <c r="A743" s="491"/>
    </row>
    <row r="744" ht="15.75" customHeight="1">
      <c r="A744" s="491"/>
    </row>
    <row r="745" ht="15.75" customHeight="1">
      <c r="A745" s="491"/>
    </row>
    <row r="746" ht="15.75" customHeight="1">
      <c r="A746" s="491"/>
    </row>
    <row r="747" ht="15.75" customHeight="1">
      <c r="A747" s="491"/>
    </row>
    <row r="748" ht="15.75" customHeight="1">
      <c r="A748" s="491"/>
    </row>
    <row r="749" ht="15.75" customHeight="1">
      <c r="A749" s="491"/>
    </row>
    <row r="750" ht="15.75" customHeight="1">
      <c r="A750" s="491"/>
    </row>
    <row r="751" ht="15.75" customHeight="1">
      <c r="A751" s="491"/>
    </row>
    <row r="752" ht="15.75" customHeight="1">
      <c r="A752" s="491"/>
    </row>
    <row r="753" ht="15.75" customHeight="1">
      <c r="A753" s="491"/>
    </row>
    <row r="754" ht="15.75" customHeight="1">
      <c r="A754" s="491"/>
    </row>
    <row r="755" ht="15.75" customHeight="1">
      <c r="A755" s="491"/>
    </row>
    <row r="756" ht="15.75" customHeight="1">
      <c r="A756" s="491"/>
    </row>
    <row r="757" ht="15.75" customHeight="1">
      <c r="A757" s="491"/>
    </row>
    <row r="758" ht="15.75" customHeight="1">
      <c r="A758" s="491"/>
    </row>
    <row r="759" ht="15.75" customHeight="1">
      <c r="A759" s="491"/>
    </row>
    <row r="760" ht="15.75" customHeight="1">
      <c r="A760" s="491"/>
    </row>
    <row r="761" ht="15.75" customHeight="1">
      <c r="A761" s="491"/>
    </row>
    <row r="762" ht="15.75" customHeight="1">
      <c r="A762" s="491"/>
    </row>
    <row r="763" ht="15.75" customHeight="1">
      <c r="A763" s="491"/>
    </row>
    <row r="764" ht="15.75" customHeight="1">
      <c r="A764" s="491"/>
    </row>
    <row r="765" ht="15.75" customHeight="1">
      <c r="A765" s="491"/>
    </row>
    <row r="766" ht="15.75" customHeight="1">
      <c r="A766" s="491"/>
    </row>
    <row r="767" ht="15.75" customHeight="1">
      <c r="A767" s="491"/>
    </row>
    <row r="768" ht="15.75" customHeight="1">
      <c r="A768" s="491"/>
    </row>
    <row r="769" ht="15.75" customHeight="1">
      <c r="A769" s="491"/>
    </row>
    <row r="770" ht="15.75" customHeight="1">
      <c r="A770" s="491"/>
    </row>
    <row r="771" ht="15.75" customHeight="1">
      <c r="A771" s="491"/>
    </row>
    <row r="772" ht="15.75" customHeight="1">
      <c r="A772" s="491"/>
    </row>
    <row r="773" ht="15.75" customHeight="1">
      <c r="A773" s="491"/>
    </row>
    <row r="774" ht="15.75" customHeight="1">
      <c r="A774" s="491"/>
    </row>
    <row r="775" ht="15.75" customHeight="1">
      <c r="A775" s="491"/>
    </row>
    <row r="776" ht="15.75" customHeight="1">
      <c r="A776" s="491"/>
    </row>
    <row r="777" ht="15.75" customHeight="1">
      <c r="A777" s="491"/>
    </row>
    <row r="778" ht="15.75" customHeight="1">
      <c r="A778" s="491"/>
    </row>
    <row r="779" ht="15.75" customHeight="1">
      <c r="A779" s="491"/>
    </row>
    <row r="780" ht="15.75" customHeight="1">
      <c r="A780" s="491"/>
    </row>
    <row r="781" ht="15.75" customHeight="1">
      <c r="A781" s="491"/>
    </row>
    <row r="782" ht="15.75" customHeight="1">
      <c r="A782" s="491"/>
    </row>
    <row r="783" ht="15.75" customHeight="1">
      <c r="A783" s="491"/>
    </row>
    <row r="784" ht="15.75" customHeight="1">
      <c r="A784" s="491"/>
    </row>
    <row r="785" ht="15.75" customHeight="1">
      <c r="A785" s="491"/>
    </row>
    <row r="786" ht="15.75" customHeight="1">
      <c r="A786" s="491"/>
    </row>
    <row r="787" ht="15.75" customHeight="1">
      <c r="A787" s="491"/>
    </row>
    <row r="788" ht="15.75" customHeight="1">
      <c r="A788" s="491"/>
    </row>
    <row r="789" ht="15.75" customHeight="1">
      <c r="A789" s="491"/>
    </row>
    <row r="790" ht="15.75" customHeight="1">
      <c r="A790" s="491"/>
    </row>
    <row r="791" ht="15.75" customHeight="1">
      <c r="A791" s="491"/>
    </row>
    <row r="792" ht="15.75" customHeight="1">
      <c r="A792" s="491"/>
    </row>
    <row r="793" ht="15.75" customHeight="1">
      <c r="A793" s="491"/>
    </row>
    <row r="794" ht="15.75" customHeight="1">
      <c r="A794" s="491"/>
    </row>
    <row r="795" ht="15.75" customHeight="1">
      <c r="A795" s="491"/>
    </row>
    <row r="796" ht="15.75" customHeight="1">
      <c r="A796" s="491"/>
    </row>
    <row r="797" ht="15.75" customHeight="1">
      <c r="A797" s="491"/>
    </row>
    <row r="798" ht="15.75" customHeight="1">
      <c r="A798" s="491"/>
    </row>
    <row r="799" ht="15.75" customHeight="1">
      <c r="A799" s="491"/>
    </row>
    <row r="800" ht="15.75" customHeight="1">
      <c r="A800" s="491"/>
    </row>
    <row r="801" ht="15.75" customHeight="1">
      <c r="A801" s="491"/>
    </row>
    <row r="802" ht="15.75" customHeight="1">
      <c r="A802" s="491"/>
    </row>
    <row r="803" ht="15.75" customHeight="1">
      <c r="A803" s="491"/>
    </row>
    <row r="804" ht="15.75" customHeight="1">
      <c r="A804" s="491"/>
    </row>
    <row r="805" ht="15.75" customHeight="1">
      <c r="A805" s="491"/>
    </row>
    <row r="806" ht="15.75" customHeight="1">
      <c r="A806" s="491"/>
    </row>
    <row r="807" ht="15.75" customHeight="1">
      <c r="A807" s="491"/>
    </row>
    <row r="808" ht="15.75" customHeight="1">
      <c r="A808" s="491"/>
    </row>
    <row r="809" ht="15.75" customHeight="1">
      <c r="A809" s="491"/>
    </row>
    <row r="810" ht="15.75" customHeight="1">
      <c r="A810" s="491"/>
    </row>
    <row r="811" ht="15.75" customHeight="1">
      <c r="A811" s="491"/>
    </row>
    <row r="812" ht="15.75" customHeight="1">
      <c r="A812" s="491"/>
    </row>
    <row r="813" ht="15.75" customHeight="1">
      <c r="A813" s="491"/>
    </row>
    <row r="814" ht="15.75" customHeight="1">
      <c r="A814" s="491"/>
    </row>
    <row r="815" ht="15.75" customHeight="1">
      <c r="A815" s="491"/>
    </row>
    <row r="816" ht="15.75" customHeight="1">
      <c r="A816" s="491"/>
    </row>
    <row r="817" ht="15.75" customHeight="1">
      <c r="A817" s="491"/>
    </row>
    <row r="818" ht="15.75" customHeight="1">
      <c r="A818" s="491"/>
    </row>
    <row r="819" ht="15.75" customHeight="1">
      <c r="A819" s="491"/>
    </row>
    <row r="820" ht="15.75" customHeight="1">
      <c r="A820" s="491"/>
    </row>
    <row r="821" ht="15.75" customHeight="1">
      <c r="A821" s="491"/>
    </row>
    <row r="822" ht="15.75" customHeight="1">
      <c r="A822" s="491"/>
    </row>
    <row r="823" ht="15.75" customHeight="1">
      <c r="A823" s="491"/>
    </row>
    <row r="824" ht="15.75" customHeight="1">
      <c r="A824" s="491"/>
    </row>
    <row r="825" ht="15.75" customHeight="1">
      <c r="A825" s="491"/>
    </row>
    <row r="826" ht="15.75" customHeight="1">
      <c r="A826" s="491"/>
    </row>
    <row r="827" ht="15.75" customHeight="1">
      <c r="A827" s="491"/>
    </row>
    <row r="828" ht="15.75" customHeight="1">
      <c r="A828" s="491"/>
    </row>
    <row r="829" ht="15.75" customHeight="1">
      <c r="A829" s="491"/>
    </row>
    <row r="830" ht="15.75" customHeight="1">
      <c r="A830" s="491"/>
    </row>
    <row r="831" ht="15.75" customHeight="1">
      <c r="A831" s="491"/>
    </row>
    <row r="832" ht="15.75" customHeight="1">
      <c r="A832" s="491"/>
    </row>
    <row r="833" ht="15.75" customHeight="1">
      <c r="A833" s="491"/>
    </row>
    <row r="834" ht="15.75" customHeight="1">
      <c r="A834" s="491"/>
    </row>
    <row r="835" ht="15.75" customHeight="1">
      <c r="A835" s="491"/>
    </row>
    <row r="836" ht="15.75" customHeight="1">
      <c r="A836" s="491"/>
    </row>
    <row r="837" ht="15.75" customHeight="1">
      <c r="A837" s="491"/>
    </row>
    <row r="838" ht="15.75" customHeight="1">
      <c r="A838" s="491"/>
    </row>
    <row r="839" ht="15.75" customHeight="1">
      <c r="A839" s="491"/>
    </row>
    <row r="840" ht="15.75" customHeight="1">
      <c r="A840" s="491"/>
    </row>
    <row r="841" ht="15.75" customHeight="1">
      <c r="A841" s="491"/>
    </row>
    <row r="842" ht="15.75" customHeight="1">
      <c r="A842" s="491"/>
    </row>
    <row r="843" ht="15.75" customHeight="1">
      <c r="A843" s="491"/>
    </row>
    <row r="844" ht="15.75" customHeight="1">
      <c r="A844" s="491"/>
    </row>
    <row r="845" ht="15.75" customHeight="1">
      <c r="A845" s="491"/>
    </row>
    <row r="846" ht="15.75" customHeight="1">
      <c r="A846" s="491"/>
    </row>
    <row r="847" ht="15.75" customHeight="1">
      <c r="A847" s="491"/>
    </row>
    <row r="848" ht="15.75" customHeight="1">
      <c r="A848" s="491"/>
    </row>
    <row r="849" ht="15.75" customHeight="1">
      <c r="A849" s="491"/>
    </row>
    <row r="850" ht="15.75" customHeight="1">
      <c r="A850" s="491"/>
    </row>
    <row r="851" ht="15.75" customHeight="1">
      <c r="A851" s="491"/>
    </row>
    <row r="852" ht="15.75" customHeight="1">
      <c r="A852" s="491"/>
    </row>
    <row r="853" ht="15.75" customHeight="1">
      <c r="A853" s="491"/>
    </row>
    <row r="854" ht="15.75" customHeight="1">
      <c r="A854" s="491"/>
    </row>
    <row r="855" ht="15.75" customHeight="1">
      <c r="A855" s="491"/>
    </row>
    <row r="856" ht="15.75" customHeight="1">
      <c r="A856" s="491"/>
    </row>
    <row r="857" ht="15.75" customHeight="1">
      <c r="A857" s="491"/>
    </row>
    <row r="858" ht="15.75" customHeight="1">
      <c r="A858" s="491"/>
    </row>
    <row r="859" ht="15.75" customHeight="1">
      <c r="A859" s="491"/>
    </row>
    <row r="860" ht="15.75" customHeight="1">
      <c r="A860" s="491"/>
    </row>
    <row r="861" ht="15.75" customHeight="1">
      <c r="A861" s="491"/>
    </row>
    <row r="862" ht="15.75" customHeight="1">
      <c r="A862" s="491"/>
    </row>
    <row r="863" ht="15.75" customHeight="1">
      <c r="A863" s="491"/>
    </row>
    <row r="864" ht="15.75" customHeight="1">
      <c r="A864" s="491"/>
    </row>
    <row r="865" ht="15.75" customHeight="1">
      <c r="A865" s="491"/>
    </row>
    <row r="866" ht="15.75" customHeight="1">
      <c r="A866" s="491"/>
    </row>
    <row r="867" ht="15.75" customHeight="1">
      <c r="A867" s="491"/>
    </row>
    <row r="868" ht="15.75" customHeight="1">
      <c r="A868" s="491"/>
    </row>
    <row r="869" ht="15.75" customHeight="1">
      <c r="A869" s="491"/>
    </row>
    <row r="870" ht="15.75" customHeight="1">
      <c r="A870" s="491"/>
    </row>
    <row r="871" ht="15.75" customHeight="1">
      <c r="A871" s="491"/>
    </row>
    <row r="872" ht="15.75" customHeight="1">
      <c r="A872" s="491"/>
    </row>
    <row r="873" ht="15.75" customHeight="1">
      <c r="A873" s="491"/>
    </row>
    <row r="874" ht="15.75" customHeight="1">
      <c r="A874" s="491"/>
    </row>
    <row r="875" ht="15.75" customHeight="1">
      <c r="A875" s="491"/>
    </row>
    <row r="876" ht="15.75" customHeight="1">
      <c r="A876" s="491"/>
    </row>
    <row r="877" ht="15.75" customHeight="1">
      <c r="A877" s="491"/>
    </row>
    <row r="878" ht="15.75" customHeight="1">
      <c r="A878" s="491"/>
    </row>
    <row r="879" ht="15.75" customHeight="1">
      <c r="A879" s="491"/>
    </row>
    <row r="880" ht="15.75" customHeight="1">
      <c r="A880" s="491"/>
    </row>
    <row r="881" ht="15.75" customHeight="1">
      <c r="A881" s="491"/>
    </row>
    <row r="882" ht="15.75" customHeight="1">
      <c r="A882" s="491"/>
    </row>
    <row r="883" ht="15.75" customHeight="1">
      <c r="A883" s="491"/>
    </row>
    <row r="884" ht="15.75" customHeight="1">
      <c r="A884" s="491"/>
    </row>
    <row r="885" ht="15.75" customHeight="1">
      <c r="A885" s="491"/>
    </row>
    <row r="886" ht="15.75" customHeight="1">
      <c r="A886" s="491"/>
    </row>
    <row r="887" ht="15.75" customHeight="1">
      <c r="A887" s="491"/>
    </row>
    <row r="888" ht="15.75" customHeight="1">
      <c r="A888" s="491"/>
    </row>
    <row r="889" ht="15.75" customHeight="1">
      <c r="A889" s="491"/>
    </row>
    <row r="890" ht="15.75" customHeight="1">
      <c r="A890" s="491"/>
    </row>
    <row r="891" ht="15.75" customHeight="1">
      <c r="A891" s="491"/>
    </row>
    <row r="892" ht="15.75" customHeight="1">
      <c r="A892" s="491"/>
    </row>
    <row r="893" ht="15.75" customHeight="1">
      <c r="A893" s="491"/>
    </row>
    <row r="894" ht="15.75" customHeight="1">
      <c r="A894" s="491"/>
    </row>
    <row r="895" ht="15.75" customHeight="1">
      <c r="A895" s="491"/>
    </row>
    <row r="896" ht="15.75" customHeight="1">
      <c r="A896" s="491"/>
    </row>
    <row r="897" ht="15.75" customHeight="1">
      <c r="A897" s="491"/>
    </row>
    <row r="898" ht="15.75" customHeight="1">
      <c r="A898" s="491"/>
    </row>
    <row r="899" ht="15.75" customHeight="1">
      <c r="A899" s="491"/>
    </row>
    <row r="900" ht="15.75" customHeight="1">
      <c r="A900" s="491"/>
    </row>
    <row r="901" ht="15.75" customHeight="1">
      <c r="A901" s="491"/>
    </row>
    <row r="902" ht="15.75" customHeight="1">
      <c r="A902" s="491"/>
    </row>
    <row r="903" ht="15.75" customHeight="1">
      <c r="A903" s="491"/>
    </row>
    <row r="904" ht="15.75" customHeight="1">
      <c r="A904" s="491"/>
    </row>
    <row r="905" ht="15.75" customHeight="1">
      <c r="A905" s="491"/>
    </row>
    <row r="906" ht="15.75" customHeight="1">
      <c r="A906" s="491"/>
    </row>
    <row r="907" ht="15.75" customHeight="1">
      <c r="A907" s="491"/>
    </row>
    <row r="908" ht="15.75" customHeight="1">
      <c r="A908" s="491"/>
    </row>
    <row r="909" ht="15.75" customHeight="1">
      <c r="A909" s="491"/>
    </row>
    <row r="910" ht="15.75" customHeight="1">
      <c r="A910" s="491"/>
    </row>
    <row r="911" ht="15.75" customHeight="1">
      <c r="A911" s="491"/>
    </row>
    <row r="912" ht="15.75" customHeight="1">
      <c r="A912" s="491"/>
    </row>
    <row r="913" ht="15.75" customHeight="1">
      <c r="A913" s="491"/>
    </row>
    <row r="914" ht="15.75" customHeight="1">
      <c r="A914" s="491"/>
    </row>
    <row r="915" ht="15.75" customHeight="1">
      <c r="A915" s="491"/>
    </row>
    <row r="916" ht="15.75" customHeight="1">
      <c r="A916" s="491"/>
    </row>
    <row r="917" ht="15.75" customHeight="1">
      <c r="A917" s="491"/>
    </row>
    <row r="918" ht="15.75" customHeight="1">
      <c r="A918" s="491"/>
    </row>
    <row r="919" ht="15.75" customHeight="1">
      <c r="A919" s="491"/>
    </row>
    <row r="920" ht="15.75" customHeight="1">
      <c r="A920" s="491"/>
    </row>
    <row r="921" ht="15.75" customHeight="1">
      <c r="A921" s="491"/>
    </row>
    <row r="922" ht="15.75" customHeight="1">
      <c r="A922" s="491"/>
    </row>
    <row r="923" ht="15.75" customHeight="1">
      <c r="A923" s="491"/>
    </row>
    <row r="924" ht="15.75" customHeight="1">
      <c r="A924" s="491"/>
    </row>
    <row r="925" ht="15.75" customHeight="1">
      <c r="A925" s="491"/>
    </row>
    <row r="926" ht="15.75" customHeight="1">
      <c r="A926" s="491"/>
    </row>
    <row r="927" ht="15.75" customHeight="1">
      <c r="A927" s="491"/>
    </row>
    <row r="928" ht="15.75" customHeight="1">
      <c r="A928" s="491"/>
    </row>
    <row r="929" ht="15.75" customHeight="1">
      <c r="A929" s="491"/>
    </row>
    <row r="930" ht="15.75" customHeight="1">
      <c r="A930" s="491"/>
    </row>
    <row r="931" ht="15.75" customHeight="1">
      <c r="A931" s="491"/>
    </row>
    <row r="932" ht="15.75" customHeight="1">
      <c r="A932" s="491"/>
    </row>
    <row r="933" ht="15.75" customHeight="1">
      <c r="A933" s="491"/>
    </row>
    <row r="934" ht="15.75" customHeight="1">
      <c r="A934" s="491"/>
    </row>
    <row r="935" ht="15.75" customHeight="1">
      <c r="A935" s="491"/>
    </row>
    <row r="936" ht="15.75" customHeight="1">
      <c r="A936" s="491"/>
    </row>
    <row r="937" ht="15.75" customHeight="1">
      <c r="A937" s="491"/>
    </row>
    <row r="938" ht="15.75" customHeight="1">
      <c r="A938" s="491"/>
    </row>
    <row r="939" ht="15.75" customHeight="1">
      <c r="A939" s="491"/>
    </row>
    <row r="940" ht="15.75" customHeight="1">
      <c r="A940" s="491"/>
    </row>
    <row r="941" ht="15.75" customHeight="1">
      <c r="A941" s="491"/>
    </row>
    <row r="942" ht="15.75" customHeight="1">
      <c r="A942" s="491"/>
    </row>
    <row r="943" ht="15.75" customHeight="1">
      <c r="A943" s="491"/>
    </row>
    <row r="944" ht="15.75" customHeight="1">
      <c r="A944" s="491"/>
    </row>
    <row r="945" ht="15.75" customHeight="1">
      <c r="A945" s="491"/>
    </row>
    <row r="946" ht="15.75" customHeight="1">
      <c r="A946" s="491"/>
    </row>
    <row r="947" ht="15.75" customHeight="1">
      <c r="A947" s="491"/>
    </row>
    <row r="948" ht="15.75" customHeight="1">
      <c r="A948" s="491"/>
    </row>
    <row r="949" ht="15.75" customHeight="1">
      <c r="A949" s="491"/>
    </row>
    <row r="950" ht="15.75" customHeight="1">
      <c r="A950" s="491"/>
    </row>
    <row r="951" ht="15.75" customHeight="1">
      <c r="A951" s="491"/>
    </row>
    <row r="952" ht="15.75" customHeight="1">
      <c r="A952" s="491"/>
    </row>
    <row r="953" ht="15.75" customHeight="1">
      <c r="A953" s="491"/>
    </row>
    <row r="954" ht="15.75" customHeight="1">
      <c r="A954" s="491"/>
    </row>
    <row r="955" ht="15.75" customHeight="1">
      <c r="A955" s="491"/>
    </row>
    <row r="956" ht="15.75" customHeight="1">
      <c r="A956" s="491"/>
    </row>
    <row r="957" ht="15.75" customHeight="1">
      <c r="A957" s="491"/>
    </row>
    <row r="958" ht="15.75" customHeight="1">
      <c r="A958" s="491"/>
    </row>
    <row r="959" ht="15.75" customHeight="1">
      <c r="A959" s="491"/>
    </row>
    <row r="960" ht="15.75" customHeight="1">
      <c r="A960" s="491"/>
    </row>
    <row r="961" ht="15.75" customHeight="1">
      <c r="A961" s="491"/>
    </row>
    <row r="962" ht="15.75" customHeight="1">
      <c r="A962" s="491"/>
    </row>
    <row r="963" ht="15.75" customHeight="1">
      <c r="A963" s="491"/>
    </row>
    <row r="964" ht="15.75" customHeight="1">
      <c r="A964" s="491"/>
    </row>
    <row r="965" ht="15.75" customHeight="1">
      <c r="A965" s="491"/>
    </row>
    <row r="966" ht="15.75" customHeight="1">
      <c r="A966" s="491"/>
    </row>
    <row r="967" ht="15.75" customHeight="1">
      <c r="A967" s="491"/>
    </row>
    <row r="968" ht="15.75" customHeight="1">
      <c r="A968" s="491"/>
    </row>
    <row r="969" ht="15.75" customHeight="1">
      <c r="A969" s="491"/>
    </row>
    <row r="970" ht="15.75" customHeight="1">
      <c r="A970" s="491"/>
    </row>
    <row r="971" ht="15.75" customHeight="1">
      <c r="A971" s="491"/>
    </row>
    <row r="972" ht="15.75" customHeight="1">
      <c r="A972" s="491"/>
    </row>
    <row r="973" ht="15.75" customHeight="1">
      <c r="A973" s="491"/>
    </row>
    <row r="974" ht="15.75" customHeight="1">
      <c r="A974" s="491"/>
    </row>
    <row r="975" ht="15.75" customHeight="1">
      <c r="A975" s="491"/>
    </row>
    <row r="976" ht="15.75" customHeight="1">
      <c r="A976" s="491"/>
    </row>
    <row r="977" ht="15.75" customHeight="1">
      <c r="A977" s="491"/>
    </row>
    <row r="978" ht="15.75" customHeight="1">
      <c r="A978" s="491"/>
    </row>
    <row r="979" ht="15.75" customHeight="1">
      <c r="A979" s="491"/>
    </row>
    <row r="980" ht="15.75" customHeight="1">
      <c r="A980" s="491"/>
    </row>
    <row r="981" ht="15.75" customHeight="1">
      <c r="A981" s="491"/>
    </row>
    <row r="982" ht="15.75" customHeight="1">
      <c r="A982" s="491"/>
    </row>
    <row r="983" ht="15.75" customHeight="1">
      <c r="A983" s="491"/>
    </row>
    <row r="984" ht="15.75" customHeight="1">
      <c r="A984" s="491"/>
    </row>
    <row r="985" ht="15.75" customHeight="1">
      <c r="A985" s="491"/>
    </row>
    <row r="986" ht="15.75" customHeight="1">
      <c r="A986" s="491"/>
    </row>
    <row r="987" ht="15.75" customHeight="1">
      <c r="A987" s="491"/>
    </row>
    <row r="988" ht="15.75" customHeight="1">
      <c r="A988" s="491"/>
    </row>
    <row r="989" ht="15.75" customHeight="1">
      <c r="A989" s="491"/>
    </row>
    <row r="990" ht="15.75" customHeight="1">
      <c r="A990" s="491"/>
    </row>
    <row r="991" ht="15.75" customHeight="1">
      <c r="A991" s="491"/>
    </row>
    <row r="992" ht="15.75" customHeight="1">
      <c r="A992" s="491"/>
    </row>
    <row r="993" ht="15.75" customHeight="1">
      <c r="A993" s="491"/>
    </row>
    <row r="994" ht="15.75" customHeight="1">
      <c r="A994" s="491"/>
    </row>
    <row r="995" ht="15.75" customHeight="1">
      <c r="A995" s="491"/>
    </row>
    <row r="996" ht="15.75" customHeight="1">
      <c r="A996" s="491"/>
    </row>
    <row r="997" ht="15.75" customHeight="1">
      <c r="A997" s="491"/>
    </row>
    <row r="998" ht="15.75" customHeight="1">
      <c r="A998" s="491"/>
    </row>
    <row r="999" ht="15.75" customHeight="1">
      <c r="A999" s="491"/>
    </row>
    <row r="1000" ht="15.75" customHeight="1">
      <c r="A1000" s="491"/>
    </row>
    <row r="1001" ht="15.75" customHeight="1">
      <c r="A1001" s="491"/>
    </row>
    <row r="1002" ht="15.75" customHeight="1">
      <c r="A1002" s="491"/>
    </row>
    <row r="1003" ht="15.75" customHeight="1">
      <c r="A1003" s="491"/>
    </row>
    <row r="1004" ht="15.75" customHeight="1">
      <c r="A1004" s="491"/>
    </row>
    <row r="1005" ht="15.75" customHeight="1">
      <c r="A1005" s="491"/>
    </row>
    <row r="1006" ht="15.75" customHeight="1">
      <c r="A1006" s="491"/>
    </row>
    <row r="1007" ht="15.75" customHeight="1">
      <c r="A1007" s="491"/>
    </row>
    <row r="1008" ht="15.75" customHeight="1">
      <c r="A1008" s="491"/>
    </row>
    <row r="1009" ht="15.75" customHeight="1">
      <c r="A1009" s="491"/>
    </row>
    <row r="1010" ht="15.75" customHeight="1">
      <c r="A1010" s="491"/>
    </row>
    <row r="1011" ht="15.75" customHeight="1">
      <c r="A1011" s="491"/>
    </row>
    <row r="1012" ht="15.75" customHeight="1">
      <c r="A1012" s="491"/>
    </row>
    <row r="1013" ht="15.75" customHeight="1">
      <c r="A1013" s="491"/>
    </row>
    <row r="1014" ht="15.75" customHeight="1">
      <c r="A1014" s="491"/>
    </row>
    <row r="1015" ht="15.75" customHeight="1">
      <c r="A1015" s="491"/>
    </row>
    <row r="1016" ht="15.75" customHeight="1">
      <c r="A1016" s="491"/>
    </row>
    <row r="1017" ht="15.75" customHeight="1">
      <c r="A1017" s="491"/>
    </row>
    <row r="1018" ht="15.75" customHeight="1">
      <c r="A1018" s="491"/>
    </row>
    <row r="1019" ht="15.75" customHeight="1">
      <c r="A1019" s="491"/>
    </row>
    <row r="1020" ht="15.75" customHeight="1">
      <c r="A1020" s="491"/>
    </row>
    <row r="1021" ht="15.75" customHeight="1">
      <c r="A1021" s="491"/>
    </row>
    <row r="1022" ht="15.75" customHeight="1">
      <c r="A1022" s="491"/>
    </row>
    <row r="1023" ht="15.75" customHeight="1">
      <c r="A1023" s="491"/>
    </row>
    <row r="1024" ht="15.75" customHeight="1">
      <c r="A1024" s="491"/>
    </row>
    <row r="1025" ht="15.75" customHeight="1">
      <c r="A1025" s="491"/>
    </row>
    <row r="1026" ht="15.75" customHeight="1">
      <c r="A1026" s="491"/>
    </row>
    <row r="1027" ht="15.75" customHeight="1">
      <c r="A1027" s="491"/>
    </row>
    <row r="1028" ht="15.75" customHeight="1">
      <c r="A1028" s="491"/>
    </row>
    <row r="1029" ht="15.75" customHeight="1">
      <c r="A1029" s="491"/>
    </row>
    <row r="1030" ht="15.75" customHeight="1">
      <c r="A1030" s="491"/>
    </row>
    <row r="1031" ht="15.75" customHeight="1">
      <c r="A1031" s="491"/>
    </row>
    <row r="1032" ht="15.75" customHeight="1">
      <c r="A1032" s="491"/>
    </row>
    <row r="1033" ht="15.75" customHeight="1">
      <c r="A1033" s="491"/>
    </row>
    <row r="1034" ht="15.75" customHeight="1">
      <c r="A1034" s="491"/>
    </row>
    <row r="1035" ht="15.75" customHeight="1">
      <c r="A1035" s="491"/>
    </row>
    <row r="1036" ht="15.75" customHeight="1">
      <c r="A1036" s="491"/>
    </row>
    <row r="1037" ht="15.75" customHeight="1">
      <c r="A1037" s="491"/>
    </row>
    <row r="1038" ht="15.75" customHeight="1">
      <c r="A1038" s="491"/>
    </row>
    <row r="1039" ht="15.75" customHeight="1">
      <c r="A1039" s="491"/>
    </row>
    <row r="1040" ht="15.75" customHeight="1">
      <c r="A1040" s="491"/>
    </row>
  </sheetData>
  <mergeCells count="4">
    <mergeCell ref="A1:L1"/>
    <mergeCell ref="A2:B2"/>
    <mergeCell ref="A25:L25"/>
    <mergeCell ref="A26:B26"/>
  </mergeCells>
  <conditionalFormatting sqref="C55:G55">
    <cfRule type="colorScale" priority="1">
      <colorScale>
        <cfvo type="min"/>
        <cfvo type="percentile" val="50"/>
        <cfvo type="max"/>
        <color rgb="FF63BE7B"/>
        <color rgb="FFFCFCFF"/>
        <color rgb="FFF8696B"/>
      </colorScale>
    </cfRule>
  </conditionalFormatting>
  <conditionalFormatting sqref="C58:G58">
    <cfRule type="colorScale" priority="2">
      <colorScale>
        <cfvo type="min"/>
        <cfvo type="percentile" val="50"/>
        <cfvo type="max"/>
        <color rgb="FF63BE7B"/>
        <color rgb="FFFCFCFF"/>
        <color rgb="FFF8696B"/>
      </colorScale>
    </cfRule>
  </conditionalFormatting>
  <conditionalFormatting sqref="C61:G61">
    <cfRule type="colorScale" priority="3">
      <colorScale>
        <cfvo type="min"/>
        <cfvo type="percentile" val="50"/>
        <cfvo type="max"/>
        <color rgb="FF63BE7B"/>
        <color rgb="FFFCFCFF"/>
        <color rgb="FFF8696B"/>
      </colorScale>
    </cfRule>
  </conditionalFormatting>
  <conditionalFormatting sqref="C64:G64">
    <cfRule type="colorScale" priority="4">
      <colorScale>
        <cfvo type="min"/>
        <cfvo type="percentile" val="50"/>
        <cfvo type="max"/>
        <color rgb="FF63BE7B"/>
        <color rgb="FFFCFCFF"/>
        <color rgb="FFF8696B"/>
      </colorScale>
    </cfRule>
  </conditionalFormatting>
  <conditionalFormatting sqref="C67:G67 C70:G70">
    <cfRule type="colorScale" priority="5">
      <colorScale>
        <cfvo type="min"/>
        <cfvo type="percentile" val="50"/>
        <cfvo type="max"/>
        <color rgb="FF63BE7B"/>
        <color rgb="FFFCFCFF"/>
        <color rgb="FFF8696B"/>
      </colorScale>
    </cfRule>
  </conditionalFormatting>
  <conditionalFormatting sqref="C3:L3">
    <cfRule type="colorScale" priority="6">
      <colorScale>
        <cfvo type="min"/>
        <cfvo type="percentile" val="50"/>
        <cfvo type="max"/>
        <color rgb="FFF8696B"/>
        <color rgb="FFFCFCFF"/>
        <color rgb="FF63BE7B"/>
      </colorScale>
    </cfRule>
  </conditionalFormatting>
  <conditionalFormatting sqref="C5:L5">
    <cfRule type="colorScale" priority="7">
      <colorScale>
        <cfvo type="min"/>
        <cfvo type="percentile" val="50"/>
        <cfvo type="max"/>
        <color rgb="FFF8696B"/>
        <color rgb="FFFCFCFF"/>
        <color rgb="FF63BE7B"/>
      </colorScale>
    </cfRule>
  </conditionalFormatting>
  <conditionalFormatting sqref="C7:L7">
    <cfRule type="colorScale" priority="8">
      <colorScale>
        <cfvo type="min"/>
        <cfvo type="percentile" val="50"/>
        <cfvo type="max"/>
        <color rgb="FFF8696B"/>
        <color rgb="FFFCFCFF"/>
        <color rgb="FF63BE7B"/>
      </colorScale>
    </cfRule>
  </conditionalFormatting>
  <conditionalFormatting sqref="C9:L9">
    <cfRule type="colorScale" priority="9">
      <colorScale>
        <cfvo type="min"/>
        <cfvo type="percentile" val="50"/>
        <cfvo type="max"/>
        <color rgb="FFF8696B"/>
        <color rgb="FFFCFCFF"/>
        <color rgb="FF63BE7B"/>
      </colorScale>
    </cfRule>
  </conditionalFormatting>
  <conditionalFormatting sqref="C11:L11">
    <cfRule type="colorScale" priority="10">
      <colorScale>
        <cfvo type="min"/>
        <cfvo type="percentile" val="50"/>
        <cfvo type="max"/>
        <color rgb="FFF8696B"/>
        <color rgb="FFFCFCFF"/>
        <color rgb="FF63BE7B"/>
      </colorScale>
    </cfRule>
  </conditionalFormatting>
  <conditionalFormatting sqref="C13:L13">
    <cfRule type="colorScale" priority="11">
      <colorScale>
        <cfvo type="min"/>
        <cfvo type="percentile" val="50"/>
        <cfvo type="max"/>
        <color rgb="FFF8696B"/>
        <color rgb="FFFCFCFF"/>
        <color rgb="FF63BE7B"/>
      </colorScale>
    </cfRule>
  </conditionalFormatting>
  <conditionalFormatting sqref="C15:L15">
    <cfRule type="colorScale" priority="12">
      <colorScale>
        <cfvo type="min"/>
        <cfvo type="percentile" val="50"/>
        <cfvo type="max"/>
        <color rgb="FFF8696B"/>
        <color rgb="FFFCFCFF"/>
        <color rgb="FF63BE7B"/>
      </colorScale>
    </cfRule>
  </conditionalFormatting>
  <conditionalFormatting sqref="C17:L17">
    <cfRule type="colorScale" priority="13">
      <colorScale>
        <cfvo type="min"/>
        <cfvo type="percentile" val="50"/>
        <cfvo type="max"/>
        <color rgb="FFF8696B"/>
        <color rgb="FFFCFCFF"/>
        <color rgb="FF63BE7B"/>
      </colorScale>
    </cfRule>
  </conditionalFormatting>
  <conditionalFormatting sqref="C20:L20">
    <cfRule type="colorScale" priority="14">
      <colorScale>
        <cfvo type="min"/>
        <cfvo type="percentile" val="50"/>
        <cfvo type="max"/>
        <color rgb="FFF8696B"/>
        <color rgb="FFFCFCFF"/>
        <color rgb="FF63BE7B"/>
      </colorScale>
    </cfRule>
  </conditionalFormatting>
  <conditionalFormatting sqref="C22:L22">
    <cfRule type="colorScale" priority="15">
      <colorScale>
        <cfvo type="min"/>
        <cfvo type="percentile" val="50"/>
        <cfvo type="max"/>
        <color rgb="FFF8696B"/>
        <color rgb="FFFCFCFF"/>
        <color rgb="FF63BE7B"/>
      </colorScale>
    </cfRule>
  </conditionalFormatting>
  <conditionalFormatting sqref="C23:L23">
    <cfRule type="colorScale" priority="16">
      <colorScale>
        <cfvo type="min"/>
        <cfvo type="percentile" val="50"/>
        <cfvo type="max"/>
        <color rgb="FF63BE7B"/>
        <color rgb="FFFCFCFF"/>
        <color rgb="FFF8696B"/>
      </colorScale>
    </cfRule>
  </conditionalFormatting>
  <conditionalFormatting sqref="C27:L46">
    <cfRule type="colorScale" priority="17">
      <colorScale>
        <cfvo type="min"/>
        <cfvo type="percentile" val="50"/>
        <cfvo type="max"/>
        <color rgb="FF63BE7B"/>
        <color rgb="FFFCFCFF"/>
        <color rgb="FFF8696B"/>
      </colorScale>
    </cfRule>
  </conditionalFormatting>
  <conditionalFormatting sqref="C47:L52">
    <cfRule type="colorScale" priority="18">
      <colorScale>
        <cfvo type="min"/>
        <cfvo type="percentile" val="50"/>
        <cfvo type="max"/>
        <color rgb="FF63BE7B"/>
        <color rgb="FFFCFCFF"/>
        <color rgb="FFF8696B"/>
      </colorScale>
    </cfRule>
  </conditionalFormatting>
  <conditionalFormatting sqref="C48:L52">
    <cfRule type="colorScale" priority="19">
      <colorScale>
        <cfvo type="min"/>
        <cfvo type="percentile" val="50"/>
        <cfvo type="max"/>
        <color rgb="FF63BE7B"/>
        <color rgb="FFFCFCFF"/>
        <color rgb="FFF8696B"/>
      </colorScale>
    </cfRule>
  </conditionalFormatting>
  <conditionalFormatting sqref="C49:L52">
    <cfRule type="colorScale" priority="20">
      <colorScale>
        <cfvo type="min"/>
        <cfvo type="percentile" val="50"/>
        <cfvo type="max"/>
        <color rgb="FF63BE7B"/>
        <color rgb="FFFCFCFF"/>
        <color rgb="FFF8696B"/>
      </colorScale>
    </cfRule>
  </conditionalFormatting>
  <conditionalFormatting sqref="C50:L52">
    <cfRule type="colorScale" priority="21">
      <colorScale>
        <cfvo type="min"/>
        <cfvo type="percentile" val="50"/>
        <cfvo type="max"/>
        <color rgb="FF63BE7B"/>
        <color rgb="FFFCFCFF"/>
        <color rgb="FFF8696B"/>
      </colorScale>
    </cfRule>
  </conditionalFormatting>
  <conditionalFormatting sqref="C52:L52">
    <cfRule type="colorScale" priority="22">
      <colorScale>
        <cfvo type="min"/>
        <cfvo type="percentile" val="50"/>
        <cfvo type="max"/>
        <color rgb="FF63BE7B"/>
        <color rgb="FFFCFCFF"/>
        <color rgb="FFF8696B"/>
      </colorScale>
    </cfRule>
  </conditionalFormatting>
  <conditionalFormatting sqref="C53:L54 C55:G55">
    <cfRule type="colorScale" priority="23">
      <colorScale>
        <cfvo type="min"/>
        <cfvo type="percentile" val="50"/>
        <cfvo type="max"/>
        <color rgb="FF63BE7B"/>
        <color rgb="FFFCFCFF"/>
        <color rgb="FFF8696B"/>
      </colorScale>
    </cfRule>
  </conditionalFormatting>
  <conditionalFormatting sqref="C53:L54 C55:G55">
    <cfRule type="colorScale" priority="24">
      <colorScale>
        <cfvo type="min"/>
        <cfvo type="percentile" val="50"/>
        <cfvo type="max"/>
        <color rgb="FF63BE7B"/>
        <color rgb="FFFCFCFF"/>
        <color rgb="FFF8696B"/>
      </colorScale>
    </cfRule>
  </conditionalFormatting>
  <conditionalFormatting sqref="C53:L54 C55:G55">
    <cfRule type="colorScale" priority="25">
      <colorScale>
        <cfvo type="min"/>
        <cfvo type="percentile" val="50"/>
        <cfvo type="max"/>
        <color rgb="FF63BE7B"/>
        <color rgb="FFFCFCFF"/>
        <color rgb="FFF8696B"/>
      </colorScale>
    </cfRule>
  </conditionalFormatting>
  <conditionalFormatting sqref="C53:L54 C55:G55">
    <cfRule type="colorScale" priority="26">
      <colorScale>
        <cfvo type="min"/>
        <cfvo type="percentile" val="50"/>
        <cfvo type="max"/>
        <color rgb="FF63BE7B"/>
        <color rgb="FFFCFCFF"/>
        <color rgb="FFF8696B"/>
      </colorScale>
    </cfRule>
  </conditionalFormatting>
  <conditionalFormatting sqref="C53:L54 C55:G55">
    <cfRule type="colorScale" priority="27">
      <colorScale>
        <cfvo type="min"/>
        <cfvo type="percentile" val="50"/>
        <cfvo type="max"/>
        <color rgb="FF63BE7B"/>
        <color rgb="FFFCFCFF"/>
        <color rgb="FFF8696B"/>
      </colorScale>
    </cfRule>
  </conditionalFormatting>
  <conditionalFormatting sqref="C57:G58 H57:L57">
    <cfRule type="colorScale" priority="28">
      <colorScale>
        <cfvo type="min"/>
        <cfvo type="percentile" val="50"/>
        <cfvo type="max"/>
        <color rgb="FF63BE7B"/>
        <color rgb="FFFCFCFF"/>
        <color rgb="FFF8696B"/>
      </colorScale>
    </cfRule>
  </conditionalFormatting>
  <conditionalFormatting sqref="C57:G58 H57:L57">
    <cfRule type="colorScale" priority="29">
      <colorScale>
        <cfvo type="min"/>
        <cfvo type="percentile" val="50"/>
        <cfvo type="max"/>
        <color rgb="FF63BE7B"/>
        <color rgb="FFFCFCFF"/>
        <color rgb="FFF8696B"/>
      </colorScale>
    </cfRule>
  </conditionalFormatting>
  <conditionalFormatting sqref="C57:G58 H57:L57">
    <cfRule type="colorScale" priority="30">
      <colorScale>
        <cfvo type="min"/>
        <cfvo type="percentile" val="50"/>
        <cfvo type="max"/>
        <color rgb="FF63BE7B"/>
        <color rgb="FFFCFCFF"/>
        <color rgb="FFF8696B"/>
      </colorScale>
    </cfRule>
  </conditionalFormatting>
  <conditionalFormatting sqref="C57:G58 H57:L57">
    <cfRule type="colorScale" priority="31">
      <colorScale>
        <cfvo type="min"/>
        <cfvo type="percentile" val="50"/>
        <cfvo type="max"/>
        <color rgb="FF63BE7B"/>
        <color rgb="FFFCFCFF"/>
        <color rgb="FFF8696B"/>
      </colorScale>
    </cfRule>
  </conditionalFormatting>
  <conditionalFormatting sqref="C57:G58 H57:L57">
    <cfRule type="colorScale" priority="32">
      <colorScale>
        <cfvo type="min"/>
        <cfvo type="percentile" val="50"/>
        <cfvo type="max"/>
        <color rgb="FF63BE7B"/>
        <color rgb="FFFCFCFF"/>
        <color rgb="FFF8696B"/>
      </colorScale>
    </cfRule>
  </conditionalFormatting>
  <conditionalFormatting sqref="C60:L60 C61:G61">
    <cfRule type="colorScale" priority="33">
      <colorScale>
        <cfvo type="min"/>
        <cfvo type="percentile" val="50"/>
        <cfvo type="max"/>
        <color rgb="FF63BE7B"/>
        <color rgb="FFFCFCFF"/>
        <color rgb="FFF8696B"/>
      </colorScale>
    </cfRule>
  </conditionalFormatting>
  <conditionalFormatting sqref="C60:L60 C61:G61">
    <cfRule type="colorScale" priority="34">
      <colorScale>
        <cfvo type="min"/>
        <cfvo type="percentile" val="50"/>
        <cfvo type="max"/>
        <color rgb="FF63BE7B"/>
        <color rgb="FFFCFCFF"/>
        <color rgb="FFF8696B"/>
      </colorScale>
    </cfRule>
  </conditionalFormatting>
  <conditionalFormatting sqref="C60:L60 C61:G61">
    <cfRule type="colorScale" priority="35">
      <colorScale>
        <cfvo type="min"/>
        <cfvo type="percentile" val="50"/>
        <cfvo type="max"/>
        <color rgb="FF63BE7B"/>
        <color rgb="FFFCFCFF"/>
        <color rgb="FFF8696B"/>
      </colorScale>
    </cfRule>
  </conditionalFormatting>
  <conditionalFormatting sqref="C60:L60 C61:G61">
    <cfRule type="colorScale" priority="36">
      <colorScale>
        <cfvo type="min"/>
        <cfvo type="percentile" val="50"/>
        <cfvo type="max"/>
        <color rgb="FF63BE7B"/>
        <color rgb="FFFCFCFF"/>
        <color rgb="FFF8696B"/>
      </colorScale>
    </cfRule>
  </conditionalFormatting>
  <conditionalFormatting sqref="C60:L60 C61:G61">
    <cfRule type="colorScale" priority="37">
      <colorScale>
        <cfvo type="min"/>
        <cfvo type="percentile" val="50"/>
        <cfvo type="max"/>
        <color rgb="FF63BE7B"/>
        <color rgb="FFFCFCFF"/>
        <color rgb="FFF8696B"/>
      </colorScale>
    </cfRule>
  </conditionalFormatting>
  <conditionalFormatting sqref="C63:G64 H63:L63">
    <cfRule type="colorScale" priority="38">
      <colorScale>
        <cfvo type="min"/>
        <cfvo type="percentile" val="50"/>
        <cfvo type="max"/>
        <color rgb="FF63BE7B"/>
        <color rgb="FFFCFCFF"/>
        <color rgb="FFF8696B"/>
      </colorScale>
    </cfRule>
  </conditionalFormatting>
  <conditionalFormatting sqref="C63:G64 H63:L63">
    <cfRule type="colorScale" priority="39">
      <colorScale>
        <cfvo type="min"/>
        <cfvo type="percentile" val="50"/>
        <cfvo type="max"/>
        <color rgb="FF63BE7B"/>
        <color rgb="FFFCFCFF"/>
        <color rgb="FFF8696B"/>
      </colorScale>
    </cfRule>
  </conditionalFormatting>
  <conditionalFormatting sqref="C63:G64 H63:L63">
    <cfRule type="colorScale" priority="40">
      <colorScale>
        <cfvo type="min"/>
        <cfvo type="percentile" val="50"/>
        <cfvo type="max"/>
        <color rgb="FF63BE7B"/>
        <color rgb="FFFCFCFF"/>
        <color rgb="FFF8696B"/>
      </colorScale>
    </cfRule>
  </conditionalFormatting>
  <conditionalFormatting sqref="C63:G64 H63:L63">
    <cfRule type="colorScale" priority="41">
      <colorScale>
        <cfvo type="min"/>
        <cfvo type="percentile" val="50"/>
        <cfvo type="max"/>
        <color rgb="FF63BE7B"/>
        <color rgb="FFFCFCFF"/>
        <color rgb="FFF8696B"/>
      </colorScale>
    </cfRule>
  </conditionalFormatting>
  <conditionalFormatting sqref="C63:G64 H63:L63">
    <cfRule type="colorScale" priority="42">
      <colorScale>
        <cfvo type="min"/>
        <cfvo type="percentile" val="50"/>
        <cfvo type="max"/>
        <color rgb="FF63BE7B"/>
        <color rgb="FFFCFCFF"/>
        <color rgb="FFF8696B"/>
      </colorScale>
    </cfRule>
  </conditionalFormatting>
  <conditionalFormatting sqref="C66:G67 H66:L66 C69:G70 H69:L69">
    <cfRule type="colorScale" priority="43">
      <colorScale>
        <cfvo type="min"/>
        <cfvo type="percentile" val="50"/>
        <cfvo type="max"/>
        <color rgb="FF63BE7B"/>
        <color rgb="FFFCFCFF"/>
        <color rgb="FFF8696B"/>
      </colorScale>
    </cfRule>
  </conditionalFormatting>
  <conditionalFormatting sqref="C66:G67 H66:L66 C69:G70 H69:L69">
    <cfRule type="colorScale" priority="44">
      <colorScale>
        <cfvo type="min"/>
        <cfvo type="percentile" val="50"/>
        <cfvo type="max"/>
        <color rgb="FF63BE7B"/>
        <color rgb="FFFCFCFF"/>
        <color rgb="FFF8696B"/>
      </colorScale>
    </cfRule>
  </conditionalFormatting>
  <conditionalFormatting sqref="C66:G67 H66:L66 C69:G70 H69:L69">
    <cfRule type="colorScale" priority="45">
      <colorScale>
        <cfvo type="min"/>
        <cfvo type="percentile" val="50"/>
        <cfvo type="max"/>
        <color rgb="FF63BE7B"/>
        <color rgb="FFFCFCFF"/>
        <color rgb="FFF8696B"/>
      </colorScale>
    </cfRule>
  </conditionalFormatting>
  <conditionalFormatting sqref="C66:G67 H66:L66 C69:G70 H69:L69">
    <cfRule type="colorScale" priority="46">
      <colorScale>
        <cfvo type="min"/>
        <cfvo type="percentile" val="50"/>
        <cfvo type="max"/>
        <color rgb="FF63BE7B"/>
        <color rgb="FFFCFCFF"/>
        <color rgb="FFF8696B"/>
      </colorScale>
    </cfRule>
  </conditionalFormatting>
  <conditionalFormatting sqref="C66:G67 H66:L66 C69:G70 H69:L69">
    <cfRule type="colorScale" priority="47">
      <colorScale>
        <cfvo type="min"/>
        <cfvo type="percentile" val="50"/>
        <cfvo type="max"/>
        <color rgb="FF63BE7B"/>
        <color rgb="FFFCFCFF"/>
        <color rgb="FFF8696B"/>
      </colorScale>
    </cfRule>
  </conditionalFormatting>
  <conditionalFormatting sqref="H56:L56">
    <cfRule type="colorScale" priority="48">
      <colorScale>
        <cfvo type="min"/>
        <cfvo type="percentile" val="50"/>
        <cfvo type="max"/>
        <color rgb="FF63BE7B"/>
        <color rgb="FFFCFCFF"/>
        <color rgb="FFF8696B"/>
      </colorScale>
    </cfRule>
  </conditionalFormatting>
  <conditionalFormatting sqref="H56:L56">
    <cfRule type="colorScale" priority="49">
      <colorScale>
        <cfvo type="min"/>
        <cfvo type="percentile" val="50"/>
        <cfvo type="max"/>
        <color rgb="FF63BE7B"/>
        <color rgb="FFFCFCFF"/>
        <color rgb="FFF8696B"/>
      </colorScale>
    </cfRule>
  </conditionalFormatting>
  <conditionalFormatting sqref="H56:L56">
    <cfRule type="colorScale" priority="50">
      <colorScale>
        <cfvo type="min"/>
        <cfvo type="percentile" val="50"/>
        <cfvo type="max"/>
        <color rgb="FF63BE7B"/>
        <color rgb="FFFCFCFF"/>
        <color rgb="FFF8696B"/>
      </colorScale>
    </cfRule>
  </conditionalFormatting>
  <conditionalFormatting sqref="H56:L56">
    <cfRule type="colorScale" priority="51">
      <colorScale>
        <cfvo type="min"/>
        <cfvo type="percentile" val="50"/>
        <cfvo type="max"/>
        <color rgb="FF63BE7B"/>
        <color rgb="FFFCFCFF"/>
        <color rgb="FFF8696B"/>
      </colorScale>
    </cfRule>
  </conditionalFormatting>
  <conditionalFormatting sqref="H56:L56">
    <cfRule type="colorScale" priority="52">
      <colorScale>
        <cfvo type="min"/>
        <cfvo type="percentile" val="50"/>
        <cfvo type="max"/>
        <color rgb="FF63BE7B"/>
        <color rgb="FFFCFCFF"/>
        <color rgb="FFF8696B"/>
      </colorScale>
    </cfRule>
  </conditionalFormatting>
  <conditionalFormatting sqref="H56:L56">
    <cfRule type="colorScale" priority="53">
      <colorScale>
        <cfvo type="min"/>
        <cfvo type="percentile" val="50"/>
        <cfvo type="max"/>
        <color rgb="FF63BE7B"/>
        <color rgb="FFFCFCFF"/>
        <color rgb="FFF8696B"/>
      </colorScale>
    </cfRule>
  </conditionalFormatting>
  <conditionalFormatting sqref="H59:L59">
    <cfRule type="colorScale" priority="54">
      <colorScale>
        <cfvo type="min"/>
        <cfvo type="percentile" val="50"/>
        <cfvo type="max"/>
        <color rgb="FF63BE7B"/>
        <color rgb="FFFCFCFF"/>
        <color rgb="FFF8696B"/>
      </colorScale>
    </cfRule>
  </conditionalFormatting>
  <conditionalFormatting sqref="H59:L59">
    <cfRule type="colorScale" priority="55">
      <colorScale>
        <cfvo type="min"/>
        <cfvo type="percentile" val="50"/>
        <cfvo type="max"/>
        <color rgb="FF63BE7B"/>
        <color rgb="FFFCFCFF"/>
        <color rgb="FFF8696B"/>
      </colorScale>
    </cfRule>
  </conditionalFormatting>
  <conditionalFormatting sqref="H59:L59">
    <cfRule type="colorScale" priority="56">
      <colorScale>
        <cfvo type="min"/>
        <cfvo type="percentile" val="50"/>
        <cfvo type="max"/>
        <color rgb="FF63BE7B"/>
        <color rgb="FFFCFCFF"/>
        <color rgb="FFF8696B"/>
      </colorScale>
    </cfRule>
  </conditionalFormatting>
  <conditionalFormatting sqref="H59:L59">
    <cfRule type="colorScale" priority="57">
      <colorScale>
        <cfvo type="min"/>
        <cfvo type="percentile" val="50"/>
        <cfvo type="max"/>
        <color rgb="FF63BE7B"/>
        <color rgb="FFFCFCFF"/>
        <color rgb="FFF8696B"/>
      </colorScale>
    </cfRule>
  </conditionalFormatting>
  <conditionalFormatting sqref="H59:L59">
    <cfRule type="colorScale" priority="58">
      <colorScale>
        <cfvo type="min"/>
        <cfvo type="percentile" val="50"/>
        <cfvo type="max"/>
        <color rgb="FF63BE7B"/>
        <color rgb="FFFCFCFF"/>
        <color rgb="FFF8696B"/>
      </colorScale>
    </cfRule>
  </conditionalFormatting>
  <conditionalFormatting sqref="H59:L59">
    <cfRule type="colorScale" priority="59">
      <colorScale>
        <cfvo type="min"/>
        <cfvo type="percentile" val="50"/>
        <cfvo type="max"/>
        <color rgb="FF63BE7B"/>
        <color rgb="FFFCFCFF"/>
        <color rgb="FFF8696B"/>
      </colorScale>
    </cfRule>
  </conditionalFormatting>
  <conditionalFormatting sqref="H62:L62">
    <cfRule type="colorScale" priority="60">
      <colorScale>
        <cfvo type="min"/>
        <cfvo type="percentile" val="50"/>
        <cfvo type="max"/>
        <color rgb="FF63BE7B"/>
        <color rgb="FFFCFCFF"/>
        <color rgb="FFF8696B"/>
      </colorScale>
    </cfRule>
  </conditionalFormatting>
  <conditionalFormatting sqref="H62:L62">
    <cfRule type="colorScale" priority="61">
      <colorScale>
        <cfvo type="min"/>
        <cfvo type="percentile" val="50"/>
        <cfvo type="max"/>
        <color rgb="FF63BE7B"/>
        <color rgb="FFFCFCFF"/>
        <color rgb="FFF8696B"/>
      </colorScale>
    </cfRule>
  </conditionalFormatting>
  <conditionalFormatting sqref="H62:L62">
    <cfRule type="colorScale" priority="62">
      <colorScale>
        <cfvo type="min"/>
        <cfvo type="percentile" val="50"/>
        <cfvo type="max"/>
        <color rgb="FF63BE7B"/>
        <color rgb="FFFCFCFF"/>
        <color rgb="FFF8696B"/>
      </colorScale>
    </cfRule>
  </conditionalFormatting>
  <conditionalFormatting sqref="H62:L62">
    <cfRule type="colorScale" priority="63">
      <colorScale>
        <cfvo type="min"/>
        <cfvo type="percentile" val="50"/>
        <cfvo type="max"/>
        <color rgb="FF63BE7B"/>
        <color rgb="FFFCFCFF"/>
        <color rgb="FFF8696B"/>
      </colorScale>
    </cfRule>
  </conditionalFormatting>
  <conditionalFormatting sqref="H62:L62">
    <cfRule type="colorScale" priority="64">
      <colorScale>
        <cfvo type="min"/>
        <cfvo type="percentile" val="50"/>
        <cfvo type="max"/>
        <color rgb="FF63BE7B"/>
        <color rgb="FFFCFCFF"/>
        <color rgb="FFF8696B"/>
      </colorScale>
    </cfRule>
  </conditionalFormatting>
  <conditionalFormatting sqref="H62:L62">
    <cfRule type="colorScale" priority="65">
      <colorScale>
        <cfvo type="min"/>
        <cfvo type="percentile" val="50"/>
        <cfvo type="max"/>
        <color rgb="FF63BE7B"/>
        <color rgb="FFFCFCFF"/>
        <color rgb="FFF8696B"/>
      </colorScale>
    </cfRule>
  </conditionalFormatting>
  <conditionalFormatting sqref="H65:L65">
    <cfRule type="colorScale" priority="66">
      <colorScale>
        <cfvo type="min"/>
        <cfvo type="percentile" val="50"/>
        <cfvo type="max"/>
        <color rgb="FF63BE7B"/>
        <color rgb="FFFCFCFF"/>
        <color rgb="FFF8696B"/>
      </colorScale>
    </cfRule>
  </conditionalFormatting>
  <conditionalFormatting sqref="H65:L65">
    <cfRule type="colorScale" priority="67">
      <colorScale>
        <cfvo type="min"/>
        <cfvo type="percentile" val="50"/>
        <cfvo type="max"/>
        <color rgb="FF63BE7B"/>
        <color rgb="FFFCFCFF"/>
        <color rgb="FFF8696B"/>
      </colorScale>
    </cfRule>
  </conditionalFormatting>
  <conditionalFormatting sqref="H65:L65">
    <cfRule type="colorScale" priority="68">
      <colorScale>
        <cfvo type="min"/>
        <cfvo type="percentile" val="50"/>
        <cfvo type="max"/>
        <color rgb="FF63BE7B"/>
        <color rgb="FFFCFCFF"/>
        <color rgb="FFF8696B"/>
      </colorScale>
    </cfRule>
  </conditionalFormatting>
  <conditionalFormatting sqref="H65:L65">
    <cfRule type="colorScale" priority="69">
      <colorScale>
        <cfvo type="min"/>
        <cfvo type="percentile" val="50"/>
        <cfvo type="max"/>
        <color rgb="FF63BE7B"/>
        <color rgb="FFFCFCFF"/>
        <color rgb="FFF8696B"/>
      </colorScale>
    </cfRule>
  </conditionalFormatting>
  <conditionalFormatting sqref="H65:L65">
    <cfRule type="colorScale" priority="70">
      <colorScale>
        <cfvo type="min"/>
        <cfvo type="percentile" val="50"/>
        <cfvo type="max"/>
        <color rgb="FF63BE7B"/>
        <color rgb="FFFCFCFF"/>
        <color rgb="FFF8696B"/>
      </colorScale>
    </cfRule>
  </conditionalFormatting>
  <conditionalFormatting sqref="H65:L65">
    <cfRule type="colorScale" priority="71">
      <colorScale>
        <cfvo type="min"/>
        <cfvo type="percentile" val="50"/>
        <cfvo type="max"/>
        <color rgb="FF63BE7B"/>
        <color rgb="FFFCFCFF"/>
        <color rgb="FFF8696B"/>
      </colorScale>
    </cfRule>
  </conditionalFormatting>
  <conditionalFormatting sqref="H68:L68 H71:L71">
    <cfRule type="colorScale" priority="72">
      <colorScale>
        <cfvo type="min"/>
        <cfvo type="percentile" val="50"/>
        <cfvo type="max"/>
        <color rgb="FF63BE7B"/>
        <color rgb="FFFCFCFF"/>
        <color rgb="FFF8696B"/>
      </colorScale>
    </cfRule>
  </conditionalFormatting>
  <conditionalFormatting sqref="H68:L68 H71:L71">
    <cfRule type="colorScale" priority="73">
      <colorScale>
        <cfvo type="min"/>
        <cfvo type="percentile" val="50"/>
        <cfvo type="max"/>
        <color rgb="FF63BE7B"/>
        <color rgb="FFFCFCFF"/>
        <color rgb="FFF8696B"/>
      </colorScale>
    </cfRule>
  </conditionalFormatting>
  <conditionalFormatting sqref="H68:L68 H71:L71">
    <cfRule type="colorScale" priority="74">
      <colorScale>
        <cfvo type="min"/>
        <cfvo type="percentile" val="50"/>
        <cfvo type="max"/>
        <color rgb="FF63BE7B"/>
        <color rgb="FFFCFCFF"/>
        <color rgb="FFF8696B"/>
      </colorScale>
    </cfRule>
  </conditionalFormatting>
  <conditionalFormatting sqref="H68:L68 H71:L71">
    <cfRule type="colorScale" priority="75">
      <colorScale>
        <cfvo type="min"/>
        <cfvo type="percentile" val="50"/>
        <cfvo type="max"/>
        <color rgb="FF63BE7B"/>
        <color rgb="FFFCFCFF"/>
        <color rgb="FFF8696B"/>
      </colorScale>
    </cfRule>
  </conditionalFormatting>
  <conditionalFormatting sqref="H68:L68 H71:L71">
    <cfRule type="colorScale" priority="76">
      <colorScale>
        <cfvo type="min"/>
        <cfvo type="percentile" val="50"/>
        <cfvo type="max"/>
        <color rgb="FF63BE7B"/>
        <color rgb="FFFCFCFF"/>
        <color rgb="FFF8696B"/>
      </colorScale>
    </cfRule>
  </conditionalFormatting>
  <conditionalFormatting sqref="H68:L68 H71:L71">
    <cfRule type="colorScale" priority="77">
      <colorScale>
        <cfvo type="min"/>
        <cfvo type="percentile" val="50"/>
        <cfvo type="max"/>
        <color rgb="FF63BE7B"/>
        <color rgb="FFFCFCFF"/>
        <color rgb="FFF8696B"/>
      </colorScale>
    </cfRule>
  </conditionalFormatting>
  <conditionalFormatting sqref="AK2:AK11">
    <cfRule type="colorScale" priority="78">
      <colorScale>
        <cfvo type="min"/>
        <cfvo type="percentile" val="50"/>
        <cfvo type="max"/>
        <color rgb="FF63BE7B"/>
        <color rgb="FFFCFCFF"/>
        <color rgb="FFF8696B"/>
      </colorScale>
    </cfRule>
  </conditionalFormatting>
  <conditionalFormatting sqref="AN2:AN11">
    <cfRule type="colorScale" priority="79">
      <colorScale>
        <cfvo type="min"/>
        <cfvo type="percentile" val="50"/>
        <cfvo type="max"/>
        <color rgb="FFF8696B"/>
        <color rgb="FFFCFCFF"/>
        <color rgb="FF63BE7B"/>
      </colorScale>
    </cfRule>
  </conditionalFormatting>
  <conditionalFormatting sqref="AO2:AQ11">
    <cfRule type="colorScale" priority="80">
      <colorScale>
        <cfvo type="min"/>
        <cfvo type="percentile" val="50"/>
        <cfvo type="max"/>
        <color rgb="FFF8696B"/>
        <color rgb="FFFCFCFF"/>
        <color rgb="FF63BE7B"/>
      </colorScale>
    </cfRule>
  </conditionalFormatting>
  <conditionalFormatting sqref="AP2:AP11">
    <cfRule type="colorScale" priority="81">
      <colorScale>
        <cfvo type="min"/>
        <cfvo type="percentile" val="50"/>
        <cfvo type="max"/>
        <color rgb="FFF8696B"/>
        <color rgb="FFFCFCFF"/>
        <color rgb="FF63BE7B"/>
      </colorScale>
    </cfRule>
  </conditionalFormatting>
  <conditionalFormatting sqref="AQ2:AQ11">
    <cfRule type="colorScale" priority="82">
      <colorScale>
        <cfvo type="min"/>
        <cfvo type="percentile" val="50"/>
        <cfvo type="max"/>
        <color rgb="FFF8696B"/>
        <color rgb="FFFCFCFF"/>
        <color rgb="FF63BE7B"/>
      </colorScale>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workbookViewId="0"/>
  </sheetViews>
  <sheetFormatPr customHeight="1" defaultColWidth="11.22" defaultRowHeight="15.0"/>
  <cols>
    <col customWidth="1" hidden="1" min="1" max="1" width="33.11"/>
    <col customWidth="1" hidden="1" min="2" max="2" width="17.11"/>
    <col customWidth="1" hidden="1" min="3" max="10" width="25.78"/>
    <col customWidth="1" hidden="1" min="11" max="11" width="23.0"/>
    <col customWidth="1" hidden="1" min="12" max="12" width="25.67"/>
    <col customWidth="1" hidden="1" min="13" max="13" width="15.0"/>
    <col customWidth="1" hidden="1" min="14" max="14" width="10.56"/>
    <col customWidth="1" hidden="1" min="15" max="15" width="10.44"/>
    <col customWidth="1" hidden="1" min="16" max="17" width="10.78"/>
    <col customWidth="1" hidden="1" min="18" max="18" width="29.44"/>
    <col customWidth="1" hidden="1" min="19" max="19" width="15.67"/>
    <col customWidth="1" hidden="1" min="20" max="20" width="22.78"/>
    <col customWidth="1" hidden="1" min="21" max="21" width="16.44"/>
    <col customWidth="1" hidden="1" min="22" max="22" width="18.33"/>
    <col customWidth="1" hidden="1" min="23" max="23" width="17.11"/>
    <col customWidth="1" hidden="1" min="24" max="24" width="10.78"/>
    <col customWidth="1" hidden="1" min="25" max="25" width="19.0"/>
    <col customWidth="1" hidden="1" min="26" max="35" width="10.78"/>
    <col customWidth="1" hidden="1" min="36" max="36" width="30.78"/>
    <col customWidth="1" min="37" max="37" width="6.0"/>
    <col customWidth="1" min="38" max="38" width="35.78"/>
    <col customWidth="1" min="39" max="39" width="15.44"/>
    <col customWidth="1" min="40" max="40" width="22.33"/>
    <col customWidth="1" min="41" max="41" width="15.44"/>
    <col customWidth="1" min="42" max="42" width="22.33"/>
    <col customWidth="1" min="43" max="43" width="15.44"/>
    <col customWidth="1" min="44" max="44" width="22.33"/>
    <col customWidth="1" min="45" max="45" width="15.44"/>
    <col customWidth="1" min="46" max="46" width="22.33"/>
    <col customWidth="1" min="47" max="47" width="15.44"/>
    <col customWidth="1" min="48" max="48" width="22.33"/>
    <col customWidth="1" min="49" max="49" width="7.11"/>
    <col customWidth="1" hidden="1" min="50" max="50" width="20.78"/>
    <col customWidth="1" hidden="1" min="51" max="51" width="12.78"/>
    <col customWidth="1" hidden="1" min="52" max="52" width="31.0"/>
    <col customWidth="1" hidden="1" min="53" max="53" width="12.78"/>
    <col customWidth="1" hidden="1" min="54" max="56" width="20.78"/>
    <col customWidth="1" hidden="1" min="57" max="57" width="10.56"/>
    <col customWidth="1" hidden="1" min="58" max="58" width="17.44"/>
    <col customWidth="1" hidden="1" min="59" max="59" width="28.33"/>
    <col customWidth="1" hidden="1" min="60" max="75" width="10.78"/>
    <col customWidth="1" hidden="1" min="76" max="76" width="14.33"/>
    <col customWidth="1" hidden="1" min="77" max="77" width="11.67"/>
    <col customWidth="1" hidden="1" min="78" max="79" width="11.0"/>
    <col customWidth="1" hidden="1" min="80" max="80" width="12.44"/>
    <col customWidth="1" hidden="1" min="81" max="81" width="11.0"/>
    <col customWidth="1" hidden="1" min="82" max="95" width="10.56"/>
    <col customWidth="1" min="96" max="105" width="10.56"/>
  </cols>
  <sheetData>
    <row r="1" ht="15.75" customHeight="1">
      <c r="AK1" s="201"/>
      <c r="AL1" s="201"/>
      <c r="AM1" s="201"/>
      <c r="AN1" s="201"/>
      <c r="AO1" s="201"/>
      <c r="AP1" s="201"/>
      <c r="AQ1" s="201"/>
      <c r="AR1" s="201"/>
      <c r="AS1" s="201"/>
      <c r="AT1" s="201"/>
      <c r="AU1" s="201"/>
      <c r="AV1" s="201"/>
      <c r="AW1" s="201"/>
    </row>
    <row r="2" ht="43.5" customHeight="1">
      <c r="A2" s="523" t="s">
        <v>472</v>
      </c>
      <c r="B2" s="514"/>
      <c r="C2" s="514"/>
      <c r="D2" s="514"/>
      <c r="E2" s="514"/>
      <c r="F2" s="514"/>
      <c r="G2" s="514"/>
      <c r="H2" s="514"/>
      <c r="I2" s="514"/>
      <c r="J2" s="514"/>
      <c r="K2" s="514"/>
      <c r="L2" s="515"/>
      <c r="AK2" s="201"/>
      <c r="AL2" s="524" t="s">
        <v>474</v>
      </c>
      <c r="AM2" s="525"/>
      <c r="AN2" s="525"/>
      <c r="AO2" s="525"/>
      <c r="AP2" s="525"/>
      <c r="AQ2" s="525"/>
      <c r="AR2" s="525"/>
      <c r="AS2" s="525"/>
      <c r="AT2" s="525"/>
      <c r="AU2" s="525"/>
      <c r="AV2" s="526"/>
      <c r="AW2" s="201"/>
      <c r="AY2" s="342" t="str">
        <f>'MVT 2.0'!AK1</f>
        <v>RANK</v>
      </c>
      <c r="AZ2" s="344" t="str">
        <f>'MVT 2.0'!AL1</f>
        <v>TEAM</v>
      </c>
      <c r="BA2" s="345" t="str">
        <f>'MVT 2.0'!AM1</f>
        <v>POINTS</v>
      </c>
      <c r="BB2" s="346" t="str">
        <f>'MVT 2.0'!AN1</f>
        <v>POSITION</v>
      </c>
      <c r="BC2" s="346" t="str">
        <f>'MVT 2.0'!AO1</f>
        <v>ACHIEVEMENT</v>
      </c>
      <c r="BD2" s="346" t="str">
        <f>'MVT 2.0'!AP1</f>
        <v>DIV/LEAGUE</v>
      </c>
      <c r="BE2" s="346" t="str">
        <f>'MVT 2.0'!AQ1</f>
        <v>BONUS</v>
      </c>
    </row>
    <row r="3" ht="39.0" customHeight="1">
      <c r="A3" s="527"/>
      <c r="B3" s="528"/>
      <c r="C3" s="529" t="str">
        <f>Settings!A3</f>
        <v>DECOUPES</v>
      </c>
      <c r="D3" s="530" t="str">
        <f>Settings!A4</f>
        <v>POPEYES</v>
      </c>
      <c r="E3" s="531" t="str">
        <f>Settings!A5</f>
        <v>GREEN</v>
      </c>
      <c r="F3" s="532" t="str">
        <f>Settings!A6</f>
        <v>SAVAGES</v>
      </c>
      <c r="G3" s="533" t="s">
        <v>477</v>
      </c>
      <c r="H3" s="535" t="str">
        <f>Settings!A7</f>
        <v>CHAMPS</v>
      </c>
      <c r="I3" s="536" t="str">
        <f>Settings!A8</f>
        <v>METAMOOKDAWGS</v>
      </c>
      <c r="J3" s="537" t="str">
        <f>Settings!A9</f>
        <v>YARDIES</v>
      </c>
      <c r="K3" s="538" t="str">
        <f>Settings!A10</f>
        <v>MUTTS</v>
      </c>
      <c r="L3" s="539" t="s">
        <v>478</v>
      </c>
      <c r="M3" s="313"/>
      <c r="N3" s="313"/>
      <c r="O3" s="313"/>
      <c r="P3" s="313"/>
      <c r="Q3" s="313"/>
      <c r="R3" s="313"/>
      <c r="S3" s="313" t="str">
        <f t="shared" ref="S3:S26" si="4">F3</f>
        <v>SAVAGES</v>
      </c>
      <c r="T3" s="313" t="str">
        <f t="shared" ref="T3:W3" si="1">H3</f>
        <v>CHAMPS</v>
      </c>
      <c r="U3" s="313" t="str">
        <f t="shared" si="1"/>
        <v>METAMOOKDAWGS</v>
      </c>
      <c r="V3" s="313" t="str">
        <f t="shared" si="1"/>
        <v>YARDIES</v>
      </c>
      <c r="W3" s="313" t="str">
        <f t="shared" si="1"/>
        <v>MUTTS</v>
      </c>
      <c r="X3" s="313"/>
      <c r="Y3" s="313"/>
      <c r="Z3" s="313"/>
      <c r="AA3" s="313"/>
      <c r="AB3" s="313"/>
      <c r="AC3" s="313"/>
      <c r="AD3" s="313"/>
      <c r="AE3" s="313"/>
      <c r="AF3" s="313"/>
      <c r="AG3" s="313"/>
      <c r="AH3" s="313"/>
      <c r="AI3" s="313"/>
      <c r="AJ3" s="313"/>
      <c r="AK3" s="541"/>
      <c r="AL3" s="542" t="s">
        <v>480</v>
      </c>
      <c r="AM3" s="543" t="str">
        <f>IF(AY3=1,"1st",IF(AY3=2,"2nd",IF(AY3=3,"3rd",IF(AY3=4,"4th",IF(AY3=5,"5th",IF(AY3=6,"6th",IF(AY3=7,"7th",IF(AY3=8,"8th",AY3&amp;"th"))))))))</f>
        <v>3rd</v>
      </c>
      <c r="AN3" s="544">
        <f>BA3</f>
        <v>26</v>
      </c>
      <c r="AO3" s="543" t="str">
        <f>IF(AY4=1,"1st",IF(AY4=2,"2nd",IF(AY4=3,"3rd",IF(AY4=4,"4th",IF(AY4=5,"5th",IF(AY4=6,"6th",IF(AY4=7,"7th",IF(AY4=8,"8th",AY4&amp;"th"))))))))</f>
        <v>10th</v>
      </c>
      <c r="AP3" s="544">
        <f>BA4</f>
        <v>9.75</v>
      </c>
      <c r="AQ3" s="543" t="str">
        <f>IF(AY5=1,"1st",IF(AY5=2,"2nd",IF(AY5=3,"3rd",IF(AY5=4,"4th",IF(AY5=5,"5th",IF(AY5=6,"6th",IF(AY5=7,"7th",IF(AY5=8,"8th",AY5&amp;"th"))))))))</f>
        <v>1st</v>
      </c>
      <c r="AR3" s="544">
        <f>BA5</f>
        <v>59.5</v>
      </c>
      <c r="AS3" s="543" t="str">
        <f>IF(AY6=1,"1st",IF(AY6=2,"2nd",IF(AY6=3,"3rd",IF(AY6=4,"4th",IF(AY6=5,"5th",IF(AY6=6,"6th",IF(AY6=7,"7th",IF(AY6=8,"8th",AY6&amp;"th"))))))))</f>
        <v>7th</v>
      </c>
      <c r="AT3" s="544">
        <f>BA6</f>
        <v>14</v>
      </c>
      <c r="AU3" s="543" t="str">
        <f>IF(AY7=1,"1st",IF(AY7=2,"2nd",IF(AY7=3,"3rd",IF(AY7=4,"4th",IF(AY7=5,"5th",IF(AY7=6,"6th",IF(AY7=7,"7th",IF(AY7=8,"8th",AY7&amp;"th"))))))))</f>
        <v>6th</v>
      </c>
      <c r="AV3" s="544">
        <f>BA7</f>
        <v>15</v>
      </c>
      <c r="AW3" s="541"/>
      <c r="AX3" s="313"/>
      <c r="AY3" s="366">
        <f>'MVT 2.0'!AK2</f>
        <v>3</v>
      </c>
      <c r="AZ3" s="367" t="str">
        <f>'MVT 2.0'!AL2</f>
        <v>DECOUPES</v>
      </c>
      <c r="BA3" s="368">
        <f>'MVT 2.0'!AM2</f>
        <v>26</v>
      </c>
      <c r="BB3" s="371">
        <f>'MVT 2.0'!AN2</f>
        <v>8</v>
      </c>
      <c r="BC3" s="371">
        <f>'MVT 2.0'!AO2</f>
        <v>16</v>
      </c>
      <c r="BD3" s="371">
        <f>'MVT 2.0'!AP2</f>
        <v>0</v>
      </c>
      <c r="BE3" s="371">
        <f>'MVT 2.0'!AQ2</f>
        <v>2</v>
      </c>
      <c r="BF3" s="313"/>
      <c r="BG3" s="313"/>
      <c r="BH3" s="313" t="str">
        <f t="shared" ref="BH3:BQ3" si="2">C3</f>
        <v>DECOUPES</v>
      </c>
      <c r="BI3" s="313" t="str">
        <f t="shared" si="2"/>
        <v>POPEYES</v>
      </c>
      <c r="BJ3" s="313" t="str">
        <f t="shared" si="2"/>
        <v>GREEN</v>
      </c>
      <c r="BK3" s="313" t="str">
        <f t="shared" si="2"/>
        <v>SAVAGES</v>
      </c>
      <c r="BL3" s="313" t="str">
        <f t="shared" si="2"/>
        <v>KINGS</v>
      </c>
      <c r="BM3" s="313" t="str">
        <f t="shared" si="2"/>
        <v>CHAMPS</v>
      </c>
      <c r="BN3" s="313" t="str">
        <f t="shared" si="2"/>
        <v>METAMOOKDAWGS</v>
      </c>
      <c r="BO3" s="313" t="str">
        <f t="shared" si="2"/>
        <v>YARDIES</v>
      </c>
      <c r="BP3" s="313" t="str">
        <f t="shared" si="2"/>
        <v>MUTTS</v>
      </c>
      <c r="BQ3" s="313" t="str">
        <f t="shared" si="2"/>
        <v>EAGLES</v>
      </c>
      <c r="BR3" s="313" t="str">
        <f t="shared" ref="BR3:CA3" si="3">C3</f>
        <v>DECOUPES</v>
      </c>
      <c r="BS3" s="313" t="str">
        <f t="shared" si="3"/>
        <v>POPEYES</v>
      </c>
      <c r="BT3" s="313" t="str">
        <f t="shared" si="3"/>
        <v>GREEN</v>
      </c>
      <c r="BU3" s="313" t="str">
        <f t="shared" si="3"/>
        <v>SAVAGES</v>
      </c>
      <c r="BV3" s="313" t="str">
        <f t="shared" si="3"/>
        <v>KINGS</v>
      </c>
      <c r="BW3" s="313" t="str">
        <f t="shared" si="3"/>
        <v>CHAMPS</v>
      </c>
      <c r="BX3" s="313" t="str">
        <f t="shared" si="3"/>
        <v>METAMOOKDAWGS</v>
      </c>
      <c r="BY3" s="313" t="str">
        <f t="shared" si="3"/>
        <v>YARDIES</v>
      </c>
      <c r="BZ3" s="313" t="str">
        <f t="shared" si="3"/>
        <v>MUTTS</v>
      </c>
      <c r="CA3" s="313" t="str">
        <f t="shared" si="3"/>
        <v>EAGLES</v>
      </c>
      <c r="CB3" s="313"/>
      <c r="CC3" s="313"/>
      <c r="CD3" s="313"/>
      <c r="CE3" s="313"/>
      <c r="CF3" s="313"/>
      <c r="CG3" s="313"/>
      <c r="CH3" s="313"/>
      <c r="CI3" s="313"/>
      <c r="CJ3" s="313"/>
      <c r="CK3" s="313"/>
      <c r="CL3" s="313"/>
      <c r="CM3" s="313"/>
      <c r="CN3" s="313"/>
      <c r="CO3" s="313"/>
      <c r="CP3" s="313"/>
      <c r="CQ3" s="313"/>
      <c r="CR3" s="313"/>
      <c r="CS3" s="313"/>
      <c r="CT3" s="313"/>
      <c r="CU3" s="313"/>
      <c r="CV3" s="313"/>
      <c r="CW3" s="313"/>
      <c r="CX3" s="313"/>
      <c r="CY3" s="313"/>
      <c r="CZ3" s="313"/>
      <c r="DA3" s="313"/>
    </row>
    <row r="4" ht="51.75" customHeight="1">
      <c r="A4" s="545" t="s">
        <v>100</v>
      </c>
      <c r="B4" s="546" t="s">
        <v>202</v>
      </c>
      <c r="C4" s="547">
        <f>'BACKEND 1'!X3</f>
        <v>26.93</v>
      </c>
      <c r="D4" s="547">
        <f>'BACKEND 1'!Y3</f>
        <v>22.31428571</v>
      </c>
      <c r="E4" s="547">
        <f>'BACKEND 1'!Z3</f>
        <v>25.23</v>
      </c>
      <c r="F4" s="547">
        <f>'BACKEND 1'!AA3</f>
        <v>21.88428571</v>
      </c>
      <c r="G4" s="547">
        <f>'BACKEND 1'!T322</f>
        <v>25.48857143</v>
      </c>
      <c r="H4" s="547">
        <f>'BACKEND 1'!AB3</f>
        <v>23.38142857</v>
      </c>
      <c r="I4" s="547">
        <f>'BACKEND 1'!AC3</f>
        <v>23.95857143</v>
      </c>
      <c r="J4" s="547">
        <f>'BACKEND 1'!AD3</f>
        <v>21.79285714</v>
      </c>
      <c r="K4" s="547">
        <f>'BACKEND 1'!AE3</f>
        <v>22.41076923</v>
      </c>
      <c r="L4" s="547">
        <f>'BACKEND 1'!T295</f>
        <v>28.89714286</v>
      </c>
      <c r="M4" s="548" t="s">
        <v>100</v>
      </c>
      <c r="N4" s="549"/>
      <c r="O4" s="549"/>
      <c r="P4" s="549"/>
      <c r="Q4" s="549"/>
      <c r="R4" s="549"/>
      <c r="S4" s="550">
        <f t="shared" si="4"/>
        <v>21.88428571</v>
      </c>
      <c r="T4" s="550">
        <f t="shared" ref="T4:W4" si="5">H4</f>
        <v>23.38142857</v>
      </c>
      <c r="U4" s="550">
        <f t="shared" si="5"/>
        <v>23.95857143</v>
      </c>
      <c r="V4" s="550">
        <f t="shared" si="5"/>
        <v>21.79285714</v>
      </c>
      <c r="W4" s="550">
        <f t="shared" si="5"/>
        <v>22.41076923</v>
      </c>
      <c r="X4" s="549"/>
      <c r="Y4" s="549"/>
      <c r="Z4" s="549"/>
      <c r="AA4" s="549"/>
      <c r="AB4" s="549"/>
      <c r="AC4" s="549"/>
      <c r="AD4" s="549"/>
      <c r="AE4" s="549"/>
      <c r="AF4" s="549"/>
      <c r="AG4" s="549"/>
      <c r="AH4" s="549"/>
      <c r="AI4" s="549"/>
      <c r="AJ4" s="549"/>
      <c r="AK4" s="551"/>
      <c r="AL4" s="552" t="s">
        <v>492</v>
      </c>
      <c r="AM4" s="553" t="s">
        <v>493</v>
      </c>
      <c r="AN4" s="554"/>
      <c r="AO4" s="555" t="s">
        <v>494</v>
      </c>
      <c r="AP4" s="554"/>
      <c r="AQ4" s="556" t="s">
        <v>495</v>
      </c>
      <c r="AR4" s="554"/>
      <c r="AS4" s="557" t="s">
        <v>497</v>
      </c>
      <c r="AT4" s="554"/>
      <c r="AU4" s="558" t="s">
        <v>498</v>
      </c>
      <c r="AV4" s="554"/>
      <c r="AW4" s="551"/>
      <c r="AX4" s="549"/>
      <c r="AY4" s="366">
        <f>'MVT 2.0'!AK3</f>
        <v>10</v>
      </c>
      <c r="AZ4" s="378" t="str">
        <f>'MVT 2.0'!AL3</f>
        <v>POPEYES</v>
      </c>
      <c r="BA4" s="379">
        <f>'MVT 2.0'!AM3</f>
        <v>9.75</v>
      </c>
      <c r="BB4" s="371">
        <f>'MVT 2.0'!AN3</f>
        <v>3.25</v>
      </c>
      <c r="BC4" s="371">
        <f>'MVT 2.0'!AO3</f>
        <v>2.5</v>
      </c>
      <c r="BD4" s="371">
        <f>'MVT 2.0'!AP3</f>
        <v>0</v>
      </c>
      <c r="BE4" s="371">
        <f>'MVT 2.0'!AQ3</f>
        <v>4</v>
      </c>
      <c r="BF4" s="549"/>
      <c r="BG4" s="559" t="s">
        <v>500</v>
      </c>
      <c r="BH4" s="550">
        <f t="shared" ref="BH4:BQ4" si="6">C4</f>
        <v>26.93</v>
      </c>
      <c r="BI4" s="550">
        <f t="shared" si="6"/>
        <v>22.31428571</v>
      </c>
      <c r="BJ4" s="550">
        <f t="shared" si="6"/>
        <v>25.23</v>
      </c>
      <c r="BK4" s="550">
        <f t="shared" si="6"/>
        <v>21.88428571</v>
      </c>
      <c r="BL4" s="550">
        <f t="shared" si="6"/>
        <v>25.48857143</v>
      </c>
      <c r="BM4" s="550">
        <f t="shared" si="6"/>
        <v>23.38142857</v>
      </c>
      <c r="BN4" s="550">
        <f t="shared" si="6"/>
        <v>23.95857143</v>
      </c>
      <c r="BO4" s="550">
        <f t="shared" si="6"/>
        <v>21.79285714</v>
      </c>
      <c r="BP4" s="550">
        <f t="shared" si="6"/>
        <v>22.41076923</v>
      </c>
      <c r="BQ4" s="550">
        <f t="shared" si="6"/>
        <v>28.89714286</v>
      </c>
      <c r="BR4" s="549">
        <f t="shared" ref="BR4:CA4" si="7">_xlfn.RANK.EQ(BH4,$BH4:$BQ4,0)</f>
        <v>2</v>
      </c>
      <c r="BS4" s="549">
        <f t="shared" si="7"/>
        <v>8</v>
      </c>
      <c r="BT4" s="549">
        <f t="shared" si="7"/>
        <v>4</v>
      </c>
      <c r="BU4" s="549">
        <f t="shared" si="7"/>
        <v>9</v>
      </c>
      <c r="BV4" s="549">
        <f t="shared" si="7"/>
        <v>3</v>
      </c>
      <c r="BW4" s="549">
        <f t="shared" si="7"/>
        <v>6</v>
      </c>
      <c r="BX4" s="549">
        <f t="shared" si="7"/>
        <v>5</v>
      </c>
      <c r="BY4" s="549">
        <f t="shared" si="7"/>
        <v>10</v>
      </c>
      <c r="BZ4" s="549">
        <f t="shared" si="7"/>
        <v>7</v>
      </c>
      <c r="CA4" s="549">
        <f t="shared" si="7"/>
        <v>1</v>
      </c>
      <c r="CB4" s="560" t="str">
        <f>'MVT SCORING'!X15</f>
        <v>#VALUE!</v>
      </c>
      <c r="CC4" s="550">
        <f>'MVT SCORING'!AB15</f>
        <v>15</v>
      </c>
      <c r="CD4" s="549"/>
      <c r="CE4" s="549"/>
      <c r="CF4" s="549"/>
      <c r="CG4" s="549"/>
      <c r="CH4" s="549"/>
      <c r="CI4" s="549"/>
      <c r="CJ4" s="549"/>
      <c r="CK4" s="549"/>
      <c r="CL4" s="549"/>
      <c r="CM4" s="549"/>
      <c r="CN4" s="549"/>
      <c r="CO4" s="549"/>
      <c r="CP4" s="549"/>
      <c r="CQ4" s="549"/>
      <c r="CR4" s="549"/>
      <c r="CS4" s="549"/>
      <c r="CT4" s="549"/>
      <c r="CU4" s="549"/>
      <c r="CV4" s="549"/>
      <c r="CW4" s="549"/>
      <c r="CX4" s="549"/>
      <c r="CY4" s="549"/>
      <c r="CZ4" s="549"/>
      <c r="DA4" s="549"/>
    </row>
    <row r="5" ht="28.5" customHeight="1">
      <c r="A5" s="561"/>
      <c r="B5" s="562" t="s">
        <v>207</v>
      </c>
      <c r="C5" s="563">
        <f>'BACKEND 1'!X4</f>
        <v>36.12</v>
      </c>
      <c r="D5" s="563">
        <f>'BACKEND 1'!Y4</f>
        <v>39</v>
      </c>
      <c r="E5" s="563">
        <f>'BACKEND 1'!Z4</f>
        <v>45.26</v>
      </c>
      <c r="F5" s="563">
        <f>'BACKEND 1'!AA4</f>
        <v>35.2</v>
      </c>
      <c r="G5" s="547">
        <f>'BACKEND 1'!T323</f>
        <v>41.28</v>
      </c>
      <c r="H5" s="563">
        <f>'BACKEND 1'!AB4</f>
        <v>38.82</v>
      </c>
      <c r="I5" s="563">
        <f>'BACKEND 1'!AC4</f>
        <v>37.94</v>
      </c>
      <c r="J5" s="563">
        <f>'BACKEND 1'!AD4</f>
        <v>40.66</v>
      </c>
      <c r="K5" s="563">
        <f>'BACKEND 1'!AE4</f>
        <v>36.72</v>
      </c>
      <c r="L5" s="547">
        <f>'BACKEND 1'!T296</f>
        <v>50.28</v>
      </c>
      <c r="M5" s="564"/>
      <c r="S5" s="230">
        <f t="shared" si="4"/>
        <v>35.2</v>
      </c>
      <c r="T5" s="230">
        <f t="shared" ref="T5:W5" si="8">H5</f>
        <v>38.82</v>
      </c>
      <c r="U5" s="230">
        <f t="shared" si="8"/>
        <v>37.94</v>
      </c>
      <c r="V5" s="230">
        <f t="shared" si="8"/>
        <v>40.66</v>
      </c>
      <c r="W5" s="230">
        <f t="shared" si="8"/>
        <v>36.72</v>
      </c>
      <c r="AK5" s="201"/>
      <c r="AL5" s="559" t="s">
        <v>500</v>
      </c>
      <c r="AM5" s="565" t="str">
        <f t="shared" ref="AM5:AM13" si="12">IF(BR4=1,"1st",IF(BR4=2,"2nd",IF(BR4=3,"3rd",IF(BR4=4,"4th",IF(BR4=5,"5th",IF(BR4=6,"6th",IF(BR4=7,"7th",IF(BR4=8,"8th",IF(BR4=9,"9th",IF(BR4=10,"10th",BR4&amp;"th"))))))))))</f>
        <v>2nd</v>
      </c>
      <c r="AN5" s="566">
        <f>C4</f>
        <v>26.93</v>
      </c>
      <c r="AO5" s="567" t="str">
        <f t="shared" ref="AO5:AO13" si="13">IF(BS4=1,"1st",IF(BS4=2,"2nd",IF(BS4=3,"3rd",IF(BS4=4,"4th",IF(BS4=5,"5th",IF(BS4=6,"6th",IF(BS4=7,"7th",IF(BS4=8,"8th",IF(BS4=9,"9th",IF(BS4=10,"10th",BS4&amp;"th"))))))))))</f>
        <v>8th</v>
      </c>
      <c r="AP5" s="566">
        <f>D4</f>
        <v>22.31428571</v>
      </c>
      <c r="AQ5" s="568" t="str">
        <f t="shared" ref="AQ5:AQ13" si="14">IF(BT4=1,"1st",IF(BT4=2,"2nd",IF(BT4=3,"3rd",IF(BT4=4,"4th",IF(BT4=5,"5th",IF(BT4=6,"6th",IF(BT4=7,"7th",IF(BT4=8,"8th",IF(BT4=9,"9th",IF(BT4=10,"10th",BT4&amp;"th"))))))))))</f>
        <v>4th</v>
      </c>
      <c r="AR5" s="566">
        <f>E4</f>
        <v>25.23</v>
      </c>
      <c r="AS5" s="569" t="str">
        <f t="shared" ref="AS5:AS13" si="15">IF(BU4=1,"1st",IF(BU4=2,"2nd",IF(BU4=3,"3rd",IF(BU4=4,"4th",IF(BU4=5,"5th",IF(BU4=6,"6th",IF(BU4=7,"7th",IF(BU4=8,"8th",IF(BU4=9,"9th",IF(BU4=10,"10th",BU4&amp;"th"))))))))))</f>
        <v>9th</v>
      </c>
      <c r="AT5" s="566">
        <f>F4</f>
        <v>21.88428571</v>
      </c>
      <c r="AU5" s="570" t="str">
        <f t="shared" ref="AU5:AU13" si="16">IF(BV4=1,"1st",IF(BV4=2,"2nd",IF(BV4=3,"3rd",IF(BV4=4,"4th",IF(BV4=5,"5th",IF(BV4=6,"6th",IF(BV4=7,"7th",IF(BV4=8,"8th",IF(BV4=9,"9th",IF(BV4=10,"10th",BV4&amp;"th"))))))))))</f>
        <v>3rd</v>
      </c>
      <c r="AV5" s="566">
        <f>G4</f>
        <v>25.48857143</v>
      </c>
      <c r="AW5" s="201"/>
      <c r="AY5" s="366">
        <f>'MVT 2.0'!AK4</f>
        <v>1</v>
      </c>
      <c r="AZ5" s="389" t="str">
        <f>'MVT 2.0'!AL4</f>
        <v>GREEN</v>
      </c>
      <c r="BA5" s="391">
        <f>'MVT 2.0'!AM4</f>
        <v>59.5</v>
      </c>
      <c r="BB5" s="371">
        <f>'MVT 2.0'!AN4</f>
        <v>17</v>
      </c>
      <c r="BC5" s="371">
        <f>'MVT 2.0'!AO4</f>
        <v>23.5</v>
      </c>
      <c r="BD5" s="371">
        <f>'MVT 2.0'!AP4</f>
        <v>19</v>
      </c>
      <c r="BE5" s="371">
        <f>'MVT 2.0'!AQ4</f>
        <v>0</v>
      </c>
      <c r="BG5" s="571" t="s">
        <v>502</v>
      </c>
      <c r="BH5" s="224">
        <f t="shared" ref="BH5:BQ5" si="9">C6</f>
        <v>18.3</v>
      </c>
      <c r="BI5" s="224">
        <f t="shared" si="9"/>
        <v>17.7875</v>
      </c>
      <c r="BJ5" s="224">
        <f t="shared" si="9"/>
        <v>23.17857143</v>
      </c>
      <c r="BK5" s="224">
        <f t="shared" si="9"/>
        <v>13.59642857</v>
      </c>
      <c r="BL5" s="224">
        <f t="shared" si="9"/>
        <v>19.17857143</v>
      </c>
      <c r="BM5" s="224">
        <f t="shared" si="9"/>
        <v>18.73214286</v>
      </c>
      <c r="BN5" s="224">
        <f t="shared" si="9"/>
        <v>16.15535714</v>
      </c>
      <c r="BO5" s="224">
        <f t="shared" si="9"/>
        <v>15.48928571</v>
      </c>
      <c r="BP5" s="224">
        <f t="shared" si="9"/>
        <v>17.50928571</v>
      </c>
      <c r="BQ5" s="224">
        <f t="shared" si="9"/>
        <v>12.97857143</v>
      </c>
      <c r="BR5" s="549">
        <f t="shared" ref="BR5:CA5" si="10">_xlfn.RANK.EQ(BH5,$BH5:$BQ5,0)</f>
        <v>4</v>
      </c>
      <c r="BS5" s="549">
        <f t="shared" si="10"/>
        <v>5</v>
      </c>
      <c r="BT5" s="549">
        <f t="shared" si="10"/>
        <v>1</v>
      </c>
      <c r="BU5" s="549">
        <f t="shared" si="10"/>
        <v>9</v>
      </c>
      <c r="BV5" s="549">
        <f t="shared" si="10"/>
        <v>2</v>
      </c>
      <c r="BW5" s="549">
        <f t="shared" si="10"/>
        <v>3</v>
      </c>
      <c r="BX5" s="549">
        <f t="shared" si="10"/>
        <v>7</v>
      </c>
      <c r="BY5" s="549">
        <f t="shared" si="10"/>
        <v>8</v>
      </c>
      <c r="BZ5" s="549">
        <f t="shared" si="10"/>
        <v>6</v>
      </c>
      <c r="CA5" s="549">
        <f t="shared" si="10"/>
        <v>10</v>
      </c>
      <c r="CB5" s="572" t="str">
        <f>'MVT SCORING'!X16</f>
        <v>#VALUE!</v>
      </c>
      <c r="CC5" s="224">
        <f>'MVT SCORING'!AB16</f>
        <v>15.5</v>
      </c>
    </row>
    <row r="6" ht="28.5" customHeight="1">
      <c r="A6" s="573" t="s">
        <v>106</v>
      </c>
      <c r="B6" s="546" t="s">
        <v>202</v>
      </c>
      <c r="C6" s="547">
        <f>'BACKEND 1'!X5</f>
        <v>18.3</v>
      </c>
      <c r="D6" s="547">
        <f>'BACKEND 1'!Y5</f>
        <v>17.7875</v>
      </c>
      <c r="E6" s="547">
        <f>'BACKEND 1'!Z5</f>
        <v>23.17857143</v>
      </c>
      <c r="F6" s="547">
        <f>'BACKEND 1'!AA5</f>
        <v>13.59642857</v>
      </c>
      <c r="G6" s="547">
        <f>'BACKEND 1'!T324</f>
        <v>19.17857143</v>
      </c>
      <c r="H6" s="547">
        <f>'BACKEND 1'!AB5</f>
        <v>18.73214286</v>
      </c>
      <c r="I6" s="547">
        <f>'BACKEND 1'!AC5</f>
        <v>16.15535714</v>
      </c>
      <c r="J6" s="547">
        <f>'BACKEND 1'!AD5</f>
        <v>15.48928571</v>
      </c>
      <c r="K6" s="547">
        <f>'BACKEND 1'!AE5</f>
        <v>17.50928571</v>
      </c>
      <c r="L6" s="547">
        <f>'BACKEND 1'!T297</f>
        <v>12.97857143</v>
      </c>
      <c r="M6" s="574" t="s">
        <v>106</v>
      </c>
      <c r="S6" s="230">
        <f t="shared" si="4"/>
        <v>13.59642857</v>
      </c>
      <c r="T6" s="230">
        <f t="shared" ref="T6:W6" si="11">H6</f>
        <v>18.73214286</v>
      </c>
      <c r="U6" s="230">
        <f t="shared" si="11"/>
        <v>16.15535714</v>
      </c>
      <c r="V6" s="230">
        <f t="shared" si="11"/>
        <v>15.48928571</v>
      </c>
      <c r="W6" s="230">
        <f t="shared" si="11"/>
        <v>17.50928571</v>
      </c>
      <c r="AK6" s="201"/>
      <c r="AL6" s="571" t="s">
        <v>502</v>
      </c>
      <c r="AM6" s="565" t="str">
        <f t="shared" si="12"/>
        <v>4th</v>
      </c>
      <c r="AN6" s="575">
        <f>C6</f>
        <v>18.3</v>
      </c>
      <c r="AO6" s="567" t="str">
        <f t="shared" si="13"/>
        <v>5th</v>
      </c>
      <c r="AP6" s="575">
        <f>D6</f>
        <v>17.7875</v>
      </c>
      <c r="AQ6" s="568" t="str">
        <f t="shared" si="14"/>
        <v>1st</v>
      </c>
      <c r="AR6" s="575">
        <f>E6</f>
        <v>23.17857143</v>
      </c>
      <c r="AS6" s="569" t="str">
        <f t="shared" si="15"/>
        <v>9th</v>
      </c>
      <c r="AT6" s="575">
        <f>F6</f>
        <v>13.59642857</v>
      </c>
      <c r="AU6" s="570" t="str">
        <f t="shared" si="16"/>
        <v>2nd</v>
      </c>
      <c r="AV6" s="566">
        <f>G6</f>
        <v>19.17857143</v>
      </c>
      <c r="AW6" s="201"/>
      <c r="AY6" s="366">
        <f>'MVT 2.0'!AK5</f>
        <v>7</v>
      </c>
      <c r="AZ6" s="392" t="str">
        <f>'MVT 2.0'!AL5</f>
        <v>SAVAGES</v>
      </c>
      <c r="BA6" s="393">
        <f>'MVT 2.0'!AM5</f>
        <v>14</v>
      </c>
      <c r="BB6" s="371">
        <f>'MVT 2.0'!AN5</f>
        <v>12.5</v>
      </c>
      <c r="BC6" s="371">
        <f>'MVT 2.0'!AO5</f>
        <v>1.5</v>
      </c>
      <c r="BD6" s="371">
        <f>'MVT 2.0'!AP5</f>
        <v>0</v>
      </c>
      <c r="BE6" s="371">
        <f>'MVT 2.0'!AQ5</f>
        <v>0</v>
      </c>
      <c r="BG6" s="576" t="s">
        <v>503</v>
      </c>
      <c r="BH6" s="224">
        <f t="shared" ref="BH6:BQ6" si="17">C8</f>
        <v>13.59605263</v>
      </c>
      <c r="BI6" s="224">
        <f t="shared" si="17"/>
        <v>15.1547619</v>
      </c>
      <c r="BJ6" s="224">
        <f t="shared" si="17"/>
        <v>13.47428571</v>
      </c>
      <c r="BK6" s="224">
        <f t="shared" si="17"/>
        <v>16.05128205</v>
      </c>
      <c r="BL6" s="224">
        <f t="shared" si="17"/>
        <v>11.84825</v>
      </c>
      <c r="BM6" s="224">
        <f t="shared" si="17"/>
        <v>14.61785714</v>
      </c>
      <c r="BN6" s="224">
        <f t="shared" si="17"/>
        <v>15.9575</v>
      </c>
      <c r="BO6" s="224">
        <f t="shared" si="17"/>
        <v>13.14875</v>
      </c>
      <c r="BP6" s="224">
        <f t="shared" si="17"/>
        <v>15.82051282</v>
      </c>
      <c r="BQ6" s="224">
        <f t="shared" si="17"/>
        <v>12.1402439</v>
      </c>
      <c r="BR6" s="549">
        <f t="shared" ref="BR6:CA6" si="18">_xlfn.RANK.EQ(BH6,$BH6:$BQ6,0)</f>
        <v>6</v>
      </c>
      <c r="BS6" s="549">
        <f t="shared" si="18"/>
        <v>4</v>
      </c>
      <c r="BT6" s="549">
        <f t="shared" si="18"/>
        <v>7</v>
      </c>
      <c r="BU6" s="549">
        <f t="shared" si="18"/>
        <v>1</v>
      </c>
      <c r="BV6" s="549">
        <f t="shared" si="18"/>
        <v>10</v>
      </c>
      <c r="BW6" s="549">
        <f t="shared" si="18"/>
        <v>5</v>
      </c>
      <c r="BX6" s="549">
        <f t="shared" si="18"/>
        <v>2</v>
      </c>
      <c r="BY6" s="549">
        <f t="shared" si="18"/>
        <v>8</v>
      </c>
      <c r="BZ6" s="549">
        <f t="shared" si="18"/>
        <v>3</v>
      </c>
      <c r="CA6" s="549">
        <f t="shared" si="18"/>
        <v>9</v>
      </c>
      <c r="CB6" s="572" t="str">
        <f>'MVT SCORING'!X17</f>
        <v>#VALUE!</v>
      </c>
      <c r="CC6" s="224">
        <f>'MVT SCORING'!AB17</f>
        <v>28</v>
      </c>
    </row>
    <row r="7" ht="28.5" customHeight="1">
      <c r="A7" s="561"/>
      <c r="B7" s="562" t="s">
        <v>207</v>
      </c>
      <c r="C7" s="563">
        <f>'BACKEND 1'!X6</f>
        <v>58.9</v>
      </c>
      <c r="D7" s="563">
        <f>'BACKEND 1'!Y6</f>
        <v>43.7</v>
      </c>
      <c r="E7" s="563">
        <f>'BACKEND 1'!Z6</f>
        <v>54.8</v>
      </c>
      <c r="F7" s="563">
        <f>'BACKEND 1'!AA6</f>
        <v>26.5</v>
      </c>
      <c r="G7" s="547">
        <f>'BACKEND 1'!T325</f>
        <v>42.5</v>
      </c>
      <c r="H7" s="563">
        <f>'BACKEND 1'!AB6</f>
        <v>33.9</v>
      </c>
      <c r="I7" s="563">
        <f>'BACKEND 1'!AC6</f>
        <v>35.8</v>
      </c>
      <c r="J7" s="563">
        <f>'BACKEND 1'!AD6</f>
        <v>32</v>
      </c>
      <c r="K7" s="563">
        <f>'BACKEND 1'!AE6</f>
        <v>37.86</v>
      </c>
      <c r="L7" s="547">
        <f>'BACKEND 1'!T298</f>
        <v>29.5</v>
      </c>
      <c r="M7" s="564"/>
      <c r="S7" s="230">
        <f t="shared" si="4"/>
        <v>26.5</v>
      </c>
      <c r="T7" s="230">
        <f t="shared" ref="T7:W7" si="19">H7</f>
        <v>33.9</v>
      </c>
      <c r="U7" s="230">
        <f t="shared" si="19"/>
        <v>35.8</v>
      </c>
      <c r="V7" s="230">
        <f t="shared" si="19"/>
        <v>32</v>
      </c>
      <c r="W7" s="230">
        <f t="shared" si="19"/>
        <v>37.86</v>
      </c>
      <c r="AK7" s="201"/>
      <c r="AL7" s="576" t="s">
        <v>503</v>
      </c>
      <c r="AM7" s="565" t="str">
        <f t="shared" si="12"/>
        <v>6th</v>
      </c>
      <c r="AN7" s="575">
        <f>C8</f>
        <v>13.59605263</v>
      </c>
      <c r="AO7" s="567" t="str">
        <f t="shared" si="13"/>
        <v>4th</v>
      </c>
      <c r="AP7" s="575">
        <f>D8</f>
        <v>15.1547619</v>
      </c>
      <c r="AQ7" s="568" t="str">
        <f t="shared" si="14"/>
        <v>7th</v>
      </c>
      <c r="AR7" s="575">
        <f>E8</f>
        <v>13.47428571</v>
      </c>
      <c r="AS7" s="569" t="str">
        <f t="shared" si="15"/>
        <v>1st</v>
      </c>
      <c r="AT7" s="575">
        <f>F8</f>
        <v>16.05128205</v>
      </c>
      <c r="AU7" s="570" t="str">
        <f t="shared" si="16"/>
        <v>10th</v>
      </c>
      <c r="AV7" s="566">
        <f>G8</f>
        <v>11.84825</v>
      </c>
      <c r="AW7" s="201"/>
      <c r="AY7" s="366">
        <f>'MVT 2.0'!AK6</f>
        <v>6</v>
      </c>
      <c r="AZ7" s="402" t="str">
        <f>'MVT 2.0'!AL6</f>
        <v>KINGS</v>
      </c>
      <c r="BA7" s="403">
        <f>'MVT 2.0'!AM6</f>
        <v>15</v>
      </c>
      <c r="BB7" s="371">
        <f>'MVT 2.0'!AN6</f>
        <v>5.5</v>
      </c>
      <c r="BC7" s="371">
        <f>'MVT 2.0'!AO6</f>
        <v>9.5</v>
      </c>
      <c r="BD7" s="371">
        <f>'MVT 2.0'!AP6</f>
        <v>0</v>
      </c>
      <c r="BE7" s="371">
        <f>'MVT 2.0'!AQ6</f>
        <v>0</v>
      </c>
      <c r="BG7" s="577" t="s">
        <v>504</v>
      </c>
      <c r="BH7" s="224">
        <f t="shared" ref="BH7:BQ7" si="20">C10</f>
        <v>13.11428571</v>
      </c>
      <c r="BI7" s="224">
        <f t="shared" si="20"/>
        <v>10.02857143</v>
      </c>
      <c r="BJ7" s="224">
        <f t="shared" si="20"/>
        <v>10.59285714</v>
      </c>
      <c r="BK7" s="224">
        <f t="shared" si="20"/>
        <v>18.17857143</v>
      </c>
      <c r="BL7" s="224">
        <f t="shared" si="20"/>
        <v>10.56153846</v>
      </c>
      <c r="BM7" s="224">
        <f t="shared" si="20"/>
        <v>8.492857143</v>
      </c>
      <c r="BN7" s="224">
        <f t="shared" si="20"/>
        <v>8.178571429</v>
      </c>
      <c r="BO7" s="224">
        <f t="shared" si="20"/>
        <v>14.32857143</v>
      </c>
      <c r="BP7" s="224">
        <f t="shared" si="20"/>
        <v>13.2</v>
      </c>
      <c r="BQ7" s="224">
        <f t="shared" si="20"/>
        <v>12.53333333</v>
      </c>
      <c r="BR7" s="549">
        <f t="shared" ref="BR7:CA7" si="21">_xlfn.RANK.EQ(BH7,$BH7:$BQ7,0)</f>
        <v>4</v>
      </c>
      <c r="BS7" s="549">
        <f t="shared" si="21"/>
        <v>8</v>
      </c>
      <c r="BT7" s="549">
        <f t="shared" si="21"/>
        <v>6</v>
      </c>
      <c r="BU7" s="549">
        <f t="shared" si="21"/>
        <v>1</v>
      </c>
      <c r="BV7" s="549">
        <f t="shared" si="21"/>
        <v>7</v>
      </c>
      <c r="BW7" s="549">
        <f t="shared" si="21"/>
        <v>9</v>
      </c>
      <c r="BX7" s="549">
        <f t="shared" si="21"/>
        <v>10</v>
      </c>
      <c r="BY7" s="549">
        <f t="shared" si="21"/>
        <v>2</v>
      </c>
      <c r="BZ7" s="549">
        <f t="shared" si="21"/>
        <v>3</v>
      </c>
      <c r="CA7" s="549">
        <f t="shared" si="21"/>
        <v>5</v>
      </c>
      <c r="CB7" s="572" t="str">
        <f>'MVT SCORING'!X18</f>
        <v>#VALUE!</v>
      </c>
      <c r="CC7" s="224">
        <f>'MVT SCORING'!AB18</f>
        <v>8.25</v>
      </c>
    </row>
    <row r="8" ht="28.5" customHeight="1">
      <c r="A8" s="578" t="s">
        <v>117</v>
      </c>
      <c r="B8" s="546" t="s">
        <v>202</v>
      </c>
      <c r="C8" s="547">
        <f>'BACKEND 1'!X7</f>
        <v>13.59605263</v>
      </c>
      <c r="D8" s="547">
        <f>'BACKEND 1'!Y7</f>
        <v>15.1547619</v>
      </c>
      <c r="E8" s="547">
        <f>'BACKEND 1'!Z7</f>
        <v>13.47428571</v>
      </c>
      <c r="F8" s="547">
        <f>'BACKEND 1'!AA7</f>
        <v>16.05128205</v>
      </c>
      <c r="G8" s="547">
        <f>'BACKEND 1'!T326</f>
        <v>11.84825</v>
      </c>
      <c r="H8" s="547">
        <f>'BACKEND 1'!AB7</f>
        <v>14.61785714</v>
      </c>
      <c r="I8" s="547">
        <f>'BACKEND 1'!AC7</f>
        <v>15.9575</v>
      </c>
      <c r="J8" s="547">
        <f>'BACKEND 1'!AD7</f>
        <v>13.14875</v>
      </c>
      <c r="K8" s="547">
        <f>'BACKEND 1'!AE7</f>
        <v>15.82051282</v>
      </c>
      <c r="L8" s="547">
        <f>'BACKEND 1'!T299</f>
        <v>12.1402439</v>
      </c>
      <c r="M8" s="579" t="s">
        <v>117</v>
      </c>
      <c r="S8" s="230">
        <f t="shared" si="4"/>
        <v>16.05128205</v>
      </c>
      <c r="T8" s="230">
        <f t="shared" ref="T8:W8" si="22">H8</f>
        <v>14.61785714</v>
      </c>
      <c r="U8" s="230">
        <f t="shared" si="22"/>
        <v>15.9575</v>
      </c>
      <c r="V8" s="230">
        <f t="shared" si="22"/>
        <v>13.14875</v>
      </c>
      <c r="W8" s="230">
        <f t="shared" si="22"/>
        <v>15.82051282</v>
      </c>
      <c r="AK8" s="201"/>
      <c r="AL8" s="577" t="s">
        <v>504</v>
      </c>
      <c r="AM8" s="565" t="str">
        <f t="shared" si="12"/>
        <v>4th</v>
      </c>
      <c r="AN8" s="575">
        <f>C10</f>
        <v>13.11428571</v>
      </c>
      <c r="AO8" s="567" t="str">
        <f t="shared" si="13"/>
        <v>8th</v>
      </c>
      <c r="AP8" s="575">
        <f>D10</f>
        <v>10.02857143</v>
      </c>
      <c r="AQ8" s="568" t="str">
        <f t="shared" si="14"/>
        <v>6th</v>
      </c>
      <c r="AR8" s="575">
        <f>E10</f>
        <v>10.59285714</v>
      </c>
      <c r="AS8" s="569" t="str">
        <f t="shared" si="15"/>
        <v>1st</v>
      </c>
      <c r="AT8" s="575">
        <f>F10</f>
        <v>18.17857143</v>
      </c>
      <c r="AU8" s="570" t="str">
        <f t="shared" si="16"/>
        <v>7th</v>
      </c>
      <c r="AV8" s="566">
        <f>G10</f>
        <v>10.56153846</v>
      </c>
      <c r="AW8" s="201"/>
      <c r="AY8" s="366">
        <f>'MVT 2.0'!AK7</f>
        <v>8</v>
      </c>
      <c r="AZ8" s="404" t="str">
        <f>'MVT 2.0'!AL7</f>
        <v>CHAMPS</v>
      </c>
      <c r="BA8" s="405">
        <f>'MVT 2.0'!AM7</f>
        <v>13.75</v>
      </c>
      <c r="BB8" s="371">
        <f>'MVT 2.0'!AN7</f>
        <v>3.25</v>
      </c>
      <c r="BC8" s="371">
        <f>'MVT 2.0'!AO7</f>
        <v>7</v>
      </c>
      <c r="BD8" s="371">
        <f>'MVT 2.0'!AP7</f>
        <v>1</v>
      </c>
      <c r="BE8" s="371">
        <f>'MVT 2.0'!AQ7</f>
        <v>2.5</v>
      </c>
      <c r="BG8" s="580" t="s">
        <v>505</v>
      </c>
      <c r="BH8" s="224">
        <f t="shared" ref="BH8:BQ8" si="23">C12</f>
        <v>12.075</v>
      </c>
      <c r="BI8" s="224">
        <f t="shared" si="23"/>
        <v>11.32142857</v>
      </c>
      <c r="BJ8" s="224">
        <f t="shared" si="23"/>
        <v>19.02857143</v>
      </c>
      <c r="BK8" s="224">
        <f t="shared" si="23"/>
        <v>12.79615385</v>
      </c>
      <c r="BL8" s="224">
        <f t="shared" si="23"/>
        <v>8.65</v>
      </c>
      <c r="BM8" s="224">
        <f t="shared" si="23"/>
        <v>13.64428571</v>
      </c>
      <c r="BN8" s="224">
        <f t="shared" si="23"/>
        <v>13.20833333</v>
      </c>
      <c r="BO8" s="224">
        <f t="shared" si="23"/>
        <v>15.97857143</v>
      </c>
      <c r="BP8" s="224">
        <f t="shared" si="23"/>
        <v>13.90714286</v>
      </c>
      <c r="BQ8" s="224">
        <f t="shared" si="23"/>
        <v>16.72857143</v>
      </c>
      <c r="BR8" s="549">
        <f t="shared" ref="BR8:CA8" si="24">_xlfn.RANK.EQ(BH8,$BH8:$BQ8,0)</f>
        <v>8</v>
      </c>
      <c r="BS8" s="549">
        <f t="shared" si="24"/>
        <v>9</v>
      </c>
      <c r="BT8" s="549">
        <f t="shared" si="24"/>
        <v>1</v>
      </c>
      <c r="BU8" s="549">
        <f t="shared" si="24"/>
        <v>7</v>
      </c>
      <c r="BV8" s="549">
        <f t="shared" si="24"/>
        <v>10</v>
      </c>
      <c r="BW8" s="549">
        <f t="shared" si="24"/>
        <v>5</v>
      </c>
      <c r="BX8" s="549">
        <f t="shared" si="24"/>
        <v>6</v>
      </c>
      <c r="BY8" s="549">
        <f t="shared" si="24"/>
        <v>3</v>
      </c>
      <c r="BZ8" s="549">
        <f t="shared" si="24"/>
        <v>4</v>
      </c>
      <c r="CA8" s="549">
        <f t="shared" si="24"/>
        <v>2</v>
      </c>
      <c r="CB8" s="572" t="str">
        <f>'MVT SCORING'!X19</f>
        <v>#VALUE!</v>
      </c>
      <c r="CC8" s="224">
        <f>'MVT SCORING'!AB19</f>
        <v>7.25</v>
      </c>
    </row>
    <row r="9" ht="28.5" customHeight="1">
      <c r="A9" s="561"/>
      <c r="B9" s="562" t="s">
        <v>207</v>
      </c>
      <c r="C9" s="563">
        <f>'BACKEND 1'!X8</f>
        <v>31.7</v>
      </c>
      <c r="D9" s="563">
        <f>'BACKEND 1'!Y8</f>
        <v>37</v>
      </c>
      <c r="E9" s="563">
        <f>'BACKEND 1'!Z8</f>
        <v>36.2</v>
      </c>
      <c r="F9" s="563">
        <f>'BACKEND 1'!AA8</f>
        <v>39.8</v>
      </c>
      <c r="G9" s="547">
        <f>'BACKEND 1'!T327</f>
        <v>25.28</v>
      </c>
      <c r="H9" s="563">
        <f>'BACKEND 1'!AB8</f>
        <v>26.5</v>
      </c>
      <c r="I9" s="563">
        <f>'BACKEND 1'!AC8</f>
        <v>38.2</v>
      </c>
      <c r="J9" s="563">
        <f>'BACKEND 1'!AD8</f>
        <v>32.8</v>
      </c>
      <c r="K9" s="563">
        <f>'BACKEND 1'!AE8</f>
        <v>40.4</v>
      </c>
      <c r="L9" s="547">
        <f>'BACKEND 1'!T300</f>
        <v>38.7</v>
      </c>
      <c r="M9" s="564"/>
      <c r="S9" s="230">
        <f t="shared" si="4"/>
        <v>39.8</v>
      </c>
      <c r="T9" s="230">
        <f t="shared" ref="T9:W9" si="25">H9</f>
        <v>26.5</v>
      </c>
      <c r="U9" s="230">
        <f t="shared" si="25"/>
        <v>38.2</v>
      </c>
      <c r="V9" s="230">
        <f t="shared" si="25"/>
        <v>32.8</v>
      </c>
      <c r="W9" s="230">
        <f t="shared" si="25"/>
        <v>40.4</v>
      </c>
      <c r="AK9" s="201"/>
      <c r="AL9" s="580" t="s">
        <v>505</v>
      </c>
      <c r="AM9" s="565" t="str">
        <f t="shared" si="12"/>
        <v>8th</v>
      </c>
      <c r="AN9" s="575">
        <f>C12</f>
        <v>12.075</v>
      </c>
      <c r="AO9" s="567" t="str">
        <f t="shared" si="13"/>
        <v>9th</v>
      </c>
      <c r="AP9" s="575">
        <f>D12</f>
        <v>11.32142857</v>
      </c>
      <c r="AQ9" s="568" t="str">
        <f t="shared" si="14"/>
        <v>1st</v>
      </c>
      <c r="AR9" s="575">
        <f>E12</f>
        <v>19.02857143</v>
      </c>
      <c r="AS9" s="569" t="str">
        <f t="shared" si="15"/>
        <v>7th</v>
      </c>
      <c r="AT9" s="575">
        <f>F12</f>
        <v>12.79615385</v>
      </c>
      <c r="AU9" s="570" t="str">
        <f t="shared" si="16"/>
        <v>10th</v>
      </c>
      <c r="AV9" s="566">
        <f>G12</f>
        <v>8.65</v>
      </c>
      <c r="AW9" s="201"/>
      <c r="AY9" s="366">
        <f>'MVT 2.0'!AK8</f>
        <v>9</v>
      </c>
      <c r="AZ9" s="407" t="str">
        <f>'MVT 2.0'!AL8</f>
        <v>METAMOOKDAWGS</v>
      </c>
      <c r="BA9" s="408">
        <f>'MVT 2.0'!AM8</f>
        <v>10.5</v>
      </c>
      <c r="BB9" s="371">
        <f>'MVT 2.0'!AN8</f>
        <v>6</v>
      </c>
      <c r="BC9" s="371">
        <f>'MVT 2.0'!AO8</f>
        <v>2</v>
      </c>
      <c r="BD9" s="371">
        <f>'MVT 2.0'!AP8</f>
        <v>0</v>
      </c>
      <c r="BE9" s="371">
        <f>'MVT 2.0'!AQ8</f>
        <v>2.5</v>
      </c>
      <c r="BG9" s="581" t="s">
        <v>506</v>
      </c>
      <c r="BH9" s="224">
        <f t="shared" ref="BH9:BQ9" si="26">C14</f>
        <v>17.39285714</v>
      </c>
      <c r="BI9" s="224">
        <f t="shared" si="26"/>
        <v>18.695</v>
      </c>
      <c r="BJ9" s="224">
        <f t="shared" si="26"/>
        <v>14.03</v>
      </c>
      <c r="BK9" s="224">
        <f t="shared" si="26"/>
        <v>15.43571429</v>
      </c>
      <c r="BL9" s="224">
        <f t="shared" si="26"/>
        <v>15.38142857</v>
      </c>
      <c r="BM9" s="224">
        <f t="shared" si="26"/>
        <v>18.09</v>
      </c>
      <c r="BN9" s="224">
        <f t="shared" si="26"/>
        <v>1</v>
      </c>
      <c r="BO9" s="224">
        <f t="shared" si="26"/>
        <v>18.78357143</v>
      </c>
      <c r="BP9" s="224">
        <f t="shared" si="26"/>
        <v>14.85571429</v>
      </c>
      <c r="BQ9" s="224">
        <f t="shared" si="26"/>
        <v>19.39571429</v>
      </c>
      <c r="BR9" s="549">
        <f t="shared" ref="BR9:CA9" si="27">_xlfn.RANK.EQ(BH9,$BH9:$BQ9,0)</f>
        <v>5</v>
      </c>
      <c r="BS9" s="549">
        <f t="shared" si="27"/>
        <v>3</v>
      </c>
      <c r="BT9" s="549">
        <f t="shared" si="27"/>
        <v>9</v>
      </c>
      <c r="BU9" s="549">
        <f t="shared" si="27"/>
        <v>6</v>
      </c>
      <c r="BV9" s="549">
        <f t="shared" si="27"/>
        <v>7</v>
      </c>
      <c r="BW9" s="549">
        <f t="shared" si="27"/>
        <v>4</v>
      </c>
      <c r="BX9" s="549">
        <f t="shared" si="27"/>
        <v>10</v>
      </c>
      <c r="BY9" s="549">
        <f t="shared" si="27"/>
        <v>2</v>
      </c>
      <c r="BZ9" s="549">
        <f t="shared" si="27"/>
        <v>8</v>
      </c>
      <c r="CA9" s="549">
        <f t="shared" si="27"/>
        <v>1</v>
      </c>
      <c r="CB9" s="572" t="str">
        <f>'MVT SCORING'!X20</f>
        <v>#VALUE!</v>
      </c>
      <c r="CC9" s="224">
        <f>'MVT SCORING'!AB20</f>
        <v>10.5</v>
      </c>
    </row>
    <row r="10" ht="28.5" customHeight="1">
      <c r="A10" s="582" t="s">
        <v>132</v>
      </c>
      <c r="B10" s="546" t="s">
        <v>202</v>
      </c>
      <c r="C10" s="547">
        <f>'BACKEND 1'!X9</f>
        <v>13.11428571</v>
      </c>
      <c r="D10" s="547">
        <f>'BACKEND 1'!Y9</f>
        <v>10.02857143</v>
      </c>
      <c r="E10" s="547">
        <f>'BACKEND 1'!Z9</f>
        <v>10.59285714</v>
      </c>
      <c r="F10" s="547">
        <f>'BACKEND 1'!AA9</f>
        <v>18.17857143</v>
      </c>
      <c r="G10" s="547">
        <f>'BACKEND 1'!T328</f>
        <v>10.56153846</v>
      </c>
      <c r="H10" s="547">
        <f>'BACKEND 1'!AB9</f>
        <v>8.492857143</v>
      </c>
      <c r="I10" s="547">
        <f>'BACKEND 1'!AC9</f>
        <v>8.178571429</v>
      </c>
      <c r="J10" s="547">
        <f>'BACKEND 1'!AD9</f>
        <v>14.32857143</v>
      </c>
      <c r="K10" s="547">
        <f>'BACKEND 1'!AE9</f>
        <v>13.2</v>
      </c>
      <c r="L10" s="547">
        <f>'BACKEND 1'!T301</f>
        <v>12.53333333</v>
      </c>
      <c r="M10" s="583" t="s">
        <v>132</v>
      </c>
      <c r="S10" s="230">
        <f t="shared" si="4"/>
        <v>18.17857143</v>
      </c>
      <c r="T10" s="230">
        <f t="shared" ref="T10:W10" si="28">H10</f>
        <v>8.492857143</v>
      </c>
      <c r="U10" s="230">
        <f t="shared" si="28"/>
        <v>8.178571429</v>
      </c>
      <c r="V10" s="230">
        <f t="shared" si="28"/>
        <v>14.32857143</v>
      </c>
      <c r="W10" s="230">
        <f t="shared" si="28"/>
        <v>13.2</v>
      </c>
      <c r="AK10" s="201"/>
      <c r="AL10" s="581" t="s">
        <v>506</v>
      </c>
      <c r="AM10" s="565" t="str">
        <f t="shared" si="12"/>
        <v>5th</v>
      </c>
      <c r="AN10" s="575">
        <f>C14</f>
        <v>17.39285714</v>
      </c>
      <c r="AO10" s="567" t="str">
        <f t="shared" si="13"/>
        <v>3rd</v>
      </c>
      <c r="AP10" s="575">
        <f>D14</f>
        <v>18.695</v>
      </c>
      <c r="AQ10" s="568" t="str">
        <f t="shared" si="14"/>
        <v>9th</v>
      </c>
      <c r="AR10" s="575">
        <f>E14</f>
        <v>14.03</v>
      </c>
      <c r="AS10" s="569" t="str">
        <f t="shared" si="15"/>
        <v>6th</v>
      </c>
      <c r="AT10" s="575">
        <f>F14</f>
        <v>15.43571429</v>
      </c>
      <c r="AU10" s="570" t="str">
        <f t="shared" si="16"/>
        <v>7th</v>
      </c>
      <c r="AV10" s="566">
        <f>G14</f>
        <v>15.38142857</v>
      </c>
      <c r="AW10" s="201"/>
      <c r="AY10" s="366">
        <f>'MVT 2.0'!AK9</f>
        <v>2</v>
      </c>
      <c r="AZ10" s="411" t="str">
        <f>'MVT 2.0'!AL9</f>
        <v>YARDIES</v>
      </c>
      <c r="BA10" s="412">
        <f>'MVT 2.0'!AM9</f>
        <v>31.25</v>
      </c>
      <c r="BB10" s="371">
        <f>'MVT 2.0'!AN9</f>
        <v>12</v>
      </c>
      <c r="BC10" s="371">
        <f>'MVT 2.0'!AO9</f>
        <v>9.25</v>
      </c>
      <c r="BD10" s="371">
        <f>'MVT 2.0'!AP9</f>
        <v>8</v>
      </c>
      <c r="BE10" s="371">
        <f>'MVT 2.0'!AQ9</f>
        <v>2</v>
      </c>
      <c r="BG10" s="584" t="s">
        <v>508</v>
      </c>
      <c r="BH10" s="224">
        <f t="shared" ref="BH10:BQ10" si="29">C16</f>
        <v>9.428571429</v>
      </c>
      <c r="BI10" s="224">
        <f t="shared" si="29"/>
        <v>8.464285714</v>
      </c>
      <c r="BJ10" s="224">
        <f t="shared" si="29"/>
        <v>10.67857143</v>
      </c>
      <c r="BK10" s="224">
        <f t="shared" si="29"/>
        <v>7.5</v>
      </c>
      <c r="BL10" s="224">
        <f t="shared" si="29"/>
        <v>10.78571429</v>
      </c>
      <c r="BM10" s="224">
        <f t="shared" si="29"/>
        <v>10.03571429</v>
      </c>
      <c r="BN10" s="224">
        <f t="shared" si="29"/>
        <v>11.57692308</v>
      </c>
      <c r="BO10" s="224">
        <f t="shared" si="29"/>
        <v>9.964285714</v>
      </c>
      <c r="BP10" s="224">
        <f t="shared" si="29"/>
        <v>11.82142857</v>
      </c>
      <c r="BQ10" s="224">
        <f t="shared" si="29"/>
        <v>8.392857143</v>
      </c>
      <c r="BR10" s="549">
        <f t="shared" ref="BR10:CA10" si="30">_xlfn.RANK.EQ(BH10,$BH10:$BQ10,0)</f>
        <v>7</v>
      </c>
      <c r="BS10" s="549">
        <f t="shared" si="30"/>
        <v>8</v>
      </c>
      <c r="BT10" s="549">
        <f t="shared" si="30"/>
        <v>4</v>
      </c>
      <c r="BU10" s="549">
        <f t="shared" si="30"/>
        <v>10</v>
      </c>
      <c r="BV10" s="549">
        <f t="shared" si="30"/>
        <v>3</v>
      </c>
      <c r="BW10" s="549">
        <f t="shared" si="30"/>
        <v>5</v>
      </c>
      <c r="BX10" s="549">
        <f t="shared" si="30"/>
        <v>2</v>
      </c>
      <c r="BY10" s="549">
        <f t="shared" si="30"/>
        <v>6</v>
      </c>
      <c r="BZ10" s="549">
        <f t="shared" si="30"/>
        <v>1</v>
      </c>
      <c r="CA10" s="549">
        <f t="shared" si="30"/>
        <v>9</v>
      </c>
      <c r="CB10" s="572" t="str">
        <f>'MVT SCORING'!X21</f>
        <v>#VALUE!</v>
      </c>
      <c r="CC10" s="224">
        <f>'MVT SCORING'!AB21</f>
        <v>12</v>
      </c>
    </row>
    <row r="11" ht="28.5" customHeight="1">
      <c r="A11" s="561"/>
      <c r="B11" s="562" t="s">
        <v>207</v>
      </c>
      <c r="C11" s="563">
        <f>'BACKEND 1'!X10</f>
        <v>34.3</v>
      </c>
      <c r="D11" s="563">
        <f>'BACKEND 1'!Y10</f>
        <v>26.4</v>
      </c>
      <c r="E11" s="563">
        <f>'BACKEND 1'!Z10</f>
        <v>18.5</v>
      </c>
      <c r="F11" s="563">
        <f>'BACKEND 1'!AA10</f>
        <v>29.4</v>
      </c>
      <c r="G11" s="547">
        <f>'BACKEND 1'!T329</f>
        <v>29</v>
      </c>
      <c r="H11" s="563">
        <f>'BACKEND 1'!AB10</f>
        <v>13.7</v>
      </c>
      <c r="I11" s="563">
        <f>'BACKEND 1'!AC10</f>
        <v>27.1</v>
      </c>
      <c r="J11" s="563">
        <f>'BACKEND 1'!AD10</f>
        <v>44.4</v>
      </c>
      <c r="K11" s="563">
        <f>'BACKEND 1'!AE10</f>
        <v>23.9</v>
      </c>
      <c r="L11" s="547">
        <f>'BACKEND 1'!T302</f>
        <v>24.7</v>
      </c>
      <c r="M11" s="564"/>
      <c r="S11" s="230">
        <f t="shared" si="4"/>
        <v>29.4</v>
      </c>
      <c r="T11" s="230">
        <f t="shared" ref="T11:W11" si="31">H11</f>
        <v>13.7</v>
      </c>
      <c r="U11" s="230">
        <f t="shared" si="31"/>
        <v>27.1</v>
      </c>
      <c r="V11" s="230">
        <f t="shared" si="31"/>
        <v>44.4</v>
      </c>
      <c r="W11" s="230">
        <f t="shared" si="31"/>
        <v>23.9</v>
      </c>
      <c r="AK11" s="201"/>
      <c r="AL11" s="584" t="s">
        <v>508</v>
      </c>
      <c r="AM11" s="565" t="str">
        <f t="shared" si="12"/>
        <v>7th</v>
      </c>
      <c r="AN11" s="575">
        <f>C16</f>
        <v>9.428571429</v>
      </c>
      <c r="AO11" s="567" t="str">
        <f t="shared" si="13"/>
        <v>8th</v>
      </c>
      <c r="AP11" s="575">
        <f>D16</f>
        <v>8.464285714</v>
      </c>
      <c r="AQ11" s="568" t="str">
        <f t="shared" si="14"/>
        <v>4th</v>
      </c>
      <c r="AR11" s="575">
        <f>E16</f>
        <v>10.67857143</v>
      </c>
      <c r="AS11" s="569" t="str">
        <f t="shared" si="15"/>
        <v>10th</v>
      </c>
      <c r="AT11" s="575">
        <f>F16</f>
        <v>7.5</v>
      </c>
      <c r="AU11" s="570" t="str">
        <f t="shared" si="16"/>
        <v>3rd</v>
      </c>
      <c r="AV11" s="566">
        <f>G16</f>
        <v>10.78571429</v>
      </c>
      <c r="AW11" s="201"/>
      <c r="AY11" s="366">
        <f>'MVT 2.0'!AK10</f>
        <v>4</v>
      </c>
      <c r="AZ11" s="597" t="str">
        <f>'MVT 2.0'!AL10</f>
        <v>MUTTS</v>
      </c>
      <c r="BA11" s="598">
        <f>'MVT 2.0'!AM10</f>
        <v>24.5</v>
      </c>
      <c r="BB11" s="371">
        <f>'MVT 2.0'!AN10</f>
        <v>13.5</v>
      </c>
      <c r="BC11" s="371">
        <f>'MVT 2.0'!AO10</f>
        <v>3</v>
      </c>
      <c r="BD11" s="371">
        <f>'MVT 2.0'!AP10</f>
        <v>3</v>
      </c>
      <c r="BE11" s="371">
        <f>'MVT 2.0'!AQ10</f>
        <v>5</v>
      </c>
      <c r="BG11" s="599" t="s">
        <v>532</v>
      </c>
      <c r="BH11" s="224">
        <f t="shared" ref="BH11:BQ11" si="32">C18</f>
        <v>11.99285714</v>
      </c>
      <c r="BI11" s="224">
        <f t="shared" si="32"/>
        <v>9.492857143</v>
      </c>
      <c r="BJ11" s="224">
        <f t="shared" si="32"/>
        <v>13.52142857</v>
      </c>
      <c r="BK11" s="224">
        <f t="shared" si="32"/>
        <v>4.541666667</v>
      </c>
      <c r="BL11" s="224">
        <f t="shared" si="32"/>
        <v>9.421428571</v>
      </c>
      <c r="BM11" s="224">
        <f t="shared" si="32"/>
        <v>10.06428571</v>
      </c>
      <c r="BN11" s="224">
        <f t="shared" si="32"/>
        <v>9.353846154</v>
      </c>
      <c r="BO11" s="224">
        <f t="shared" si="32"/>
        <v>10.37142857</v>
      </c>
      <c r="BP11" s="224">
        <f t="shared" si="32"/>
        <v>11.3</v>
      </c>
      <c r="BQ11" s="224">
        <f t="shared" si="32"/>
        <v>9.728571429</v>
      </c>
      <c r="BR11" s="549">
        <f t="shared" ref="BR11:CA11" si="33">_xlfn.RANK.EQ(BH11,$BH11:$BQ11,0)</f>
        <v>2</v>
      </c>
      <c r="BS11" s="549">
        <f t="shared" si="33"/>
        <v>7</v>
      </c>
      <c r="BT11" s="549">
        <f t="shared" si="33"/>
        <v>1</v>
      </c>
      <c r="BU11" s="549">
        <f t="shared" si="33"/>
        <v>10</v>
      </c>
      <c r="BV11" s="549">
        <f t="shared" si="33"/>
        <v>8</v>
      </c>
      <c r="BW11" s="549">
        <f t="shared" si="33"/>
        <v>5</v>
      </c>
      <c r="BX11" s="549">
        <f t="shared" si="33"/>
        <v>9</v>
      </c>
      <c r="BY11" s="549">
        <f t="shared" si="33"/>
        <v>4</v>
      </c>
      <c r="BZ11" s="549">
        <f t="shared" si="33"/>
        <v>3</v>
      </c>
      <c r="CA11" s="549">
        <f t="shared" si="33"/>
        <v>6</v>
      </c>
      <c r="CB11" s="572" t="str">
        <f>'MVT SCORING'!X22</f>
        <v>#VALUE!</v>
      </c>
      <c r="CC11" s="224">
        <f>'MVT SCORING'!AB22</f>
        <v>7</v>
      </c>
    </row>
    <row r="12" ht="28.5" customHeight="1">
      <c r="A12" s="602" t="s">
        <v>136</v>
      </c>
      <c r="B12" s="546" t="s">
        <v>202</v>
      </c>
      <c r="C12" s="547">
        <f>'BACKEND 1'!X11</f>
        <v>12.075</v>
      </c>
      <c r="D12" s="547">
        <f>'BACKEND 1'!Y11</f>
        <v>11.32142857</v>
      </c>
      <c r="E12" s="547">
        <f>'BACKEND 1'!Z11</f>
        <v>19.02857143</v>
      </c>
      <c r="F12" s="547">
        <f>'BACKEND 1'!AA11</f>
        <v>12.79615385</v>
      </c>
      <c r="G12" s="547">
        <f>'BACKEND 1'!T330</f>
        <v>8.65</v>
      </c>
      <c r="H12" s="547">
        <f>'BACKEND 1'!AB11</f>
        <v>13.64428571</v>
      </c>
      <c r="I12" s="547">
        <f>'BACKEND 1'!AC11</f>
        <v>13.20833333</v>
      </c>
      <c r="J12" s="547">
        <f>'BACKEND 1'!AD11</f>
        <v>15.97857143</v>
      </c>
      <c r="K12" s="547">
        <f>'BACKEND 1'!AE11</f>
        <v>13.90714286</v>
      </c>
      <c r="L12" s="547">
        <f>'BACKEND 1'!T303</f>
        <v>16.72857143</v>
      </c>
      <c r="M12" s="605" t="s">
        <v>136</v>
      </c>
      <c r="S12" s="230">
        <f t="shared" si="4"/>
        <v>12.79615385</v>
      </c>
      <c r="T12" s="230">
        <f t="shared" ref="T12:W12" si="34">H12</f>
        <v>13.64428571</v>
      </c>
      <c r="U12" s="230">
        <f t="shared" si="34"/>
        <v>13.20833333</v>
      </c>
      <c r="V12" s="230">
        <f t="shared" si="34"/>
        <v>15.97857143</v>
      </c>
      <c r="W12" s="230">
        <f t="shared" si="34"/>
        <v>13.90714286</v>
      </c>
      <c r="AK12" s="201"/>
      <c r="AL12" s="599" t="s">
        <v>532</v>
      </c>
      <c r="AM12" s="565" t="str">
        <f t="shared" si="12"/>
        <v>2nd</v>
      </c>
      <c r="AN12" s="575">
        <f>C18</f>
        <v>11.99285714</v>
      </c>
      <c r="AO12" s="567" t="str">
        <f t="shared" si="13"/>
        <v>7th</v>
      </c>
      <c r="AP12" s="575">
        <f>D18</f>
        <v>9.492857143</v>
      </c>
      <c r="AQ12" s="568" t="str">
        <f t="shared" si="14"/>
        <v>1st</v>
      </c>
      <c r="AR12" s="575">
        <f>E18</f>
        <v>13.52142857</v>
      </c>
      <c r="AS12" s="569" t="str">
        <f t="shared" si="15"/>
        <v>10th</v>
      </c>
      <c r="AT12" s="575">
        <f>F18</f>
        <v>4.541666667</v>
      </c>
      <c r="AU12" s="570" t="str">
        <f t="shared" si="16"/>
        <v>8th</v>
      </c>
      <c r="AV12" s="566">
        <f>G18</f>
        <v>9.421428571</v>
      </c>
      <c r="AW12" s="201"/>
      <c r="AY12" s="430">
        <f>'MVT 2.0'!AK11</f>
        <v>5</v>
      </c>
      <c r="AZ12" s="431" t="str">
        <f>'MVT 2.0'!AL11</f>
        <v>EAGLES</v>
      </c>
      <c r="BA12" s="432">
        <f>'MVT 2.0'!AM11</f>
        <v>19</v>
      </c>
      <c r="BB12" s="606">
        <f>'MVT 2.0'!AN11</f>
        <v>14</v>
      </c>
      <c r="BC12" s="606">
        <f>'MVT 2.0'!AO11</f>
        <v>4</v>
      </c>
      <c r="BD12" s="606">
        <f>'MVT 2.0'!AP11</f>
        <v>1</v>
      </c>
      <c r="BE12" s="606">
        <f>'MVT 2.0'!AQ11</f>
        <v>0</v>
      </c>
      <c r="BG12" s="607" t="s">
        <v>533</v>
      </c>
      <c r="BH12" s="224">
        <f t="shared" ref="BH12:BQ12" si="35">C21</f>
        <v>164.4371429</v>
      </c>
      <c r="BI12" s="224">
        <f t="shared" si="35"/>
        <v>161.3557143</v>
      </c>
      <c r="BJ12" s="224">
        <f t="shared" si="35"/>
        <v>179.8614286</v>
      </c>
      <c r="BK12" s="224">
        <f t="shared" si="35"/>
        <v>150.6807143</v>
      </c>
      <c r="BL12" s="224">
        <f t="shared" si="35"/>
        <v>151.7435714</v>
      </c>
      <c r="BM12" s="224">
        <f t="shared" si="35"/>
        <v>165.0264286</v>
      </c>
      <c r="BN12" s="224">
        <f t="shared" si="35"/>
        <v>162.46</v>
      </c>
      <c r="BO12" s="224">
        <f t="shared" si="35"/>
        <v>159.7657143</v>
      </c>
      <c r="BP12" s="224">
        <f t="shared" si="35"/>
        <v>164.0414286</v>
      </c>
      <c r="BQ12" s="224">
        <f t="shared" si="35"/>
        <v>155.3964286</v>
      </c>
      <c r="BR12" s="549">
        <f t="shared" ref="BR12:CA12" si="36">_xlfn.RANK.EQ(BH12,$BH12:$BQ12,0)</f>
        <v>3</v>
      </c>
      <c r="BS12" s="549">
        <f t="shared" si="36"/>
        <v>6</v>
      </c>
      <c r="BT12" s="549">
        <f t="shared" si="36"/>
        <v>1</v>
      </c>
      <c r="BU12" s="549">
        <f t="shared" si="36"/>
        <v>10</v>
      </c>
      <c r="BV12" s="549">
        <f t="shared" si="36"/>
        <v>9</v>
      </c>
      <c r="BW12" s="549">
        <f t="shared" si="36"/>
        <v>2</v>
      </c>
      <c r="BX12" s="549">
        <f t="shared" si="36"/>
        <v>5</v>
      </c>
      <c r="BY12" s="549">
        <f t="shared" si="36"/>
        <v>7</v>
      </c>
      <c r="BZ12" s="549">
        <f t="shared" si="36"/>
        <v>4</v>
      </c>
      <c r="CA12" s="549">
        <f t="shared" si="36"/>
        <v>8</v>
      </c>
    </row>
    <row r="13" ht="28.5" customHeight="1">
      <c r="A13" s="561"/>
      <c r="B13" s="562" t="s">
        <v>207</v>
      </c>
      <c r="C13" s="563">
        <f>'BACKEND 1'!X12</f>
        <v>21.8</v>
      </c>
      <c r="D13" s="563">
        <f>'BACKEND 1'!Y12</f>
        <v>26.2</v>
      </c>
      <c r="E13" s="563">
        <f>'BACKEND 1'!Z12</f>
        <v>34</v>
      </c>
      <c r="F13" s="563">
        <f>'BACKEND 1'!AA12</f>
        <v>26</v>
      </c>
      <c r="G13" s="547">
        <f>'BACKEND 1'!T331</f>
        <v>18.75</v>
      </c>
      <c r="H13" s="563">
        <f>'BACKEND 1'!AB12</f>
        <v>31.6</v>
      </c>
      <c r="I13" s="563">
        <f>'BACKEND 1'!AC12</f>
        <v>28.2</v>
      </c>
      <c r="J13" s="563">
        <f>'BACKEND 1'!AD12</f>
        <v>37.9</v>
      </c>
      <c r="K13" s="563">
        <f>'BACKEND 1'!AE12</f>
        <v>29.6</v>
      </c>
      <c r="L13" s="547">
        <f>'BACKEND 1'!T304</f>
        <v>34.4</v>
      </c>
      <c r="M13" s="564"/>
      <c r="S13" s="230">
        <f t="shared" si="4"/>
        <v>26</v>
      </c>
      <c r="T13" s="230">
        <f t="shared" ref="T13:W13" si="37">H13</f>
        <v>31.6</v>
      </c>
      <c r="U13" s="230">
        <f t="shared" si="37"/>
        <v>28.2</v>
      </c>
      <c r="V13" s="230">
        <f t="shared" si="37"/>
        <v>37.9</v>
      </c>
      <c r="W13" s="230">
        <f t="shared" si="37"/>
        <v>29.6</v>
      </c>
      <c r="AK13" s="201"/>
      <c r="AL13" s="607" t="s">
        <v>533</v>
      </c>
      <c r="AM13" s="609" t="str">
        <f t="shared" si="12"/>
        <v>3rd</v>
      </c>
      <c r="AN13" s="575">
        <f>C21</f>
        <v>164.4371429</v>
      </c>
      <c r="AO13" s="610" t="str">
        <f t="shared" si="13"/>
        <v>6th</v>
      </c>
      <c r="AP13" s="575">
        <f>D21</f>
        <v>161.3557143</v>
      </c>
      <c r="AQ13" s="611" t="str">
        <f t="shared" si="14"/>
        <v>1st</v>
      </c>
      <c r="AR13" s="575">
        <f>E21</f>
        <v>179.8614286</v>
      </c>
      <c r="AS13" s="612" t="str">
        <f t="shared" si="15"/>
        <v>10th</v>
      </c>
      <c r="AT13" s="575">
        <f>F21</f>
        <v>150.6807143</v>
      </c>
      <c r="AU13" s="613" t="str">
        <f t="shared" si="16"/>
        <v>9th</v>
      </c>
      <c r="AV13" s="566">
        <f>G21</f>
        <v>151.7435714</v>
      </c>
      <c r="AW13" s="201"/>
      <c r="BG13" s="614" t="s">
        <v>534</v>
      </c>
      <c r="BH13" s="224">
        <f t="shared" ref="BH13:BQ13" si="38">C23</f>
        <v>2302.12</v>
      </c>
      <c r="BI13" s="224">
        <f t="shared" si="38"/>
        <v>2258.98</v>
      </c>
      <c r="BJ13" s="224">
        <f t="shared" si="38"/>
        <v>2518.06</v>
      </c>
      <c r="BK13" s="224">
        <f t="shared" si="38"/>
        <v>2109.53</v>
      </c>
      <c r="BL13" s="224">
        <f t="shared" si="38"/>
        <v>2124.41</v>
      </c>
      <c r="BM13" s="224">
        <f t="shared" si="38"/>
        <v>2310.37</v>
      </c>
      <c r="BN13" s="224">
        <f t="shared" si="38"/>
        <v>2274.44</v>
      </c>
      <c r="BO13" s="224">
        <f t="shared" si="38"/>
        <v>2236.72</v>
      </c>
      <c r="BP13" s="224">
        <f t="shared" si="38"/>
        <v>2296.58</v>
      </c>
      <c r="BQ13" s="224">
        <f t="shared" si="38"/>
        <v>2175.55</v>
      </c>
      <c r="BR13" s="549">
        <f t="shared" ref="BR13:CA13" si="39">_xlfn.RANK.EQ(BH13,$BH13:$BQ13,0)</f>
        <v>3</v>
      </c>
      <c r="BS13" s="549">
        <f t="shared" si="39"/>
        <v>6</v>
      </c>
      <c r="BT13" s="549">
        <f t="shared" si="39"/>
        <v>1</v>
      </c>
      <c r="BU13" s="549">
        <f t="shared" si="39"/>
        <v>10</v>
      </c>
      <c r="BV13" s="549">
        <f t="shared" si="39"/>
        <v>9</v>
      </c>
      <c r="BW13" s="549">
        <f t="shared" si="39"/>
        <v>2</v>
      </c>
      <c r="BX13" s="549">
        <f t="shared" si="39"/>
        <v>5</v>
      </c>
      <c r="BY13" s="549">
        <f t="shared" si="39"/>
        <v>7</v>
      </c>
      <c r="BZ13" s="549">
        <f t="shared" si="39"/>
        <v>4</v>
      </c>
      <c r="CA13" s="549">
        <f t="shared" si="39"/>
        <v>8</v>
      </c>
    </row>
    <row r="14" ht="28.5" customHeight="1">
      <c r="A14" s="615" t="s">
        <v>139</v>
      </c>
      <c r="B14" s="546" t="s">
        <v>202</v>
      </c>
      <c r="C14" s="547">
        <f>'BACKEND 1'!X13</f>
        <v>17.39285714</v>
      </c>
      <c r="D14" s="547">
        <f>'BACKEND 1'!Y13</f>
        <v>18.695</v>
      </c>
      <c r="E14" s="547">
        <f>'BACKEND 1'!Z13</f>
        <v>14.03</v>
      </c>
      <c r="F14" s="547">
        <f>'BACKEND 1'!AA13</f>
        <v>15.43571429</v>
      </c>
      <c r="G14" s="547">
        <f>'BACKEND 1'!T332</f>
        <v>15.38142857</v>
      </c>
      <c r="H14" s="547">
        <f>'BACKEND 1'!AB13</f>
        <v>18.09</v>
      </c>
      <c r="I14" s="547">
        <v>1.0</v>
      </c>
      <c r="J14" s="547">
        <f>'BACKEND 1'!AD13</f>
        <v>18.78357143</v>
      </c>
      <c r="K14" s="547">
        <f>'BACKEND 1'!AE13</f>
        <v>14.85571429</v>
      </c>
      <c r="L14" s="547">
        <f>'BACKEND 1'!T305</f>
        <v>19.39571429</v>
      </c>
      <c r="M14" s="616" t="s">
        <v>139</v>
      </c>
      <c r="S14" s="230">
        <f t="shared" si="4"/>
        <v>15.43571429</v>
      </c>
      <c r="T14" s="230">
        <f t="shared" ref="T14:W14" si="40">H14</f>
        <v>18.09</v>
      </c>
      <c r="U14" s="230">
        <f t="shared" si="40"/>
        <v>1</v>
      </c>
      <c r="V14" s="230">
        <f t="shared" si="40"/>
        <v>18.78357143</v>
      </c>
      <c r="W14" s="230">
        <f t="shared" si="40"/>
        <v>14.85571429</v>
      </c>
      <c r="AK14" s="201"/>
      <c r="AL14" s="614" t="s">
        <v>534</v>
      </c>
      <c r="AM14" s="561"/>
      <c r="AN14" s="617">
        <f>C23</f>
        <v>2302.12</v>
      </c>
      <c r="AO14" s="561"/>
      <c r="AP14" s="617">
        <f>D23</f>
        <v>2258.98</v>
      </c>
      <c r="AQ14" s="561"/>
      <c r="AR14" s="617">
        <f>E23</f>
        <v>2518.06</v>
      </c>
      <c r="AS14" s="561"/>
      <c r="AT14" s="617">
        <f>F23</f>
        <v>2109.53</v>
      </c>
      <c r="AU14" s="561"/>
      <c r="AV14" s="617">
        <f>G23</f>
        <v>2124.41</v>
      </c>
      <c r="AW14" s="201"/>
    </row>
    <row r="15" ht="28.5" customHeight="1">
      <c r="A15" s="561"/>
      <c r="B15" s="562" t="s">
        <v>207</v>
      </c>
      <c r="C15" s="563">
        <f>'BACKEND 1'!X14</f>
        <v>25.11</v>
      </c>
      <c r="D15" s="563">
        <f>'BACKEND 1'!Y14</f>
        <v>39.18</v>
      </c>
      <c r="E15" s="563">
        <f>'BACKEND 1'!Z14</f>
        <v>29.87</v>
      </c>
      <c r="F15" s="563">
        <f>'BACKEND 1'!AA14</f>
        <v>36.13</v>
      </c>
      <c r="G15" s="547">
        <f>'BACKEND 1'!T333</f>
        <v>37.27</v>
      </c>
      <c r="H15" s="563">
        <f>'BACKEND 1'!AB14</f>
        <v>54.64</v>
      </c>
      <c r="I15" s="563">
        <f>'BACKEND 1'!AC14</f>
        <v>34.72</v>
      </c>
      <c r="J15" s="563">
        <f>'BACKEND 1'!AD14</f>
        <v>27.98</v>
      </c>
      <c r="K15" s="563">
        <f>'BACKEND 1'!AE14</f>
        <v>27.2</v>
      </c>
      <c r="L15" s="547">
        <f>'BACKEND 1'!T306</f>
        <v>33.08</v>
      </c>
      <c r="M15" s="564"/>
      <c r="S15" s="230">
        <f t="shared" si="4"/>
        <v>36.13</v>
      </c>
      <c r="T15" s="230">
        <f t="shared" ref="T15:W15" si="41">H15</f>
        <v>54.64</v>
      </c>
      <c r="U15" s="230">
        <f t="shared" si="41"/>
        <v>34.72</v>
      </c>
      <c r="V15" s="230">
        <f t="shared" si="41"/>
        <v>27.98</v>
      </c>
      <c r="W15" s="230">
        <f t="shared" si="41"/>
        <v>27.2</v>
      </c>
      <c r="AK15" s="201"/>
      <c r="AL15" s="618"/>
      <c r="AM15" s="201"/>
      <c r="AN15" s="201"/>
      <c r="AO15" s="201"/>
      <c r="AP15" s="201"/>
      <c r="AQ15" s="201"/>
      <c r="AR15" s="201"/>
      <c r="AS15" s="201"/>
      <c r="AT15" s="201"/>
      <c r="AU15" s="201"/>
      <c r="AV15" s="201"/>
      <c r="AW15" s="201"/>
    </row>
    <row r="16" ht="36.75" customHeight="1">
      <c r="A16" s="619" t="s">
        <v>146</v>
      </c>
      <c r="B16" s="546" t="s">
        <v>202</v>
      </c>
      <c r="C16" s="547">
        <f>'BACKEND 1'!X15</f>
        <v>9.428571429</v>
      </c>
      <c r="D16" s="547">
        <f>'BACKEND 1'!Y15</f>
        <v>8.464285714</v>
      </c>
      <c r="E16" s="547">
        <f>'BACKEND 1'!Z15</f>
        <v>10.67857143</v>
      </c>
      <c r="F16" s="547">
        <f>'BACKEND 1'!AA15</f>
        <v>7.5</v>
      </c>
      <c r="G16" s="547">
        <f>'BACKEND 1'!T334</f>
        <v>10.78571429</v>
      </c>
      <c r="H16" s="547">
        <f>'BACKEND 1'!AB15</f>
        <v>10.03571429</v>
      </c>
      <c r="I16" s="547">
        <f>'BACKEND 1'!AC15</f>
        <v>11.57692308</v>
      </c>
      <c r="J16" s="547">
        <f>'BACKEND 1'!AD15</f>
        <v>9.964285714</v>
      </c>
      <c r="K16" s="547">
        <f>'BACKEND 1'!AE15</f>
        <v>11.82142857</v>
      </c>
      <c r="L16" s="547">
        <f>'BACKEND 1'!T307</f>
        <v>8.392857143</v>
      </c>
      <c r="M16" s="620" t="s">
        <v>146</v>
      </c>
      <c r="S16" s="230">
        <f t="shared" si="4"/>
        <v>7.5</v>
      </c>
      <c r="T16" s="230">
        <f t="shared" ref="T16:W16" si="42">H16</f>
        <v>10.03571429</v>
      </c>
      <c r="U16" s="230">
        <f t="shared" si="42"/>
        <v>11.57692308</v>
      </c>
      <c r="V16" s="230">
        <f t="shared" si="42"/>
        <v>9.964285714</v>
      </c>
      <c r="W16" s="230">
        <f t="shared" si="42"/>
        <v>11.82142857</v>
      </c>
      <c r="AK16" s="201"/>
      <c r="AL16" s="621" t="s">
        <v>535</v>
      </c>
      <c r="AM16" s="525"/>
      <c r="AN16" s="525"/>
      <c r="AO16" s="525"/>
      <c r="AP16" s="525"/>
      <c r="AQ16" s="525"/>
      <c r="AR16" s="525"/>
      <c r="AS16" s="525"/>
      <c r="AT16" s="525"/>
      <c r="AU16" s="525"/>
      <c r="AV16" s="526"/>
      <c r="AW16" s="201"/>
    </row>
    <row r="17" ht="39.0" customHeight="1">
      <c r="A17" s="561"/>
      <c r="B17" s="562" t="s">
        <v>207</v>
      </c>
      <c r="C17" s="563">
        <f>'BACKEND 1'!X16</f>
        <v>17</v>
      </c>
      <c r="D17" s="563">
        <f>'BACKEND 1'!Y16</f>
        <v>14</v>
      </c>
      <c r="E17" s="563">
        <f>'BACKEND 1'!Z16</f>
        <v>19</v>
      </c>
      <c r="F17" s="563">
        <f>'BACKEND 1'!AA16</f>
        <v>14</v>
      </c>
      <c r="G17" s="547">
        <f>'BACKEND 1'!T335</f>
        <v>21</v>
      </c>
      <c r="H17" s="563">
        <f>'BACKEND 1'!AB16</f>
        <v>21</v>
      </c>
      <c r="I17" s="563">
        <f>'BACKEND 1'!AC16</f>
        <v>23</v>
      </c>
      <c r="J17" s="563">
        <f>'BACKEND 1'!AD16</f>
        <v>23</v>
      </c>
      <c r="K17" s="563">
        <f>'BACKEND 1'!AE16</f>
        <v>29</v>
      </c>
      <c r="L17" s="547">
        <f>'BACKEND 1'!T308</f>
        <v>19</v>
      </c>
      <c r="M17" s="564"/>
      <c r="S17" s="230">
        <f t="shared" si="4"/>
        <v>14</v>
      </c>
      <c r="T17" s="230">
        <f t="shared" ref="T17:W17" si="43">H17</f>
        <v>21</v>
      </c>
      <c r="U17" s="230">
        <f t="shared" si="43"/>
        <v>23</v>
      </c>
      <c r="V17" s="230">
        <f t="shared" si="43"/>
        <v>23</v>
      </c>
      <c r="W17" s="230">
        <f t="shared" si="43"/>
        <v>29</v>
      </c>
      <c r="AK17" s="201"/>
      <c r="AL17" s="542" t="s">
        <v>480</v>
      </c>
      <c r="AM17" s="543" t="str">
        <f>IF(AY8=1,"1st",IF(AY8=2,"2nd",IF(AY8=3,"3rd",IF(AY8=4,"4th",IF(AY8=5,"5th",IF(AY8=6,"6th",IF(AY8=7,"7th",IF(AY8=8,"8th",AY8&amp;"th"))))))))</f>
        <v>8th</v>
      </c>
      <c r="AN17" s="544">
        <f>BA8</f>
        <v>13.75</v>
      </c>
      <c r="AO17" s="543" t="str">
        <f>IF(AY9=1,"1st",IF(AY9=2,"2nd",IF(AY9=3,"3rd",IF(AY9=4,"4th",IF(AY9=5,"5th",IF(AY9=6,"6th",IF(AY9=7,"7th",IF(AY9=8,"8th",AY9&amp;"th"))))))))</f>
        <v>9th</v>
      </c>
      <c r="AP17" s="544">
        <f>BA9</f>
        <v>10.5</v>
      </c>
      <c r="AQ17" s="543" t="str">
        <f>IF(AY10=1,"1st",IF(AY10=2,"2nd",IF(AY10=3,"3rd",IF(AY10=4,"4th",IF(AY10=5,"5th",IF(AY10=6,"6th",IF(AY10=7,"7th",IF(AY10=8,"8th",AY10&amp;"th"))))))))</f>
        <v>2nd</v>
      </c>
      <c r="AR17" s="544">
        <f>BA10</f>
        <v>31.25</v>
      </c>
      <c r="AS17" s="543" t="str">
        <f>IF(AY11=1,"1st",IF(AY11=2,"2nd",IF(AY11=3,"3rd",IF(AY11=4,"4th",IF(AY11=5,"5th",IF(AY11=6,"6th",IF(AY11=7,"7th",IF(AY11=8,"8th",AY11&amp;"th"))))))))</f>
        <v>4th</v>
      </c>
      <c r="AT17" s="544">
        <f>BA11</f>
        <v>24.5</v>
      </c>
      <c r="AU17" s="543" t="str">
        <f>IF(AY12=1,"1st",IF(AY12=2,"2nd",IF(AY12=3,"3rd",IF(AY12=4,"4th",IF(AY12=5,"5th",IF(AY12=6,"6th",IF(AY12=7,"7th",IF(AY12=8,"8th",AY12&amp;"th"))))))))</f>
        <v>5th</v>
      </c>
      <c r="AV17" s="544">
        <f>BA12</f>
        <v>19</v>
      </c>
      <c r="AW17" s="201"/>
    </row>
    <row r="18" ht="51.75" customHeight="1">
      <c r="A18" s="622" t="s">
        <v>162</v>
      </c>
      <c r="B18" s="546" t="s">
        <v>202</v>
      </c>
      <c r="C18" s="547">
        <f>IFERROR('BACKEND 1'!X17,0)</f>
        <v>11.99285714</v>
      </c>
      <c r="D18" s="547">
        <f>'BACKEND 1'!Y17</f>
        <v>9.492857143</v>
      </c>
      <c r="E18" s="547">
        <f>'BACKEND 1'!Z17</f>
        <v>13.52142857</v>
      </c>
      <c r="F18" s="547">
        <f>'BACKEND 1'!AA17</f>
        <v>4.541666667</v>
      </c>
      <c r="G18" s="547">
        <f>'BACKEND 1'!T336</f>
        <v>9.421428571</v>
      </c>
      <c r="H18" s="547">
        <f>'BACKEND 1'!AB17</f>
        <v>10.06428571</v>
      </c>
      <c r="I18" s="547">
        <f>'BACKEND 1'!AC17</f>
        <v>9.353846154</v>
      </c>
      <c r="J18" s="547">
        <f>'BACKEND 1'!AD17</f>
        <v>10.37142857</v>
      </c>
      <c r="K18" s="547">
        <f>'BACKEND 1'!AE17</f>
        <v>11.3</v>
      </c>
      <c r="L18" s="547">
        <f>'BACKEND 1'!T309</f>
        <v>9.728571429</v>
      </c>
      <c r="M18" s="623" t="s">
        <v>162</v>
      </c>
      <c r="S18" s="230">
        <f t="shared" si="4"/>
        <v>4.541666667</v>
      </c>
      <c r="T18" s="230">
        <f t="shared" ref="T18:W18" si="44">H18</f>
        <v>10.06428571</v>
      </c>
      <c r="U18" s="230">
        <f t="shared" si="44"/>
        <v>9.353846154</v>
      </c>
      <c r="V18" s="230">
        <f t="shared" si="44"/>
        <v>10.37142857</v>
      </c>
      <c r="W18" s="230">
        <f t="shared" si="44"/>
        <v>11.3</v>
      </c>
      <c r="AK18" s="201"/>
      <c r="AL18" s="552" t="s">
        <v>492</v>
      </c>
      <c r="AM18" s="624" t="s">
        <v>536</v>
      </c>
      <c r="AN18" s="554"/>
      <c r="AO18" s="625" t="s">
        <v>305</v>
      </c>
      <c r="AP18" s="554"/>
      <c r="AQ18" s="626" t="s">
        <v>537</v>
      </c>
      <c r="AR18" s="554"/>
      <c r="AS18" s="627" t="s">
        <v>538</v>
      </c>
      <c r="AT18" s="554"/>
      <c r="AU18" s="628" t="s">
        <v>539</v>
      </c>
      <c r="AV18" s="554"/>
      <c r="AW18" s="201"/>
    </row>
    <row r="19" ht="28.5" customHeight="1">
      <c r="A19" s="561"/>
      <c r="B19" s="562" t="s">
        <v>207</v>
      </c>
      <c r="C19" s="563">
        <f>'BACKEND 1'!X18</f>
        <v>23.1</v>
      </c>
      <c r="D19" s="563">
        <f>'BACKEND 1'!Y18</f>
        <v>25.2</v>
      </c>
      <c r="E19" s="563">
        <f>'BACKEND 1'!Z18</f>
        <v>25.5</v>
      </c>
      <c r="F19" s="563">
        <f>'BACKEND 1'!AA18</f>
        <v>20.3</v>
      </c>
      <c r="G19" s="547">
        <f>'BACKEND 1'!T337</f>
        <v>24</v>
      </c>
      <c r="H19" s="563">
        <f>'BACKEND 1'!AB18</f>
        <v>20.3</v>
      </c>
      <c r="I19" s="563">
        <f>'BACKEND 1'!AC18</f>
        <v>21.2</v>
      </c>
      <c r="J19" s="563">
        <f>'BACKEND 1'!AD18</f>
        <v>27.6</v>
      </c>
      <c r="K19" s="563">
        <f>'BACKEND 1'!AE18</f>
        <v>24</v>
      </c>
      <c r="L19" s="547">
        <f>'BACKEND 1'!T310</f>
        <v>21.3</v>
      </c>
      <c r="M19" s="564"/>
      <c r="S19" s="230">
        <f t="shared" si="4"/>
        <v>20.3</v>
      </c>
      <c r="T19" s="230">
        <f t="shared" ref="T19:W19" si="45">H19</f>
        <v>20.3</v>
      </c>
      <c r="U19" s="230">
        <f t="shared" si="45"/>
        <v>21.2</v>
      </c>
      <c r="V19" s="230">
        <f t="shared" si="45"/>
        <v>27.6</v>
      </c>
      <c r="W19" s="230">
        <f t="shared" si="45"/>
        <v>24</v>
      </c>
      <c r="AK19" s="201"/>
      <c r="AL19" s="559" t="s">
        <v>500</v>
      </c>
      <c r="AM19" s="630" t="str">
        <f t="shared" ref="AM19:AM27" si="47">IF(BW4=1,"1st",IF(BW4=2,"2nd",IF(BW4=3,"3rd",IF(BW4=4,"4th",IF(BW4=5,"5th",IF(BW4=6,"6th",IF(BW4=7,"7th",IF(BW4=8,"8th",BW4&amp;"th"))))))))</f>
        <v>6th</v>
      </c>
      <c r="AN19" s="566">
        <f>H4</f>
        <v>23.38142857</v>
      </c>
      <c r="AO19" s="631" t="str">
        <f t="shared" ref="AO19:AO27" si="48">IF(BX4=1,"1st",IF(BX4=2,"2nd",IF(BX4=3,"3rd",IF(BX4=4,"4th",IF(BX4=5,"5th",IF(BX4=6,"6th",IF(BX4=7,"7th",IF(BX4=8,"8th",BX4&amp;"th"))))))))</f>
        <v>5th</v>
      </c>
      <c r="AP19" s="566">
        <f>I4</f>
        <v>23.95857143</v>
      </c>
      <c r="AQ19" s="632" t="str">
        <f t="shared" ref="AQ19:AQ27" si="49">IF(BY4=1,"1st",IF(BY4=2,"2nd",IF(BY4=3,"3rd",IF(BY4=4,"4th",IF(BY4=5,"5th",IF(BY4=6,"6th",IF(BY4=7,"7th",IF(BY4=8,"8th",BY4&amp;"th"))))))))</f>
        <v>10th</v>
      </c>
      <c r="AR19" s="566">
        <f>J4</f>
        <v>21.79285714</v>
      </c>
      <c r="AS19" s="634" t="str">
        <f t="shared" ref="AS19:AS27" si="50">IF(BZ4=1,"1st",IF(BZ4=2,"2nd",IF(BZ4=3,"3rd",IF(BZ4=4,"4th",IF(BZ4=5,"5th",IF(BZ4=6,"6th",IF(BZ4=7,"7th",IF(BZ4=8,"8th",BZ4&amp;"th"))))))))</f>
        <v>7th</v>
      </c>
      <c r="AT19" s="566">
        <f>K4</f>
        <v>22.41076923</v>
      </c>
      <c r="AU19" s="635" t="str">
        <f t="shared" ref="AU19:AU27" si="51">IF(CA4=1,"1st",IF(CA4=2,"2nd",IF(CA4=3,"3rd",IF(CA4=4,"4th",IF(CA4=5,"5th",IF(CA4=6,"6th",IF(CA4=7,"7th",IF(CA4=8,"8th",CA4&amp;"th"))))))))</f>
        <v>1st</v>
      </c>
      <c r="AV19" s="566">
        <f>L4</f>
        <v>28.89714286</v>
      </c>
      <c r="AW19" s="201"/>
    </row>
    <row r="20" ht="28.5" customHeight="1">
      <c r="A20" s="636" t="s">
        <v>168</v>
      </c>
      <c r="B20" s="637" t="s">
        <v>207</v>
      </c>
      <c r="C20" s="638">
        <f>'BACKEND 1'!X19</f>
        <v>58.9</v>
      </c>
      <c r="D20" s="638">
        <f>'BACKEND 1'!Y19</f>
        <v>43.7</v>
      </c>
      <c r="E20" s="638">
        <f>'BACKEND 1'!Z19</f>
        <v>54.8</v>
      </c>
      <c r="F20" s="638">
        <f>'BACKEND 1'!AA19</f>
        <v>39.8</v>
      </c>
      <c r="G20" s="547">
        <f>'BACKEND 1'!T338</f>
        <v>42.5</v>
      </c>
      <c r="H20" s="638">
        <f>'BACKEND 1'!AB19</f>
        <v>54.64</v>
      </c>
      <c r="I20" s="638">
        <f>'BACKEND 1'!AC19</f>
        <v>38.2</v>
      </c>
      <c r="J20" s="638">
        <f>'BACKEND 1'!AD19</f>
        <v>44.4</v>
      </c>
      <c r="K20" s="638">
        <f>'BACKEND 1'!AE19</f>
        <v>40.4</v>
      </c>
      <c r="L20" s="547">
        <f>'BACKEND 1'!T311</f>
        <v>50.28</v>
      </c>
      <c r="M20" s="639" t="s">
        <v>168</v>
      </c>
      <c r="S20" s="230">
        <f t="shared" si="4"/>
        <v>39.8</v>
      </c>
      <c r="T20" s="230">
        <f t="shared" ref="T20:W20" si="46">H20</f>
        <v>54.64</v>
      </c>
      <c r="U20" s="230">
        <f t="shared" si="46"/>
        <v>38.2</v>
      </c>
      <c r="V20" s="230">
        <f t="shared" si="46"/>
        <v>44.4</v>
      </c>
      <c r="W20" s="230">
        <f t="shared" si="46"/>
        <v>40.4</v>
      </c>
      <c r="AK20" s="201"/>
      <c r="AL20" s="571" t="s">
        <v>502</v>
      </c>
      <c r="AM20" s="630" t="str">
        <f t="shared" si="47"/>
        <v>3rd</v>
      </c>
      <c r="AN20" s="575">
        <f>H6</f>
        <v>18.73214286</v>
      </c>
      <c r="AO20" s="631" t="str">
        <f t="shared" si="48"/>
        <v>7th</v>
      </c>
      <c r="AP20" s="575">
        <f>I6</f>
        <v>16.15535714</v>
      </c>
      <c r="AQ20" s="632" t="str">
        <f t="shared" si="49"/>
        <v>8th</v>
      </c>
      <c r="AR20" s="575">
        <f>J6</f>
        <v>15.48928571</v>
      </c>
      <c r="AS20" s="634" t="str">
        <f t="shared" si="50"/>
        <v>6th</v>
      </c>
      <c r="AT20" s="575">
        <f>K6</f>
        <v>17.50928571</v>
      </c>
      <c r="AU20" s="635" t="str">
        <f t="shared" si="51"/>
        <v>10th</v>
      </c>
      <c r="AV20" s="575">
        <f>L6</f>
        <v>12.97857143</v>
      </c>
      <c r="AW20" s="201"/>
    </row>
    <row r="21" ht="28.5" customHeight="1">
      <c r="A21" s="642" t="s">
        <v>167</v>
      </c>
      <c r="B21" s="546" t="s">
        <v>202</v>
      </c>
      <c r="C21" s="547">
        <f>'BACKEND 1'!X20</f>
        <v>164.4371429</v>
      </c>
      <c r="D21" s="547">
        <f>'BACKEND 1'!Y20</f>
        <v>161.3557143</v>
      </c>
      <c r="E21" s="547">
        <f>'BACKEND 1'!Z20</f>
        <v>179.8614286</v>
      </c>
      <c r="F21" s="547">
        <f>'BACKEND 1'!AA20</f>
        <v>150.6807143</v>
      </c>
      <c r="G21" s="547">
        <f>'BACKEND 1'!T339</f>
        <v>151.7435714</v>
      </c>
      <c r="H21" s="547">
        <f>'BACKEND 1'!AB20</f>
        <v>165.0264286</v>
      </c>
      <c r="I21" s="547">
        <f>'BACKEND 1'!AC20</f>
        <v>162.46</v>
      </c>
      <c r="J21" s="547">
        <f>'BACKEND 1'!AD20</f>
        <v>159.7657143</v>
      </c>
      <c r="K21" s="547">
        <f>'BACKEND 1'!AE20</f>
        <v>164.0414286</v>
      </c>
      <c r="L21" s="547">
        <f>'BACKEND 1'!T312</f>
        <v>155.3964286</v>
      </c>
      <c r="M21" s="646" t="s">
        <v>167</v>
      </c>
      <c r="S21" s="230">
        <f t="shared" si="4"/>
        <v>150.6807143</v>
      </c>
      <c r="T21" s="230">
        <f t="shared" ref="T21:W21" si="52">H21</f>
        <v>165.0264286</v>
      </c>
      <c r="U21" s="230">
        <f t="shared" si="52"/>
        <v>162.46</v>
      </c>
      <c r="V21" s="230">
        <f t="shared" si="52"/>
        <v>159.7657143</v>
      </c>
      <c r="W21" s="230">
        <f t="shared" si="52"/>
        <v>164.0414286</v>
      </c>
      <c r="AK21" s="201"/>
      <c r="AL21" s="576" t="s">
        <v>503</v>
      </c>
      <c r="AM21" s="630" t="str">
        <f t="shared" si="47"/>
        <v>5th</v>
      </c>
      <c r="AN21" s="575">
        <f>H8</f>
        <v>14.61785714</v>
      </c>
      <c r="AO21" s="631" t="str">
        <f t="shared" si="48"/>
        <v>2nd</v>
      </c>
      <c r="AP21" s="575">
        <f>I8</f>
        <v>15.9575</v>
      </c>
      <c r="AQ21" s="632" t="str">
        <f t="shared" si="49"/>
        <v>8th</v>
      </c>
      <c r="AR21" s="575">
        <f>J8</f>
        <v>13.14875</v>
      </c>
      <c r="AS21" s="634" t="str">
        <f t="shared" si="50"/>
        <v>3rd</v>
      </c>
      <c r="AT21" s="575">
        <f>K8</f>
        <v>15.82051282</v>
      </c>
      <c r="AU21" s="635" t="str">
        <f t="shared" si="51"/>
        <v>9th</v>
      </c>
      <c r="AV21" s="575">
        <f>L8</f>
        <v>12.1402439</v>
      </c>
      <c r="AW21" s="201"/>
      <c r="AY21" s="13" t="str">
        <f>N4</f>
        <v/>
      </c>
      <c r="BS21" s="13">
        <v>1.0</v>
      </c>
    </row>
    <row r="22" ht="28.5" customHeight="1">
      <c r="A22" s="649"/>
      <c r="B22" s="650" t="s">
        <v>207</v>
      </c>
      <c r="C22" s="651">
        <f>'BACKEND 1'!X21</f>
        <v>247.45</v>
      </c>
      <c r="D22" s="651">
        <f>'BACKEND 1'!Y21</f>
        <v>219.36</v>
      </c>
      <c r="E22" s="651">
        <f>'BACKEND 1'!Z21</f>
        <v>216.6</v>
      </c>
      <c r="F22" s="651">
        <f>'BACKEND 1'!AA21</f>
        <v>192.42</v>
      </c>
      <c r="G22" s="547">
        <f>'BACKEND 1'!T340</f>
        <v>206.24</v>
      </c>
      <c r="H22" s="651">
        <f>'BACKEND 1'!AB21</f>
        <v>232.94</v>
      </c>
      <c r="I22" s="651">
        <f>'BACKEND 1'!AC21</f>
        <v>230.16</v>
      </c>
      <c r="J22" s="651">
        <f>'BACKEND 1'!AD21</f>
        <v>204.92</v>
      </c>
      <c r="K22" s="651">
        <f>'BACKEND 1'!AE21</f>
        <v>234.4</v>
      </c>
      <c r="L22" s="547">
        <f>'BACKEND 1'!T313</f>
        <v>216.31</v>
      </c>
      <c r="M22" s="652"/>
      <c r="S22" s="230">
        <f t="shared" si="4"/>
        <v>192.42</v>
      </c>
      <c r="T22" s="230">
        <f t="shared" ref="T22:W22" si="53">H22</f>
        <v>232.94</v>
      </c>
      <c r="U22" s="230">
        <f t="shared" si="53"/>
        <v>230.16</v>
      </c>
      <c r="V22" s="230">
        <f t="shared" si="53"/>
        <v>204.92</v>
      </c>
      <c r="W22" s="230">
        <f t="shared" si="53"/>
        <v>234.4</v>
      </c>
      <c r="AK22" s="201"/>
      <c r="AL22" s="577" t="s">
        <v>504</v>
      </c>
      <c r="AM22" s="630" t="str">
        <f t="shared" si="47"/>
        <v>9th</v>
      </c>
      <c r="AN22" s="575">
        <f>H10</f>
        <v>8.492857143</v>
      </c>
      <c r="AO22" s="631" t="str">
        <f t="shared" si="48"/>
        <v>10th</v>
      </c>
      <c r="AP22" s="575">
        <f>I10</f>
        <v>8.178571429</v>
      </c>
      <c r="AQ22" s="632" t="str">
        <f t="shared" si="49"/>
        <v>2nd</v>
      </c>
      <c r="AR22" s="575">
        <f>J10</f>
        <v>14.32857143</v>
      </c>
      <c r="AS22" s="634" t="str">
        <f t="shared" si="50"/>
        <v>3rd</v>
      </c>
      <c r="AT22" s="575">
        <f>K10</f>
        <v>13.2</v>
      </c>
      <c r="AU22" s="635" t="str">
        <f t="shared" si="51"/>
        <v>5th</v>
      </c>
      <c r="AV22" s="575">
        <f>L10</f>
        <v>12.53333333</v>
      </c>
      <c r="AW22" s="201"/>
    </row>
    <row r="23" ht="28.5" customHeight="1">
      <c r="A23" s="561"/>
      <c r="B23" s="656" t="s">
        <v>228</v>
      </c>
      <c r="C23" s="657">
        <f>'BACKEND 1'!X22</f>
        <v>2302.12</v>
      </c>
      <c r="D23" s="657">
        <f>'BACKEND 1'!Y22</f>
        <v>2258.98</v>
      </c>
      <c r="E23" s="657">
        <f>'BACKEND 1'!Z22</f>
        <v>2518.06</v>
      </c>
      <c r="F23" s="657">
        <f>'BACKEND 1'!AA22</f>
        <v>2109.53</v>
      </c>
      <c r="G23" s="547">
        <f>'BACKEND 1'!T341</f>
        <v>2124.41</v>
      </c>
      <c r="H23" s="657">
        <f>'BACKEND 1'!AB22</f>
        <v>2310.37</v>
      </c>
      <c r="I23" s="657">
        <f>'BACKEND 1'!AC22</f>
        <v>2274.44</v>
      </c>
      <c r="J23" s="657">
        <f>'BACKEND 1'!AD22</f>
        <v>2236.72</v>
      </c>
      <c r="K23" s="657">
        <f>'BACKEND 1'!AE22</f>
        <v>2296.58</v>
      </c>
      <c r="L23" s="547">
        <f>'BACKEND 1'!T314</f>
        <v>2175.55</v>
      </c>
      <c r="M23" s="564"/>
      <c r="S23" s="230">
        <f t="shared" si="4"/>
        <v>2109.53</v>
      </c>
      <c r="T23" s="230">
        <f t="shared" ref="T23:W23" si="54">H23</f>
        <v>2310.37</v>
      </c>
      <c r="U23" s="230">
        <f t="shared" si="54"/>
        <v>2274.44</v>
      </c>
      <c r="V23" s="230">
        <f t="shared" si="54"/>
        <v>2236.72</v>
      </c>
      <c r="W23" s="230">
        <f t="shared" si="54"/>
        <v>2296.58</v>
      </c>
      <c r="AK23" s="201"/>
      <c r="AL23" s="580" t="s">
        <v>505</v>
      </c>
      <c r="AM23" s="630" t="str">
        <f t="shared" si="47"/>
        <v>5th</v>
      </c>
      <c r="AN23" s="575">
        <f>H12</f>
        <v>13.64428571</v>
      </c>
      <c r="AO23" s="631" t="str">
        <f t="shared" si="48"/>
        <v>6th</v>
      </c>
      <c r="AP23" s="575">
        <f>I12</f>
        <v>13.20833333</v>
      </c>
      <c r="AQ23" s="632" t="str">
        <f t="shared" si="49"/>
        <v>3rd</v>
      </c>
      <c r="AR23" s="575">
        <f>J12</f>
        <v>15.97857143</v>
      </c>
      <c r="AS23" s="634" t="str">
        <f t="shared" si="50"/>
        <v>4th</v>
      </c>
      <c r="AT23" s="575">
        <f>K12</f>
        <v>13.90714286</v>
      </c>
      <c r="AU23" s="635" t="str">
        <f t="shared" si="51"/>
        <v>2nd</v>
      </c>
      <c r="AV23" s="575">
        <f>L12</f>
        <v>16.72857143</v>
      </c>
      <c r="AW23" s="201"/>
    </row>
    <row r="24" ht="28.5" customHeight="1">
      <c r="A24" s="659" t="s">
        <v>42</v>
      </c>
      <c r="B24" s="546" t="s">
        <v>202</v>
      </c>
      <c r="C24" s="547">
        <f>'BACKEND 1'!X23</f>
        <v>4.230769231</v>
      </c>
      <c r="D24" s="660">
        <f>'BACKEND 1'!Y23</f>
        <v>3.153846154</v>
      </c>
      <c r="E24" s="660">
        <f>'BACKEND 1'!Z23</f>
        <v>3.923076923</v>
      </c>
      <c r="F24" s="660">
        <f>'BACKEND 1'!AA23</f>
        <v>7.923076923</v>
      </c>
      <c r="G24" s="547">
        <f>'BACKEND 1'!T342</f>
        <v>8.076923077</v>
      </c>
      <c r="H24" s="660">
        <f>'BACKEND 1'!AB23</f>
        <v>5.461538462</v>
      </c>
      <c r="I24" s="660">
        <f>'BACKEND 1'!AC23</f>
        <v>8</v>
      </c>
      <c r="J24" s="660">
        <f>'BACKEND 1'!AD23</f>
        <v>3.076923077</v>
      </c>
      <c r="K24" s="660">
        <f>'BACKEND 1'!AE23</f>
        <v>2.230769231</v>
      </c>
      <c r="L24" s="547">
        <f>'BACKEND 1'!T315</f>
        <v>8.923076923</v>
      </c>
      <c r="M24" s="661" t="s">
        <v>42</v>
      </c>
      <c r="S24" s="230">
        <f t="shared" si="4"/>
        <v>7.923076923</v>
      </c>
      <c r="T24" s="230">
        <f t="shared" ref="T24:W24" si="55">H24</f>
        <v>5.461538462</v>
      </c>
      <c r="U24" s="230">
        <f t="shared" si="55"/>
        <v>8</v>
      </c>
      <c r="V24" s="230">
        <f t="shared" si="55"/>
        <v>3.076923077</v>
      </c>
      <c r="W24" s="230">
        <f t="shared" si="55"/>
        <v>2.230769231</v>
      </c>
      <c r="AK24" s="201"/>
      <c r="AL24" s="581" t="s">
        <v>506</v>
      </c>
      <c r="AM24" s="630" t="str">
        <f t="shared" si="47"/>
        <v>4th</v>
      </c>
      <c r="AN24" s="575">
        <f>H14</f>
        <v>18.09</v>
      </c>
      <c r="AO24" s="631" t="str">
        <f t="shared" si="48"/>
        <v>10th</v>
      </c>
      <c r="AP24" s="575">
        <f>I14</f>
        <v>1</v>
      </c>
      <c r="AQ24" s="632" t="str">
        <f t="shared" si="49"/>
        <v>2nd</v>
      </c>
      <c r="AR24" s="575">
        <f>J14</f>
        <v>18.78357143</v>
      </c>
      <c r="AS24" s="634" t="str">
        <f t="shared" si="50"/>
        <v>8th</v>
      </c>
      <c r="AT24" s="575">
        <f>K14</f>
        <v>14.85571429</v>
      </c>
      <c r="AU24" s="635" t="str">
        <f t="shared" si="51"/>
        <v>1st</v>
      </c>
      <c r="AV24" s="575">
        <f>L14</f>
        <v>19.39571429</v>
      </c>
      <c r="AW24" s="201"/>
    </row>
    <row r="25" ht="28.5" customHeight="1">
      <c r="A25" s="649"/>
      <c r="B25" s="650" t="s">
        <v>231</v>
      </c>
      <c r="C25" s="651">
        <f>'BACKEND 1'!X24</f>
        <v>2</v>
      </c>
      <c r="D25" s="662">
        <f>'BACKEND 1'!Y24</f>
        <v>1</v>
      </c>
      <c r="E25" s="662">
        <f>'BACKEND 1'!Z24</f>
        <v>1</v>
      </c>
      <c r="F25" s="662">
        <f>'BACKEND 1'!AA24</f>
        <v>6</v>
      </c>
      <c r="G25" s="547">
        <f>'BACKEND 1'!T343</f>
        <v>6</v>
      </c>
      <c r="H25" s="662">
        <f>'BACKEND 1'!AB24</f>
        <v>1</v>
      </c>
      <c r="I25" s="662">
        <f>'BACKEND 1'!AC24</f>
        <v>7</v>
      </c>
      <c r="J25" s="662">
        <f>'BACKEND 1'!AD24</f>
        <v>2</v>
      </c>
      <c r="K25" s="662">
        <f>'BACKEND 1'!AE24</f>
        <v>1</v>
      </c>
      <c r="L25" s="547">
        <f>'BACKEND 1'!T316</f>
        <v>7</v>
      </c>
      <c r="M25" s="663"/>
      <c r="S25" s="230">
        <f t="shared" si="4"/>
        <v>6</v>
      </c>
      <c r="T25" s="230">
        <f t="shared" ref="T25:W25" si="56">H25</f>
        <v>1</v>
      </c>
      <c r="U25" s="230">
        <f t="shared" si="56"/>
        <v>7</v>
      </c>
      <c r="V25" s="230">
        <f t="shared" si="56"/>
        <v>2</v>
      </c>
      <c r="W25" s="230">
        <f t="shared" si="56"/>
        <v>1</v>
      </c>
      <c r="AK25" s="201"/>
      <c r="AL25" s="584" t="s">
        <v>508</v>
      </c>
      <c r="AM25" s="630" t="str">
        <f t="shared" si="47"/>
        <v>5th</v>
      </c>
      <c r="AN25" s="575">
        <f>H16</f>
        <v>10.03571429</v>
      </c>
      <c r="AO25" s="631" t="str">
        <f t="shared" si="48"/>
        <v>2nd</v>
      </c>
      <c r="AP25" s="575">
        <f>I16</f>
        <v>11.57692308</v>
      </c>
      <c r="AQ25" s="632" t="str">
        <f t="shared" si="49"/>
        <v>6th</v>
      </c>
      <c r="AR25" s="575">
        <f>J16</f>
        <v>9.964285714</v>
      </c>
      <c r="AS25" s="634" t="str">
        <f t="shared" si="50"/>
        <v>1st</v>
      </c>
      <c r="AT25" s="575">
        <f>K16</f>
        <v>11.82142857</v>
      </c>
      <c r="AU25" s="635" t="str">
        <f t="shared" si="51"/>
        <v>9th</v>
      </c>
      <c r="AV25" s="575">
        <f>L16</f>
        <v>8.392857143</v>
      </c>
      <c r="AW25" s="201"/>
    </row>
    <row r="26" ht="28.5" customHeight="1">
      <c r="A26" s="561"/>
      <c r="B26" s="664" t="s">
        <v>234</v>
      </c>
      <c r="C26" s="657">
        <f>'BACKEND 1'!X25</f>
        <v>1.23516842</v>
      </c>
      <c r="D26" s="481">
        <f>'BACKEND 1'!Y25</f>
        <v>1.463224399</v>
      </c>
      <c r="E26" s="481">
        <f>'BACKEND 1'!Z25</f>
        <v>3.546395787</v>
      </c>
      <c r="F26" s="481">
        <f>'BACKEND 1'!AA25</f>
        <v>1.705947364</v>
      </c>
      <c r="G26" s="547">
        <f>'BACKEND 1'!T344</f>
        <v>1.320450584</v>
      </c>
      <c r="H26" s="481">
        <f>'BACKEND 1'!AB25</f>
        <v>1.613246448</v>
      </c>
      <c r="I26" s="481">
        <f>'BACKEND 1'!AC25</f>
        <v>1</v>
      </c>
      <c r="J26" s="481">
        <f>'BACKEND 1'!AD25</f>
        <v>1.037749043</v>
      </c>
      <c r="K26" s="481">
        <f>'BACKEND 1'!AE25</f>
        <v>1.012739367</v>
      </c>
      <c r="L26" s="665">
        <f>'BACKEND 1'!T317</f>
        <v>1.187542172</v>
      </c>
      <c r="M26" s="666"/>
      <c r="S26" s="230">
        <f t="shared" si="4"/>
        <v>1.705947364</v>
      </c>
      <c r="T26" s="230">
        <f t="shared" ref="T26:W26" si="57">H26</f>
        <v>1.613246448</v>
      </c>
      <c r="U26" s="230">
        <f t="shared" si="57"/>
        <v>1</v>
      </c>
      <c r="V26" s="230">
        <f t="shared" si="57"/>
        <v>1.037749043</v>
      </c>
      <c r="W26" s="230">
        <f t="shared" si="57"/>
        <v>1.012739367</v>
      </c>
      <c r="AK26" s="201"/>
      <c r="AL26" s="599" t="s">
        <v>532</v>
      </c>
      <c r="AM26" s="630" t="str">
        <f t="shared" si="47"/>
        <v>5th</v>
      </c>
      <c r="AN26" s="575">
        <f>H18</f>
        <v>10.06428571</v>
      </c>
      <c r="AO26" s="631" t="str">
        <f t="shared" si="48"/>
        <v>9th</v>
      </c>
      <c r="AP26" s="575">
        <f>I18</f>
        <v>9.353846154</v>
      </c>
      <c r="AQ26" s="632" t="str">
        <f t="shared" si="49"/>
        <v>4th</v>
      </c>
      <c r="AR26" s="575">
        <f>J18</f>
        <v>10.37142857</v>
      </c>
      <c r="AS26" s="634" t="str">
        <f t="shared" si="50"/>
        <v>3rd</v>
      </c>
      <c r="AT26" s="575">
        <f>K18</f>
        <v>11.3</v>
      </c>
      <c r="AU26" s="635" t="str">
        <f t="shared" si="51"/>
        <v>6th</v>
      </c>
      <c r="AV26" s="575">
        <f>L18</f>
        <v>9.728571429</v>
      </c>
      <c r="AW26" s="201"/>
    </row>
    <row r="27" ht="28.5" customHeight="1">
      <c r="AK27" s="201"/>
      <c r="AL27" s="607" t="s">
        <v>533</v>
      </c>
      <c r="AM27" s="667" t="str">
        <f t="shared" si="47"/>
        <v>2nd</v>
      </c>
      <c r="AN27" s="575">
        <f>H21</f>
        <v>165.0264286</v>
      </c>
      <c r="AO27" s="668" t="str">
        <f t="shared" si="48"/>
        <v>5th</v>
      </c>
      <c r="AP27" s="575">
        <f>I21</f>
        <v>162.46</v>
      </c>
      <c r="AQ27" s="669" t="str">
        <f t="shared" si="49"/>
        <v>7th</v>
      </c>
      <c r="AR27" s="575">
        <f>J21</f>
        <v>159.7657143</v>
      </c>
      <c r="AS27" s="670" t="str">
        <f t="shared" si="50"/>
        <v>4th</v>
      </c>
      <c r="AT27" s="575">
        <f>K21</f>
        <v>164.0414286</v>
      </c>
      <c r="AU27" s="671" t="str">
        <f t="shared" si="51"/>
        <v>8th</v>
      </c>
      <c r="AV27" s="575">
        <f>L21</f>
        <v>155.3964286</v>
      </c>
      <c r="AW27" s="201"/>
    </row>
    <row r="28" ht="28.5" customHeight="1">
      <c r="A28" s="672" t="s">
        <v>100</v>
      </c>
      <c r="B28" s="673" t="s">
        <v>307</v>
      </c>
      <c r="C28" s="674" t="s">
        <v>492</v>
      </c>
      <c r="D28" s="675" t="s">
        <v>543</v>
      </c>
      <c r="E28" s="676" t="s">
        <v>544</v>
      </c>
      <c r="F28" s="677"/>
      <c r="G28" s="677"/>
      <c r="H28" s="677"/>
      <c r="I28" s="677"/>
      <c r="J28" s="678"/>
      <c r="Q28" s="679" t="s">
        <v>545</v>
      </c>
      <c r="R28" s="680" t="s">
        <v>546</v>
      </c>
      <c r="S28" s="680"/>
      <c r="T28" s="680" t="s">
        <v>547</v>
      </c>
      <c r="U28" s="680"/>
      <c r="V28" s="680" t="s">
        <v>548</v>
      </c>
      <c r="AK28" s="201"/>
      <c r="AL28" s="614" t="s">
        <v>534</v>
      </c>
      <c r="AM28" s="561"/>
      <c r="AN28" s="617">
        <f>H23</f>
        <v>2310.37</v>
      </c>
      <c r="AO28" s="561"/>
      <c r="AP28" s="617">
        <f>I23</f>
        <v>2274.44</v>
      </c>
      <c r="AQ28" s="561"/>
      <c r="AR28" s="617">
        <f>J23</f>
        <v>2236.72</v>
      </c>
      <c r="AS28" s="561"/>
      <c r="AT28" s="617">
        <f>K23</f>
        <v>2296.58</v>
      </c>
      <c r="AU28" s="561"/>
      <c r="AV28" s="617">
        <f>$L23</f>
        <v>2175.55</v>
      </c>
      <c r="AW28" s="201"/>
    </row>
    <row r="29" ht="15.75" customHeight="1">
      <c r="A29" s="681"/>
      <c r="B29" s="682">
        <f t="shared" ref="B29:B38" si="61">_xlfn.RANK.EQ(D29,$D$29:$D$38)</f>
        <v>1</v>
      </c>
      <c r="C29" s="683" t="str">
        <f t="shared" ref="C29:C38" si="62">INDEX(C$3:L$3,MATCH(LARGE(C$4:L$4,$Q29),C$4:L$4,0))</f>
        <v>EAGLES</v>
      </c>
      <c r="D29" s="684">
        <f t="shared" ref="D29:D38" si="63">LARGE(C$4:L$4,$Q29)</f>
        <v>28.89714286</v>
      </c>
      <c r="E29" s="685" t="str">
        <f t="array" ref="E29">TEXTJOIN(", ", TRUE, UNIQUE(_xlws.FILTER('All-Stars'!$D$2:$D$1821, ('All-Stars'!$B$2:$B$1821 = 'League Stats'!C29) * ('All-Stars'!$C$2:$C$1821 = 'League Stats'!$A$28))))</f>
        <v>#NAME?</v>
      </c>
      <c r="F29" s="686"/>
      <c r="G29" s="686"/>
      <c r="H29" s="686"/>
      <c r="I29" s="686"/>
      <c r="J29" s="687"/>
      <c r="Q29" s="13">
        <v>1.0</v>
      </c>
      <c r="R29" s="688" t="str">
        <f t="array" ref="R29">IFERROR(INDEX(Y$29:Y$38, SMALL(IF($Z$29:$Z$38 = MAX($Z$29:$Z$38), ROW(Y$29:Y$38)-ROW(Y$29)+1), ROW(1:1))), "-")</f>
        <v>EAGLES</v>
      </c>
      <c r="S29" s="689">
        <f t="array" ref="S29">IFERROR(INDEX($Z$29:$Z$38, SMALL(IF($Z$29:$Z$38 = MAX($Z$29:$Z$38), ROW($Z$29:$Z$38)-ROW(Z$29)+1), ROW(1:1))), "-")</f>
        <v>28.89714286</v>
      </c>
      <c r="T29" s="688" t="str">
        <f t="array" ref="T29">IFERROR(INDEX(Y$29:Y$38, SMALL(IF($Z$29:$Z$38 = LARGE($Z$29:$Z$38,2), ROW(Y$29:Y$38)-ROW(Y$29)+1), ROW(1:1))), "-")</f>
        <v>DECOUPES</v>
      </c>
      <c r="U29" s="689">
        <f t="array" ref="U29">IFERROR(INDEX($Z$29:$Z$38, SMALL(IF($Z$29:$Z$38 = LARGE($Z$29:$Z$38,2), ROW($Z$29:$Z$38)-ROW(Z$29)+1), ROW(1:1))), "-")</f>
        <v>26.93</v>
      </c>
      <c r="V29" s="688" t="str">
        <f t="array" ref="V29">IFERROR(INDEX(Y$29:Y$38, SMALL(IF($Z$29:$Z$38 = LARGE($Z$29:$Z$38,3), ROW(Y$29:Y$38)-ROW(Y$29)+1), ROW(1:1))), "-")</f>
        <v>KINGS</v>
      </c>
      <c r="W29" s="689">
        <f t="array" ref="W29">IFERROR(INDEX($Z$29:$Z$38, SMALL(IF($Z$29:$Z$38 = LARGE($Z$29:$Z$38,3), ROW($Z$29:$Z$38)-ROW(Z$29)+1), ROW(1:1))), "-")</f>
        <v>25.48857143</v>
      </c>
      <c r="Y29" s="13" t="str">
        <f>Settings!$A$3</f>
        <v>DECOUPES</v>
      </c>
      <c r="Z29" s="224">
        <f t="array" ref="Z29:Z38">TRANSPOSE(C4:L4)</f>
        <v>26.93</v>
      </c>
      <c r="AB29" s="688" t="str">
        <f t="shared" ref="AB29:AC29" si="58">R29</f>
        <v>EAGLES</v>
      </c>
      <c r="AC29" s="690">
        <f t="shared" si="58"/>
        <v>28.89714286</v>
      </c>
      <c r="AD29" s="691"/>
      <c r="AE29" s="691" t="str">
        <f t="shared" ref="AE29:AF29" si="59">IF(T29 = R29, "", T29)</f>
        <v>DECOUPES</v>
      </c>
      <c r="AF29" s="690">
        <f t="shared" si="59"/>
        <v>26.93</v>
      </c>
      <c r="AG29" s="691"/>
      <c r="AH29" s="691" t="str">
        <f t="shared" ref="AH29:AI29" si="60">IF(OR(V29=R29, V29=T29), "", V29)</f>
        <v>KINGS</v>
      </c>
      <c r="AI29" s="689">
        <f t="shared" si="60"/>
        <v>25.48857143</v>
      </c>
      <c r="AK29" s="201"/>
      <c r="AL29" s="201"/>
      <c r="AM29" s="201"/>
      <c r="AN29" s="201"/>
      <c r="AO29" s="201"/>
      <c r="AP29" s="201"/>
      <c r="AQ29" s="201"/>
      <c r="AR29" s="201"/>
      <c r="AS29" s="201"/>
      <c r="AT29" s="201"/>
      <c r="AU29" s="201"/>
      <c r="AV29" s="201"/>
      <c r="AW29" s="201"/>
    </row>
    <row r="30" ht="15.75" customHeight="1">
      <c r="A30" s="681"/>
      <c r="B30" s="682">
        <f t="shared" si="61"/>
        <v>2</v>
      </c>
      <c r="C30" s="683" t="str">
        <f t="shared" si="62"/>
        <v>DECOUPES</v>
      </c>
      <c r="D30" s="692">
        <f t="shared" si="63"/>
        <v>26.93</v>
      </c>
      <c r="E30" s="693" t="str">
        <f t="array" ref="E30">TEXTJOIN(", ", TRUE, UNIQUE(_xlws.FILTER('All-Stars'!$D$2:$D$1821, ('All-Stars'!$B$2:$B$1821 = 'League Stats'!C30) * ('All-Stars'!$C$2:$C$1821 = 'League Stats'!$A$28))))</f>
        <v>#NAME?</v>
      </c>
      <c r="F30" s="694"/>
      <c r="G30" s="694"/>
      <c r="H30" s="694"/>
      <c r="I30" s="694"/>
      <c r="J30" s="695"/>
      <c r="Q30" s="13">
        <v>2.0</v>
      </c>
      <c r="R30" s="696" t="str">
        <f t="array" ref="R30">IFERROR(INDEX(Y$29:Y$38, SMALL(IF($Z$29:$Z$38 = MAX($Z$29:$Z$38), ROW(Y$29:Y$38)-ROW(Y$29)+1), ROW(2:2))), "-")</f>
        <v>-</v>
      </c>
      <c r="S30" s="697" t="str">
        <f t="array" ref="S30">IFERROR(INDEX($Z$29:$Z$38, SMALL(IF($Z$29:$Z$38 = MAX($Z$29:$Z$38), ROW($Z$29:$Z$38)-ROW(Z$29)+1), ROW(2:2))), "-")</f>
        <v>-</v>
      </c>
      <c r="T30" s="696" t="str">
        <f t="array" ref="T30">IFERROR(INDEX(Y$29:Y$38, SMALL(IF($Z$29:$Z$38 = LARGE($Z$29:$Z$38,2), ROW(Y$29:Y$38)-ROW(Y$29)+1), ROW(2:2))), "-")</f>
        <v>-</v>
      </c>
      <c r="U30" s="697" t="str">
        <f t="array" ref="U30">IFERROR(INDEX($Z$29:$Z$38, SMALL(IF($Z$29:$Z$38 = LARGE($Z$29:$Z$38,2), ROW($Z$29:$Z$38)-ROW(Z$29)+1), ROW(2:2))), "-")</f>
        <v>-</v>
      </c>
      <c r="V30" s="696" t="str">
        <f t="array" ref="V30">IFERROR(INDEX(Y$29:Y$38, SMALL(IF($Z$29:$Z$38 = LARGE($Z$29:$Z$38,3), ROW(Y$29:Y$38)-ROW(Y$29)+1), ROW(2:2))), "-")</f>
        <v>-</v>
      </c>
      <c r="W30" s="697" t="str">
        <f t="array" ref="W30">IFERROR(INDEX($Z$29:$Z$38, SMALL(IF($Z$29:$Z$38 = LARGE($Z$29:$Z$38,3), ROW($Z$29:$Z$38)-ROW(Z$29)+1), ROW(2:2))), "-")</f>
        <v>-</v>
      </c>
      <c r="Y30" s="13" t="str">
        <f>Settings!$A$4</f>
        <v>POPEYES</v>
      </c>
      <c r="Z30" s="224">
        <v>22.314285714285717</v>
      </c>
      <c r="AB30" s="696" t="str">
        <f t="shared" ref="AB30:AC30" si="64">IF(R30="-","",R30)</f>
        <v/>
      </c>
      <c r="AC30" s="13" t="str">
        <f t="shared" si="64"/>
        <v/>
      </c>
      <c r="AE30" s="13" t="str">
        <f t="shared" ref="AE30:AF30" si="65">IF(T30 = R30, "", T30)</f>
        <v/>
      </c>
      <c r="AF30" s="13" t="str">
        <f t="shared" si="65"/>
        <v/>
      </c>
      <c r="AH30" s="13" t="str">
        <f t="shared" ref="AH30:AI30" si="66">IF(OR(V30=R30, V30=T30), "", V30)</f>
        <v/>
      </c>
      <c r="AI30" s="699" t="str">
        <f t="shared" si="66"/>
        <v/>
      </c>
    </row>
    <row r="31" ht="15.75" customHeight="1">
      <c r="A31" s="681"/>
      <c r="B31" s="682">
        <f t="shared" si="61"/>
        <v>3</v>
      </c>
      <c r="C31" s="683" t="str">
        <f t="shared" si="62"/>
        <v>KINGS</v>
      </c>
      <c r="D31" s="692">
        <f t="shared" si="63"/>
        <v>25.48857143</v>
      </c>
      <c r="E31" s="693" t="str">
        <f t="array" ref="E31">TEXTJOIN(", ", TRUE, UNIQUE(_xlws.FILTER('All-Stars'!$D$2:$D$1821, ('All-Stars'!$B$2:$B$1821 = 'League Stats'!C31) * ('All-Stars'!$C$2:$C$1821 = 'League Stats'!$A$28))))</f>
        <v>#NAME?</v>
      </c>
      <c r="F31" s="694"/>
      <c r="G31" s="694"/>
      <c r="H31" s="694"/>
      <c r="I31" s="694"/>
      <c r="J31" s="695"/>
      <c r="Q31" s="13">
        <v>3.0</v>
      </c>
      <c r="R31" s="696" t="str">
        <f t="array" ref="R31">IFERROR(INDEX(Y$29:Y$38, SMALL(IF($Z$29:$Z$38 = MAX($Z$29:$Z$38), ROW(Y$29:Y$38)-ROW(Y$29)+1), ROW(3:3))), "-")</f>
        <v>-</v>
      </c>
      <c r="S31" s="697" t="str">
        <f t="array" ref="S31">IFERROR(INDEX($Z$29:$Z$38, SMALL(IF($Z$29:$Z$38 = MAX($Z$29:$Z$38), ROW($Z$29:$Z$38)-ROW(Z$29)+1), ROW(3:3))), "-")</f>
        <v>-</v>
      </c>
      <c r="T31" s="696" t="str">
        <f t="array" ref="T31">IFERROR(INDEX(Y$29:Y$38, SMALL(IF($Z$29:$Z$38 = LARGE($Z$29:$Z$38,2), ROW(Y$29:Y$38)-ROW(Y$29)+1), ROW(3:3))), "-")</f>
        <v>-</v>
      </c>
      <c r="U31" s="697" t="str">
        <f t="array" ref="U31">IFERROR(INDEX($Z$29:$Z$38, SMALL(IF($Z$29:$Z$38 = LARGE($Z$29:$Z$38,2), ROW($Z$29:$Z$38)-ROW(Z$29)+1), ROW(3:3))), "-")</f>
        <v>-</v>
      </c>
      <c r="V31" s="696" t="str">
        <f t="array" ref="V31">IFERROR(INDEX(Y$29:Y$38, SMALL(IF($Z$29:$Z$38 = LARGE($Z$29:$Z$38,3), ROW(Y$29:Y$38)-ROW(Y$29)+1), ROW(3:3))), "-")</f>
        <v>-</v>
      </c>
      <c r="W31" s="697" t="str">
        <f t="array" ref="W31">IFERROR(INDEX($Z$29:$Z$38, SMALL(IF($Z$29:$Z$38 = LARGE($Z$29:$Z$38,3), ROW($Z$29:$Z$38)-ROW(Z$29)+1), ROW(3:3))), "-")</f>
        <v>-</v>
      </c>
      <c r="Y31" s="13" t="str">
        <f>Settings!$A$5</f>
        <v>GREEN</v>
      </c>
      <c r="Z31" s="224">
        <v>25.23</v>
      </c>
      <c r="AB31" s="696" t="str">
        <f t="shared" ref="AB31:AC31" si="67">IF(R31="-","",R31)</f>
        <v/>
      </c>
      <c r="AC31" s="13" t="str">
        <f t="shared" si="67"/>
        <v/>
      </c>
      <c r="AE31" s="13" t="str">
        <f t="shared" ref="AE31:AF31" si="68">IF(T31 = R31, "", T31)</f>
        <v/>
      </c>
      <c r="AF31" s="13" t="str">
        <f t="shared" si="68"/>
        <v/>
      </c>
      <c r="AH31" s="13" t="str">
        <f t="shared" ref="AH31:AI31" si="69">IF(OR(V31=R31, V31=T31), "", V31)</f>
        <v/>
      </c>
      <c r="AI31" s="699" t="str">
        <f t="shared" si="69"/>
        <v/>
      </c>
    </row>
    <row r="32" ht="15.75" customHeight="1">
      <c r="A32" s="681"/>
      <c r="B32" s="682">
        <f t="shared" si="61"/>
        <v>4</v>
      </c>
      <c r="C32" s="683" t="str">
        <f t="shared" si="62"/>
        <v>GREEN</v>
      </c>
      <c r="D32" s="692">
        <f t="shared" si="63"/>
        <v>25.23</v>
      </c>
      <c r="E32" s="693" t="str">
        <f t="array" ref="E32">TEXTJOIN(", ", TRUE, UNIQUE(_xlws.FILTER('All-Stars'!$D$2:$D$1821, ('All-Stars'!$B$2:$B$1821 = 'League Stats'!C32) * ('All-Stars'!$C$2:$C$1821 = 'League Stats'!$A$28))))</f>
        <v>#NAME?</v>
      </c>
      <c r="F32" s="694"/>
      <c r="G32" s="694"/>
      <c r="H32" s="694"/>
      <c r="I32" s="694"/>
      <c r="J32" s="695"/>
      <c r="Q32" s="13">
        <v>4.0</v>
      </c>
      <c r="R32" s="696" t="str">
        <f t="array" ref="R32">IFERROR(INDEX(Y$29:Y$38, SMALL(IF($Z$29:$Z$38 = MAX($Z$29:$Z$38), ROW(Y$29:Y$38)-ROW(Y$29)+1), ROW(4:4))), "-")</f>
        <v>-</v>
      </c>
      <c r="S32" s="697" t="str">
        <f t="array" ref="S32">IFERROR(INDEX($Z$29:$Z$38, SMALL(IF($Z$29:$Z$38 = MAX($Z$29:$Z$38), ROW($Z$29:$Z$38)-ROW(Z$29)+1), ROW(4:4))), "-")</f>
        <v>-</v>
      </c>
      <c r="T32" s="696" t="str">
        <f t="array" ref="T32">IFERROR(INDEX(Y$29:Y$38, SMALL(IF($Z$29:$Z$38 = LARGE($Z$29:$Z$38,2), ROW(Y$29:Y$38)-ROW(Y$29)+1), ROW(4:4))), "-")</f>
        <v>-</v>
      </c>
      <c r="U32" s="697" t="str">
        <f t="array" ref="U32">IFERROR(INDEX($Z$29:$Z$38, SMALL(IF($Z$29:$Z$38 = LARGE($Z$29:$Z$38,2), ROW($Z$29:$Z$38)-ROW(Z$29)+1), ROW(4:4))), "-")</f>
        <v>-</v>
      </c>
      <c r="V32" s="696" t="str">
        <f t="array" ref="V32">IFERROR(INDEX(Y$29:Y$38, SMALL(IF($Z$29:$Z$38 = LARGE($Z$29:$Z$38,3), ROW(Y$29:Y$38)-ROW(Y$29)+1), ROW(4:4))), "-")</f>
        <v>-</v>
      </c>
      <c r="W32" s="697" t="str">
        <f t="array" ref="W32">IFERROR(INDEX($Z$29:$Z$38, SMALL(IF($Z$29:$Z$38 = LARGE($Z$29:$Z$38,3), ROW($Z$29:$Z$38)-ROW(Z$29)+1), ROW(4:4))), "-")</f>
        <v>-</v>
      </c>
      <c r="Y32" s="13" t="str">
        <f>Settings!$A$6</f>
        <v>SAVAGES</v>
      </c>
      <c r="Z32" s="224">
        <v>21.884285714285713</v>
      </c>
      <c r="AB32" s="696" t="str">
        <f t="shared" ref="AB32:AC32" si="70">IF(R32="-","",R32)</f>
        <v/>
      </c>
      <c r="AC32" s="13" t="str">
        <f t="shared" si="70"/>
        <v/>
      </c>
      <c r="AE32" s="13" t="str">
        <f t="shared" ref="AE32:AF32" si="71">IF(T32 = R32, "", T32)</f>
        <v/>
      </c>
      <c r="AF32" s="13" t="str">
        <f t="shared" si="71"/>
        <v/>
      </c>
      <c r="AH32" s="13" t="str">
        <f t="shared" ref="AH32:AI32" si="72">IF(OR(V32=R32, V32=T32), "", V32)</f>
        <v/>
      </c>
      <c r="AI32" s="699" t="str">
        <f t="shared" si="72"/>
        <v/>
      </c>
      <c r="AQ32" s="13">
        <v>19.61</v>
      </c>
    </row>
    <row r="33" ht="15.75" customHeight="1">
      <c r="A33" s="681"/>
      <c r="B33" s="682">
        <f t="shared" si="61"/>
        <v>5</v>
      </c>
      <c r="C33" s="683" t="str">
        <f t="shared" si="62"/>
        <v>METAMOOKDAWGS</v>
      </c>
      <c r="D33" s="692">
        <f t="shared" si="63"/>
        <v>23.95857143</v>
      </c>
      <c r="E33" s="693" t="str">
        <f t="array" ref="E33">TEXTJOIN(", ", TRUE, UNIQUE(_xlws.FILTER('All-Stars'!$D$2:$D$1821, ('All-Stars'!$B$2:$B$1821 = 'League Stats'!C33) * ('All-Stars'!$C$2:$C$1821 = 'League Stats'!$A$28))))</f>
        <v>#NAME?</v>
      </c>
      <c r="F33" s="694"/>
      <c r="G33" s="694"/>
      <c r="H33" s="694"/>
      <c r="I33" s="694"/>
      <c r="J33" s="695"/>
      <c r="Q33" s="13">
        <v>5.0</v>
      </c>
      <c r="R33" s="696" t="str">
        <f t="array" ref="R33">IFERROR(INDEX(Y$29:Y$38, SMALL(IF($Z$29:$Z$38 = MAX($Z$29:$Z$38), ROW(Y$29:Y$38)-ROW(Y$29)+1), ROW(5:5))), "-")</f>
        <v>-</v>
      </c>
      <c r="S33" s="697" t="str">
        <f t="array" ref="S33">IFERROR(INDEX($Z$29:$Z$38, SMALL(IF($Z$29:$Z$38 = MAX($Z$29:$Z$38), ROW($Z$29:$Z$38)-ROW(Z$29)+1), ROW(5:5))), "-")</f>
        <v>-</v>
      </c>
      <c r="T33" s="696" t="str">
        <f t="array" ref="T33">IFERROR(INDEX(Y$29:Y$38, SMALL(IF($Z$29:$Z$38 = LARGE($Z$29:$Z$38,2), ROW(Y$29:Y$38)-ROW(Y$29)+1), ROW(5:5))), "-")</f>
        <v>-</v>
      </c>
      <c r="U33" s="697" t="str">
        <f t="array" ref="U33">IFERROR(INDEX($Z$29:$Z$38, SMALL(IF($Z$29:$Z$38 = LARGE($Z$29:$Z$38,2), ROW($Z$29:$Z$38)-ROW(Z$29)+1), ROW(5:5))), "-")</f>
        <v>-</v>
      </c>
      <c r="V33" s="696" t="str">
        <f t="array" ref="V33">IFERROR(INDEX(Y$29:Y$38, SMALL(IF($Z$29:$Z$38 = LARGE($Z$29:$Z$38,3), ROW(Y$29:Y$38)-ROW(Y$29)+1), ROW(5:5))), "-")</f>
        <v>-</v>
      </c>
      <c r="W33" s="697" t="str">
        <f t="array" ref="W33">IFERROR(INDEX($Z$29:$Z$38, SMALL(IF($Z$29:$Z$38 = LARGE($Z$29:$Z$38,3), ROW($Z$29:$Z$38)-ROW(Z$29)+1), ROW(5:5))), "-")</f>
        <v>-</v>
      </c>
      <c r="Y33" s="13" t="str">
        <f>Settings!$A$12</f>
        <v>KINGS</v>
      </c>
      <c r="Z33" s="224">
        <v>25.48857142857143</v>
      </c>
      <c r="AB33" s="696" t="str">
        <f t="shared" ref="AB33:AC33" si="73">IF(R33="-","",R33)</f>
        <v/>
      </c>
      <c r="AC33" s="13" t="str">
        <f t="shared" si="73"/>
        <v/>
      </c>
      <c r="AE33" s="13" t="str">
        <f t="shared" ref="AE33:AF33" si="74">IF(T33 = R33, "", T33)</f>
        <v/>
      </c>
      <c r="AF33" s="13" t="str">
        <f t="shared" si="74"/>
        <v/>
      </c>
      <c r="AH33" s="13" t="str">
        <f t="shared" ref="AH33:AI33" si="75">IF(OR(V33=R33, V33=T33), "", V33)</f>
        <v/>
      </c>
      <c r="AI33" s="699" t="str">
        <f t="shared" si="75"/>
        <v/>
      </c>
    </row>
    <row r="34" ht="15.75" customHeight="1">
      <c r="A34" s="681"/>
      <c r="B34" s="682">
        <f t="shared" si="61"/>
        <v>6</v>
      </c>
      <c r="C34" s="683" t="str">
        <f t="shared" si="62"/>
        <v>CHAMPS</v>
      </c>
      <c r="D34" s="692">
        <f t="shared" si="63"/>
        <v>23.38142857</v>
      </c>
      <c r="E34" s="693" t="str">
        <f t="array" ref="E34">TEXTJOIN(", ", TRUE, UNIQUE(_xlws.FILTER('All-Stars'!$D$2:$D$1821, ('All-Stars'!$B$2:$B$1821 = 'League Stats'!C34) * ('All-Stars'!$C$2:$C$1821 = 'League Stats'!$A$28))))</f>
        <v>#NAME?</v>
      </c>
      <c r="F34" s="694"/>
      <c r="G34" s="694"/>
      <c r="H34" s="694"/>
      <c r="I34" s="694"/>
      <c r="J34" s="695"/>
      <c r="Q34" s="13">
        <v>6.0</v>
      </c>
      <c r="R34" s="696" t="str">
        <f t="array" ref="R34">IFERROR(INDEX(Y$29:Y$38, SMALL(IF($Z$29:$Z$38 = MAX($Z$29:$Z$38), ROW(Y$29:Y$38)-ROW(Y$29)+1), ROW(6:6))), "-")</f>
        <v>-</v>
      </c>
      <c r="S34" s="697" t="str">
        <f t="array" ref="S34">IFERROR(INDEX($Z$29:$Z$38, SMALL(IF($Z$29:$Z$38 = MAX($Z$29:$Z$38), ROW($Z$29:$Z$38)-ROW(Z$29)+1), ROW(6:6))), "-")</f>
        <v>-</v>
      </c>
      <c r="T34" s="696" t="str">
        <f t="array" ref="T34">IFERROR(INDEX(Y$29:Y$38, SMALL(IF($Z$29:$Z$38 = LARGE($Z$29:$Z$38,2), ROW(Y$29:Y$38)-ROW(Y$29)+1), ROW(6:6))), "-")</f>
        <v>-</v>
      </c>
      <c r="U34" s="697" t="str">
        <f t="array" ref="U34">IFERROR(INDEX($Z$29:$Z$38, SMALL(IF($Z$29:$Z$38 = LARGE($Z$29:$Z$38,2), ROW($Z$29:$Z$38)-ROW(Z$29)+1), ROW(6:6))), "-")</f>
        <v>-</v>
      </c>
      <c r="V34" s="696" t="str">
        <f t="array" ref="V34">IFERROR(INDEX(Y$29:Y$38, SMALL(IF($Z$29:$Z$38 = LARGE($Z$29:$Z$38,3), ROW(Y$29:Y$38)-ROW(Y$29)+1), ROW(6:6))), "-")</f>
        <v>-</v>
      </c>
      <c r="W34" s="697" t="str">
        <f t="array" ref="W34">IFERROR(INDEX($Z$29:$Z$38, SMALL(IF($Z$29:$Z$38 = LARGE($Z$29:$Z$38,3), ROW($Z$29:$Z$38)-ROW(Z$29)+1), ROW(6:6))), "-")</f>
        <v>-</v>
      </c>
      <c r="Y34" s="13" t="str">
        <f>Settings!$A$7</f>
        <v>CHAMPS</v>
      </c>
      <c r="Z34" s="224">
        <v>23.381428571428568</v>
      </c>
      <c r="AB34" s="696" t="str">
        <f t="shared" ref="AB34:AC34" si="76">IF(R34="-","",R34)</f>
        <v/>
      </c>
      <c r="AC34" s="13" t="str">
        <f t="shared" si="76"/>
        <v/>
      </c>
      <c r="AE34" s="13" t="str">
        <f t="shared" ref="AE34:AF34" si="77">IF(T34 = R34, "", T34)</f>
        <v/>
      </c>
      <c r="AF34" s="13" t="str">
        <f t="shared" si="77"/>
        <v/>
      </c>
      <c r="AH34" s="13" t="str">
        <f t="shared" ref="AH34:AI34" si="78">IF(OR(V34=R34, V34=T34), "", V34)</f>
        <v/>
      </c>
      <c r="AI34" s="699" t="str">
        <f t="shared" si="78"/>
        <v/>
      </c>
    </row>
    <row r="35" ht="15.75" customHeight="1">
      <c r="A35" s="681"/>
      <c r="B35" s="682">
        <f t="shared" si="61"/>
        <v>7</v>
      </c>
      <c r="C35" s="683" t="str">
        <f t="shared" si="62"/>
        <v>MUTTS</v>
      </c>
      <c r="D35" s="692">
        <f t="shared" si="63"/>
        <v>22.41076923</v>
      </c>
      <c r="E35" s="693" t="str">
        <f t="array" ref="E35">TEXTJOIN(", ", TRUE, UNIQUE(_xlws.FILTER('All-Stars'!$D$2:$D$1821, ('All-Stars'!$B$2:$B$1821 = 'League Stats'!C35) * ('All-Stars'!$C$2:$C$1821 = 'League Stats'!$A$28))))</f>
        <v>#NAME?</v>
      </c>
      <c r="F35" s="694"/>
      <c r="G35" s="694"/>
      <c r="H35" s="694"/>
      <c r="I35" s="694"/>
      <c r="J35" s="695"/>
      <c r="Q35" s="13">
        <v>7.0</v>
      </c>
      <c r="R35" s="696" t="str">
        <f t="array" ref="R35">IFERROR(INDEX(Y$29:Y$38, SMALL(IF($Z$29:$Z$38 = MAX($Z$29:$Z$38), ROW(Y$29:Y$38)-ROW(Y$29)+1), ROW(7:7))), "-")</f>
        <v>-</v>
      </c>
      <c r="S35" s="697" t="str">
        <f t="array" ref="S35">IFERROR(INDEX($Z$29:$Z$38, SMALL(IF($Z$29:$Z$38 = MAX($Z$29:$Z$38), ROW($Z$29:$Z$38)-ROW(Z$29)+1), ROW(7:7))), "-")</f>
        <v>-</v>
      </c>
      <c r="T35" s="696" t="str">
        <f t="array" ref="T35">IFERROR(INDEX(Y$29:Y$38, SMALL(IF($Z$29:$Z$38 = LARGE($Z$29:$Z$38,2), ROW(Y$29:Y$38)-ROW(Y$29)+1), ROW(7:7))), "-")</f>
        <v>-</v>
      </c>
      <c r="U35" s="697" t="str">
        <f t="array" ref="U35">IFERROR(INDEX($Z$29:$Z$38, SMALL(IF($Z$29:$Z$38 = LARGE($Z$29:$Z$38,2), ROW($Z$29:$Z$38)-ROW(Z$29)+1), ROW(7:7))), "-")</f>
        <v>-</v>
      </c>
      <c r="V35" s="696" t="str">
        <f t="array" ref="V35">IFERROR(INDEX(Y$29:Y$38, SMALL(IF($Z$29:$Z$38 = LARGE($Z$29:$Z$38,3), ROW(Y$29:Y$38)-ROW(Y$29)+1), ROW(7:7))), "-")</f>
        <v>-</v>
      </c>
      <c r="W35" s="697" t="str">
        <f t="array" ref="W35">IFERROR(INDEX($Z$29:$Z$38, SMALL(IF($Z$29:$Z$38 = LARGE($Z$29:$Z$38,3), ROW($Z$29:$Z$38)-ROW(Z$29)+1), ROW(7:7))), "-")</f>
        <v>-</v>
      </c>
      <c r="Y35" s="13" t="str">
        <f>Settings!$A$8</f>
        <v>METAMOOKDAWGS</v>
      </c>
      <c r="Z35" s="224">
        <v>23.958571428571428</v>
      </c>
      <c r="AB35" s="696"/>
      <c r="AI35" s="699"/>
    </row>
    <row r="36" ht="15.75" customHeight="1">
      <c r="A36" s="681"/>
      <c r="B36" s="682">
        <f t="shared" si="61"/>
        <v>8</v>
      </c>
      <c r="C36" s="683" t="str">
        <f t="shared" si="62"/>
        <v>POPEYES</v>
      </c>
      <c r="D36" s="692">
        <f t="shared" si="63"/>
        <v>22.31428571</v>
      </c>
      <c r="E36" s="693" t="str">
        <f t="array" ref="E36">TEXTJOIN(", ", TRUE, UNIQUE(_xlws.FILTER('All-Stars'!$D$2:$D$1821, ('All-Stars'!$B$2:$B$1821 = 'League Stats'!C36) * ('All-Stars'!$C$2:$C$1821 = 'League Stats'!$A$28))))</f>
        <v>#NAME?</v>
      </c>
      <c r="F36" s="694"/>
      <c r="G36" s="694"/>
      <c r="H36" s="694"/>
      <c r="I36" s="694"/>
      <c r="J36" s="695"/>
      <c r="Q36" s="13">
        <v>8.0</v>
      </c>
      <c r="R36" s="696" t="str">
        <f t="array" ref="R36">IFERROR(INDEX(Y$29:Y$38, SMALL(IF($Z$29:$Z$38 = MAX($Z$29:$Z$38), ROW(Y$29:Y$38)-ROW(Y$29)+1), ROW(8:8))), "-")</f>
        <v>-</v>
      </c>
      <c r="S36" s="697" t="str">
        <f t="array" ref="S36">IFERROR(INDEX($Z$29:$Z$38, SMALL(IF($Z$29:$Z$38 = MAX($Z$29:$Z$38), ROW($Z$29:$Z$38)-ROW(Z$29)+1), ROW(8:8))), "-")</f>
        <v>-</v>
      </c>
      <c r="T36" s="696" t="str">
        <f t="array" ref="T36">IFERROR(INDEX(Y$29:Y$38, SMALL(IF($Z$29:$Z$38 = LARGE($Z$29:$Z$38,2), ROW(Y$29:Y$38)-ROW(Y$29)+1), ROW(8:8))), "-")</f>
        <v>-</v>
      </c>
      <c r="U36" s="697" t="str">
        <f t="array" ref="U36">IFERROR(INDEX($Z$29:$Z$38, SMALL(IF($Z$29:$Z$38 = LARGE($Z$29:$Z$38,2), ROW($Z$29:$Z$38)-ROW(Z$29)+1), ROW(8:8))), "-")</f>
        <v>-</v>
      </c>
      <c r="V36" s="696" t="str">
        <f t="array" ref="V36">IFERROR(INDEX(Y$29:Y$38, SMALL(IF($Z$29:$Z$38 = LARGE($Z$29:$Z$38,3), ROW(Y$29:Y$38)-ROW(Y$29)+1), ROW(8:8))), "-")</f>
        <v>-</v>
      </c>
      <c r="W36" s="697" t="str">
        <f t="array" ref="W36">IFERROR(INDEX($Z$29:$Z$38, SMALL(IF($Z$29:$Z$38 = LARGE($Z$29:$Z$38,3), ROW($Z$29:$Z$38)-ROW(Z$29)+1), ROW(8:8))), "-")</f>
        <v>-</v>
      </c>
      <c r="Y36" s="13" t="str">
        <f>Settings!$A$9</f>
        <v>YARDIES</v>
      </c>
      <c r="Z36" s="224">
        <v>21.79285714285714</v>
      </c>
      <c r="AB36" s="696"/>
      <c r="AI36" s="699"/>
    </row>
    <row r="37" ht="15.75" customHeight="1">
      <c r="A37" s="681"/>
      <c r="B37" s="682">
        <f t="shared" si="61"/>
        <v>9</v>
      </c>
      <c r="C37" s="683" t="str">
        <f t="shared" si="62"/>
        <v>SAVAGES</v>
      </c>
      <c r="D37" s="692">
        <f t="shared" si="63"/>
        <v>21.88428571</v>
      </c>
      <c r="E37" s="693" t="str">
        <f t="array" ref="E37">TEXTJOIN(", ", TRUE, UNIQUE(_xlws.FILTER('All-Stars'!$D$2:$D$1821, ('All-Stars'!$B$2:$B$1821 = 'League Stats'!C37) * ('All-Stars'!$C$2:$C$1821 = 'League Stats'!$A$28))))</f>
        <v>#NAME?</v>
      </c>
      <c r="F37" s="694"/>
      <c r="G37" s="694"/>
      <c r="H37" s="694"/>
      <c r="I37" s="694"/>
      <c r="J37" s="695"/>
      <c r="Q37" s="13">
        <v>9.0</v>
      </c>
      <c r="R37" s="696" t="str">
        <f t="array" ref="R37">IFERROR(INDEX(Y$29:Y$38, SMALL(IF($Z$29:$Z$38 = MAX($Z$29:$Z$38), ROW(Y$29:Y$38)-ROW(Y$29)+1), ROW(9:9))), "-")</f>
        <v>-</v>
      </c>
      <c r="S37" s="697" t="str">
        <f t="array" ref="S37">IFERROR(INDEX($Z$29:$Z$38, SMALL(IF($Z$29:$Z$38 = MAX($Z$29:$Z$38), ROW($Z$29:$Z$38)-ROW(Z$29)+1), ROW(9:9))), "-")</f>
        <v>-</v>
      </c>
      <c r="T37" s="696" t="str">
        <f t="array" ref="T37">IFERROR(INDEX(Y$29:Y$38, SMALL(IF($Z$29:$Z$38 = LARGE($Z$29:$Z$38,2), ROW(Y$29:Y$38)-ROW(Y$29)+1), ROW(9:9))), "-")</f>
        <v>-</v>
      </c>
      <c r="U37" s="697" t="str">
        <f t="array" ref="U37">IFERROR(INDEX($Z$29:$Z$38, SMALL(IF($Z$29:$Z$38 = LARGE($Z$29:$Z$38,2), ROW($Z$29:$Z$38)-ROW(Z$29)+1), ROW(9:9))), "-")</f>
        <v>-</v>
      </c>
      <c r="V37" s="696" t="str">
        <f t="array" ref="V37">IFERROR(INDEX(Y$29:Y$38, SMALL(IF($Z$29:$Z$38 = LARGE($Z$29:$Z$38,3), ROW(Y$29:Y$38)-ROW(Y$29)+1), ROW(9:9))), "-")</f>
        <v>-</v>
      </c>
      <c r="W37" s="697" t="str">
        <f t="array" ref="W37">IFERROR(INDEX($Z$29:$Z$38, SMALL(IF($Z$29:$Z$38 = LARGE($Z$29:$Z$38,3), ROW($Z$29:$Z$38)-ROW(Z$29)+1), ROW(9:9))), "-")</f>
        <v>-</v>
      </c>
      <c r="Y37" s="13" t="str">
        <f>Settings!$A$10</f>
        <v>MUTTS</v>
      </c>
      <c r="Z37" s="224">
        <v>22.41076923076923</v>
      </c>
      <c r="AB37" s="696" t="str">
        <f t="shared" ref="AB37:AC37" si="79">IF(R37="-","",R37)</f>
        <v/>
      </c>
      <c r="AC37" s="13" t="str">
        <f t="shared" si="79"/>
        <v/>
      </c>
      <c r="AE37" s="13" t="str">
        <f t="shared" ref="AE37:AF37" si="80">IF(T37 = R37, "", T37)</f>
        <v/>
      </c>
      <c r="AF37" s="13" t="str">
        <f t="shared" si="80"/>
        <v/>
      </c>
      <c r="AH37" s="13" t="str">
        <f t="shared" ref="AH37:AI37" si="81">IF(OR(V37=R37, V37=T37), "", V37)</f>
        <v/>
      </c>
      <c r="AI37" s="699" t="str">
        <f t="shared" si="81"/>
        <v/>
      </c>
    </row>
    <row r="38" ht="15.75" customHeight="1">
      <c r="A38" s="681"/>
      <c r="B38" s="714">
        <f t="shared" si="61"/>
        <v>10</v>
      </c>
      <c r="C38" s="715" t="str">
        <f t="shared" si="62"/>
        <v>YARDIES</v>
      </c>
      <c r="D38" s="716">
        <f t="shared" si="63"/>
        <v>21.79285714</v>
      </c>
      <c r="E38" s="717" t="str">
        <f t="array" ref="E38">TEXTJOIN(", ", TRUE, UNIQUE(_xlws.FILTER('All-Stars'!$D$2:$D$1821, ('All-Stars'!$B$2:$B$1821 = 'League Stats'!C38) * ('All-Stars'!$C$2:$C$1821 = 'League Stats'!$A$28))))</f>
        <v>#NAME?</v>
      </c>
      <c r="F38" s="718"/>
      <c r="G38" s="718"/>
      <c r="H38" s="718"/>
      <c r="I38" s="718"/>
      <c r="J38" s="719"/>
      <c r="Q38" s="13">
        <v>10.0</v>
      </c>
      <c r="R38" s="720" t="str">
        <f t="array" ref="R38">IFERROR(INDEX(Y$29:Y$38, SMALL(IF($Z$29:$Z$38 = MAX($Z$29:$Z$38), ROW(Y$29:Y$38)-ROW(Y$29)+1), ROW(10:10))), "-")</f>
        <v>-</v>
      </c>
      <c r="S38" s="721" t="str">
        <f t="array" ref="S38">IFERROR(INDEX($Z$29:$Z$38, SMALL(IF($Z$29:$Z$38 = MAX($Z$29:$Z$38), ROW($Z$29:$Z$38)-ROW(Z$29)+1), ROW(10:10))), "-")</f>
        <v>-</v>
      </c>
      <c r="T38" s="720" t="str">
        <f t="array" ref="T38">IFERROR(INDEX(Y$29:Y$38, SMALL(IF($Z$29:$Z$38 = LARGE($Z$29:$Z$38,2), ROW(Y$29:Y$38)-ROW(Y$29)+1), ROW(10:10))), "-")</f>
        <v>-</v>
      </c>
      <c r="U38" s="721" t="str">
        <f t="array" ref="U38">IFERROR(INDEX($Z$29:$Z$38, SMALL(IF($Z$29:$Z$38 = LARGE($Z$29:$Z$38,2), ROW($Z$29:$Z$38)-ROW(Z$29)+1), ROW(10:10))), "-")</f>
        <v>-</v>
      </c>
      <c r="V38" s="720" t="str">
        <f t="array" ref="V38">IFERROR(INDEX(Y$29:Y$38, SMALL(IF($Z$29:$Z$38 = LARGE($Z$29:$Z$38,3), ROW(Y$29:Y$38)-ROW(Y$29)+1), ROW(10:10))), "-")</f>
        <v>-</v>
      </c>
      <c r="W38" s="721" t="str">
        <f t="array" ref="W38">IFERROR(INDEX($Z$29:$Z$38, SMALL(IF($Z$29:$Z$38 = LARGE($Z$29:$Z$38,3), ROW($Z$29:$Z$38)-ROW(Z$29)+1), ROW(10:10))), "-")</f>
        <v>-</v>
      </c>
      <c r="Y38" s="13" t="str">
        <f>Settings!$A$11</f>
        <v>EAGLES</v>
      </c>
      <c r="Z38" s="224">
        <v>28.897142857142853</v>
      </c>
      <c r="AB38" s="720" t="str">
        <f t="shared" ref="AB38:AC38" si="82">IF(R38="-","",R38)</f>
        <v/>
      </c>
      <c r="AC38" s="722" t="str">
        <f t="shared" si="82"/>
        <v/>
      </c>
      <c r="AD38" s="722"/>
      <c r="AE38" s="722" t="str">
        <f t="shared" ref="AE38:AF38" si="83">IF(T38 = R38, "", T38)</f>
        <v/>
      </c>
      <c r="AF38" s="722" t="str">
        <f t="shared" si="83"/>
        <v/>
      </c>
      <c r="AG38" s="722"/>
      <c r="AH38" s="722" t="str">
        <f t="shared" ref="AH38:AI38" si="84">IF(OR(V38=R38, V38=T38), "", V38)</f>
        <v/>
      </c>
      <c r="AI38" s="724" t="str">
        <f t="shared" si="84"/>
        <v/>
      </c>
    </row>
    <row r="39" ht="15.75" customHeight="1">
      <c r="A39" s="681"/>
      <c r="S39" s="224"/>
      <c r="U39" s="224"/>
      <c r="W39" s="224"/>
      <c r="Z39" s="224"/>
    </row>
    <row r="40" ht="15.75" customHeight="1">
      <c r="A40" s="681"/>
      <c r="B40" s="725" t="s">
        <v>553</v>
      </c>
      <c r="C40" s="726" t="s">
        <v>492</v>
      </c>
      <c r="D40" s="726" t="s">
        <v>543</v>
      </c>
      <c r="E40" s="726" t="s">
        <v>509</v>
      </c>
      <c r="F40" s="727" t="s">
        <v>7</v>
      </c>
      <c r="Q40" s="728" t="s">
        <v>554</v>
      </c>
      <c r="R40" s="680" t="s">
        <v>546</v>
      </c>
      <c r="S40" s="680"/>
      <c r="T40" s="680" t="s">
        <v>547</v>
      </c>
      <c r="U40" s="680"/>
      <c r="V40" s="680" t="s">
        <v>548</v>
      </c>
      <c r="Z40" s="224"/>
    </row>
    <row r="41" ht="15.75" customHeight="1">
      <c r="A41" s="681"/>
      <c r="B41" s="682">
        <f t="shared" ref="B41:B50" si="88">_xlfn.RANK.EQ(D41,$D$41:$D$50)</f>
        <v>1</v>
      </c>
      <c r="C41" s="683" t="str">
        <f t="shared" ref="C41:C50" si="89">INDEX(C$3:L$3,MATCH(LARGE(C$5:L$5,$Q41),C$5:L$5,0))</f>
        <v>EAGLES</v>
      </c>
      <c r="D41" s="692">
        <f t="shared" ref="D41:D50" si="90">LARGE(C$5:L$5,$Q41)</f>
        <v>50.28</v>
      </c>
      <c r="E41" s="729" t="str">
        <f t="array" ref="E41">INDEX('All-Stars'!$D$2:$D$1821, MATCH(1, ('All-Stars'!$B$2:$B$1821 = 'League Stats'!C41) * ('All-Stars'!$C$2:$C$1821 = 'League Stats'!$A$28) * ('All-Stars'!$E$2:$E$1821 = 'League Stats'!D41), 0))</f>
        <v>J. ALLEN</v>
      </c>
      <c r="F41" s="730" t="str">
        <f t="array" ref="F41">INDEX('All-Stars'!$F$2:$F$1821, MATCH(1, ('All-Stars'!$B$2:$B$1821 = 'League Stats'!C41) * ('All-Stars'!$C$2:$C$1821 = 'League Stats'!A$28) * ('All-Stars'!$E$2:$E$1821 = 'League Stats'!D41), 0))</f>
        <v>WEEK 11</v>
      </c>
      <c r="Q41" s="13">
        <v>1.0</v>
      </c>
      <c r="R41" s="688" t="str">
        <f t="array" ref="R41">IFERROR(INDEX(Y$41:Y$50, SMALL(IF($Z$41:$Z$50 = MAX($Z$41:$Z$50), ROW(Y$41:Y$50)-ROW(Y$41)+1), ROW(1:1))), "-")</f>
        <v>EAGLES</v>
      </c>
      <c r="S41" s="689">
        <f t="array" ref="S41">IFERROR(INDEX(Z$41:Z$50, SMALL(IF($Z$41:$Z$50 = MAX($Z$41:$Z$50), ROW(Z$41:Z$50)-ROW(Z$41)+1), ROW(1:1))), "-")</f>
        <v>50.28</v>
      </c>
      <c r="T41" s="688" t="str">
        <f t="array" ref="T41">IFERROR(INDEX(Y$41:Y$50, SMALL(IF($Z$41:$Z$50 = LARGE($Z$41:$Z$50,2), ROW(Y$41:Y$50)-ROW(Y$41)+1), ROW(1:1))), "-")</f>
        <v>GREEN</v>
      </c>
      <c r="U41" s="689">
        <f t="array" ref="U41">IFERROR(INDEX($Z$41:$Z$50, SMALL(IF($Z$41:$Z$50 = LARGE($Z$41:$Z$50,2), ROW($Z$41:$Z$50)-ROW(Z$41)+1), ROW(1:1))), "-")</f>
        <v>45.26</v>
      </c>
      <c r="V41" s="688" t="str">
        <f t="array" ref="V41">IFERROR(INDEX(Y$41:Y$50, SMALL(IF($Z$41:$Z$50 = LARGE($Z$41:$Z$50,3), ROW(Y$41:Y$50)-ROW(Y$41)+1), ROW(1:1))), "-")</f>
        <v>KINGS</v>
      </c>
      <c r="W41" s="689">
        <f t="array" ref="W41">IFERROR(INDEX($Z$41:$Z$50, SMALL(IF($Z$41:$Z$50 = LARGE($Z$41:$Z$50,3), ROW($Z$41:$Z$50)-ROW(Z$41)+1), ROW(1:1))), "-")</f>
        <v>41.28</v>
      </c>
      <c r="Y41" s="13" t="str">
        <f>Settings!$A$3</f>
        <v>DECOUPES</v>
      </c>
      <c r="Z41" s="224">
        <f t="array" ref="Z41:Z50">TRANSPOSE(C5:L5)</f>
        <v>36.12</v>
      </c>
      <c r="AB41" s="688" t="str">
        <f t="shared" ref="AB41:AC41" si="85">R41</f>
        <v>EAGLES</v>
      </c>
      <c r="AC41" s="690">
        <f t="shared" si="85"/>
        <v>50.28</v>
      </c>
      <c r="AD41" s="691"/>
      <c r="AE41" s="691" t="str">
        <f t="shared" ref="AE41:AF41" si="86">IF(T41 = R41, "", T41)</f>
        <v>GREEN</v>
      </c>
      <c r="AF41" s="690">
        <f t="shared" si="86"/>
        <v>45.26</v>
      </c>
      <c r="AG41" s="691"/>
      <c r="AH41" s="691" t="str">
        <f t="shared" ref="AH41:AI41" si="87">IF(OR(V41=R41, V41=T41), "", V41)</f>
        <v>KINGS</v>
      </c>
      <c r="AI41" s="689">
        <f t="shared" si="87"/>
        <v>41.28</v>
      </c>
    </row>
    <row r="42" ht="15.75" customHeight="1">
      <c r="A42" s="681"/>
      <c r="B42" s="682">
        <f t="shared" si="88"/>
        <v>2</v>
      </c>
      <c r="C42" s="683" t="str">
        <f t="shared" si="89"/>
        <v>GREEN</v>
      </c>
      <c r="D42" s="692">
        <f t="shared" si="90"/>
        <v>45.26</v>
      </c>
      <c r="E42" s="729" t="str">
        <f t="array" ref="E42">INDEX('All-Stars'!$D$2:$D$1821, MATCH(1, ('All-Stars'!$B$2:$B$1821 = 'League Stats'!C42) * ('All-Stars'!$C$2:$C$1821 = 'League Stats'!$A$28) * ('All-Stars'!$E$2:$E$1821 = 'League Stats'!D42), 0))</f>
        <v>B. NIX</v>
      </c>
      <c r="F42" s="730" t="str">
        <f t="array" ref="F42">INDEX('All-Stars'!$F$2:$F$1821, MATCH(1, ('All-Stars'!$B$2:$B$1821 = 'League Stats'!C42) * ('All-Stars'!$C$2:$C$1821 = 'League Stats'!A$28) * ('All-Stars'!$E$2:$E$1821 = 'League Stats'!D42), 0))</f>
        <v>WEEK 7</v>
      </c>
      <c r="Q42" s="700">
        <v>2.0</v>
      </c>
      <c r="R42" s="696" t="str">
        <f t="array" ref="R42">IFERROR(INDEX(Y$41:Y$50, SMALL(IF($Z$41:$Z$50 = MAX($Z$41:$Z$50), ROW(Y$41:Y$50)-ROW(Y$41)+1), ROW(2:2))), "-")</f>
        <v>-</v>
      </c>
      <c r="S42" s="697" t="str">
        <f t="array" ref="S42">IFERROR(INDEX(Z$41:Z$50, SMALL(IF($Z$41:$Z$50 = MAX($Z$41:$Z$50), ROW(Z$41:Z$50)-ROW(Z$41)+1), ROW(2:2))), "-")</f>
        <v>-</v>
      </c>
      <c r="T42" s="696" t="str">
        <f t="array" ref="T42">IFERROR(INDEX(Y$41:Y$50, SMALL(IF($Z$41:$Z$50 = LARGE($Z$41:$Z$50,2), ROW(Y$41:Y$50)-ROW(Y$41)+1), ROW(2:2))), "-")</f>
        <v>-</v>
      </c>
      <c r="U42" s="697" t="str">
        <f t="array" ref="U42">IFERROR(INDEX($Z$41:$Z$50, SMALL(IF($Z$41:$Z$50 = LARGE($Z$41:$Z$50,2), ROW($Z$41:$Z$50)-ROW(Z$41)+1), ROW(2:2))), "-")</f>
        <v>-</v>
      </c>
      <c r="V42" s="696" t="str">
        <f t="array" ref="V42">IFERROR(INDEX(Y$41:Y$50, SMALL(IF($Z$41:$Z$50 = LARGE($Z$41:$Z$50,3), ROW(Y$41:Y$50)-ROW(Y$41)+1), ROW(2:2))), "-")</f>
        <v>-</v>
      </c>
      <c r="W42" s="697" t="str">
        <f t="array" ref="W42">IFERROR(INDEX($Z$41:$Z$50, SMALL(IF($Z$41:$Z$50 = LARGE($Z$41:$Z$50,3), ROW($Z$41:$Z$50)-ROW(Z$41)+1), ROW(2:2))), "-")</f>
        <v>-</v>
      </c>
      <c r="Y42" s="13" t="str">
        <f>Settings!$A$4</f>
        <v>POPEYES</v>
      </c>
      <c r="Z42" s="224">
        <v>39.0</v>
      </c>
      <c r="AB42" s="696" t="str">
        <f t="shared" ref="AB42:AC42" si="91">IF(R42="-","",R42)</f>
        <v/>
      </c>
      <c r="AC42" s="13" t="str">
        <f t="shared" si="91"/>
        <v/>
      </c>
      <c r="AE42" s="13" t="str">
        <f t="shared" ref="AE42:AF42" si="92">IF(T42 = R42, "", T42)</f>
        <v/>
      </c>
      <c r="AF42" s="13" t="str">
        <f t="shared" si="92"/>
        <v/>
      </c>
      <c r="AH42" s="13" t="str">
        <f t="shared" ref="AH42:AI42" si="93">IF(OR(V42=R42, V42=T42), "", V42)</f>
        <v/>
      </c>
      <c r="AI42" s="699" t="str">
        <f t="shared" si="93"/>
        <v/>
      </c>
    </row>
    <row r="43" ht="15.75" customHeight="1">
      <c r="A43" s="681"/>
      <c r="B43" s="682">
        <f t="shared" si="88"/>
        <v>3</v>
      </c>
      <c r="C43" s="683" t="str">
        <f t="shared" si="89"/>
        <v>KINGS</v>
      </c>
      <c r="D43" s="692">
        <f t="shared" si="90"/>
        <v>41.28</v>
      </c>
      <c r="E43" s="729" t="str">
        <f t="array" ref="E43">INDEX('All-Stars'!$D$2:$D$1821, MATCH(1, ('All-Stars'!$B$2:$B$1821 = 'League Stats'!C43) * ('All-Stars'!$C$2:$C$1821 = 'League Stats'!$A$28) * ('All-Stars'!$E$2:$E$1821 = 'League Stats'!D43), 0))</f>
        <v>P. MAHOMES</v>
      </c>
      <c r="F43" s="730" t="str">
        <f t="array" ref="F43">INDEX('All-Stars'!$F$2:$F$1821, MATCH(1, ('All-Stars'!$B$2:$B$1821 = 'League Stats'!C43) * ('All-Stars'!$C$2:$C$1821 = 'League Stats'!A$28) * ('All-Stars'!$E$2:$E$1821 = 'League Stats'!D43), 0))</f>
        <v>WEEK 6</v>
      </c>
      <c r="Q43" s="13">
        <v>3.0</v>
      </c>
      <c r="R43" s="696" t="str">
        <f t="array" ref="R43">IFERROR(INDEX(Y$41:Y$50, SMALL(IF($Z$41:$Z$50 = MAX($Z$41:$Z$50), ROW(Y$41:Y$50)-ROW(Y$41)+1), ROW(3:3))), "-")</f>
        <v>-</v>
      </c>
      <c r="S43" s="697" t="str">
        <f t="array" ref="S43">IFERROR(INDEX(Z$41:Z$50, SMALL(IF($Z$41:$Z$50 = MAX($Z$41:$Z$50), ROW(Z$41:Z$50)-ROW(Z$41)+1), ROW(3:3))), "-")</f>
        <v>-</v>
      </c>
      <c r="T43" s="696" t="str">
        <f t="array" ref="T43">IFERROR(INDEX(Y$41:Y$50, SMALL(IF($Z$41:$Z$50 = LARGE($Z$41:$Z$50,2), ROW(Y$41:Y$50)-ROW(Y$41)+1), ROW(3:3))), "-")</f>
        <v>-</v>
      </c>
      <c r="U43" s="697" t="str">
        <f t="array" ref="U43">IFERROR(INDEX($Z$41:$Z$50, SMALL(IF($Z$41:$Z$50 = LARGE($Z$41:$Z$50,2), ROW($Z$41:$Z$50)-ROW(Z$41)+1), ROW(3:3))), "-")</f>
        <v>-</v>
      </c>
      <c r="V43" s="696" t="str">
        <f t="array" ref="V43">IFERROR(INDEX(Y$41:Y$50, SMALL(IF($Z$41:$Z$50 = LARGE($Z$41:$Z$50,3), ROW(Y$41:Y$50)-ROW(Y$41)+1), ROW(3:3))), "-")</f>
        <v>-</v>
      </c>
      <c r="W43" s="697" t="str">
        <f t="array" ref="W43">IFERROR(INDEX($Z$41:$Z$50, SMALL(IF($Z$41:$Z$50 = LARGE($Z$41:$Z$50,3), ROW($Z$41:$Z$50)-ROW(Z$41)+1), ROW(3:3))), "-")</f>
        <v>-</v>
      </c>
      <c r="Y43" s="13" t="str">
        <f>Settings!$A$5</f>
        <v>GREEN</v>
      </c>
      <c r="Z43" s="224">
        <v>45.26</v>
      </c>
      <c r="AB43" s="696" t="str">
        <f t="shared" ref="AB43:AC43" si="94">IF(R43="-","",R43)</f>
        <v/>
      </c>
      <c r="AC43" s="13" t="str">
        <f t="shared" si="94"/>
        <v/>
      </c>
      <c r="AE43" s="13" t="str">
        <f t="shared" ref="AE43:AF43" si="95">IF(T43 = R43, "", T43)</f>
        <v/>
      </c>
      <c r="AF43" s="13" t="str">
        <f t="shared" si="95"/>
        <v/>
      </c>
      <c r="AH43" s="13" t="str">
        <f t="shared" ref="AH43:AI43" si="96">IF(OR(V43=R43, V43=T43), "", V43)</f>
        <v/>
      </c>
      <c r="AI43" s="699" t="str">
        <f t="shared" si="96"/>
        <v/>
      </c>
    </row>
    <row r="44" ht="15.75" customHeight="1">
      <c r="A44" s="681"/>
      <c r="B44" s="682">
        <f t="shared" si="88"/>
        <v>4</v>
      </c>
      <c r="C44" s="683" t="str">
        <f t="shared" si="89"/>
        <v>YARDIES</v>
      </c>
      <c r="D44" s="692">
        <f t="shared" si="90"/>
        <v>40.66</v>
      </c>
      <c r="E44" s="729" t="str">
        <f t="array" ref="E44">INDEX('All-Stars'!$D$2:$D$1821, MATCH(1, ('All-Stars'!$B$2:$B$1821 = 'League Stats'!C44) * ('All-Stars'!$C$2:$C$1821 = 'League Stats'!$A$28) * ('All-Stars'!$E$2:$E$1821 = 'League Stats'!D44), 0))</f>
        <v>C. STROUD</v>
      </c>
      <c r="F44" s="730" t="str">
        <f t="array" ref="F44">INDEX('All-Stars'!$F$2:$F$1821, MATCH(1, ('All-Stars'!$B$2:$B$1821 = 'League Stats'!C44) * ('All-Stars'!$C$2:$C$1821 = 'League Stats'!A$28) * ('All-Stars'!$E$2:$E$1821 = 'League Stats'!D44), 0))</f>
        <v>WEEK 5</v>
      </c>
      <c r="Q44" s="700">
        <v>4.0</v>
      </c>
      <c r="R44" s="696" t="str">
        <f t="array" ref="R44">IFERROR(INDEX(Y$41:Y$50, SMALL(IF($Z$41:$Z$50 = MAX($Z$41:$Z$50), ROW(Y$41:Y$50)-ROW(Y$41)+1), ROW(4:4))), "-")</f>
        <v>-</v>
      </c>
      <c r="S44" s="697" t="str">
        <f t="array" ref="S44">IFERROR(INDEX(Z$41:Z$50, SMALL(IF($Z$41:$Z$50 = MAX($Z$41:$Z$50), ROW(Z$41:Z$50)-ROW(Z$41)+1), ROW(4:4))), "-")</f>
        <v>-</v>
      </c>
      <c r="T44" s="696" t="str">
        <f t="array" ref="T44">IFERROR(INDEX(Y$41:Y$50, SMALL(IF($Z$41:$Z$50 = LARGE($Z$41:$Z$50,2), ROW(Y$41:Y$50)-ROW(Y$41)+1), ROW(4:4))), "-")</f>
        <v>-</v>
      </c>
      <c r="U44" s="697" t="str">
        <f t="array" ref="U44">IFERROR(INDEX($Z$41:$Z$50, SMALL(IF($Z$41:$Z$50 = LARGE($Z$41:$Z$50,2), ROW($Z$41:$Z$50)-ROW(Z$41)+1), ROW(4:4))), "-")</f>
        <v>-</v>
      </c>
      <c r="V44" s="696" t="str">
        <f t="array" ref="V44">IFERROR(INDEX(Y$41:Y$50, SMALL(IF($Z$41:$Z$50 = LARGE($Z$41:$Z$50,3), ROW(Y$41:Y$50)-ROW(Y$41)+1), ROW(4:4))), "-")</f>
        <v>-</v>
      </c>
      <c r="W44" s="697" t="str">
        <f t="array" ref="W44">IFERROR(INDEX($Z$41:$Z$50, SMALL(IF($Z$41:$Z$50 = LARGE($Z$41:$Z$50,3), ROW($Z$41:$Z$50)-ROW(Z$41)+1), ROW(4:4))), "-")</f>
        <v>-</v>
      </c>
      <c r="Y44" s="13" t="str">
        <f>Settings!$A$6</f>
        <v>SAVAGES</v>
      </c>
      <c r="Z44" s="224">
        <v>35.2</v>
      </c>
      <c r="AB44" s="696" t="str">
        <f t="shared" ref="AB44:AC44" si="97">IF(R44="-","",R44)</f>
        <v/>
      </c>
      <c r="AC44" s="13" t="str">
        <f t="shared" si="97"/>
        <v/>
      </c>
      <c r="AE44" s="13" t="str">
        <f t="shared" ref="AE44:AF44" si="98">IF(T44 = R44, "", T44)</f>
        <v/>
      </c>
      <c r="AF44" s="13" t="str">
        <f t="shared" si="98"/>
        <v/>
      </c>
      <c r="AH44" s="13" t="str">
        <f t="shared" ref="AH44:AI44" si="99">IF(OR(V44=R44, V44=T44), "", V44)</f>
        <v/>
      </c>
      <c r="AI44" s="699" t="str">
        <f t="shared" si="99"/>
        <v/>
      </c>
    </row>
    <row r="45" ht="15.75" customHeight="1">
      <c r="A45" s="681"/>
      <c r="B45" s="682">
        <f t="shared" si="88"/>
        <v>5</v>
      </c>
      <c r="C45" s="683" t="str">
        <f t="shared" si="89"/>
        <v>POPEYES</v>
      </c>
      <c r="D45" s="692">
        <f t="shared" si="90"/>
        <v>39</v>
      </c>
      <c r="E45" s="729" t="str">
        <f t="array" ref="E45">INDEX('All-Stars'!$D$2:$D$1821, MATCH(1, ('All-Stars'!$B$2:$B$1821 = 'League Stats'!C45) * ('All-Stars'!$C$2:$C$1821 = 'League Stats'!$A$28) * ('All-Stars'!$E$2:$E$1821 = 'League Stats'!D45), 0))</f>
        <v>S. DARNOLD</v>
      </c>
      <c r="F45" s="730" t="str">
        <f t="array" ref="F45">INDEX('All-Stars'!$F$2:$F$1821, MATCH(1, ('All-Stars'!$B$2:$B$1821 = 'League Stats'!C45) * ('All-Stars'!$C$2:$C$1821 = 'League Stats'!A$28) * ('All-Stars'!$E$2:$E$1821 = 'League Stats'!D45), 0))</f>
        <v>WEEK 9</v>
      </c>
      <c r="Q45" s="13">
        <v>5.0</v>
      </c>
      <c r="R45" s="696" t="str">
        <f t="array" ref="R45">IFERROR(INDEX(Y$41:Y$50, SMALL(IF($Z$41:$Z$50 = MAX($Z$41:$Z$50), ROW(Y$41:Y$50)-ROW(Y$41)+1), ROW(5:5))), "-")</f>
        <v>-</v>
      </c>
      <c r="S45" s="697" t="str">
        <f t="array" ref="S45">IFERROR(INDEX(Z$41:Z$50, SMALL(IF($Z$41:$Z$50 = MAX($Z$41:$Z$50), ROW(Z$41:Z$50)-ROW(Z$41)+1), ROW(5:5))), "-")</f>
        <v>-</v>
      </c>
      <c r="T45" s="696" t="str">
        <f t="array" ref="T45">IFERROR(INDEX(Y$41:Y$50, SMALL(IF($Z$41:$Z$50 = LARGE($Z$41:$Z$50,2), ROW(Y$41:Y$50)-ROW(Y$41)+1), ROW(5:5))), "-")</f>
        <v>-</v>
      </c>
      <c r="U45" s="697" t="str">
        <f t="array" ref="U45">IFERROR(INDEX($Z$41:$Z$50, SMALL(IF($Z$41:$Z$50 = LARGE($Z$41:$Z$50,2), ROW($Z$41:$Z$50)-ROW(Z$41)+1), ROW(5:5))), "-")</f>
        <v>-</v>
      </c>
      <c r="V45" s="696" t="str">
        <f t="array" ref="V45">IFERROR(INDEX(Y$41:Y$50, SMALL(IF($Z$41:$Z$50 = LARGE($Z$41:$Z$50,3), ROW(Y$41:Y$50)-ROW(Y$41)+1), ROW(5:5))), "-")</f>
        <v>-</v>
      </c>
      <c r="W45" s="697" t="str">
        <f t="array" ref="W45">IFERROR(INDEX($Z$41:$Z$50, SMALL(IF($Z$41:$Z$50 = LARGE($Z$41:$Z$50,3), ROW($Z$41:$Z$50)-ROW(Z$41)+1), ROW(5:5))), "-")</f>
        <v>-</v>
      </c>
      <c r="Y45" s="13" t="str">
        <f>Settings!$A$12</f>
        <v>KINGS</v>
      </c>
      <c r="Z45" s="224">
        <v>41.28</v>
      </c>
      <c r="AB45" s="696" t="str">
        <f t="shared" ref="AB45:AC45" si="100">IF(R45="-","",R45)</f>
        <v/>
      </c>
      <c r="AC45" s="13" t="str">
        <f t="shared" si="100"/>
        <v/>
      </c>
      <c r="AE45" s="13" t="str">
        <f t="shared" ref="AE45:AF45" si="101">IF(T45 = R45, "", T45)</f>
        <v/>
      </c>
      <c r="AF45" s="13" t="str">
        <f t="shared" si="101"/>
        <v/>
      </c>
      <c r="AH45" s="13" t="str">
        <f t="shared" ref="AH45:AI45" si="102">IF(OR(V45=R45, V45=T45), "", V45)</f>
        <v/>
      </c>
      <c r="AI45" s="699" t="str">
        <f t="shared" si="102"/>
        <v/>
      </c>
    </row>
    <row r="46" ht="15.75" customHeight="1">
      <c r="A46" s="681"/>
      <c r="B46" s="682">
        <f t="shared" si="88"/>
        <v>6</v>
      </c>
      <c r="C46" s="683" t="str">
        <f t="shared" si="89"/>
        <v>CHAMPS</v>
      </c>
      <c r="D46" s="692">
        <f t="shared" si="90"/>
        <v>38.82</v>
      </c>
      <c r="E46" s="729" t="str">
        <f t="array" ref="E46">INDEX('All-Stars'!$D$2:$D$1821, MATCH(1, ('All-Stars'!$B$2:$B$1821 = 'League Stats'!C46) * ('All-Stars'!$C$2:$C$1821 = 'League Stats'!$A$28) * ('All-Stars'!$E$2:$E$1821 = 'League Stats'!D46), 0))</f>
        <v>J. HERBERT</v>
      </c>
      <c r="F46" s="730" t="str">
        <f t="array" ref="F46">INDEX('All-Stars'!$F$2:$F$1821, MATCH(1, ('All-Stars'!$B$2:$B$1821 = 'League Stats'!C46) * ('All-Stars'!$C$2:$C$1821 = 'League Stats'!A$28) * ('All-Stars'!$E$2:$E$1821 = 'League Stats'!D46), 0))</f>
        <v>WEEK 1</v>
      </c>
      <c r="Q46" s="700">
        <v>6.0</v>
      </c>
      <c r="R46" s="696" t="str">
        <f t="array" ref="R46">IFERROR(INDEX(Y$41:Y$50, SMALL(IF($Z$41:$Z$50 = MAX($Z$41:$Z$50), ROW(Y$41:Y$50)-ROW(Y$41)+1), ROW(6:6))), "-")</f>
        <v>-</v>
      </c>
      <c r="S46" s="697" t="str">
        <f t="array" ref="S46">IFERROR(INDEX(Z$41:Z$50, SMALL(IF($Z$41:$Z$50 = MAX($Z$41:$Z$50), ROW(Z$41:Z$50)-ROW(Z$41)+1), ROW(6:6))), "-")</f>
        <v>-</v>
      </c>
      <c r="T46" s="696" t="str">
        <f t="array" ref="T46">IFERROR(INDEX(Y$41:Y$50, SMALL(IF($Z$41:$Z$50 = LARGE($Z$41:$Z$50,2), ROW(Y$41:Y$50)-ROW(Y$41)+1), ROW(6:6))), "-")</f>
        <v>-</v>
      </c>
      <c r="U46" s="697" t="str">
        <f t="array" ref="U46">IFERROR(INDEX($Z$41:$Z$50, SMALL(IF($Z$41:$Z$50 = LARGE($Z$41:$Z$50,2), ROW($Z$41:$Z$50)-ROW(Z$41)+1), ROW(6:6))), "-")</f>
        <v>-</v>
      </c>
      <c r="V46" s="696" t="str">
        <f t="array" ref="V46">IFERROR(INDEX(Y$41:Y$50, SMALL(IF($Z$41:$Z$50 = LARGE($Z$41:$Z$50,3), ROW(Y$41:Y$50)-ROW(Y$41)+1), ROW(6:6))), "-")</f>
        <v>-</v>
      </c>
      <c r="W46" s="697" t="str">
        <f t="array" ref="W46">IFERROR(INDEX($Z$41:$Z$50, SMALL(IF($Z$41:$Z$50 = LARGE($Z$41:$Z$50,3), ROW($Z$41:$Z$50)-ROW(Z$41)+1), ROW(6:6))), "-")</f>
        <v>-</v>
      </c>
      <c r="Y46" s="13" t="str">
        <f>Settings!$A$7</f>
        <v>CHAMPS</v>
      </c>
      <c r="Z46" s="224">
        <v>38.82</v>
      </c>
      <c r="AB46" s="696" t="str">
        <f t="shared" ref="AB46:AC46" si="103">IF(R46="-","",R46)</f>
        <v/>
      </c>
      <c r="AC46" s="13" t="str">
        <f t="shared" si="103"/>
        <v/>
      </c>
      <c r="AE46" s="13" t="str">
        <f t="shared" ref="AE46:AF46" si="104">IF(T46 = R46, "", T46)</f>
        <v/>
      </c>
      <c r="AF46" s="13" t="str">
        <f t="shared" si="104"/>
        <v/>
      </c>
      <c r="AH46" s="13" t="str">
        <f t="shared" ref="AH46:AI46" si="105">IF(OR(V46=R46, V46=T46), "", V46)</f>
        <v/>
      </c>
      <c r="AI46" s="699" t="str">
        <f t="shared" si="105"/>
        <v/>
      </c>
    </row>
    <row r="47" ht="15.75" customHeight="1">
      <c r="A47" s="681"/>
      <c r="B47" s="682">
        <f t="shared" si="88"/>
        <v>7</v>
      </c>
      <c r="C47" s="683" t="str">
        <f t="shared" si="89"/>
        <v>METAMOOKDAWGS</v>
      </c>
      <c r="D47" s="692">
        <f t="shared" si="90"/>
        <v>37.94</v>
      </c>
      <c r="E47" s="729" t="str">
        <f t="array" ref="E47">INDEX('All-Stars'!$D$2:$D$1821, MATCH(1, ('All-Stars'!$B$2:$B$1821 = 'League Stats'!C47) * ('All-Stars'!$C$2:$C$1821 = 'League Stats'!$A$28) * ('All-Stars'!$E$2:$E$1821 = 'League Stats'!D47), 0))</f>
        <v>J. HURTS</v>
      </c>
      <c r="F47" s="730" t="str">
        <f t="array" ref="F47">INDEX('All-Stars'!$F$2:$F$1821, MATCH(1, ('All-Stars'!$B$2:$B$1821 = 'League Stats'!C47) * ('All-Stars'!$C$2:$C$1821 = 'League Stats'!A$28) * ('All-Stars'!$E$2:$E$1821 = 'League Stats'!D47), 0))</f>
        <v>WEEK 3</v>
      </c>
      <c r="Q47" s="13">
        <v>7.0</v>
      </c>
      <c r="R47" s="696" t="str">
        <f t="array" ref="R47">IFERROR(INDEX(Y$41:Y$50, SMALL(IF($Z$41:$Z$50 = MAX($Z$41:$Z$50), ROW(Y$41:Y$50)-ROW(Y$41)+1), ROW(7:7))), "-")</f>
        <v>-</v>
      </c>
      <c r="S47" s="697" t="str">
        <f t="array" ref="S47">IFERROR(INDEX(Z$41:Z$50, SMALL(IF($Z$41:$Z$50 = MAX($Z$41:$Z$50), ROW(Z$41:Z$50)-ROW(Z$41)+1), ROW(7:7))), "-")</f>
        <v>-</v>
      </c>
      <c r="T47" s="696" t="str">
        <f t="array" ref="T47">IFERROR(INDEX(Y$41:Y$50, SMALL(IF($Z$41:$Z$50 = LARGE($Z$41:$Z$50,2), ROW(Y$41:Y$50)-ROW(Y$41)+1), ROW(7:7))), "-")</f>
        <v>-</v>
      </c>
      <c r="U47" s="697" t="str">
        <f t="array" ref="U47">IFERROR(INDEX($Z$41:$Z$50, SMALL(IF($Z$41:$Z$50 = LARGE($Z$41:$Z$50,2), ROW($Z$41:$Z$50)-ROW(Z$41)+1), ROW(7:7))), "-")</f>
        <v>-</v>
      </c>
      <c r="V47" s="696" t="str">
        <f t="array" ref="V47">IFERROR(INDEX(Y$41:Y$50, SMALL(IF($Z$41:$Z$50 = LARGE($Z$41:$Z$50,3), ROW(Y$41:Y$50)-ROW(Y$41)+1), ROW(7:7))), "-")</f>
        <v>-</v>
      </c>
      <c r="W47" s="697" t="str">
        <f t="array" ref="W47">IFERROR(INDEX($Z$41:$Z$50, SMALL(IF($Z$41:$Z$50 = LARGE($Z$41:$Z$50,3), ROW($Z$41:$Z$50)-ROW(Z$41)+1), ROW(7:7))), "-")</f>
        <v>-</v>
      </c>
      <c r="Y47" s="13" t="str">
        <f>Settings!$A$8</f>
        <v>METAMOOKDAWGS</v>
      </c>
      <c r="Z47" s="224">
        <v>37.94</v>
      </c>
      <c r="AB47" s="696" t="str">
        <f t="shared" ref="AB47:AC47" si="106">IF(R47="-","",R47)</f>
        <v/>
      </c>
      <c r="AC47" s="13" t="str">
        <f t="shared" si="106"/>
        <v/>
      </c>
      <c r="AE47" s="13" t="str">
        <f t="shared" ref="AE47:AF47" si="107">IF(T47 = R47, "", T47)</f>
        <v/>
      </c>
      <c r="AF47" s="13" t="str">
        <f t="shared" si="107"/>
        <v/>
      </c>
      <c r="AH47" s="13" t="str">
        <f t="shared" ref="AH47:AI47" si="108">IF(OR(V47=R47, V47=T47), "", V47)</f>
        <v/>
      </c>
      <c r="AI47" s="699" t="str">
        <f t="shared" si="108"/>
        <v/>
      </c>
    </row>
    <row r="48" ht="15.75" customHeight="1">
      <c r="A48" s="681"/>
      <c r="B48" s="682">
        <f t="shared" si="88"/>
        <v>8</v>
      </c>
      <c r="C48" s="683" t="str">
        <f t="shared" si="89"/>
        <v>MUTTS</v>
      </c>
      <c r="D48" s="692">
        <f t="shared" si="90"/>
        <v>36.72</v>
      </c>
      <c r="E48" s="729" t="str">
        <f t="array" ref="E48">INDEX('All-Stars'!$D$2:$D$1821, MATCH(1, ('All-Stars'!$B$2:$B$1821 = 'League Stats'!C48) * ('All-Stars'!$C$2:$C$1821 = 'League Stats'!$A$28) * ('All-Stars'!$E$2:$E$1821 = 'League Stats'!D48), 0))</f>
        <v>L. JACKSON</v>
      </c>
      <c r="F48" s="730" t="str">
        <f t="array" ref="F48">INDEX('All-Stars'!$F$2:$F$1821, MATCH(1, ('All-Stars'!$B$2:$B$1821 = 'League Stats'!C48) * ('All-Stars'!$C$2:$C$1821 = 'League Stats'!A$28) * ('All-Stars'!$E$2:$E$1821 = 'League Stats'!D48), 0))</f>
        <v>WEEK 3</v>
      </c>
      <c r="Q48" s="700">
        <v>8.0</v>
      </c>
      <c r="R48" s="696" t="str">
        <f t="array" ref="R48">IFERROR(INDEX(Y$41:Y$50, SMALL(IF($Z$41:$Z$50 = MAX($Z$41:$Z$50), ROW(Y$41:Y$50)-ROW(Y$41)+1), ROW(8:8))), "-")</f>
        <v>-</v>
      </c>
      <c r="S48" s="697" t="str">
        <f t="array" ref="S48">IFERROR(INDEX(Z$41:Z$50, SMALL(IF($Z$41:$Z$50 = MAX($Z$41:$Z$50), ROW(Z$41:Z$50)-ROW(Z$41)+1), ROW(8:8))), "-")</f>
        <v>-</v>
      </c>
      <c r="T48" s="696" t="str">
        <f t="array" ref="T48">IFERROR(INDEX(Y$41:Y$50, SMALL(IF($Z$41:$Z$50 = LARGE($Z$41:$Z$50,2), ROW(Y$41:Y$50)-ROW(Y$41)+1), ROW(8:8))), "-")</f>
        <v>-</v>
      </c>
      <c r="U48" s="697" t="str">
        <f t="array" ref="U48">IFERROR(INDEX($Z$41:$Z$50, SMALL(IF($Z$41:$Z$50 = LARGE($Z$41:$Z$50,2), ROW($Z$41:$Z$50)-ROW(Z$41)+1), ROW(8:8))), "-")</f>
        <v>-</v>
      </c>
      <c r="V48" s="696" t="str">
        <f t="array" ref="V48">IFERROR(INDEX(Y$41:Y$50, SMALL(IF($Z$41:$Z$50 = LARGE($Z$41:$Z$50,3), ROW(Y$41:Y$50)-ROW(Y$41)+1), ROW(8:8))), "-")</f>
        <v>-</v>
      </c>
      <c r="W48" s="697" t="str">
        <f t="array" ref="W48">IFERROR(INDEX($Z$41:$Z$50, SMALL(IF($Z$41:$Z$50 = LARGE($Z$41:$Z$50,3), ROW($Z$41:$Z$50)-ROW(Z$41)+1), ROW(8:8))), "-")</f>
        <v>-</v>
      </c>
      <c r="Y48" s="13" t="str">
        <f>Settings!$A$9</f>
        <v>YARDIES</v>
      </c>
      <c r="Z48" s="224">
        <v>40.66</v>
      </c>
      <c r="AB48" s="696"/>
      <c r="AI48" s="699"/>
    </row>
    <row r="49" ht="15.75" customHeight="1">
      <c r="A49" s="681"/>
      <c r="B49" s="682">
        <f t="shared" si="88"/>
        <v>9</v>
      </c>
      <c r="C49" s="683" t="str">
        <f t="shared" si="89"/>
        <v>DECOUPES</v>
      </c>
      <c r="D49" s="692">
        <f t="shared" si="90"/>
        <v>36.12</v>
      </c>
      <c r="E49" s="729" t="str">
        <f t="array" ref="E49">INDEX('All-Stars'!$D$2:$D$1821, MATCH(1, ('All-Stars'!$B$2:$B$1821 = 'League Stats'!C49) * ('All-Stars'!$C$2:$C$1821 = 'League Stats'!$A$28) * ('All-Stars'!$E$2:$E$1821 = 'League Stats'!D49), 0))</f>
        <v>D. PRESCOTT</v>
      </c>
      <c r="F49" s="730" t="str">
        <f t="array" ref="F49">INDEX('All-Stars'!$F$2:$F$1821, MATCH(1, ('All-Stars'!$B$2:$B$1821 = 'League Stats'!C49) * ('All-Stars'!$C$2:$C$1821 = 'League Stats'!A$28) * ('All-Stars'!$E$2:$E$1821 = 'League Stats'!D49), 0))</f>
        <v>WEEK 11</v>
      </c>
      <c r="Q49" s="13">
        <v>9.0</v>
      </c>
      <c r="R49" s="696" t="str">
        <f t="array" ref="R49">IFERROR(INDEX(Y$41:Y$50, SMALL(IF($Z$41:$Z$50 = MAX($Z$41:$Z$50), ROW(Y$41:Y$50)-ROW(Y$41)+1), ROW(9:9))), "-")</f>
        <v>-</v>
      </c>
      <c r="S49" s="697" t="str">
        <f t="array" ref="S49">IFERROR(INDEX(Z$41:Z$50, SMALL(IF($Z$41:$Z$50 = MAX($Z$41:$Z$50), ROW(Z$41:Z$50)-ROW(Z$41)+1), ROW(9:9))), "-")</f>
        <v>-</v>
      </c>
      <c r="T49" s="696" t="str">
        <f t="array" ref="T49">IFERROR(INDEX(Y$41:Y$50, SMALL(IF($Z$41:$Z$50 = LARGE($Z$41:$Z$50,2), ROW(Y$41:Y$50)-ROW(Y$41)+1), ROW(9:9))), "-")</f>
        <v>-</v>
      </c>
      <c r="U49" s="697" t="str">
        <f t="array" ref="U49">IFERROR(INDEX($Z$41:$Z$50, SMALL(IF($Z$41:$Z$50 = LARGE($Z$41:$Z$50,2), ROW($Z$41:$Z$50)-ROW(Z$41)+1), ROW(9:9))), "-")</f>
        <v>-</v>
      </c>
      <c r="V49" s="696" t="str">
        <f t="array" ref="V49">IFERROR(INDEX(Y$41:Y$50, SMALL(IF($Z$41:$Z$50 = LARGE($Z$41:$Z$50,3), ROW(Y$41:Y$50)-ROW(Y$41)+1), ROW(9:9))), "-")</f>
        <v>-</v>
      </c>
      <c r="W49" s="697" t="str">
        <f t="array" ref="W49">IFERROR(INDEX($Z$41:$Z$50, SMALL(IF($Z$41:$Z$50 = LARGE($Z$41:$Z$50,3), ROW($Z$41:$Z$50)-ROW(Z$41)+1), ROW(9:9))), "-")</f>
        <v>-</v>
      </c>
      <c r="Y49" s="13" t="str">
        <f>Settings!$A$10</f>
        <v>MUTTS</v>
      </c>
      <c r="Z49" s="224">
        <v>36.72</v>
      </c>
      <c r="AB49" s="696"/>
      <c r="AI49" s="699"/>
    </row>
    <row r="50" ht="15.75" customHeight="1">
      <c r="A50" s="749"/>
      <c r="B50" s="714">
        <f t="shared" si="88"/>
        <v>10</v>
      </c>
      <c r="C50" s="715" t="str">
        <f t="shared" si="89"/>
        <v>SAVAGES</v>
      </c>
      <c r="D50" s="716">
        <f t="shared" si="90"/>
        <v>35.2</v>
      </c>
      <c r="E50" s="750" t="str">
        <f t="array" ref="E50">INDEX('All-Stars'!$D$2:$D$1821, MATCH(1, ('All-Stars'!$B$2:$B$1821 = 'League Stats'!C50) * ('All-Stars'!$C$2:$C$1821 = 'League Stats'!$A$28) * ('All-Stars'!$E$2:$E$1821 = 'League Stats'!D50), 0))</f>
        <v>J. GOFF</v>
      </c>
      <c r="F50" s="751" t="str">
        <f t="array" ref="F50">INDEX('All-Stars'!$F$2:$F$1821, MATCH(1, ('All-Stars'!$B$2:$B$1821 = 'League Stats'!C50) * ('All-Stars'!$C$2:$C$1821 = 'League Stats'!A$28) * ('All-Stars'!$E$2:$E$1821 = 'League Stats'!D50), 0))</f>
        <v>WEEK 10</v>
      </c>
      <c r="Q50" s="700">
        <v>10.0</v>
      </c>
      <c r="R50" s="720" t="str">
        <f t="array" ref="R50">IFERROR(INDEX(Y$41:Y$50, SMALL(IF($Z$41:$Z$50 = MAX($Z$41:$Z$50), ROW(Y$41:Y$50)-ROW(Y$41)+1), ROW(10:10))), "-")</f>
        <v>-</v>
      </c>
      <c r="S50" s="721" t="str">
        <f t="array" ref="S50">IFERROR(INDEX(Z$41:Z$50, SMALL(IF($Z$41:$Z$50 = MAX($Z$41:$Z$50), ROW(Z$41:Z$50)-ROW(Z$41)+1), ROW(10:10))), "-")</f>
        <v>-</v>
      </c>
      <c r="T50" s="720" t="str">
        <f t="array" ref="T50">IFERROR(INDEX(Y$41:Y$50, SMALL(IF($Z$41:$Z$50 = LARGE($Z$41:$Z$50,2), ROW(Y$41:Y$50)-ROW(Y$41)+1), ROW(10:10))), "-")</f>
        <v>-</v>
      </c>
      <c r="U50" s="721" t="str">
        <f t="array" ref="U50">IFERROR(INDEX($Z$41:$Z$50, SMALL(IF($Z$41:$Z$50 = LARGE($Z$41:$Z$50,2), ROW($Z$41:$Z$50)-ROW(Z$41)+1), ROW(10:10))), "-")</f>
        <v>-</v>
      </c>
      <c r="V50" s="720" t="str">
        <f t="array" ref="V50">IFERROR(INDEX(Y$41:Y$50, SMALL(IF($Z$41:$Z$50 = LARGE($Z$41:$Z$50,3), ROW(Y$41:Y$50)-ROW(Y$41)+1), ROW(10:10))), "-")</f>
        <v>-</v>
      </c>
      <c r="W50" s="721" t="str">
        <f t="array" ref="W50">IFERROR(INDEX($Z$41:$Z$50, SMALL(IF($Z$41:$Z$50 = LARGE($Z$41:$Z$50,3), ROW($Z$41:$Z$50)-ROW(Z$41)+1), ROW(10:10))), "-")</f>
        <v>-</v>
      </c>
      <c r="Y50" s="13" t="str">
        <f>Settings!$A$11</f>
        <v>EAGLES</v>
      </c>
      <c r="Z50" s="224">
        <v>50.28</v>
      </c>
      <c r="AB50" s="720" t="str">
        <f t="shared" ref="AB50:AC50" si="109">IF(R50="-","",R50)</f>
        <v/>
      </c>
      <c r="AC50" s="722" t="str">
        <f t="shared" si="109"/>
        <v/>
      </c>
      <c r="AD50" s="722"/>
      <c r="AE50" s="722" t="str">
        <f t="shared" ref="AE50:AF50" si="110">IF(T50 = R50, "", T50)</f>
        <v/>
      </c>
      <c r="AF50" s="722" t="str">
        <f t="shared" si="110"/>
        <v/>
      </c>
      <c r="AG50" s="722"/>
      <c r="AH50" s="722" t="str">
        <f t="shared" ref="AH50:AI50" si="111">IF(OR(V50=R50, V50=T50), "", V50)</f>
        <v/>
      </c>
      <c r="AI50" s="724" t="str">
        <f t="shared" si="111"/>
        <v/>
      </c>
    </row>
    <row r="51" ht="15.75" customHeight="1">
      <c r="Q51" s="700"/>
      <c r="S51" s="224"/>
      <c r="U51" s="224"/>
      <c r="W51" s="224"/>
      <c r="Z51" s="224"/>
    </row>
    <row r="52" ht="15.75" customHeight="1">
      <c r="Q52" s="700"/>
      <c r="S52" s="224"/>
      <c r="U52" s="224"/>
      <c r="W52" s="224"/>
      <c r="Z52" s="224"/>
    </row>
    <row r="53" ht="15.75" customHeight="1">
      <c r="A53" s="672" t="s">
        <v>106</v>
      </c>
      <c r="B53" s="673" t="s">
        <v>307</v>
      </c>
      <c r="C53" s="674" t="s">
        <v>492</v>
      </c>
      <c r="D53" s="675" t="s">
        <v>543</v>
      </c>
      <c r="E53" s="676" t="s">
        <v>544</v>
      </c>
      <c r="F53" s="677"/>
      <c r="G53" s="677"/>
      <c r="H53" s="677"/>
      <c r="I53" s="677"/>
      <c r="J53" s="678"/>
      <c r="Q53" s="679" t="s">
        <v>545</v>
      </c>
      <c r="R53" s="680" t="s">
        <v>546</v>
      </c>
      <c r="S53" s="680"/>
      <c r="T53" s="680" t="s">
        <v>547</v>
      </c>
      <c r="U53" s="680"/>
      <c r="V53" s="680" t="s">
        <v>548</v>
      </c>
    </row>
    <row r="54" ht="15.75" customHeight="1">
      <c r="A54" s="681"/>
      <c r="B54" s="682">
        <f t="shared" ref="B54:B63" si="115">_xlfn.RANK.EQ(D54,D$54:D$63)</f>
        <v>1</v>
      </c>
      <c r="C54" s="683" t="str">
        <f t="shared" ref="C54:C63" si="116">INDEX(C$3:L$3,MATCH(LARGE(C$6:L$6,$Q54),C$6:L$6,0))</f>
        <v>GREEN</v>
      </c>
      <c r="D54" s="684">
        <f t="shared" ref="D54:D63" si="117">LARGE(C$6:L$6,$Q54)</f>
        <v>23.17857143</v>
      </c>
      <c r="E54" s="685" t="str">
        <f t="array" ref="E54">TEXTJOIN(", ", TRUE, UNIQUE(_xlws.FILTER('All-Stars'!$D$2:$D$1821, ('All-Stars'!$B$2:$B$1821 = 'League Stats'!C54) * ('All-Stars'!$C$2:$C$1821 = 'League Stats'!$A$53))))</f>
        <v>#NAME?</v>
      </c>
      <c r="F54" s="686"/>
      <c r="G54" s="686"/>
      <c r="H54" s="686"/>
      <c r="I54" s="686"/>
      <c r="J54" s="687"/>
      <c r="Q54" s="13">
        <v>1.0</v>
      </c>
      <c r="R54" s="688" t="str">
        <f t="array" ref="R54">IFERROR(INDEX(Y$54:Y$63, SMALL(IF(ANCHORARRAY(Z54) = MAX(ANCHORARRAY(Z54)), ROW(Y$54:Y$63)-ROW(Y$54)+1), ROW(1:1))), "-")</f>
        <v>-</v>
      </c>
      <c r="S54" s="689" t="str">
        <f t="array" ref="S54">IFERROR(INDEX(ANCHORARRAY(Z54), SMALL(IF(ANCHORARRAY(Z54) = MAX(ANCHORARRAY(Z54)), ROW(ANCHORARRAY(Z54))-ROW(Z$54)+1), ROW(1:1))), "-")</f>
        <v>-</v>
      </c>
      <c r="T54" s="688" t="str">
        <f t="array" ref="T54">IFERROR(INDEX(Y$54:Y$63, SMALL(IF(ANCHORARRAY(Z54) = LARGE(ANCHORARRAY(Z54),2), ROW(Y$54:Y$63)-ROW(Y$54)+1), ROW(1:1))), "-")</f>
        <v>-</v>
      </c>
      <c r="U54" s="689" t="str">
        <f t="array" ref="U54">IFERROR(INDEX(ANCHORARRAY(Z54), SMALL(IF(ANCHORARRAY(Z54) = LARGE(ANCHORARRAY(Z54),2), ROW(ANCHORARRAY(Z54))-ROW(Z$54)+1), ROW(1:1))), "-")</f>
        <v>-</v>
      </c>
      <c r="V54" s="688" t="str">
        <f t="array" ref="V54">IFERROR(INDEX(Y$54:Y$63, SMALL(IF(ANCHORARRAY(Z54) = LARGE(ANCHORARRAY(Z54),3), ROW(Y$54:Y$63)-ROW(Y$54)+1), ROW(1:1))), "-")</f>
        <v>-</v>
      </c>
      <c r="W54" s="689" t="str">
        <f t="array" ref="W54">IFERROR(INDEX(ANCHORARRAY(Z54), SMALL(IF(ANCHORARRAY(Z54) = LARGE(ANCHORARRAY(Z54),3), ROW(ANCHORARRAY(Z54))-ROW(Z$54)+1), ROW(1:1))), "-")</f>
        <v>-</v>
      </c>
      <c r="Y54" s="13" t="str">
        <f>Settings!$A$3</f>
        <v>DECOUPES</v>
      </c>
      <c r="Z54" s="224">
        <f t="array" ref="Z54:Z63">TRANSPOSE($C$6:$L$6)</f>
        <v>18.3</v>
      </c>
      <c r="AB54" s="688" t="str">
        <f t="shared" ref="AB54:AC54" si="112">R54</f>
        <v>-</v>
      </c>
      <c r="AC54" s="690" t="str">
        <f t="shared" si="112"/>
        <v>-</v>
      </c>
      <c r="AD54" s="691"/>
      <c r="AE54" s="691" t="str">
        <f t="shared" ref="AE54:AF54" si="113">IF(T54 = R54, "", T54)</f>
        <v/>
      </c>
      <c r="AF54" s="691" t="str">
        <f t="shared" si="113"/>
        <v/>
      </c>
      <c r="AG54" s="691"/>
      <c r="AH54" s="691" t="str">
        <f t="shared" ref="AH54:AI54" si="114">IF(OR(V54=R54, V54=T54), "", V54)</f>
        <v/>
      </c>
      <c r="AI54" s="760" t="str">
        <f t="shared" si="114"/>
        <v/>
      </c>
    </row>
    <row r="55" ht="15.75" customHeight="1">
      <c r="A55" s="681"/>
      <c r="B55" s="682">
        <f t="shared" si="115"/>
        <v>2</v>
      </c>
      <c r="C55" s="683" t="str">
        <f t="shared" si="116"/>
        <v>KINGS</v>
      </c>
      <c r="D55" s="684">
        <f t="shared" si="117"/>
        <v>19.17857143</v>
      </c>
      <c r="E55" s="685" t="str">
        <f t="array" ref="E55">TEXTJOIN(", ", TRUE, UNIQUE(_xlws.FILTER('All-Stars'!$D$2:$D$1821, ('All-Stars'!$B$2:$B$1821 = 'League Stats'!C55) * ('All-Stars'!$C$2:$C$1821 = 'League Stats'!$A$53))))</f>
        <v>#NAME?</v>
      </c>
      <c r="F55" s="694"/>
      <c r="G55" s="694"/>
      <c r="H55" s="694"/>
      <c r="I55" s="694"/>
      <c r="J55" s="695"/>
      <c r="Q55" s="13">
        <v>2.0</v>
      </c>
      <c r="R55" s="696" t="str">
        <f t="array" ref="R55">IFERROR(INDEX(Y$29:Y$38, SMALL(IF($Z$29:$Z$38 = MAX($Z$29:$Z$38), ROW(Y$29:Y$38)-ROW(Y$29)+1), ROW(27:27))), "-")</f>
        <v>-</v>
      </c>
      <c r="S55" s="697" t="str">
        <f t="array" ref="S55">IFERROR(INDEX(ANCHORARRAY(Z55), SMALL(IF(ANCHORARRAY(Z55) = MAX(ANCHORARRAY(Z55)), ROW(ANCHORARRAY(Z55))-ROW(Z$54)+1), ROW(2:2))), "-")</f>
        <v>-</v>
      </c>
      <c r="T55" s="696" t="str">
        <f t="array" ref="T55">IFERROR(INDEX(Y$54:Y$63, SMALL(IF(ANCHORARRAY(Z55) = LARGE(ANCHORARRAY(Z55),2), ROW(Y$54:Y$63)-ROW(Y$54)+1), ROW(2:2))), "-")</f>
        <v>-</v>
      </c>
      <c r="U55" s="697" t="str">
        <f t="array" ref="U55">IFERROR(INDEX(ANCHORARRAY(Z55), SMALL(IF(ANCHORARRAY(Z55) = LARGE(ANCHORARRAY(Z55),2), ROW(ANCHORARRAY(Z55))-ROW(Z$54)+1), ROW(2:2))), "-")</f>
        <v>-</v>
      </c>
      <c r="V55" s="696" t="str">
        <f t="array" ref="V55">IFERROR(INDEX(Y$54:Y$63, SMALL(IF(ANCHORARRAY(Z55) = LARGE(ANCHORARRAY(Z55),3), ROW(Y$54:Y$63)-ROW(Y$54)+1), ROW(2:2))), "-")</f>
        <v>-</v>
      </c>
      <c r="W55" s="697" t="str">
        <f t="array" ref="W55">IFERROR(INDEX(ANCHORARRAY(Z55), SMALL(IF(ANCHORARRAY(Z55) = LARGE(ANCHORARRAY(Z55),3), ROW(ANCHORARRAY(Z55))-ROW(Z$54)+1), ROW(2:2))), "-")</f>
        <v>-</v>
      </c>
      <c r="Y55" s="13" t="str">
        <f>Settings!$A$4</f>
        <v>POPEYES</v>
      </c>
      <c r="Z55" s="224">
        <v>17.7875</v>
      </c>
      <c r="AB55" s="696" t="str">
        <f t="shared" ref="AB55:AC55" si="118">IF(R55="-","",R55)</f>
        <v/>
      </c>
      <c r="AC55" s="13" t="str">
        <f t="shared" si="118"/>
        <v/>
      </c>
      <c r="AE55" s="13" t="str">
        <f t="shared" ref="AE55:AF55" si="119">IF(T55 = R55, "", T55)</f>
        <v/>
      </c>
      <c r="AF55" s="13" t="str">
        <f t="shared" si="119"/>
        <v/>
      </c>
      <c r="AH55" s="13" t="str">
        <f t="shared" ref="AH55:AI55" si="120">IF(OR(V55=R55, V55=T55), "", V55)</f>
        <v/>
      </c>
      <c r="AI55" s="699" t="str">
        <f t="shared" si="120"/>
        <v/>
      </c>
    </row>
    <row r="56" ht="15.75" customHeight="1">
      <c r="A56" s="681"/>
      <c r="B56" s="682">
        <f t="shared" si="115"/>
        <v>3</v>
      </c>
      <c r="C56" s="683" t="str">
        <f t="shared" si="116"/>
        <v>CHAMPS</v>
      </c>
      <c r="D56" s="684">
        <f t="shared" si="117"/>
        <v>18.73214286</v>
      </c>
      <c r="E56" s="685" t="str">
        <f t="array" ref="E56">TEXTJOIN(", ", TRUE, UNIQUE(_xlws.FILTER('All-Stars'!$D$2:$D$1821, ('All-Stars'!$B$2:$B$1821 = 'League Stats'!C56) * ('All-Stars'!$C$2:$C$1821 = 'League Stats'!$A$53))))</f>
        <v>#NAME?</v>
      </c>
      <c r="F56" s="694"/>
      <c r="G56" s="694"/>
      <c r="H56" s="694"/>
      <c r="I56" s="694"/>
      <c r="J56" s="695"/>
      <c r="Q56" s="13">
        <v>3.0</v>
      </c>
      <c r="R56" s="696" t="str">
        <f t="array" ref="R56">IFERROR(INDEX(Y$29:Y$38, SMALL(IF($Z$29:$Z$38 = MAX($Z$29:$Z$38), ROW(Y$29:Y$38)-ROW(Y$29)+1), ROW(28:28))), "-")</f>
        <v>-</v>
      </c>
      <c r="S56" s="697" t="str">
        <f t="array" ref="S56">IFERROR(INDEX(ANCHORARRAY(Z56), SMALL(IF(ANCHORARRAY(Z56) = MAX(ANCHORARRAY(Z56)), ROW(ANCHORARRAY(Z56))-ROW(Z$54)+1), ROW(3:3))), "-")</f>
        <v>-</v>
      </c>
      <c r="T56" s="696" t="str">
        <f t="array" ref="T56">IFERROR(INDEX(Y$54:Y$63, SMALL(IF(ANCHORARRAY(Z56) = LARGE(ANCHORARRAY(Z56),2), ROW(Y$54:Y$63)-ROW(Y$54)+1), ROW(3:3))), "-")</f>
        <v>-</v>
      </c>
      <c r="U56" s="697" t="str">
        <f t="array" ref="U56">IFERROR(INDEX(ANCHORARRAY(Z56), SMALL(IF(ANCHORARRAY(Z56) = LARGE(ANCHORARRAY(Z56),2), ROW(ANCHORARRAY(Z56))-ROW(Z$54)+1), ROW(3:3))), "-")</f>
        <v>-</v>
      </c>
      <c r="V56" s="696" t="str">
        <f t="array" ref="V56">IFERROR(INDEX(Y$54:Y$63, SMALL(IF(ANCHORARRAY(Z56) = LARGE(ANCHORARRAY(Z56),3), ROW(Y$54:Y$63)-ROW(Y$54)+1), ROW(3:3))), "-")</f>
        <v>-</v>
      </c>
      <c r="W56" s="697" t="str">
        <f t="array" ref="W56">IFERROR(INDEX(ANCHORARRAY(Z56), SMALL(IF(ANCHORARRAY(Z56) = LARGE(ANCHORARRAY(Z56),3), ROW(ANCHORARRAY(Z56))-ROW(Z$54)+1), ROW(3:3))), "-")</f>
        <v>-</v>
      </c>
      <c r="Y56" s="13" t="str">
        <f>Settings!$A$5</f>
        <v>GREEN</v>
      </c>
      <c r="Z56" s="224">
        <v>23.178571428571434</v>
      </c>
      <c r="AB56" s="696" t="str">
        <f t="shared" ref="AB56:AC56" si="121">IF(R56="-","",R56)</f>
        <v/>
      </c>
      <c r="AC56" s="13" t="str">
        <f t="shared" si="121"/>
        <v/>
      </c>
      <c r="AE56" s="13" t="str">
        <f t="shared" ref="AE56:AF56" si="122">IF(T56 = R56, "", T56)</f>
        <v/>
      </c>
      <c r="AF56" s="13" t="str">
        <f t="shared" si="122"/>
        <v/>
      </c>
      <c r="AH56" s="13" t="str">
        <f t="shared" ref="AH56:AI56" si="123">IF(OR(V56=R56, V56=T56), "", V56)</f>
        <v/>
      </c>
      <c r="AI56" s="699" t="str">
        <f t="shared" si="123"/>
        <v/>
      </c>
    </row>
    <row r="57" ht="15.75" customHeight="1">
      <c r="A57" s="681"/>
      <c r="B57" s="682">
        <f t="shared" si="115"/>
        <v>4</v>
      </c>
      <c r="C57" s="683" t="str">
        <f t="shared" si="116"/>
        <v>DECOUPES</v>
      </c>
      <c r="D57" s="684">
        <f t="shared" si="117"/>
        <v>18.3</v>
      </c>
      <c r="E57" s="685" t="str">
        <f t="array" ref="E57">TEXTJOIN(", ", TRUE, UNIQUE(_xlws.FILTER('All-Stars'!$D$2:$D$1821, ('All-Stars'!$B$2:$B$1821 = 'League Stats'!C57) * ('All-Stars'!$C$2:$C$1821 = 'League Stats'!$A$53))))</f>
        <v>#NAME?</v>
      </c>
      <c r="F57" s="694"/>
      <c r="G57" s="694"/>
      <c r="H57" s="694"/>
      <c r="I57" s="694"/>
      <c r="J57" s="695"/>
      <c r="Q57" s="13">
        <v>4.0</v>
      </c>
      <c r="R57" s="696" t="str">
        <f t="array" ref="R57">IFERROR(INDEX(Y$29:Y$38, SMALL(IF($Z$29:$Z$38 = MAX($Z$29:$Z$38), ROW(Y$29:Y$38)-ROW(Y$29)+1), ROW(29:29))), "-")</f>
        <v>-</v>
      </c>
      <c r="S57" s="697" t="str">
        <f t="array" ref="S57">IFERROR(INDEX(ANCHORARRAY(Z57), SMALL(IF(ANCHORARRAY(Z57) = MAX(ANCHORARRAY(Z57)), ROW(ANCHORARRAY(Z57))-ROW(Z$54)+1), ROW(4:4))), "-")</f>
        <v>-</v>
      </c>
      <c r="T57" s="696" t="str">
        <f t="array" ref="T57">IFERROR(INDEX(Y$54:Y$63, SMALL(IF(ANCHORARRAY(Z57) = LARGE(ANCHORARRAY(Z57),2), ROW(Y$54:Y$63)-ROW(Y$54)+1), ROW(4:4))), "-")</f>
        <v>-</v>
      </c>
      <c r="U57" s="697" t="str">
        <f t="array" ref="U57">IFERROR(INDEX(ANCHORARRAY(Z57), SMALL(IF(ANCHORARRAY(Z57) = LARGE(ANCHORARRAY(Z57),2), ROW(ANCHORARRAY(Z57))-ROW(Z$54)+1), ROW(4:4))), "-")</f>
        <v>-</v>
      </c>
      <c r="V57" s="696" t="str">
        <f t="array" ref="V57">IFERROR(INDEX(Y$54:Y$63, SMALL(IF(ANCHORARRAY(Z57) = LARGE(ANCHORARRAY(Z57),3), ROW(Y$54:Y$63)-ROW(Y$54)+1), ROW(4:4))), "-")</f>
        <v>-</v>
      </c>
      <c r="W57" s="697" t="str">
        <f t="array" ref="W57">IFERROR(INDEX(ANCHORARRAY(Z57), SMALL(IF(ANCHORARRAY(Z57) = LARGE(ANCHORARRAY(Z57),3), ROW(ANCHORARRAY(Z57))-ROW(Z$54)+1), ROW(4:4))), "-")</f>
        <v>-</v>
      </c>
      <c r="Y57" s="13" t="str">
        <f>Settings!$A$6</f>
        <v>SAVAGES</v>
      </c>
      <c r="Z57" s="224">
        <v>13.596428571428572</v>
      </c>
      <c r="AB57" s="696" t="str">
        <f t="shared" ref="AB57:AC57" si="124">IF(R57="-","",R57)</f>
        <v/>
      </c>
      <c r="AC57" s="13" t="str">
        <f t="shared" si="124"/>
        <v/>
      </c>
      <c r="AE57" s="13" t="str">
        <f t="shared" ref="AE57:AF57" si="125">IF(T57 = R57, "", T57)</f>
        <v/>
      </c>
      <c r="AF57" s="13" t="str">
        <f t="shared" si="125"/>
        <v/>
      </c>
      <c r="AH57" s="13" t="str">
        <f t="shared" ref="AH57:AI57" si="126">IF(OR(V57=R57, V57=T57), "", V57)</f>
        <v/>
      </c>
      <c r="AI57" s="699" t="str">
        <f t="shared" si="126"/>
        <v/>
      </c>
    </row>
    <row r="58" ht="15.75" customHeight="1">
      <c r="A58" s="681"/>
      <c r="B58" s="682">
        <f t="shared" si="115"/>
        <v>5</v>
      </c>
      <c r="C58" s="683" t="str">
        <f t="shared" si="116"/>
        <v>POPEYES</v>
      </c>
      <c r="D58" s="684">
        <f t="shared" si="117"/>
        <v>17.7875</v>
      </c>
      <c r="E58" s="685" t="str">
        <f t="array" ref="E58">TEXTJOIN(", ", TRUE, UNIQUE(_xlws.FILTER('All-Stars'!$D$2:$D$1821, ('All-Stars'!$B$2:$B$1821 = 'League Stats'!C58) * ('All-Stars'!$C$2:$C$1821 = 'League Stats'!$A$53))))</f>
        <v>#NAME?</v>
      </c>
      <c r="F58" s="694"/>
      <c r="G58" s="694"/>
      <c r="H58" s="694"/>
      <c r="I58" s="694"/>
      <c r="J58" s="695"/>
      <c r="Q58" s="13">
        <v>5.0</v>
      </c>
      <c r="R58" s="696" t="str">
        <f t="array" ref="R58">IFERROR(INDEX(Y$29:Y$38, SMALL(IF($Z$29:$Z$38 = MAX($Z$29:$Z$38), ROW(Y$29:Y$38)-ROW(Y$29)+1), ROW(30:30))), "-")</f>
        <v>-</v>
      </c>
      <c r="S58" s="697" t="str">
        <f t="array" ref="S58">IFERROR(INDEX(ANCHORARRAY(Z58), SMALL(IF(ANCHORARRAY(Z58) = MAX(ANCHORARRAY(Z58)), ROW(ANCHORARRAY(Z58))-ROW(Z$54)+1), ROW(5:5))), "-")</f>
        <v>-</v>
      </c>
      <c r="T58" s="696" t="str">
        <f t="array" ref="T58">IFERROR(INDEX(Y$54:Y$63, SMALL(IF(ANCHORARRAY(Z58) = LARGE(ANCHORARRAY(Z58),2), ROW(Y$54:Y$63)-ROW(Y$54)+1), ROW(5:5))), "-")</f>
        <v>-</v>
      </c>
      <c r="U58" s="697" t="str">
        <f t="array" ref="U58">IFERROR(INDEX(ANCHORARRAY(Z58), SMALL(IF(ANCHORARRAY(Z58) = LARGE(ANCHORARRAY(Z58),2), ROW(ANCHORARRAY(Z58))-ROW(Z$54)+1), ROW(5:5))), "-")</f>
        <v>-</v>
      </c>
      <c r="V58" s="696" t="str">
        <f t="array" ref="V58">IFERROR(INDEX(Y$54:Y$63, SMALL(IF(ANCHORARRAY(Z58) = LARGE(ANCHORARRAY(Z58),3), ROW(Y$54:Y$63)-ROW(Y$54)+1), ROW(5:5))), "-")</f>
        <v>-</v>
      </c>
      <c r="W58" s="697" t="str">
        <f t="array" ref="W58">IFERROR(INDEX(ANCHORARRAY(Z58), SMALL(IF(ANCHORARRAY(Z58) = LARGE(ANCHORARRAY(Z58),3), ROW(ANCHORARRAY(Z58))-ROW(Z$54)+1), ROW(5:5))), "-")</f>
        <v>-</v>
      </c>
      <c r="Y58" s="13" t="str">
        <f>Settings!$A$12</f>
        <v>KINGS</v>
      </c>
      <c r="Z58" s="224">
        <v>19.178571428571423</v>
      </c>
      <c r="AB58" s="696" t="str">
        <f t="shared" ref="AB58:AC58" si="127">IF(R58="-","",R58)</f>
        <v/>
      </c>
      <c r="AC58" s="13" t="str">
        <f t="shared" si="127"/>
        <v/>
      </c>
      <c r="AE58" s="13" t="str">
        <f t="shared" ref="AE58:AF58" si="128">IF(T58 = R58, "", T58)</f>
        <v/>
      </c>
      <c r="AF58" s="13" t="str">
        <f t="shared" si="128"/>
        <v/>
      </c>
      <c r="AH58" s="13" t="str">
        <f t="shared" ref="AH58:AI58" si="129">IF(OR(V58=R58, V58=T58), "", V58)</f>
        <v/>
      </c>
      <c r="AI58" s="699" t="str">
        <f t="shared" si="129"/>
        <v/>
      </c>
    </row>
    <row r="59" ht="15.75" customHeight="1">
      <c r="A59" s="681"/>
      <c r="B59" s="682">
        <f t="shared" si="115"/>
        <v>6</v>
      </c>
      <c r="C59" s="683" t="str">
        <f t="shared" si="116"/>
        <v>MUTTS</v>
      </c>
      <c r="D59" s="684">
        <f t="shared" si="117"/>
        <v>17.50928571</v>
      </c>
      <c r="E59" s="685" t="str">
        <f t="array" ref="E59">TEXTJOIN(", ", TRUE, UNIQUE(_xlws.FILTER('All-Stars'!$D$2:$D$1821, ('All-Stars'!$B$2:$B$1821 = 'League Stats'!C59) * ('All-Stars'!$C$2:$C$1821 = 'League Stats'!$A$53))))</f>
        <v>#NAME?</v>
      </c>
      <c r="F59" s="694"/>
      <c r="G59" s="694"/>
      <c r="H59" s="694"/>
      <c r="I59" s="694"/>
      <c r="J59" s="695"/>
      <c r="Q59" s="13">
        <v>6.0</v>
      </c>
      <c r="R59" s="696" t="str">
        <f t="array" ref="R59">IFERROR(INDEX(Y$29:Y$38, SMALL(IF($Z$29:$Z$38 = MAX($Z$29:$Z$38), ROW(Y$29:Y$38)-ROW(Y$29)+1), ROW(31:31))), "-")</f>
        <v>-</v>
      </c>
      <c r="S59" s="697" t="str">
        <f t="array" ref="S59">IFERROR(INDEX(ANCHORARRAY(Z59), SMALL(IF(ANCHORARRAY(Z59) = MAX(ANCHORARRAY(Z59)), ROW(ANCHORARRAY(Z59))-ROW(Z$54)+1), ROW(6:6))), "-")</f>
        <v>-</v>
      </c>
      <c r="T59" s="696" t="str">
        <f t="array" ref="T59">IFERROR(INDEX(Y$54:Y$63, SMALL(IF(ANCHORARRAY(Z59) = LARGE(ANCHORARRAY(Z59),2), ROW(Y$54:Y$63)-ROW(Y$54)+1), ROW(6:6))), "-")</f>
        <v>-</v>
      </c>
      <c r="U59" s="697" t="str">
        <f t="array" ref="U59">IFERROR(INDEX(ANCHORARRAY(Z59), SMALL(IF(ANCHORARRAY(Z59) = LARGE(ANCHORARRAY(Z59),2), ROW(ANCHORARRAY(Z59))-ROW(Z$54)+1), ROW(6:6))), "-")</f>
        <v>-</v>
      </c>
      <c r="V59" s="696" t="str">
        <f t="array" ref="V59">IFERROR(INDEX(Y$54:Y$63, SMALL(IF(ANCHORARRAY(Z59) = LARGE(ANCHORARRAY(Z59),3), ROW(Y$54:Y$63)-ROW(Y$54)+1), ROW(6:6))), "-")</f>
        <v>-</v>
      </c>
      <c r="W59" s="697" t="str">
        <f t="array" ref="W59">IFERROR(INDEX(ANCHORARRAY(Z59), SMALL(IF(ANCHORARRAY(Z59) = LARGE(ANCHORARRAY(Z59),3), ROW(ANCHORARRAY(Z59))-ROW(Z$54)+1), ROW(6:6))), "-")</f>
        <v>-</v>
      </c>
      <c r="Y59" s="13" t="str">
        <f>Settings!$A$7</f>
        <v>CHAMPS</v>
      </c>
      <c r="Z59" s="224">
        <v>18.732142857142858</v>
      </c>
      <c r="AB59" s="696" t="str">
        <f t="shared" ref="AB59:AC59" si="130">IF(R59="-","",R59)</f>
        <v/>
      </c>
      <c r="AC59" s="13" t="str">
        <f t="shared" si="130"/>
        <v/>
      </c>
      <c r="AE59" s="13" t="str">
        <f t="shared" ref="AE59:AF59" si="131">IF(T59 = R59, "", T59)</f>
        <v/>
      </c>
      <c r="AF59" s="13" t="str">
        <f t="shared" si="131"/>
        <v/>
      </c>
      <c r="AH59" s="13" t="str">
        <f t="shared" ref="AH59:AI59" si="132">IF(OR(V59=R59, V59=T59), "", V59)</f>
        <v/>
      </c>
      <c r="AI59" s="699" t="str">
        <f t="shared" si="132"/>
        <v/>
      </c>
    </row>
    <row r="60" ht="15.75" customHeight="1">
      <c r="A60" s="681"/>
      <c r="B60" s="682">
        <f t="shared" si="115"/>
        <v>7</v>
      </c>
      <c r="C60" s="683" t="str">
        <f t="shared" si="116"/>
        <v>METAMOOKDAWGS</v>
      </c>
      <c r="D60" s="684">
        <f t="shared" si="117"/>
        <v>16.15535714</v>
      </c>
      <c r="E60" s="685" t="str">
        <f t="array" ref="E60">TEXTJOIN(", ", TRUE, UNIQUE(_xlws.FILTER('All-Stars'!$D$2:$D$1821, ('All-Stars'!$B$2:$B$1821 = 'League Stats'!C60) * ('All-Stars'!$C$2:$C$1821 = 'League Stats'!$A$53))))</f>
        <v>#NAME?</v>
      </c>
      <c r="F60" s="694"/>
      <c r="G60" s="694"/>
      <c r="H60" s="694"/>
      <c r="I60" s="694"/>
      <c r="J60" s="695"/>
      <c r="Q60" s="13">
        <v>7.0</v>
      </c>
      <c r="R60" s="696" t="str">
        <f t="array" ref="R60">IFERROR(INDEX(Y$29:Y$38, SMALL(IF($Z$29:$Z$38 = MAX($Z$29:$Z$38), ROW(Y$29:Y$38)-ROW(Y$29)+1), ROW(32:32))), "-")</f>
        <v>-</v>
      </c>
      <c r="S60" s="697" t="str">
        <f t="array" ref="S60">IFERROR(INDEX(ANCHORARRAY(Z60), SMALL(IF(ANCHORARRAY(Z60) = MAX(ANCHORARRAY(Z60)), ROW(ANCHORARRAY(Z60))-ROW(Z$54)+1), ROW(7:7))), "-")</f>
        <v>-</v>
      </c>
      <c r="T60" s="696" t="str">
        <f t="array" ref="T60">IFERROR(INDEX(Y$54:Y$63, SMALL(IF(ANCHORARRAY(Z60) = LARGE(ANCHORARRAY(Z60),2), ROW(Y$54:Y$63)-ROW(Y$54)+1), ROW(7:7))), "-")</f>
        <v>-</v>
      </c>
      <c r="U60" s="697" t="str">
        <f t="array" ref="U60">IFERROR(INDEX(ANCHORARRAY(Z60), SMALL(IF(ANCHORARRAY(Z60) = LARGE(ANCHORARRAY(Z60),2), ROW(ANCHORARRAY(Z60))-ROW(Z$54)+1), ROW(7:7))), "-")</f>
        <v>-</v>
      </c>
      <c r="V60" s="696" t="str">
        <f t="array" ref="V60">IFERROR(INDEX(Y$54:Y$63, SMALL(IF(ANCHORARRAY(Z60) = LARGE(ANCHORARRAY(Z60),3), ROW(Y$54:Y$63)-ROW(Y$54)+1), ROW(7:7))), "-")</f>
        <v>-</v>
      </c>
      <c r="W60" s="697" t="str">
        <f t="array" ref="W60">IFERROR(INDEX(ANCHORARRAY(Z60), SMALL(IF(ANCHORARRAY(Z60) = LARGE(ANCHORARRAY(Z60),3), ROW(ANCHORARRAY(Z60))-ROW(Z$54)+1), ROW(7:7))), "-")</f>
        <v>-</v>
      </c>
      <c r="Y60" s="13" t="str">
        <f>Settings!$A$8</f>
        <v>METAMOOKDAWGS</v>
      </c>
      <c r="Z60" s="224">
        <v>16.155357142857145</v>
      </c>
      <c r="AB60" s="696"/>
      <c r="AI60" s="699"/>
    </row>
    <row r="61" ht="15.75" customHeight="1">
      <c r="A61" s="681"/>
      <c r="B61" s="682">
        <f t="shared" si="115"/>
        <v>8</v>
      </c>
      <c r="C61" s="683" t="str">
        <f t="shared" si="116"/>
        <v>YARDIES</v>
      </c>
      <c r="D61" s="684">
        <f t="shared" si="117"/>
        <v>15.48928571</v>
      </c>
      <c r="E61" s="685" t="str">
        <f t="array" ref="E61">TEXTJOIN(", ", TRUE, UNIQUE(_xlws.FILTER('All-Stars'!$D$2:$D$1821, ('All-Stars'!$B$2:$B$1821 = 'League Stats'!C61) * ('All-Stars'!$C$2:$C$1821 = 'League Stats'!$A$53))))</f>
        <v>#NAME?</v>
      </c>
      <c r="F61" s="694"/>
      <c r="G61" s="694"/>
      <c r="H61" s="694"/>
      <c r="I61" s="694"/>
      <c r="J61" s="695"/>
      <c r="Q61" s="13">
        <v>8.0</v>
      </c>
      <c r="R61" s="696" t="str">
        <f t="array" ref="R61">IFERROR(INDEX(Y$29:Y$38, SMALL(IF($Z$29:$Z$38 = MAX($Z$29:$Z$38), ROW(Y$29:Y$38)-ROW(Y$29)+1), ROW(33:33))), "-")</f>
        <v>-</v>
      </c>
      <c r="S61" s="697" t="str">
        <f t="array" ref="S61">IFERROR(INDEX(ANCHORARRAY(Z61), SMALL(IF(ANCHORARRAY(Z61) = MAX(ANCHORARRAY(Z61)), ROW(ANCHORARRAY(Z61))-ROW(Z$54)+1), ROW(8:8))), "-")</f>
        <v>-</v>
      </c>
      <c r="T61" s="696" t="str">
        <f t="array" ref="T61">IFERROR(INDEX(Y$54:Y$63, SMALL(IF(ANCHORARRAY(Z61) = LARGE(ANCHORARRAY(Z61),2), ROW(Y$54:Y$63)-ROW(Y$54)+1), ROW(8:8))), "-")</f>
        <v>-</v>
      </c>
      <c r="U61" s="697" t="str">
        <f t="array" ref="U61">IFERROR(INDEX(ANCHORARRAY(Z61), SMALL(IF(ANCHORARRAY(Z61) = LARGE(ANCHORARRAY(Z61),2), ROW(ANCHORARRAY(Z61))-ROW(Z$54)+1), ROW(8:8))), "-")</f>
        <v>-</v>
      </c>
      <c r="V61" s="696" t="str">
        <f t="array" ref="V61">IFERROR(INDEX(Y$54:Y$63, SMALL(IF(ANCHORARRAY(Z61) = LARGE(ANCHORARRAY(Z61),3), ROW(Y$54:Y$63)-ROW(Y$54)+1), ROW(8:8))), "-")</f>
        <v>-</v>
      </c>
      <c r="W61" s="697" t="str">
        <f t="array" ref="W61">IFERROR(INDEX(ANCHORARRAY(Z61), SMALL(IF(ANCHORARRAY(Z61) = LARGE(ANCHORARRAY(Z61),3), ROW(ANCHORARRAY(Z61))-ROW(Z$54)+1), ROW(8:8))), "-")</f>
        <v>-</v>
      </c>
      <c r="Y61" s="13" t="str">
        <f>Settings!$A$9</f>
        <v>YARDIES</v>
      </c>
      <c r="Z61" s="224">
        <v>15.489285714285717</v>
      </c>
      <c r="AB61" s="696"/>
      <c r="AI61" s="699"/>
    </row>
    <row r="62" ht="15.75" customHeight="1">
      <c r="A62" s="681"/>
      <c r="B62" s="682">
        <f t="shared" si="115"/>
        <v>9</v>
      </c>
      <c r="C62" s="683" t="str">
        <f t="shared" si="116"/>
        <v>SAVAGES</v>
      </c>
      <c r="D62" s="684">
        <f t="shared" si="117"/>
        <v>13.59642857</v>
      </c>
      <c r="E62" s="685" t="str">
        <f t="array" ref="E62">TEXTJOIN(", ", TRUE, UNIQUE(_xlws.FILTER('All-Stars'!$D$2:$D$1821, ('All-Stars'!$B$2:$B$1821 = 'League Stats'!C62) * ('All-Stars'!$C$2:$C$1821 = 'League Stats'!$A$53))))</f>
        <v>#NAME?</v>
      </c>
      <c r="F62" s="694"/>
      <c r="G62" s="694"/>
      <c r="H62" s="694"/>
      <c r="I62" s="694"/>
      <c r="J62" s="695"/>
      <c r="Q62" s="13">
        <v>9.0</v>
      </c>
      <c r="R62" s="696" t="str">
        <f t="array" ref="R62">IFERROR(INDEX(Y$29:Y$38, SMALL(IF($Z$29:$Z$38 = MAX($Z$29:$Z$38), ROW(Y$29:Y$38)-ROW(Y$29)+1), ROW(34:34))), "-")</f>
        <v>-</v>
      </c>
      <c r="S62" s="697" t="str">
        <f t="array" ref="S62">IFERROR(INDEX(ANCHORARRAY(Z62), SMALL(IF(ANCHORARRAY(Z62) = MAX(ANCHORARRAY(Z62)), ROW(ANCHORARRAY(Z62))-ROW(Z$54)+1), ROW(9:9))), "-")</f>
        <v>-</v>
      </c>
      <c r="T62" s="696" t="str">
        <f t="array" ref="T62">IFERROR(INDEX(Y$54:Y$63, SMALL(IF(ANCHORARRAY(Z62) = LARGE(ANCHORARRAY(Z62),2), ROW(Y$54:Y$63)-ROW(Y$54)+1), ROW(9:9))), "-")</f>
        <v>-</v>
      </c>
      <c r="U62" s="697" t="str">
        <f t="array" ref="U62">IFERROR(INDEX(ANCHORARRAY(Z62), SMALL(IF(ANCHORARRAY(Z62) = LARGE(ANCHORARRAY(Z62),2), ROW(ANCHORARRAY(Z62))-ROW(Z$54)+1), ROW(9:9))), "-")</f>
        <v>-</v>
      </c>
      <c r="V62" s="696" t="str">
        <f t="array" ref="V62">IFERROR(INDEX(Y$54:Y$63, SMALL(IF(ANCHORARRAY(Z62) = LARGE(ANCHORARRAY(Z62),3), ROW(Y$54:Y$63)-ROW(Y$54)+1), ROW(9:9))), "-")</f>
        <v>-</v>
      </c>
      <c r="W62" s="697" t="str">
        <f t="array" ref="W62">IFERROR(INDEX(ANCHORARRAY(Z62), SMALL(IF(ANCHORARRAY(Z62) = LARGE(ANCHORARRAY(Z62),3), ROW(ANCHORARRAY(Z62))-ROW(Z$54)+1), ROW(9:9))), "-")</f>
        <v>-</v>
      </c>
      <c r="Y62" s="13" t="str">
        <f>Settings!$A$10</f>
        <v>MUTTS</v>
      </c>
      <c r="Z62" s="224">
        <v>17.509285714285717</v>
      </c>
      <c r="AB62" s="696" t="str">
        <f t="shared" ref="AB62:AC62" si="133">IF(R62="-","",R62)</f>
        <v/>
      </c>
      <c r="AC62" s="13" t="str">
        <f t="shared" si="133"/>
        <v/>
      </c>
      <c r="AE62" s="13" t="str">
        <f t="shared" ref="AE62:AF62" si="134">IF(T62 = R62, "", T62)</f>
        <v/>
      </c>
      <c r="AF62" s="13" t="str">
        <f t="shared" si="134"/>
        <v/>
      </c>
      <c r="AH62" s="13" t="str">
        <f t="shared" ref="AH62:AI62" si="135">IF(OR(V62=R62, V62=T62), "", V62)</f>
        <v/>
      </c>
      <c r="AI62" s="699" t="str">
        <f t="shared" si="135"/>
        <v/>
      </c>
    </row>
    <row r="63" ht="15.75" customHeight="1">
      <c r="A63" s="681"/>
      <c r="B63" s="682">
        <f t="shared" si="115"/>
        <v>10</v>
      </c>
      <c r="C63" s="683" t="str">
        <f t="shared" si="116"/>
        <v>EAGLES</v>
      </c>
      <c r="D63" s="684">
        <f t="shared" si="117"/>
        <v>12.97857143</v>
      </c>
      <c r="E63" s="685" t="str">
        <f t="array" ref="E63">TEXTJOIN(", ", TRUE, UNIQUE(_xlws.FILTER('All-Stars'!$D$2:$D$1821, ('All-Stars'!$B$2:$B$1821 = 'League Stats'!C63) * ('All-Stars'!$C$2:$C$1821 = 'League Stats'!$A$53))))</f>
        <v>#NAME?</v>
      </c>
      <c r="F63" s="718"/>
      <c r="G63" s="718"/>
      <c r="H63" s="718"/>
      <c r="I63" s="718"/>
      <c r="J63" s="719"/>
      <c r="Q63" s="13">
        <v>10.0</v>
      </c>
      <c r="R63" s="720" t="str">
        <f t="array" ref="R63">IFERROR(INDEX(Y$29:Y$38, SMALL(IF($Z$29:$Z$38 = MAX($Z$29:$Z$38), ROW(Y$29:Y$38)-ROW(Y$29)+1), ROW(35:35))), "-")</f>
        <v>-</v>
      </c>
      <c r="S63" s="721" t="str">
        <f t="array" ref="S63">IFERROR(INDEX(ANCHORARRAY(Z63), SMALL(IF(ANCHORARRAY(Z63) = MAX(ANCHORARRAY(Z63)), ROW(ANCHORARRAY(Z63))-ROW(Z$54)+1), ROW(10:10))), "-")</f>
        <v>-</v>
      </c>
      <c r="T63" s="720" t="str">
        <f t="array" ref="T63">IFERROR(INDEX(Y$54:Y$63, SMALL(IF(ANCHORARRAY(Z63) = LARGE(ANCHORARRAY(Z63),2), ROW(Y$54:Y$63)-ROW(Y$54)+1), ROW(10:10))), "-")</f>
        <v>-</v>
      </c>
      <c r="U63" s="721" t="str">
        <f t="array" ref="U63">IFERROR(INDEX(ANCHORARRAY(Z63), SMALL(IF(ANCHORARRAY(Z63) = LARGE(ANCHORARRAY(Z63),2), ROW(ANCHORARRAY(Z63))-ROW(Z$54)+1), ROW(10:10))), "-")</f>
        <v>-</v>
      </c>
      <c r="V63" s="720" t="str">
        <f t="array" ref="V63">IFERROR(INDEX(Y$54:Y$63, SMALL(IF(ANCHORARRAY(Z63) = LARGE(ANCHORARRAY(Z63),3), ROW(Y$54:Y$63)-ROW(Y$54)+1), ROW(10:10))), "-")</f>
        <v>-</v>
      </c>
      <c r="W63" s="721" t="str">
        <f t="array" ref="W63">IFERROR(INDEX(ANCHORARRAY(Z63), SMALL(IF(ANCHORARRAY(Z63) = LARGE(ANCHORARRAY(Z63),3), ROW(ANCHORARRAY(Z63))-ROW(Z$54)+1), ROW(10:10))), "-")</f>
        <v>-</v>
      </c>
      <c r="Y63" s="13" t="str">
        <f>Settings!$A$11</f>
        <v>EAGLES</v>
      </c>
      <c r="Z63" s="224">
        <v>12.978571428571426</v>
      </c>
      <c r="AB63" s="720" t="str">
        <f t="shared" ref="AB63:AC63" si="136">IF(R63="-","",R63)</f>
        <v/>
      </c>
      <c r="AC63" s="722" t="str">
        <f t="shared" si="136"/>
        <v/>
      </c>
      <c r="AD63" s="722"/>
      <c r="AE63" s="722" t="str">
        <f t="shared" ref="AE63:AF63" si="137">IF(T63 = R63, "", T63)</f>
        <v/>
      </c>
      <c r="AF63" s="722" t="str">
        <f t="shared" si="137"/>
        <v/>
      </c>
      <c r="AG63" s="722"/>
      <c r="AH63" s="722" t="str">
        <f t="shared" ref="AH63:AI63" si="138">IF(OR(V63=R63, V63=T63), "", V63)</f>
        <v/>
      </c>
      <c r="AI63" s="724" t="str">
        <f t="shared" si="138"/>
        <v/>
      </c>
    </row>
    <row r="64" ht="15.75" customHeight="1">
      <c r="A64" s="681"/>
      <c r="S64" s="224"/>
      <c r="U64" s="224"/>
      <c r="W64" s="224"/>
      <c r="Z64" s="224"/>
    </row>
    <row r="65" ht="15.75" customHeight="1">
      <c r="A65" s="681"/>
      <c r="B65" s="725" t="s">
        <v>553</v>
      </c>
      <c r="C65" s="726" t="s">
        <v>492</v>
      </c>
      <c r="D65" s="726" t="s">
        <v>543</v>
      </c>
      <c r="E65" s="726" t="s">
        <v>509</v>
      </c>
      <c r="F65" s="727" t="s">
        <v>7</v>
      </c>
      <c r="Q65" s="728" t="s">
        <v>554</v>
      </c>
      <c r="R65" s="680" t="s">
        <v>546</v>
      </c>
      <c r="S65" s="680"/>
      <c r="T65" s="680" t="s">
        <v>547</v>
      </c>
      <c r="U65" s="680"/>
      <c r="V65" s="680" t="s">
        <v>548</v>
      </c>
      <c r="Z65" s="224"/>
    </row>
    <row r="66" ht="15.75" customHeight="1">
      <c r="A66" s="681"/>
      <c r="B66" s="682">
        <f t="shared" ref="B66:B75" si="142">_xlfn.RANK.EQ(D66,$D$41:$D$50)</f>
        <v>1</v>
      </c>
      <c r="C66" s="683" t="str">
        <f t="shared" ref="C66:C75" si="143">INDEX(C$3:L$3,MATCH(LARGE(C$5:L$5,$Q66),C$5:L$5,0))</f>
        <v>EAGLES</v>
      </c>
      <c r="D66" s="692">
        <f t="shared" ref="D66:D75" si="144">LARGE(C$5:L$5,$Q66)</f>
        <v>50.28</v>
      </c>
      <c r="E66" s="729" t="str">
        <f t="array" ref="E66">INDEX('All-Stars'!$D$2:$D$1821, MATCH(1, ('All-Stars'!$B$2:$B$1821 = 'League Stats'!C66) * ('All-Stars'!$C$2:$C$1821 = 'League Stats'!$A$53) * ('All-Stars'!$E$2:$E$1821 = 'League Stats'!D66), 0))</f>
        <v>#N/A</v>
      </c>
      <c r="F66" s="730" t="str">
        <f t="array" ref="F66">INDEX('All-Stars'!$F$2:$F$1821, MATCH(1, ('All-Stars'!$B$2:$B$1821 = 'League Stats'!C66) * ('All-Stars'!$C$2:$C$1821 = 'League Stats'!A$28) * ('All-Stars'!$E$2:$E$1821 = 'League Stats'!D66), 0))</f>
        <v>WEEK 11</v>
      </c>
      <c r="Q66" s="13">
        <v>1.0</v>
      </c>
      <c r="R66" s="13" t="str">
        <f t="array" ref="R66">IFERROR(INDEX(Y$66:Y$75, SMALL(IF(ANCHORARRAY(Z66) = MAX(ANCHORARRAY(Z66)), ROW(Y$66:Y$75)-ROW(Y$66)+1), ROW(1:1))), "-")</f>
        <v>-</v>
      </c>
      <c r="S66" s="224" t="str">
        <f t="array" ref="S66">IFERROR(INDEX(ANCHORARRAY(Z66), SMALL(IF(ANCHORARRAY(Z66) = MAX(ANCHORARRAY(Z66)), ROW(ANCHORARRAY(Z66))-ROW(Z$66)+1), ROW(1:1))), "-")</f>
        <v>-</v>
      </c>
      <c r="T66" s="13" t="str">
        <f t="array" ref="T66">IFERROR(INDEX(Y$41:Y$50, SMALL(IF($Z$41:$Z$50 = LARGE($Z$41:$Z$50,2), ROW(Y$41:Y$50)-ROW(Y$41)+1), ROW(26:26))), "-")</f>
        <v>-</v>
      </c>
      <c r="U66" s="224" t="str">
        <f t="array" ref="U66">IFERROR(INDEX($Z$41:$Z$50, SMALL(IF($Z$41:$Z$50 = LARGE($Z$41:$Z$50,2), ROW($Z$41:$Z$50)-ROW(Z$41)+1), ROW(26:26))), "-")</f>
        <v>-</v>
      </c>
      <c r="V66" s="13" t="str">
        <f t="array" ref="V66">IFERROR(INDEX(Y$41:Y$50, SMALL(IF($Z$41:$Z$50 = LARGE($Z$41:$Z$50,3), ROW(Y$41:Y$50)-ROW(Y$41)+1), ROW(26:26))), "-")</f>
        <v>-</v>
      </c>
      <c r="W66" s="224" t="str">
        <f t="array" ref="W66">IFERROR(INDEX($Z$41:$Z$50, SMALL(IF($Z$41:$Z$50 = LARGE($Z$41:$Z$50,3), ROW($Z$41:$Z$50)-ROW(Z$41)+1), ROW(26:26))), "-")</f>
        <v>-</v>
      </c>
      <c r="Y66" s="13" t="str">
        <f>Settings!$A$3</f>
        <v>DECOUPES</v>
      </c>
      <c r="Z66" s="224">
        <f t="array" ref="Z66:Z75">TRANSPOSE($C$7:$L$7)</f>
        <v>58.9</v>
      </c>
      <c r="AB66" s="688" t="str">
        <f t="shared" ref="AB66:AC66" si="139">R66</f>
        <v>-</v>
      </c>
      <c r="AC66" s="690" t="str">
        <f t="shared" si="139"/>
        <v>-</v>
      </c>
      <c r="AD66" s="691"/>
      <c r="AE66" s="691" t="str">
        <f t="shared" ref="AE66:AF66" si="140">IF(T66 = R66, "", T66)</f>
        <v/>
      </c>
      <c r="AF66" s="691" t="str">
        <f t="shared" si="140"/>
        <v/>
      </c>
      <c r="AG66" s="691"/>
      <c r="AH66" s="691" t="str">
        <f t="shared" ref="AH66:AI66" si="141">IF(OR(V66=R66, V66=T66), "", V66)</f>
        <v/>
      </c>
      <c r="AI66" s="760" t="str">
        <f t="shared" si="141"/>
        <v/>
      </c>
    </row>
    <row r="67" ht="15.75" customHeight="1">
      <c r="A67" s="681"/>
      <c r="B67" s="682">
        <f t="shared" si="142"/>
        <v>2</v>
      </c>
      <c r="C67" s="683" t="str">
        <f t="shared" si="143"/>
        <v>GREEN</v>
      </c>
      <c r="D67" s="692">
        <f t="shared" si="144"/>
        <v>45.26</v>
      </c>
      <c r="E67" s="729" t="str">
        <f t="array" ref="E67">INDEX('All-Stars'!$D$2:$D$1821, MATCH(1, ('All-Stars'!$B$2:$B$1821 = 'League Stats'!C67) * ('All-Stars'!$C$2:$C$1821 = 'League Stats'!$A$28) * ('All-Stars'!$E$2:$E$1821 = 'League Stats'!D67), 0))</f>
        <v>B. NIX</v>
      </c>
      <c r="F67" s="730" t="str">
        <f t="array" ref="F67">INDEX('All-Stars'!$F$2:$F$1821, MATCH(1, ('All-Stars'!$B$2:$B$1821 = 'League Stats'!C67) * ('All-Stars'!$C$2:$C$1821 = 'League Stats'!A$28) * ('All-Stars'!$E$2:$E$1821 = 'League Stats'!D67), 0))</f>
        <v>WEEK 7</v>
      </c>
      <c r="Q67" s="700">
        <v>2.0</v>
      </c>
      <c r="R67" s="13" t="str">
        <f t="array" ref="R67">IFERROR(INDEX(Y$66:Y$75, SMALL(IF(ANCHORARRAY(Z67) = MAX(ANCHORARRAY(Z67)), ROW(Y$66:Y$75)-ROW(Y$66)+1), ROW(2:2))), "-")</f>
        <v>-</v>
      </c>
      <c r="S67" s="224" t="str">
        <f t="array" ref="S67">IFERROR(INDEX(ANCHORARRAY(Z67), SMALL(IF(ANCHORARRAY(Z67) = MAX(ANCHORARRAY(Z67)), ROW(ANCHORARRAY(Z67))-ROW(Z$66)+1), ROW(27:27))), "-")</f>
        <v>-</v>
      </c>
      <c r="T67" s="13" t="str">
        <f t="array" ref="T67">IFERROR(INDEX(Y$41:Y$50, SMALL(IF($Z$41:$Z$50 = LARGE($Z$41:$Z$50,2), ROW(Y$41:Y$50)-ROW(Y$41)+1), ROW(27:27))), "-")</f>
        <v>-</v>
      </c>
      <c r="U67" s="224" t="str">
        <f t="array" ref="U67">IFERROR(INDEX($Z$41:$Z$50, SMALL(IF($Z$41:$Z$50 = LARGE($Z$41:$Z$50,2), ROW($Z$41:$Z$50)-ROW(Z$41)+1), ROW(27:27))), "-")</f>
        <v>-</v>
      </c>
      <c r="V67" s="13" t="str">
        <f t="array" ref="V67">IFERROR(INDEX(Y$41:Y$50, SMALL(IF($Z$41:$Z$50 = LARGE($Z$41:$Z$50,3), ROW(Y$41:Y$50)-ROW(Y$41)+1), ROW(27:27))), "-")</f>
        <v>-</v>
      </c>
      <c r="W67" s="224" t="str">
        <f t="array" ref="W67">IFERROR(INDEX($Z$41:$Z$50, SMALL(IF($Z$41:$Z$50 = LARGE($Z$41:$Z$50,3), ROW($Z$41:$Z$50)-ROW(Z$41)+1), ROW(27:27))), "-")</f>
        <v>-</v>
      </c>
      <c r="Y67" s="13" t="str">
        <f>Settings!$A$4</f>
        <v>POPEYES</v>
      </c>
      <c r="Z67" s="224">
        <v>43.7</v>
      </c>
      <c r="AB67" s="696" t="str">
        <f t="shared" ref="AB67:AC67" si="145">IF(R67="-","",R67)</f>
        <v/>
      </c>
      <c r="AC67" s="13" t="str">
        <f t="shared" si="145"/>
        <v/>
      </c>
      <c r="AE67" s="13" t="str">
        <f t="shared" ref="AE67:AF67" si="146">IF(T67 = R67, "", T67)</f>
        <v/>
      </c>
      <c r="AF67" s="13" t="str">
        <f t="shared" si="146"/>
        <v/>
      </c>
      <c r="AH67" s="13" t="str">
        <f t="shared" ref="AH67:AI67" si="147">IF(OR(V67=R67, V67=T67), "", V67)</f>
        <v/>
      </c>
      <c r="AI67" s="699" t="str">
        <f t="shared" si="147"/>
        <v/>
      </c>
    </row>
    <row r="68" ht="15.75" customHeight="1">
      <c r="A68" s="681"/>
      <c r="B68" s="682">
        <f t="shared" si="142"/>
        <v>3</v>
      </c>
      <c r="C68" s="683" t="str">
        <f t="shared" si="143"/>
        <v>KINGS</v>
      </c>
      <c r="D68" s="692">
        <f t="shared" si="144"/>
        <v>41.28</v>
      </c>
      <c r="E68" s="729" t="str">
        <f t="array" ref="E68">INDEX('All-Stars'!$D$2:$D$1821, MATCH(1, ('All-Stars'!$B$2:$B$1821 = 'League Stats'!C68) * ('All-Stars'!$C$2:$C$1821 = 'League Stats'!$A$28) * ('All-Stars'!$E$2:$E$1821 = 'League Stats'!D68), 0))</f>
        <v>P. MAHOMES</v>
      </c>
      <c r="F68" s="730" t="str">
        <f t="array" ref="F68">INDEX('All-Stars'!$F$2:$F$1821, MATCH(1, ('All-Stars'!$B$2:$B$1821 = 'League Stats'!C68) * ('All-Stars'!$C$2:$C$1821 = 'League Stats'!A$28) * ('All-Stars'!$E$2:$E$1821 = 'League Stats'!D68), 0))</f>
        <v>WEEK 6</v>
      </c>
      <c r="Q68" s="13">
        <v>3.0</v>
      </c>
      <c r="R68" s="13" t="str">
        <f t="array" ref="R68">IFERROR(INDEX(Y$66:Y$75, SMALL(IF(ANCHORARRAY(Z68) = MAX(ANCHORARRAY(Z68)), ROW(Y$66:Y$75)-ROW(Y$66)+1), ROW(3:3))), "-")</f>
        <v>-</v>
      </c>
      <c r="S68" s="224" t="str">
        <f t="array" ref="S68">IFERROR(INDEX(ANCHORARRAY(Z68), SMALL(IF(ANCHORARRAY(Z68) = MAX(ANCHORARRAY(Z68)), ROW(ANCHORARRAY(Z68))-ROW(Z$66)+1), ROW(28:28))), "-")</f>
        <v>-</v>
      </c>
      <c r="T68" s="13" t="str">
        <f t="array" ref="T68">IFERROR(INDEX(Y$41:Y$50, SMALL(IF($Z$41:$Z$50 = LARGE($Z$41:$Z$50,2), ROW(Y$41:Y$50)-ROW(Y$41)+1), ROW(28:28))), "-")</f>
        <v>-</v>
      </c>
      <c r="U68" s="224" t="str">
        <f t="array" ref="U68">IFERROR(INDEX($Z$41:$Z$50, SMALL(IF($Z$41:$Z$50 = LARGE($Z$41:$Z$50,2), ROW($Z$41:$Z$50)-ROW(Z$41)+1), ROW(28:28))), "-")</f>
        <v>-</v>
      </c>
      <c r="V68" s="13" t="str">
        <f t="array" ref="V68">IFERROR(INDEX(Y$41:Y$50, SMALL(IF($Z$41:$Z$50 = LARGE($Z$41:$Z$50,3), ROW(Y$41:Y$50)-ROW(Y$41)+1), ROW(28:28))), "-")</f>
        <v>-</v>
      </c>
      <c r="W68" s="224" t="str">
        <f t="array" ref="W68">IFERROR(INDEX($Z$41:$Z$50, SMALL(IF($Z$41:$Z$50 = LARGE($Z$41:$Z$50,3), ROW($Z$41:$Z$50)-ROW(Z$41)+1), ROW(28:28))), "-")</f>
        <v>-</v>
      </c>
      <c r="Y68" s="13" t="str">
        <f>Settings!$A$5</f>
        <v>GREEN</v>
      </c>
      <c r="Z68" s="224">
        <v>54.8</v>
      </c>
      <c r="AB68" s="696" t="str">
        <f t="shared" ref="AB68:AC68" si="148">IF(R68="-","",R68)</f>
        <v/>
      </c>
      <c r="AC68" s="13" t="str">
        <f t="shared" si="148"/>
        <v/>
      </c>
      <c r="AE68" s="13" t="str">
        <f t="shared" ref="AE68:AF68" si="149">IF(T68 = R68, "", T68)</f>
        <v/>
      </c>
      <c r="AF68" s="13" t="str">
        <f t="shared" si="149"/>
        <v/>
      </c>
      <c r="AH68" s="13" t="str">
        <f t="shared" ref="AH68:AI68" si="150">IF(OR(V68=R68, V68=T68), "", V68)</f>
        <v/>
      </c>
      <c r="AI68" s="699" t="str">
        <f t="shared" si="150"/>
        <v/>
      </c>
    </row>
    <row r="69" ht="15.75" customHeight="1">
      <c r="A69" s="681"/>
      <c r="B69" s="682">
        <f t="shared" si="142"/>
        <v>4</v>
      </c>
      <c r="C69" s="683" t="str">
        <f t="shared" si="143"/>
        <v>YARDIES</v>
      </c>
      <c r="D69" s="692">
        <f t="shared" si="144"/>
        <v>40.66</v>
      </c>
      <c r="E69" s="729" t="str">
        <f t="array" ref="E69">INDEX('All-Stars'!$D$2:$D$1821, MATCH(1, ('All-Stars'!$B$2:$B$1821 = 'League Stats'!C69) * ('All-Stars'!$C$2:$C$1821 = 'League Stats'!$A$28) * ('All-Stars'!$E$2:$E$1821 = 'League Stats'!D69), 0))</f>
        <v>C. STROUD</v>
      </c>
      <c r="F69" s="730" t="str">
        <f t="array" ref="F69">INDEX('All-Stars'!$F$2:$F$1821, MATCH(1, ('All-Stars'!$B$2:$B$1821 = 'League Stats'!C69) * ('All-Stars'!$C$2:$C$1821 = 'League Stats'!A$28) * ('All-Stars'!$E$2:$E$1821 = 'League Stats'!D69), 0))</f>
        <v>WEEK 5</v>
      </c>
      <c r="Q69" s="700">
        <v>4.0</v>
      </c>
      <c r="R69" s="13" t="str">
        <f t="array" ref="R69">IFERROR(INDEX(Y$66:Y$75, SMALL(IF(ANCHORARRAY(Z69) = MAX(ANCHORARRAY(Z69)), ROW(Y$66:Y$75)-ROW(Y$66)+1), ROW(4:4))), "-")</f>
        <v>-</v>
      </c>
      <c r="S69" s="224" t="str">
        <f t="array" ref="S69">IFERROR(INDEX(ANCHORARRAY(Z69), SMALL(IF(ANCHORARRAY(Z69) = MAX(ANCHORARRAY(Z69)), ROW(ANCHORARRAY(Z69))-ROW(Z$66)+1), ROW(29:29))), "-")</f>
        <v>-</v>
      </c>
      <c r="T69" s="13" t="str">
        <f t="array" ref="T69">IFERROR(INDEX(Y$41:Y$50, SMALL(IF($Z$41:$Z$50 = LARGE($Z$41:$Z$50,2), ROW(Y$41:Y$50)-ROW(Y$41)+1), ROW(29:29))), "-")</f>
        <v>-</v>
      </c>
      <c r="U69" s="224" t="str">
        <f t="array" ref="U69">IFERROR(INDEX($Z$41:$Z$50, SMALL(IF($Z$41:$Z$50 = LARGE($Z$41:$Z$50,2), ROW($Z$41:$Z$50)-ROW(Z$41)+1), ROW(29:29))), "-")</f>
        <v>-</v>
      </c>
      <c r="V69" s="13" t="str">
        <f t="array" ref="V69">IFERROR(INDEX(Y$41:Y$50, SMALL(IF($Z$41:$Z$50 = LARGE($Z$41:$Z$50,3), ROW(Y$41:Y$50)-ROW(Y$41)+1), ROW(29:29))), "-")</f>
        <v>-</v>
      </c>
      <c r="W69" s="224" t="str">
        <f t="array" ref="W69">IFERROR(INDEX($Z$41:$Z$50, SMALL(IF($Z$41:$Z$50 = LARGE($Z$41:$Z$50,3), ROW($Z$41:$Z$50)-ROW(Z$41)+1), ROW(29:29))), "-")</f>
        <v>-</v>
      </c>
      <c r="Y69" s="13" t="str">
        <f>Settings!$A$6</f>
        <v>SAVAGES</v>
      </c>
      <c r="Z69" s="224">
        <v>26.5</v>
      </c>
      <c r="AB69" s="696" t="str">
        <f t="shared" ref="AB69:AC69" si="151">IF(R69="-","",R69)</f>
        <v/>
      </c>
      <c r="AC69" s="13" t="str">
        <f t="shared" si="151"/>
        <v/>
      </c>
      <c r="AE69" s="13" t="str">
        <f t="shared" ref="AE69:AF69" si="152">IF(T69 = R69, "", T69)</f>
        <v/>
      </c>
      <c r="AF69" s="13" t="str">
        <f t="shared" si="152"/>
        <v/>
      </c>
      <c r="AH69" s="13" t="str">
        <f t="shared" ref="AH69:AI69" si="153">IF(OR(V69=R69, V69=T69), "", V69)</f>
        <v/>
      </c>
      <c r="AI69" s="699" t="str">
        <f t="shared" si="153"/>
        <v/>
      </c>
    </row>
    <row r="70" ht="15.75" customHeight="1">
      <c r="A70" s="681"/>
      <c r="B70" s="682">
        <f t="shared" si="142"/>
        <v>5</v>
      </c>
      <c r="C70" s="683" t="str">
        <f t="shared" si="143"/>
        <v>POPEYES</v>
      </c>
      <c r="D70" s="692">
        <f t="shared" si="144"/>
        <v>39</v>
      </c>
      <c r="E70" s="729" t="str">
        <f t="array" ref="E70">INDEX('All-Stars'!$D$2:$D$1821, MATCH(1, ('All-Stars'!$B$2:$B$1821 = 'League Stats'!C70) * ('All-Stars'!$C$2:$C$1821 = 'League Stats'!$A$28) * ('All-Stars'!$E$2:$E$1821 = 'League Stats'!D70), 0))</f>
        <v>S. DARNOLD</v>
      </c>
      <c r="F70" s="730" t="str">
        <f t="array" ref="F70">INDEX('All-Stars'!$F$2:$F$1821, MATCH(1, ('All-Stars'!$B$2:$B$1821 = 'League Stats'!C70) * ('All-Stars'!$C$2:$C$1821 = 'League Stats'!A$28) * ('All-Stars'!$E$2:$E$1821 = 'League Stats'!D70), 0))</f>
        <v>WEEK 9</v>
      </c>
      <c r="Q70" s="13">
        <v>5.0</v>
      </c>
      <c r="R70" s="13" t="str">
        <f t="array" ref="R70">IFERROR(INDEX(Y$66:Y$75, SMALL(IF(ANCHORARRAY(Z70) = MAX(ANCHORARRAY(Z70)), ROW(Y$66:Y$75)-ROW(Y$66)+1), ROW(5:5))), "-")</f>
        <v>-</v>
      </c>
      <c r="S70" s="224" t="str">
        <f t="array" ref="S70">IFERROR(INDEX(ANCHORARRAY(Z70), SMALL(IF(ANCHORARRAY(Z70) = MAX(ANCHORARRAY(Z70)), ROW(ANCHORARRAY(Z70))-ROW(Z$66)+1), ROW(30:30))), "-")</f>
        <v>-</v>
      </c>
      <c r="T70" s="13" t="str">
        <f t="array" ref="T70">IFERROR(INDEX(Y$41:Y$50, SMALL(IF($Z$41:$Z$50 = LARGE($Z$41:$Z$50,2), ROW(Y$41:Y$50)-ROW(Y$41)+1), ROW(30:30))), "-")</f>
        <v>-</v>
      </c>
      <c r="U70" s="224" t="str">
        <f t="array" ref="U70">IFERROR(INDEX($Z$41:$Z$50, SMALL(IF($Z$41:$Z$50 = LARGE($Z$41:$Z$50,2), ROW($Z$41:$Z$50)-ROW(Z$41)+1), ROW(30:30))), "-")</f>
        <v>-</v>
      </c>
      <c r="V70" s="13" t="str">
        <f t="array" ref="V70">IFERROR(INDEX(Y$41:Y$50, SMALL(IF($Z$41:$Z$50 = LARGE($Z$41:$Z$50,3), ROW(Y$41:Y$50)-ROW(Y$41)+1), ROW(30:30))), "-")</f>
        <v>-</v>
      </c>
      <c r="W70" s="224" t="str">
        <f t="array" ref="W70">IFERROR(INDEX($Z$41:$Z$50, SMALL(IF($Z$41:$Z$50 = LARGE($Z$41:$Z$50,3), ROW($Z$41:$Z$50)-ROW(Z$41)+1), ROW(30:30))), "-")</f>
        <v>-</v>
      </c>
      <c r="Y70" s="13" t="str">
        <f>Settings!$A$12</f>
        <v>KINGS</v>
      </c>
      <c r="Z70" s="224">
        <v>42.5</v>
      </c>
      <c r="AB70" s="696" t="str">
        <f t="shared" ref="AB70:AC70" si="154">IF(R70="-","",R70)</f>
        <v/>
      </c>
      <c r="AC70" s="13" t="str">
        <f t="shared" si="154"/>
        <v/>
      </c>
      <c r="AE70" s="13" t="str">
        <f t="shared" ref="AE70:AF70" si="155">IF(T70 = R70, "", T70)</f>
        <v/>
      </c>
      <c r="AF70" s="13" t="str">
        <f t="shared" si="155"/>
        <v/>
      </c>
      <c r="AH70" s="13" t="str">
        <f t="shared" ref="AH70:AI70" si="156">IF(OR(V70=R70, V70=T70), "", V70)</f>
        <v/>
      </c>
      <c r="AI70" s="699" t="str">
        <f t="shared" si="156"/>
        <v/>
      </c>
    </row>
    <row r="71" ht="15.75" customHeight="1">
      <c r="A71" s="681"/>
      <c r="B71" s="682">
        <f t="shared" si="142"/>
        <v>6</v>
      </c>
      <c r="C71" s="683" t="str">
        <f t="shared" si="143"/>
        <v>CHAMPS</v>
      </c>
      <c r="D71" s="692">
        <f t="shared" si="144"/>
        <v>38.82</v>
      </c>
      <c r="E71" s="729" t="str">
        <f t="array" ref="E71">INDEX('All-Stars'!$D$2:$D$1821, MATCH(1, ('All-Stars'!$B$2:$B$1821 = 'League Stats'!C71) * ('All-Stars'!$C$2:$C$1821 = 'League Stats'!$A$28) * ('All-Stars'!$E$2:$E$1821 = 'League Stats'!D71), 0))</f>
        <v>J. HERBERT</v>
      </c>
      <c r="F71" s="730" t="str">
        <f t="array" ref="F71">INDEX('All-Stars'!$F$2:$F$1821, MATCH(1, ('All-Stars'!$B$2:$B$1821 = 'League Stats'!C71) * ('All-Stars'!$C$2:$C$1821 = 'League Stats'!A$28) * ('All-Stars'!$E$2:$E$1821 = 'League Stats'!D71), 0))</f>
        <v>WEEK 1</v>
      </c>
      <c r="Q71" s="700">
        <v>6.0</v>
      </c>
      <c r="R71" s="13" t="str">
        <f t="array" ref="R71">IFERROR(INDEX(Y$66:Y$75, SMALL(IF(ANCHORARRAY(Z71) = MAX(ANCHORARRAY(Z71)), ROW(Y$66:Y$75)-ROW(Y$66)+1), ROW(6:6))), "-")</f>
        <v>-</v>
      </c>
      <c r="S71" s="224" t="str">
        <f t="array" ref="S71">IFERROR(INDEX(ANCHORARRAY(Z71), SMALL(IF(ANCHORARRAY(Z71) = MAX(ANCHORARRAY(Z71)), ROW(ANCHORARRAY(Z71))-ROW(Z$66)+1), ROW(31:31))), "-")</f>
        <v>-</v>
      </c>
      <c r="T71" s="13" t="str">
        <f t="array" ref="T71">IFERROR(INDEX(Y$41:Y$50, SMALL(IF($Z$41:$Z$50 = LARGE($Z$41:$Z$50,2), ROW(Y$41:Y$50)-ROW(Y$41)+1), ROW(31:31))), "-")</f>
        <v>-</v>
      </c>
      <c r="U71" s="224" t="str">
        <f t="array" ref="U71">IFERROR(INDEX($Z$41:$Z$50, SMALL(IF($Z$41:$Z$50 = LARGE($Z$41:$Z$50,2), ROW($Z$41:$Z$50)-ROW(Z$41)+1), ROW(31:31))), "-")</f>
        <v>-</v>
      </c>
      <c r="V71" s="13" t="str">
        <f t="array" ref="V71">IFERROR(INDEX(Y$41:Y$50, SMALL(IF($Z$41:$Z$50 = LARGE($Z$41:$Z$50,3), ROW(Y$41:Y$50)-ROW(Y$41)+1), ROW(31:31))), "-")</f>
        <v>-</v>
      </c>
      <c r="W71" s="224" t="str">
        <f t="array" ref="W71">IFERROR(INDEX($Z$41:$Z$50, SMALL(IF($Z$41:$Z$50 = LARGE($Z$41:$Z$50,3), ROW($Z$41:$Z$50)-ROW(Z$41)+1), ROW(31:31))), "-")</f>
        <v>-</v>
      </c>
      <c r="Y71" s="13" t="str">
        <f>Settings!$A$7</f>
        <v>CHAMPS</v>
      </c>
      <c r="Z71" s="224">
        <v>33.9</v>
      </c>
      <c r="AB71" s="696" t="str">
        <f t="shared" ref="AB71:AC71" si="157">IF(R71="-","",R71)</f>
        <v/>
      </c>
      <c r="AC71" s="13" t="str">
        <f t="shared" si="157"/>
        <v/>
      </c>
      <c r="AE71" s="13" t="str">
        <f t="shared" ref="AE71:AF71" si="158">IF(T71 = R71, "", T71)</f>
        <v/>
      </c>
      <c r="AF71" s="13" t="str">
        <f t="shared" si="158"/>
        <v/>
      </c>
      <c r="AH71" s="13" t="str">
        <f t="shared" ref="AH71:AI71" si="159">IF(OR(V71=R71, V71=T71), "", V71)</f>
        <v/>
      </c>
      <c r="AI71" s="699" t="str">
        <f t="shared" si="159"/>
        <v/>
      </c>
    </row>
    <row r="72" ht="15.75" customHeight="1">
      <c r="A72" s="681"/>
      <c r="B72" s="682">
        <f t="shared" si="142"/>
        <v>7</v>
      </c>
      <c r="C72" s="683" t="str">
        <f t="shared" si="143"/>
        <v>METAMOOKDAWGS</v>
      </c>
      <c r="D72" s="692">
        <f t="shared" si="144"/>
        <v>37.94</v>
      </c>
      <c r="E72" s="729" t="str">
        <f t="array" ref="E72">INDEX('All-Stars'!$D$2:$D$1821, MATCH(1, ('All-Stars'!$B$2:$B$1821 = 'League Stats'!C72) * ('All-Stars'!$C$2:$C$1821 = 'League Stats'!$A$28) * ('All-Stars'!$E$2:$E$1821 = 'League Stats'!D72), 0))</f>
        <v>J. HURTS</v>
      </c>
      <c r="F72" s="730" t="str">
        <f t="array" ref="F72">INDEX('All-Stars'!$F$2:$F$1821, MATCH(1, ('All-Stars'!$B$2:$B$1821 = 'League Stats'!C72) * ('All-Stars'!$C$2:$C$1821 = 'League Stats'!A$28) * ('All-Stars'!$E$2:$E$1821 = 'League Stats'!D72), 0))</f>
        <v>WEEK 3</v>
      </c>
      <c r="Q72" s="13">
        <v>7.0</v>
      </c>
      <c r="R72" s="13" t="str">
        <f t="array" ref="R72">IFERROR(INDEX(Y$66:Y$75, SMALL(IF(ANCHORARRAY(Z72) = MAX(ANCHORARRAY(Z72)), ROW(Y$66:Y$75)-ROW(Y$66)+1), ROW(7:7))), "-")</f>
        <v>-</v>
      </c>
      <c r="S72" s="224" t="str">
        <f t="array" ref="S72">IFERROR(INDEX(ANCHORARRAY(Z72), SMALL(IF(ANCHORARRAY(Z72) = MAX(ANCHORARRAY(Z72)), ROW(ANCHORARRAY(Z72))-ROW(Z$66)+1), ROW(32:32))), "-")</f>
        <v>-</v>
      </c>
      <c r="T72" s="13" t="str">
        <f t="array" ref="T72">IFERROR(INDEX(Y$41:Y$50, SMALL(IF($Z$41:$Z$50 = LARGE($Z$41:$Z$50,2), ROW(Y$41:Y$50)-ROW(Y$41)+1), ROW(32:32))), "-")</f>
        <v>-</v>
      </c>
      <c r="U72" s="224" t="str">
        <f t="array" ref="U72">IFERROR(INDEX($Z$41:$Z$50, SMALL(IF($Z$41:$Z$50 = LARGE($Z$41:$Z$50,2), ROW($Z$41:$Z$50)-ROW(Z$41)+1), ROW(32:32))), "-")</f>
        <v>-</v>
      </c>
      <c r="V72" s="13" t="str">
        <f t="array" ref="V72">IFERROR(INDEX(Y$41:Y$50, SMALL(IF($Z$41:$Z$50 = LARGE($Z$41:$Z$50,3), ROW(Y$41:Y$50)-ROW(Y$41)+1), ROW(32:32))), "-")</f>
        <v>-</v>
      </c>
      <c r="W72" s="224" t="str">
        <f t="array" ref="W72">IFERROR(INDEX($Z$41:$Z$50, SMALL(IF($Z$41:$Z$50 = LARGE($Z$41:$Z$50,3), ROW($Z$41:$Z$50)-ROW(Z$41)+1), ROW(32:32))), "-")</f>
        <v>-</v>
      </c>
      <c r="Y72" s="13" t="str">
        <f>Settings!$A$8</f>
        <v>METAMOOKDAWGS</v>
      </c>
      <c r="Z72" s="224">
        <v>35.8</v>
      </c>
      <c r="AB72" s="696" t="str">
        <f t="shared" ref="AB72:AC72" si="160">IF(R72="-","",R72)</f>
        <v/>
      </c>
      <c r="AC72" s="13" t="str">
        <f t="shared" si="160"/>
        <v/>
      </c>
      <c r="AE72" s="13" t="str">
        <f t="shared" ref="AE72:AF72" si="161">IF(T72 = R72, "", T72)</f>
        <v/>
      </c>
      <c r="AF72" s="13" t="str">
        <f t="shared" si="161"/>
        <v/>
      </c>
      <c r="AH72" s="13" t="str">
        <f t="shared" ref="AH72:AI72" si="162">IF(OR(V72=R72, V72=T72), "", V72)</f>
        <v/>
      </c>
      <c r="AI72" s="699" t="str">
        <f t="shared" si="162"/>
        <v/>
      </c>
    </row>
    <row r="73" ht="15.75" customHeight="1">
      <c r="A73" s="681"/>
      <c r="B73" s="682">
        <f t="shared" si="142"/>
        <v>8</v>
      </c>
      <c r="C73" s="683" t="str">
        <f t="shared" si="143"/>
        <v>MUTTS</v>
      </c>
      <c r="D73" s="692">
        <f t="shared" si="144"/>
        <v>36.72</v>
      </c>
      <c r="E73" s="729" t="str">
        <f t="array" ref="E73">INDEX('All-Stars'!$D$2:$D$1821, MATCH(1, ('All-Stars'!$B$2:$B$1821 = 'League Stats'!C73) * ('All-Stars'!$C$2:$C$1821 = 'League Stats'!$A$28) * ('All-Stars'!$E$2:$E$1821 = 'League Stats'!D73), 0))</f>
        <v>L. JACKSON</v>
      </c>
      <c r="F73" s="730" t="str">
        <f t="array" ref="F73">INDEX('All-Stars'!$F$2:$F$1821, MATCH(1, ('All-Stars'!$B$2:$B$1821 = 'League Stats'!C73) * ('All-Stars'!$C$2:$C$1821 = 'League Stats'!A$28) * ('All-Stars'!$E$2:$E$1821 = 'League Stats'!D73), 0))</f>
        <v>WEEK 3</v>
      </c>
      <c r="Q73" s="700">
        <v>8.0</v>
      </c>
      <c r="R73" s="13" t="str">
        <f t="array" ref="R73">IFERROR(INDEX(Y$66:Y$75, SMALL(IF(ANCHORARRAY(Z73) = MAX(ANCHORARRAY(Z73)), ROW(Y$66:Y$75)-ROW(Y$66)+1), ROW(8:8))), "-")</f>
        <v>-</v>
      </c>
      <c r="S73" s="224" t="str">
        <f t="array" ref="S73">IFERROR(INDEX(ANCHORARRAY(Z73), SMALL(IF(ANCHORARRAY(Z73) = MAX(ANCHORARRAY(Z73)), ROW(ANCHORARRAY(Z73))-ROW(Z$66)+1), ROW(33:33))), "-")</f>
        <v>-</v>
      </c>
      <c r="T73" s="13" t="str">
        <f t="array" ref="T73">IFERROR(INDEX(Y$41:Y$50, SMALL(IF($Z$41:$Z$50 = LARGE($Z$41:$Z$50,2), ROW(Y$41:Y$50)-ROW(Y$41)+1), ROW(33:33))), "-")</f>
        <v>-</v>
      </c>
      <c r="U73" s="224" t="str">
        <f t="array" ref="U73">IFERROR(INDEX($Z$41:$Z$50, SMALL(IF($Z$41:$Z$50 = LARGE($Z$41:$Z$50,2), ROW($Z$41:$Z$50)-ROW(Z$41)+1), ROW(33:33))), "-")</f>
        <v>-</v>
      </c>
      <c r="V73" s="13" t="str">
        <f t="array" ref="V73">IFERROR(INDEX(Y$41:Y$50, SMALL(IF($Z$41:$Z$50 = LARGE($Z$41:$Z$50,3), ROW(Y$41:Y$50)-ROW(Y$41)+1), ROW(33:33))), "-")</f>
        <v>-</v>
      </c>
      <c r="W73" s="224" t="str">
        <f t="array" ref="W73">IFERROR(INDEX($Z$41:$Z$50, SMALL(IF($Z$41:$Z$50 = LARGE($Z$41:$Z$50,3), ROW($Z$41:$Z$50)-ROW(Z$41)+1), ROW(33:33))), "-")</f>
        <v>-</v>
      </c>
      <c r="Y73" s="13" t="str">
        <f>Settings!$A$9</f>
        <v>YARDIES</v>
      </c>
      <c r="Z73" s="224">
        <v>32.0</v>
      </c>
      <c r="AB73" s="696"/>
      <c r="AI73" s="699"/>
    </row>
    <row r="74" ht="15.75" customHeight="1">
      <c r="A74" s="681"/>
      <c r="B74" s="682">
        <f t="shared" si="142"/>
        <v>9</v>
      </c>
      <c r="C74" s="683" t="str">
        <f t="shared" si="143"/>
        <v>DECOUPES</v>
      </c>
      <c r="D74" s="692">
        <f t="shared" si="144"/>
        <v>36.12</v>
      </c>
      <c r="E74" s="729" t="str">
        <f t="array" ref="E74">INDEX('All-Stars'!$D$2:$D$1821, MATCH(1, ('All-Stars'!$B$2:$B$1821 = 'League Stats'!C74) * ('All-Stars'!$C$2:$C$1821 = 'League Stats'!$A$28) * ('All-Stars'!$E$2:$E$1821 = 'League Stats'!D74), 0))</f>
        <v>D. PRESCOTT</v>
      </c>
      <c r="F74" s="730" t="str">
        <f t="array" ref="F74">INDEX('All-Stars'!$F$2:$F$1821, MATCH(1, ('All-Stars'!$B$2:$B$1821 = 'League Stats'!C74) * ('All-Stars'!$C$2:$C$1821 = 'League Stats'!A$28) * ('All-Stars'!$E$2:$E$1821 = 'League Stats'!D74), 0))</f>
        <v>WEEK 11</v>
      </c>
      <c r="Q74" s="13">
        <v>9.0</v>
      </c>
      <c r="R74" s="13" t="str">
        <f t="array" ref="R74">IFERROR(INDEX(Y$66:Y$75, SMALL(IF(ANCHORARRAY(Z74) = MAX(ANCHORARRAY(Z74)), ROW(Y$66:Y$75)-ROW(Y$66)+1), ROW(9:9))), "-")</f>
        <v>-</v>
      </c>
      <c r="S74" s="224" t="str">
        <f t="array" ref="S74">IFERROR(INDEX(ANCHORARRAY(Z74), SMALL(IF(ANCHORARRAY(Z74) = MAX(ANCHORARRAY(Z74)), ROW(ANCHORARRAY(Z74))-ROW(Z$66)+1), ROW(34:34))), "-")</f>
        <v>-</v>
      </c>
      <c r="T74" s="13" t="str">
        <f t="array" ref="T74">IFERROR(INDEX(Y$41:Y$50, SMALL(IF($Z$41:$Z$50 = LARGE($Z$41:$Z$50,2), ROW(Y$41:Y$50)-ROW(Y$41)+1), ROW(34:34))), "-")</f>
        <v>-</v>
      </c>
      <c r="U74" s="224" t="str">
        <f t="array" ref="U74">IFERROR(INDEX($Z$41:$Z$50, SMALL(IF($Z$41:$Z$50 = LARGE($Z$41:$Z$50,2), ROW($Z$41:$Z$50)-ROW(Z$41)+1), ROW(34:34))), "-")</f>
        <v>-</v>
      </c>
      <c r="V74" s="13" t="str">
        <f t="array" ref="V74">IFERROR(INDEX(Y$41:Y$50, SMALL(IF($Z$41:$Z$50 = LARGE($Z$41:$Z$50,3), ROW(Y$41:Y$50)-ROW(Y$41)+1), ROW(34:34))), "-")</f>
        <v>-</v>
      </c>
      <c r="W74" s="224" t="str">
        <f t="array" ref="W74">IFERROR(INDEX($Z$41:$Z$50, SMALL(IF($Z$41:$Z$50 = LARGE($Z$41:$Z$50,3), ROW($Z$41:$Z$50)-ROW(Z$41)+1), ROW(34:34))), "-")</f>
        <v>-</v>
      </c>
      <c r="Y74" s="13" t="str">
        <f>Settings!$A$10</f>
        <v>MUTTS</v>
      </c>
      <c r="Z74" s="224">
        <v>37.86</v>
      </c>
      <c r="AB74" s="696"/>
      <c r="AI74" s="699"/>
    </row>
    <row r="75" ht="15.75" customHeight="1">
      <c r="A75" s="749"/>
      <c r="B75" s="714">
        <f t="shared" si="142"/>
        <v>10</v>
      </c>
      <c r="C75" s="715" t="str">
        <f t="shared" si="143"/>
        <v>SAVAGES</v>
      </c>
      <c r="D75" s="716">
        <f t="shared" si="144"/>
        <v>35.2</v>
      </c>
      <c r="E75" s="750" t="str">
        <f t="array" ref="E75">INDEX('All-Stars'!$D$2:$D$1821, MATCH(1, ('All-Stars'!$B$2:$B$1821 = 'League Stats'!C75) * ('All-Stars'!$C$2:$C$1821 = 'League Stats'!$A$28) * ('All-Stars'!$E$2:$E$1821 = 'League Stats'!D75), 0))</f>
        <v>J. GOFF</v>
      </c>
      <c r="F75" s="751" t="str">
        <f t="array" ref="F75">INDEX('All-Stars'!$F$2:$F$1821, MATCH(1, ('All-Stars'!$B$2:$B$1821 = 'League Stats'!C75) * ('All-Stars'!$C$2:$C$1821 = 'League Stats'!A$28) * ('All-Stars'!$E$2:$E$1821 = 'League Stats'!D75), 0))</f>
        <v>WEEK 10</v>
      </c>
      <c r="Q75" s="700">
        <v>10.0</v>
      </c>
      <c r="R75" s="13" t="str">
        <f t="array" ref="R75">IFERROR(INDEX(Y$66:Y$75, SMALL(IF(ANCHORARRAY(Z75) = MAX(ANCHORARRAY(Z75)), ROW(Y$66:Y$75)-ROW(Y$66)+1), ROW(10:10))), "-")</f>
        <v>-</v>
      </c>
      <c r="S75" s="224" t="str">
        <f t="array" ref="S75">IFERROR(INDEX(ANCHORARRAY(Z75), SMALL(IF(ANCHORARRAY(Z75) = MAX(ANCHORARRAY(Z75)), ROW(ANCHORARRAY(Z75))-ROW(Z$66)+1), ROW(35:35))), "-")</f>
        <v>-</v>
      </c>
      <c r="T75" s="13" t="str">
        <f t="array" ref="T75">IFERROR(INDEX(Y$41:Y$50, SMALL(IF($Z$41:$Z$50 = LARGE($Z$41:$Z$50,2), ROW(Y$41:Y$50)-ROW(Y$41)+1), ROW(35:35))), "-")</f>
        <v>-</v>
      </c>
      <c r="U75" s="224" t="str">
        <f t="array" ref="U75">IFERROR(INDEX($Z$41:$Z$50, SMALL(IF($Z$41:$Z$50 = LARGE($Z$41:$Z$50,2), ROW($Z$41:$Z$50)-ROW(Z$41)+1), ROW(35:35))), "-")</f>
        <v>-</v>
      </c>
      <c r="V75" s="13" t="str">
        <f t="array" ref="V75">IFERROR(INDEX(Y$41:Y$50, SMALL(IF($Z$41:$Z$50 = LARGE($Z$41:$Z$50,3), ROW(Y$41:Y$50)-ROW(Y$41)+1), ROW(35:35))), "-")</f>
        <v>-</v>
      </c>
      <c r="W75" s="224" t="str">
        <f t="array" ref="W75">IFERROR(INDEX($Z$41:$Z$50, SMALL(IF($Z$41:$Z$50 = LARGE($Z$41:$Z$50,3), ROW($Z$41:$Z$50)-ROW(Z$41)+1), ROW(35:35))), "-")</f>
        <v>-</v>
      </c>
      <c r="Y75" s="13" t="str">
        <f>Settings!$A$11</f>
        <v>EAGLES</v>
      </c>
      <c r="Z75" s="224">
        <v>29.5</v>
      </c>
      <c r="AB75" s="720" t="str">
        <f t="shared" ref="AB75:AC75" si="163">IF(R75="-","",R75)</f>
        <v/>
      </c>
      <c r="AC75" s="722" t="str">
        <f t="shared" si="163"/>
        <v/>
      </c>
      <c r="AD75" s="722"/>
      <c r="AE75" s="722" t="str">
        <f t="shared" ref="AE75:AF75" si="164">IF(T75 = R75, "", T75)</f>
        <v/>
      </c>
      <c r="AF75" s="722" t="str">
        <f t="shared" si="164"/>
        <v/>
      </c>
      <c r="AG75" s="722"/>
      <c r="AH75" s="722" t="str">
        <f t="shared" ref="AH75:AI75" si="165">IF(OR(V75=R75, V75=T75), "", V75)</f>
        <v/>
      </c>
      <c r="AI75" s="724" t="str">
        <f t="shared" si="165"/>
        <v/>
      </c>
    </row>
    <row r="76" ht="25.5" customHeight="1">
      <c r="Q76" s="700"/>
      <c r="S76" s="224"/>
      <c r="U76" s="224"/>
      <c r="W76" s="224"/>
      <c r="Z76" s="224"/>
    </row>
    <row r="77" ht="25.5" customHeight="1">
      <c r="Q77" s="700"/>
      <c r="S77" s="224"/>
      <c r="U77" s="224"/>
      <c r="W77" s="224"/>
      <c r="Z77" s="224"/>
    </row>
    <row r="78" ht="25.5" customHeight="1">
      <c r="Q78" s="700"/>
      <c r="S78" s="224"/>
      <c r="U78" s="224"/>
      <c r="W78" s="224"/>
      <c r="Z78" s="224"/>
    </row>
    <row r="79" ht="25.5" customHeight="1">
      <c r="Q79" s="700"/>
      <c r="S79" s="224"/>
      <c r="U79" s="224"/>
      <c r="W79" s="224"/>
      <c r="Z79" s="224"/>
    </row>
    <row r="80" ht="25.5" customHeight="1">
      <c r="Q80" s="700"/>
      <c r="S80" s="224"/>
      <c r="U80" s="224"/>
      <c r="W80" s="224"/>
      <c r="Z80" s="224"/>
    </row>
    <row r="81" ht="16.5" customHeight="1">
      <c r="Q81" s="700"/>
      <c r="S81" s="224"/>
      <c r="U81" s="224"/>
      <c r="W81" s="224"/>
      <c r="Z81" s="224"/>
    </row>
    <row r="82" ht="15.75" customHeight="1">
      <c r="Q82" s="700"/>
      <c r="S82" s="224"/>
      <c r="U82" s="224"/>
      <c r="W82" s="224"/>
      <c r="Z82" s="224"/>
    </row>
    <row r="83" ht="27.0" customHeight="1">
      <c r="Q83" s="700"/>
      <c r="S83" s="224"/>
      <c r="U83" s="224"/>
      <c r="W83" s="224"/>
      <c r="Z83" s="224"/>
    </row>
    <row r="84" ht="25.5" customHeight="1">
      <c r="Q84" s="700"/>
      <c r="S84" s="224"/>
      <c r="U84" s="224"/>
      <c r="W84" s="224"/>
      <c r="Z84" s="224"/>
    </row>
    <row r="85" ht="25.5" customHeight="1">
      <c r="Q85" s="700"/>
      <c r="S85" s="224"/>
      <c r="U85" s="224"/>
      <c r="W85" s="224"/>
      <c r="Z85" s="224"/>
    </row>
    <row r="86" ht="25.5" customHeight="1">
      <c r="Q86" s="700"/>
      <c r="S86" s="224"/>
      <c r="U86" s="224"/>
      <c r="W86" s="224"/>
      <c r="Z86" s="224"/>
    </row>
    <row r="87" ht="25.5" customHeight="1">
      <c r="Q87" s="700"/>
      <c r="S87" s="224"/>
      <c r="U87" s="224"/>
      <c r="W87" s="224"/>
      <c r="Z87" s="224"/>
    </row>
    <row r="88" ht="25.5" customHeight="1">
      <c r="Q88" s="700"/>
      <c r="S88" s="224"/>
      <c r="U88" s="224"/>
      <c r="W88" s="224"/>
      <c r="Z88" s="224"/>
    </row>
    <row r="89" ht="25.5" customHeight="1">
      <c r="Q89" s="700"/>
      <c r="S89" s="224"/>
      <c r="U89" s="224"/>
      <c r="W89" s="224"/>
      <c r="Z89" s="224"/>
    </row>
    <row r="90" ht="25.5" customHeight="1">
      <c r="Q90" s="700"/>
      <c r="S90" s="224"/>
      <c r="U90" s="224"/>
      <c r="W90" s="224"/>
      <c r="Z90" s="224"/>
    </row>
    <row r="91" ht="15.75" customHeight="1">
      <c r="Q91" s="700"/>
      <c r="S91" s="224"/>
      <c r="U91" s="224"/>
      <c r="W91" s="224"/>
      <c r="Z91" s="224"/>
    </row>
    <row r="92" ht="15.75" customHeight="1">
      <c r="Q92" s="700"/>
      <c r="S92" s="224"/>
      <c r="U92" s="224"/>
      <c r="W92" s="224"/>
      <c r="Z92" s="224"/>
    </row>
    <row r="93" ht="27.0" customHeight="1">
      <c r="Q93" s="700"/>
      <c r="S93" s="224"/>
      <c r="U93" s="224"/>
      <c r="W93" s="224"/>
      <c r="Z93" s="224"/>
    </row>
    <row r="94" ht="25.5" customHeight="1">
      <c r="Q94" s="700"/>
      <c r="S94" s="224"/>
      <c r="U94" s="224"/>
      <c r="W94" s="224"/>
      <c r="Z94" s="224"/>
    </row>
    <row r="95" ht="25.5" customHeight="1">
      <c r="Q95" s="700"/>
      <c r="S95" s="224"/>
      <c r="U95" s="224"/>
      <c r="W95" s="224"/>
      <c r="Z95" s="224"/>
    </row>
    <row r="96" ht="25.5" customHeight="1">
      <c r="Q96" s="700"/>
      <c r="S96" s="224"/>
      <c r="U96" s="224"/>
      <c r="W96" s="224"/>
      <c r="Z96" s="224"/>
    </row>
    <row r="97" ht="25.5" customHeight="1">
      <c r="Q97" s="700"/>
      <c r="S97" s="224"/>
      <c r="U97" s="224"/>
      <c r="W97" s="224"/>
      <c r="Z97" s="224"/>
    </row>
    <row r="98" ht="25.5" customHeight="1">
      <c r="Q98" s="700"/>
      <c r="S98" s="224"/>
      <c r="U98" s="224"/>
      <c r="W98" s="224"/>
      <c r="Z98" s="224"/>
    </row>
    <row r="99" ht="25.5" customHeight="1">
      <c r="Q99" s="700"/>
      <c r="S99" s="224"/>
      <c r="U99" s="224"/>
      <c r="W99" s="224"/>
      <c r="Z99" s="224"/>
    </row>
    <row r="100" ht="25.5" customHeight="1">
      <c r="Q100" s="700"/>
      <c r="S100" s="224"/>
      <c r="U100" s="224"/>
      <c r="W100" s="224"/>
      <c r="Z100" s="224"/>
    </row>
    <row r="101" ht="16.5" customHeight="1">
      <c r="Q101" s="700"/>
      <c r="S101" s="224"/>
      <c r="U101" s="224"/>
      <c r="W101" s="224"/>
      <c r="Z101" s="224"/>
    </row>
    <row r="102" ht="15.75" customHeight="1">
      <c r="Q102" s="700"/>
      <c r="S102" s="224"/>
      <c r="U102" s="224"/>
      <c r="W102" s="224"/>
      <c r="Z102" s="224"/>
    </row>
    <row r="103" ht="27.0" customHeight="1">
      <c r="Q103" s="700"/>
      <c r="S103" s="224"/>
      <c r="U103" s="224"/>
      <c r="W103" s="224"/>
      <c r="Z103" s="224"/>
    </row>
    <row r="104" ht="25.5" customHeight="1">
      <c r="Q104" s="700"/>
      <c r="S104" s="224"/>
      <c r="U104" s="224"/>
      <c r="W104" s="224"/>
      <c r="Z104" s="224"/>
    </row>
    <row r="105" ht="25.5" customHeight="1">
      <c r="Q105" s="700"/>
      <c r="S105" s="224"/>
      <c r="U105" s="224"/>
      <c r="W105" s="224"/>
      <c r="Z105" s="224"/>
    </row>
    <row r="106" ht="25.5" customHeight="1">
      <c r="Q106" s="700"/>
      <c r="S106" s="224"/>
      <c r="U106" s="224"/>
      <c r="W106" s="224"/>
      <c r="Z106" s="224"/>
    </row>
    <row r="107" ht="25.5" customHeight="1">
      <c r="Q107" s="700"/>
      <c r="S107" s="224"/>
      <c r="U107" s="224"/>
      <c r="W107" s="224"/>
      <c r="Z107" s="224"/>
    </row>
    <row r="108" ht="25.5" customHeight="1">
      <c r="Q108" s="700"/>
      <c r="S108" s="224"/>
      <c r="U108" s="224"/>
      <c r="W108" s="224"/>
      <c r="Z108" s="224"/>
    </row>
    <row r="109" ht="25.5" customHeight="1">
      <c r="Q109" s="700"/>
      <c r="S109" s="224"/>
      <c r="U109" s="224"/>
      <c r="W109" s="224"/>
      <c r="Z109" s="224"/>
    </row>
    <row r="110" ht="25.5" customHeight="1">
      <c r="Q110" s="700"/>
      <c r="S110" s="224"/>
      <c r="U110" s="224"/>
      <c r="W110" s="224"/>
      <c r="Z110" s="224"/>
    </row>
    <row r="111" ht="15.75" customHeight="1">
      <c r="Q111" s="700"/>
      <c r="S111" s="224"/>
      <c r="U111" s="224"/>
      <c r="W111" s="224"/>
      <c r="Z111" s="224"/>
    </row>
    <row r="112" ht="15.75" customHeight="1">
      <c r="Q112" s="700"/>
      <c r="S112" s="224"/>
      <c r="U112" s="224"/>
      <c r="W112" s="224"/>
      <c r="Z112" s="224"/>
    </row>
    <row r="113" ht="27.0" customHeight="1">
      <c r="Q113" s="700"/>
      <c r="S113" s="224"/>
      <c r="U113" s="224"/>
      <c r="W113" s="224"/>
      <c r="Z113" s="224"/>
    </row>
    <row r="114" ht="25.5" customHeight="1">
      <c r="Q114" s="700"/>
      <c r="S114" s="224"/>
      <c r="U114" s="224"/>
      <c r="W114" s="224"/>
      <c r="Z114" s="224"/>
    </row>
    <row r="115" ht="25.5" customHeight="1">
      <c r="Q115" s="700"/>
      <c r="S115" s="224"/>
      <c r="U115" s="224"/>
      <c r="W115" s="224"/>
      <c r="Z115" s="224"/>
    </row>
    <row r="116" ht="25.5" customHeight="1">
      <c r="Q116" s="700"/>
      <c r="S116" s="224"/>
      <c r="U116" s="224"/>
      <c r="W116" s="224"/>
      <c r="Z116" s="224"/>
    </row>
    <row r="117" ht="25.5" customHeight="1">
      <c r="Q117" s="700"/>
      <c r="S117" s="224"/>
      <c r="U117" s="224"/>
      <c r="W117" s="224"/>
      <c r="Z117" s="224"/>
    </row>
    <row r="118" ht="25.5" customHeight="1">
      <c r="Q118" s="700"/>
      <c r="S118" s="224"/>
      <c r="U118" s="224"/>
      <c r="W118" s="224"/>
      <c r="Z118" s="224"/>
    </row>
    <row r="119" ht="25.5" customHeight="1">
      <c r="Q119" s="700"/>
      <c r="S119" s="224"/>
      <c r="U119" s="224"/>
      <c r="W119" s="224"/>
      <c r="Z119" s="224"/>
    </row>
    <row r="120" ht="25.5" customHeight="1">
      <c r="Q120" s="700"/>
      <c r="S120" s="224"/>
      <c r="U120" s="224"/>
      <c r="W120" s="224"/>
      <c r="Z120" s="224"/>
    </row>
    <row r="121" ht="16.5" customHeight="1">
      <c r="Q121" s="700"/>
      <c r="S121" s="224"/>
      <c r="U121" s="224"/>
      <c r="W121" s="224"/>
      <c r="Z121" s="224"/>
    </row>
    <row r="122" ht="15.75" customHeight="1">
      <c r="Q122" s="700"/>
      <c r="S122" s="224"/>
      <c r="U122" s="224"/>
      <c r="W122" s="224"/>
      <c r="Z122" s="224"/>
    </row>
    <row r="123" ht="27.0" customHeight="1">
      <c r="Q123" s="700"/>
      <c r="S123" s="224"/>
      <c r="U123" s="224"/>
      <c r="W123" s="224"/>
      <c r="Z123" s="224"/>
    </row>
    <row r="124" ht="25.5" customHeight="1">
      <c r="Q124" s="700"/>
      <c r="S124" s="224"/>
      <c r="U124" s="224"/>
      <c r="W124" s="224"/>
      <c r="Z124" s="224"/>
    </row>
    <row r="125" ht="25.5" customHeight="1">
      <c r="Q125" s="700"/>
      <c r="S125" s="224"/>
      <c r="U125" s="224"/>
      <c r="W125" s="224"/>
      <c r="Z125" s="224"/>
    </row>
    <row r="126" ht="25.5" customHeight="1">
      <c r="Q126" s="700"/>
      <c r="S126" s="224"/>
      <c r="U126" s="224"/>
      <c r="W126" s="224"/>
      <c r="Z126" s="224"/>
    </row>
    <row r="127" ht="25.5" customHeight="1">
      <c r="Q127" s="700"/>
      <c r="S127" s="224"/>
      <c r="U127" s="224"/>
      <c r="W127" s="224"/>
      <c r="Z127" s="224"/>
    </row>
    <row r="128" ht="25.5" customHeight="1">
      <c r="Q128" s="700"/>
      <c r="S128" s="224"/>
      <c r="U128" s="224"/>
      <c r="W128" s="224"/>
      <c r="Z128" s="224"/>
    </row>
    <row r="129" ht="25.5" customHeight="1">
      <c r="Q129" s="700"/>
      <c r="S129" s="224"/>
      <c r="U129" s="224"/>
      <c r="W129" s="224"/>
      <c r="Z129" s="224"/>
    </row>
    <row r="130" ht="25.5" customHeight="1">
      <c r="Q130" s="700"/>
      <c r="S130" s="224"/>
      <c r="U130" s="224"/>
      <c r="W130" s="224"/>
      <c r="Z130" s="224"/>
    </row>
    <row r="131" ht="15.75" customHeight="1">
      <c r="Q131" s="700"/>
      <c r="S131" s="224"/>
      <c r="U131" s="224"/>
      <c r="W131" s="224"/>
      <c r="Z131" s="224"/>
    </row>
    <row r="132" ht="15.75" customHeight="1">
      <c r="Q132" s="700"/>
      <c r="S132" s="224"/>
      <c r="U132" s="224"/>
      <c r="W132" s="224"/>
      <c r="Z132" s="224"/>
    </row>
    <row r="133" ht="27.0" customHeight="1">
      <c r="Q133" s="700"/>
      <c r="S133" s="224"/>
      <c r="U133" s="224"/>
      <c r="W133" s="224"/>
      <c r="Z133" s="224"/>
    </row>
    <row r="134" ht="25.5" customHeight="1">
      <c r="Q134" s="700"/>
      <c r="S134" s="224"/>
      <c r="U134" s="224"/>
      <c r="W134" s="224"/>
      <c r="Z134" s="224"/>
    </row>
    <row r="135" ht="25.5" customHeight="1">
      <c r="Q135" s="700"/>
      <c r="S135" s="224"/>
      <c r="U135" s="224"/>
      <c r="W135" s="224"/>
      <c r="Z135" s="224"/>
    </row>
    <row r="136" ht="25.5" customHeight="1">
      <c r="Q136" s="700"/>
      <c r="S136" s="224"/>
      <c r="U136" s="224"/>
      <c r="W136" s="224"/>
      <c r="Z136" s="224"/>
    </row>
    <row r="137" ht="25.5" customHeight="1">
      <c r="Q137" s="700"/>
      <c r="S137" s="224"/>
      <c r="U137" s="224"/>
      <c r="W137" s="224"/>
      <c r="Z137" s="224"/>
    </row>
    <row r="138" ht="25.5" customHeight="1">
      <c r="Q138" s="700"/>
      <c r="S138" s="224"/>
      <c r="U138" s="224"/>
      <c r="W138" s="224"/>
      <c r="Z138" s="224"/>
    </row>
    <row r="139" ht="25.5" customHeight="1">
      <c r="Q139" s="700"/>
      <c r="S139" s="224"/>
      <c r="U139" s="224"/>
      <c r="W139" s="224"/>
      <c r="Z139" s="224"/>
    </row>
    <row r="140" ht="25.5" customHeight="1">
      <c r="Q140" s="700"/>
      <c r="S140" s="224"/>
      <c r="U140" s="224"/>
      <c r="W140" s="224"/>
      <c r="Z140" s="224"/>
    </row>
    <row r="141" ht="16.5" customHeight="1">
      <c r="Q141" s="700"/>
      <c r="S141" s="224"/>
      <c r="U141" s="224"/>
      <c r="W141" s="224"/>
      <c r="Z141" s="224"/>
    </row>
    <row r="142" ht="15.75" customHeight="1">
      <c r="Q142" s="700"/>
      <c r="S142" s="224"/>
      <c r="U142" s="224"/>
      <c r="W142" s="224"/>
      <c r="Z142" s="224"/>
    </row>
    <row r="143" ht="27.0" customHeight="1">
      <c r="Q143" s="700"/>
      <c r="S143" s="224"/>
      <c r="U143" s="224"/>
      <c r="W143" s="224"/>
      <c r="Z143" s="224"/>
    </row>
    <row r="144" ht="25.5" customHeight="1">
      <c r="Q144" s="700"/>
      <c r="S144" s="224"/>
      <c r="U144" s="224"/>
      <c r="W144" s="224"/>
      <c r="Z144" s="224"/>
    </row>
    <row r="145" ht="25.5" customHeight="1">
      <c r="Q145" s="700"/>
      <c r="S145" s="224"/>
      <c r="U145" s="224"/>
      <c r="W145" s="224"/>
      <c r="Z145" s="224"/>
    </row>
    <row r="146" ht="25.5" customHeight="1">
      <c r="Q146" s="700"/>
      <c r="S146" s="224"/>
      <c r="U146" s="224"/>
      <c r="W146" s="224"/>
      <c r="Z146" s="224"/>
    </row>
    <row r="147" ht="25.5" customHeight="1">
      <c r="Q147" s="700"/>
      <c r="S147" s="224"/>
      <c r="U147" s="224"/>
      <c r="W147" s="224"/>
      <c r="Z147" s="224"/>
    </row>
    <row r="148" ht="25.5" customHeight="1">
      <c r="Q148" s="700"/>
      <c r="S148" s="224"/>
      <c r="U148" s="224"/>
      <c r="W148" s="224"/>
      <c r="Z148" s="224"/>
    </row>
    <row r="149" ht="25.5" customHeight="1">
      <c r="Q149" s="700"/>
      <c r="S149" s="224"/>
      <c r="U149" s="224"/>
      <c r="W149" s="224"/>
      <c r="Z149" s="224"/>
    </row>
    <row r="150" ht="25.5" customHeight="1">
      <c r="Q150" s="700"/>
      <c r="S150" s="224"/>
      <c r="U150" s="224"/>
      <c r="W150" s="224"/>
      <c r="Z150" s="224"/>
    </row>
    <row r="151" ht="15.75" customHeight="1">
      <c r="Q151" s="700"/>
      <c r="S151" s="224"/>
      <c r="U151" s="224"/>
      <c r="W151" s="224"/>
      <c r="Z151" s="224"/>
    </row>
    <row r="152" ht="15.75" customHeight="1">
      <c r="Q152" s="700"/>
      <c r="S152" s="224"/>
      <c r="U152" s="224"/>
      <c r="W152" s="224"/>
      <c r="Z152" s="224"/>
    </row>
    <row r="153" ht="27.0" customHeight="1">
      <c r="Q153" s="700"/>
      <c r="S153" s="224"/>
      <c r="U153" s="224"/>
      <c r="W153" s="224"/>
      <c r="Z153" s="224"/>
    </row>
    <row r="154" ht="25.5" customHeight="1">
      <c r="Q154" s="700"/>
      <c r="S154" s="224"/>
      <c r="U154" s="224"/>
      <c r="W154" s="224"/>
      <c r="Z154" s="224"/>
    </row>
    <row r="155" ht="25.5" customHeight="1">
      <c r="Q155" s="700"/>
      <c r="S155" s="224"/>
      <c r="U155" s="224"/>
      <c r="W155" s="224"/>
      <c r="Z155" s="224"/>
    </row>
    <row r="156" ht="25.5" customHeight="1">
      <c r="Q156" s="700"/>
      <c r="S156" s="224"/>
      <c r="U156" s="224"/>
      <c r="W156" s="224"/>
      <c r="Z156" s="224"/>
    </row>
    <row r="157" ht="25.5" customHeight="1">
      <c r="Q157" s="700"/>
      <c r="S157" s="224"/>
      <c r="U157" s="224"/>
      <c r="W157" s="224"/>
      <c r="Z157" s="224"/>
    </row>
    <row r="158" ht="25.5" customHeight="1">
      <c r="Q158" s="700"/>
      <c r="S158" s="224"/>
      <c r="U158" s="224"/>
      <c r="W158" s="224"/>
      <c r="Z158" s="224"/>
    </row>
    <row r="159" ht="25.5" customHeight="1">
      <c r="Q159" s="700"/>
      <c r="S159" s="224"/>
      <c r="U159" s="224"/>
      <c r="W159" s="224"/>
      <c r="Z159" s="224"/>
    </row>
    <row r="160" ht="25.5" customHeight="1">
      <c r="Q160" s="700"/>
      <c r="S160" s="224"/>
      <c r="U160" s="224"/>
      <c r="W160" s="224"/>
      <c r="Z160" s="224"/>
    </row>
    <row r="161" ht="16.5" customHeight="1">
      <c r="Q161" s="700"/>
      <c r="S161" s="224"/>
      <c r="U161" s="224"/>
      <c r="W161" s="224"/>
      <c r="Z161" s="224"/>
    </row>
    <row r="162" ht="15.75" customHeight="1">
      <c r="Q162" s="700"/>
      <c r="S162" s="224"/>
      <c r="U162" s="224"/>
      <c r="W162" s="224"/>
      <c r="Z162" s="224"/>
    </row>
    <row r="163" ht="27.0" customHeight="1">
      <c r="Q163" s="700"/>
      <c r="S163" s="224"/>
      <c r="U163" s="224"/>
      <c r="W163" s="224"/>
      <c r="Z163" s="224"/>
    </row>
    <row r="164" ht="25.5" customHeight="1">
      <c r="Q164" s="700"/>
      <c r="S164" s="224"/>
      <c r="U164" s="224"/>
      <c r="W164" s="224"/>
      <c r="Z164" s="224"/>
    </row>
    <row r="165" ht="25.5" customHeight="1">
      <c r="Q165" s="700"/>
      <c r="S165" s="224"/>
      <c r="U165" s="224"/>
      <c r="W165" s="224"/>
      <c r="Z165" s="224"/>
    </row>
    <row r="166" ht="25.5" customHeight="1">
      <c r="Q166" s="700"/>
      <c r="S166" s="224"/>
      <c r="U166" s="224"/>
      <c r="W166" s="224"/>
      <c r="Z166" s="224"/>
    </row>
    <row r="167" ht="25.5" customHeight="1">
      <c r="Q167" s="700"/>
      <c r="S167" s="224"/>
      <c r="U167" s="224"/>
      <c r="W167" s="224"/>
      <c r="Z167" s="224"/>
    </row>
    <row r="168" ht="25.5" customHeight="1">
      <c r="Q168" s="700"/>
      <c r="S168" s="224"/>
      <c r="U168" s="224"/>
      <c r="W168" s="224"/>
      <c r="Z168" s="224"/>
    </row>
    <row r="169" ht="25.5" customHeight="1">
      <c r="Q169" s="700"/>
      <c r="S169" s="224"/>
      <c r="U169" s="224"/>
      <c r="W169" s="224"/>
      <c r="Z169" s="224"/>
    </row>
    <row r="170" ht="25.5" customHeight="1">
      <c r="Q170" s="700"/>
      <c r="S170" s="224"/>
      <c r="U170" s="224"/>
      <c r="W170" s="224"/>
      <c r="Z170" s="224"/>
    </row>
    <row r="171" ht="15.75" customHeight="1">
      <c r="Q171" s="700"/>
      <c r="S171" s="224"/>
      <c r="U171" s="224"/>
      <c r="W171" s="224"/>
      <c r="Z171" s="224"/>
    </row>
    <row r="172" ht="15.75" customHeight="1">
      <c r="Q172" s="700"/>
      <c r="S172" s="224"/>
      <c r="U172" s="224"/>
      <c r="W172" s="224"/>
      <c r="Z172" s="224"/>
    </row>
    <row r="173" ht="15.75" customHeight="1">
      <c r="Q173" s="700"/>
      <c r="S173" s="224"/>
      <c r="U173" s="224"/>
      <c r="W173" s="224"/>
      <c r="Z173" s="224"/>
    </row>
    <row r="174" ht="15.75" customHeight="1">
      <c r="Q174" s="700"/>
      <c r="S174" s="224"/>
      <c r="U174" s="224"/>
      <c r="W174" s="224"/>
      <c r="Z174" s="224"/>
    </row>
    <row r="175" ht="15.75" customHeight="1">
      <c r="Q175" s="700"/>
      <c r="S175" s="224"/>
      <c r="U175" s="224"/>
      <c r="W175" s="224"/>
      <c r="Z175" s="224"/>
    </row>
    <row r="176" ht="15.75" customHeight="1">
      <c r="Q176" s="700"/>
      <c r="S176" s="224"/>
      <c r="U176" s="224"/>
      <c r="W176" s="224"/>
      <c r="Z176" s="224"/>
    </row>
    <row r="177" ht="15.75" customHeight="1">
      <c r="Q177" s="700"/>
      <c r="S177" s="224"/>
      <c r="U177" s="224"/>
      <c r="W177" s="224"/>
      <c r="Z177" s="224"/>
    </row>
    <row r="178" ht="15.75" customHeight="1">
      <c r="Q178" s="700"/>
      <c r="S178" s="224"/>
      <c r="U178" s="224"/>
      <c r="W178" s="224"/>
      <c r="Z178" s="224"/>
    </row>
    <row r="179" ht="15.75" customHeight="1">
      <c r="Q179" s="700"/>
      <c r="S179" s="224"/>
      <c r="U179" s="224"/>
      <c r="W179" s="224"/>
      <c r="Z179" s="224"/>
    </row>
    <row r="180" ht="15.75" customHeight="1">
      <c r="Q180" s="700"/>
      <c r="S180" s="224"/>
      <c r="U180" s="224"/>
      <c r="W180" s="224"/>
      <c r="Z180" s="224"/>
    </row>
    <row r="181" ht="15.75" customHeight="1">
      <c r="Q181" s="700"/>
      <c r="S181" s="224"/>
      <c r="U181" s="224"/>
      <c r="W181" s="224"/>
      <c r="Z181" s="224"/>
    </row>
    <row r="182" ht="15.75" customHeight="1">
      <c r="Q182" s="700"/>
      <c r="S182" s="224"/>
      <c r="U182" s="224"/>
      <c r="W182" s="224"/>
      <c r="Z182" s="224"/>
    </row>
    <row r="183" ht="15.75" customHeight="1">
      <c r="Q183" s="700"/>
      <c r="S183" s="224"/>
      <c r="U183" s="224"/>
      <c r="W183" s="224"/>
      <c r="Z183" s="224"/>
    </row>
    <row r="184" ht="15.75" customHeight="1">
      <c r="Q184" s="700"/>
      <c r="S184" s="224"/>
      <c r="U184" s="224"/>
      <c r="W184" s="224"/>
      <c r="Z184" s="224"/>
    </row>
    <row r="185" ht="15.75" customHeight="1">
      <c r="Q185" s="700"/>
      <c r="S185" s="224"/>
      <c r="U185" s="224"/>
      <c r="W185" s="224"/>
      <c r="Z185" s="224"/>
    </row>
    <row r="186" ht="15.75" customHeight="1">
      <c r="Q186" s="700"/>
      <c r="S186" s="224"/>
      <c r="U186" s="224"/>
      <c r="W186" s="224"/>
      <c r="Z186" s="224"/>
    </row>
    <row r="187" ht="15.75" customHeight="1">
      <c r="Q187" s="700"/>
      <c r="S187" s="224"/>
      <c r="U187" s="224"/>
      <c r="W187" s="224"/>
      <c r="Z187" s="224"/>
    </row>
    <row r="188" ht="15.75" customHeight="1">
      <c r="Q188" s="700"/>
      <c r="S188" s="224"/>
      <c r="U188" s="224"/>
      <c r="W188" s="224"/>
      <c r="Z188" s="224"/>
    </row>
    <row r="189" ht="25.5" customHeight="1">
      <c r="Q189" s="700"/>
      <c r="S189" s="224"/>
      <c r="U189" s="224"/>
      <c r="W189" s="224"/>
      <c r="Z189" s="224"/>
    </row>
    <row r="190" ht="25.5" customHeight="1">
      <c r="Q190" s="700"/>
      <c r="S190" s="224"/>
      <c r="U190" s="224"/>
      <c r="W190" s="224"/>
      <c r="Z190" s="224"/>
    </row>
    <row r="191" ht="25.5" customHeight="1">
      <c r="Q191" s="700"/>
      <c r="S191" s="224"/>
      <c r="U191" s="224"/>
      <c r="W191" s="224"/>
      <c r="Z191" s="224"/>
    </row>
    <row r="192" ht="25.5" customHeight="1">
      <c r="Q192" s="700"/>
      <c r="S192" s="224"/>
      <c r="U192" s="224"/>
      <c r="W192" s="224"/>
      <c r="Z192" s="224"/>
    </row>
    <row r="193" ht="25.5" customHeight="1">
      <c r="Q193" s="700"/>
      <c r="S193" s="224"/>
      <c r="U193" s="224"/>
      <c r="W193" s="224"/>
      <c r="Z193" s="224"/>
    </row>
    <row r="194" ht="25.5" customHeight="1">
      <c r="Q194" s="700"/>
      <c r="S194" s="224"/>
      <c r="U194" s="224"/>
      <c r="W194" s="224"/>
      <c r="Z194" s="224"/>
    </row>
    <row r="195" ht="25.5" customHeight="1">
      <c r="Q195" s="700"/>
      <c r="S195" s="224"/>
      <c r="U195" s="224"/>
      <c r="W195" s="224"/>
      <c r="Z195" s="224"/>
    </row>
    <row r="196" ht="25.5" customHeight="1">
      <c r="Q196" s="700"/>
      <c r="S196" s="224"/>
      <c r="U196" s="224"/>
      <c r="W196" s="224"/>
      <c r="Z196" s="224"/>
    </row>
    <row r="197" ht="15.75" customHeight="1">
      <c r="Q197" s="700"/>
      <c r="S197" s="224"/>
      <c r="U197" s="224"/>
      <c r="W197" s="224"/>
      <c r="Z197" s="224"/>
    </row>
    <row r="198" ht="27.0" customHeight="1">
      <c r="Q198" s="700"/>
      <c r="S198" s="224"/>
      <c r="U198" s="224"/>
      <c r="W198" s="224"/>
      <c r="Z198" s="224"/>
    </row>
    <row r="199" ht="27.0" customHeight="1">
      <c r="Q199" s="700"/>
      <c r="S199" s="224"/>
      <c r="U199" s="224"/>
      <c r="W199" s="224"/>
      <c r="Z199" s="224"/>
    </row>
    <row r="200" ht="27.0" customHeight="1">
      <c r="Q200" s="700"/>
      <c r="S200" s="224"/>
      <c r="U200" s="224"/>
      <c r="W200" s="224"/>
      <c r="Z200" s="224"/>
    </row>
    <row r="201" ht="27.0" customHeight="1">
      <c r="Q201" s="700"/>
      <c r="S201" s="224"/>
      <c r="U201" s="224"/>
      <c r="W201" s="224"/>
      <c r="Z201" s="224"/>
    </row>
    <row r="202" ht="27.0" customHeight="1">
      <c r="Q202" s="700"/>
      <c r="S202" s="224"/>
      <c r="U202" s="224"/>
      <c r="W202" s="224"/>
      <c r="Z202" s="224"/>
    </row>
    <row r="203" ht="27.0" customHeight="1">
      <c r="Q203" s="700"/>
      <c r="S203" s="224"/>
      <c r="U203" s="224"/>
      <c r="W203" s="224"/>
      <c r="Z203" s="224"/>
    </row>
    <row r="204" ht="27.0" customHeight="1">
      <c r="Q204" s="700"/>
      <c r="S204" s="224"/>
      <c r="U204" s="224"/>
      <c r="W204" s="224"/>
      <c r="Z204" s="224"/>
    </row>
    <row r="205" ht="27.0" customHeight="1">
      <c r="Q205" s="700"/>
      <c r="S205" s="224"/>
      <c r="U205" s="224"/>
      <c r="W205" s="224"/>
      <c r="Z205" s="224"/>
    </row>
    <row r="206" ht="27.0" customHeight="1">
      <c r="Q206" s="700"/>
      <c r="S206" s="224"/>
      <c r="U206" s="224"/>
      <c r="W206" s="224"/>
      <c r="Z206" s="224"/>
    </row>
    <row r="207" ht="27.0" customHeight="1">
      <c r="Q207" s="700"/>
      <c r="S207" s="224"/>
      <c r="U207" s="224"/>
      <c r="W207" s="224"/>
      <c r="Z207" s="224"/>
    </row>
    <row r="208" ht="27.0" customHeight="1">
      <c r="Q208" s="700"/>
      <c r="S208" s="224"/>
      <c r="U208" s="224"/>
      <c r="W208" s="224"/>
      <c r="Z208" s="224"/>
    </row>
    <row r="209" ht="27.0" customHeight="1">
      <c r="Q209" s="700"/>
      <c r="S209" s="224"/>
      <c r="U209" s="224"/>
      <c r="W209" s="224"/>
      <c r="Z209" s="224"/>
    </row>
    <row r="210" ht="27.0" customHeight="1">
      <c r="Q210" s="700"/>
      <c r="S210" s="224"/>
      <c r="U210" s="224"/>
      <c r="W210" s="224"/>
      <c r="Z210" s="224"/>
    </row>
    <row r="211" ht="27.0" customHeight="1">
      <c r="Q211" s="700"/>
      <c r="S211" s="224"/>
      <c r="U211" s="224"/>
      <c r="W211" s="224"/>
      <c r="Z211" s="224"/>
    </row>
    <row r="212" ht="27.0" customHeight="1">
      <c r="Q212" s="700">
        <v>8.0</v>
      </c>
      <c r="R212" s="13" t="str">
        <f t="array" ref="R212">IFERROR(INDEX(Y$212, SMALL(IF(Z$212 = MAX(Z$212), ROW(Y$212)-ROW(#REF!)+1), ROW(8:8))), "-")</f>
        <v>-</v>
      </c>
      <c r="S212" s="13" t="str">
        <f t="array" ref="S212">IFERROR(INDEX(Z$212, SMALL(IF(Z$212 = MAX(Z$212), ROW(Z$212)-ROW(#REF!)+1), ROW(8:8))), "-")</f>
        <v>-</v>
      </c>
      <c r="T212" s="13" t="str">
        <f t="array" ref="T212">IFERROR(INDEX(Y$212, SMALL(IF(Z$212 = LARGE(Z$212,2), ROW(Y$212)-ROW(#REF!)+1), ROW(8:8))), "-")</f>
        <v>-</v>
      </c>
      <c r="U212" s="13" t="str">
        <f t="array" ref="U212">IFERROR(INDEX(Z$212, SMALL(IF(Z$212 = LARGE(Z$212,2), ROW(Z$212)-ROW(#REF!)+1), ROW(8:8))), "-")</f>
        <v>-</v>
      </c>
      <c r="V212" s="13" t="str">
        <f t="array" ref="V212">IFERROR(INDEX(Y$212, SMALL(IF(Z$212 = LARGE(Z$212,3), ROW(Y$212)-ROW(#REF!)+1), ROW(8:8))), "-")</f>
        <v>-</v>
      </c>
      <c r="W212" s="13" t="str">
        <f t="array" ref="W212">IFERROR(INDEX(Z$212, SMALL(IF(Z$212 = LARGE(Z$212,3), ROW(Z$212)-ROW(#REF!)+1), ROW(8:8))), "-")</f>
        <v>-</v>
      </c>
      <c r="Y212" s="13" t="str">
        <f>#REF!</f>
        <v>#REF!</v>
      </c>
      <c r="Z212" s="224"/>
      <c r="AB212" s="720" t="str">
        <f t="shared" ref="AB212:AC212" si="166">IF(R212="-","",R212)</f>
        <v/>
      </c>
      <c r="AC212" s="722" t="str">
        <f t="shared" si="166"/>
        <v/>
      </c>
      <c r="AD212" s="722"/>
      <c r="AE212" s="722" t="str">
        <f t="shared" ref="AE212:AF212" si="167">IF(T212 = R212, "", T212)</f>
        <v/>
      </c>
      <c r="AF212" s="722" t="str">
        <f t="shared" si="167"/>
        <v/>
      </c>
      <c r="AG212" s="722"/>
      <c r="AH212" s="722" t="str">
        <f t="shared" ref="AH212:AI212" si="168">IF(OR(V212=R212, V212=T212), "", V212)</f>
        <v/>
      </c>
      <c r="AI212" s="724" t="str">
        <f t="shared" si="168"/>
        <v/>
      </c>
    </row>
    <row r="213" ht="27.0" customHeight="1">
      <c r="A213" s="837" t="s">
        <v>168</v>
      </c>
      <c r="B213" s="838" t="s">
        <v>553</v>
      </c>
      <c r="C213" s="838" t="s">
        <v>492</v>
      </c>
      <c r="D213" s="838" t="s">
        <v>543</v>
      </c>
      <c r="E213" s="839" t="s">
        <v>509</v>
      </c>
      <c r="F213" s="839" t="s">
        <v>7</v>
      </c>
      <c r="G213" s="839" t="s">
        <v>300</v>
      </c>
      <c r="Z213" s="224"/>
    </row>
    <row r="214" ht="27.0" customHeight="1">
      <c r="A214" s="840"/>
      <c r="B214" s="841">
        <f t="shared" ref="B214:B221" si="169">_xlfn.RANK.EQ(D214,$D$214:$D$221)</f>
        <v>1</v>
      </c>
      <c r="C214" s="683" t="str">
        <f t="shared" ref="C214:C221" si="170">INDEX(C$3:K$3,MATCH(LARGE(C$20:K$20,$Q215),C$20:K$20,0))</f>
        <v>DECOUPES</v>
      </c>
      <c r="D214" s="692">
        <f t="shared" ref="D214:D221" si="171">LARGE(C$20:K$20,$Q215)</f>
        <v>58.9</v>
      </c>
      <c r="E214" s="729" t="str">
        <f t="array" ref="E214">INDEX('All-Stars'!$D$2:$D$1457, MATCH(1, ('All-Stars'!$B$2:$B$1464 = 'League Stats'!C214) * ('All-Stars'!$E$2:$E$1457 = 'League Stats'!D214), 0))</f>
        <v>J. GIBBS</v>
      </c>
      <c r="F214" s="729" t="str">
        <f t="array" ref="F214">INDEX('All-Stars'!$F$2:$F$1464, MATCH(1, ('All-Stars'!$B$2:$B$1464 = 'League Stats'!C214) * ('All-Stars'!$E$2:$E$1457 = 'League Stats'!D214), 0))</f>
        <v>WEEK 12</v>
      </c>
      <c r="G214" s="729" t="str">
        <f t="array" ref="G214">INDEX('All-Stars'!$C$2:$C$1464, MATCH(1, ('All-Stars'!$B$2:$B$1464 = 'League Stats'!C214) * ('All-Stars'!$E$2:$E$1457 = 'League Stats'!D214), 0))</f>
        <v>RB</v>
      </c>
      <c r="Z214" s="224"/>
    </row>
    <row r="215" ht="27.0" customHeight="1">
      <c r="A215" s="840"/>
      <c r="B215" s="841">
        <f t="shared" si="169"/>
        <v>2</v>
      </c>
      <c r="C215" s="683" t="str">
        <f t="shared" si="170"/>
        <v>GREEN</v>
      </c>
      <c r="D215" s="692">
        <f t="shared" si="171"/>
        <v>54.8</v>
      </c>
      <c r="E215" s="729" t="str">
        <f t="array" ref="E215">INDEX('All-Stars'!$D$2:$D$1457, MATCH(1, ('All-Stars'!$B$2:$B$1464 = 'League Stats'!C215) * ('All-Stars'!$E$2:$E$1457 = 'League Stats'!D215), 0))</f>
        <v>J. TAYLOR</v>
      </c>
      <c r="F215" s="729" t="str">
        <f t="array" ref="F215">INDEX('All-Stars'!$F$2:$F$1464, MATCH(1, ('All-Stars'!$B$2:$B$1464 = 'League Stats'!C215) * ('All-Stars'!$E$2:$E$1457 = 'League Stats'!D215), 0))</f>
        <v>WEEK 10</v>
      </c>
      <c r="G215" s="729" t="str">
        <f t="array" ref="G215">INDEX('All-Stars'!$C$2:$C$1464, MATCH(1, ('All-Stars'!$B$2:$B$1464 = 'League Stats'!C215) * ('All-Stars'!$E$2:$E$1457 = 'League Stats'!D215), 0))</f>
        <v>RB</v>
      </c>
      <c r="Q215" s="700">
        <v>1.0</v>
      </c>
      <c r="R215" s="13" t="str">
        <f t="array" ref="R215">IFERROR(INDEX(Y$215:Y$222, SMALL(IF(Z$215:Z$222 = MAX(Z$215:Z$222), ROW(Y$215:Y$222)-ROW(Y$215)+1), ROW(1:1))), "-")</f>
        <v>-</v>
      </c>
      <c r="S215" s="13">
        <f t="array" ref="S215">IFERROR(INDEX(Z$215:Z$222, SMALL(IF(Z$215:Z$222 = MAX(Z$215:Z$222), ROW(Z$215:Z$222)-ROW(Z$215)+1), ROW(1:1))), "-")</f>
        <v>58.9</v>
      </c>
      <c r="T215" s="13" t="str">
        <f t="array" ref="T215">IFERROR(INDEX(Y$215:Y$222, SMALL(IF(Z$215:Z$222 = LARGE(Z$215:Z$222,2), ROW(Y$215:Y$222)-ROW(Y$215)+1), ROW(1:1))), "-")</f>
        <v>-</v>
      </c>
      <c r="U215" s="13">
        <f t="array" ref="U215">IFERROR(INDEX(Z$215:Z$222, SMALL(IF(Z$215:Z$222 = LARGE(Z$215:Z$222,2), ROW(Z$215:Z$222)-ROW(Z$215)+1), ROW(1:1))), "-")</f>
        <v>54.8</v>
      </c>
      <c r="V215" s="13" t="str">
        <f t="array" ref="V215">IFERROR(INDEX(Y$215:Y$222, SMALL(IF(Z$215:Z$222 = LARGE(Z$215:Z$222,3), ROW(Y$215:Y$222)-ROW(Y$215)+1), ROW(1:1))), "-")</f>
        <v>-</v>
      </c>
      <c r="W215" s="13">
        <f t="array" ref="W215">IFERROR(INDEX(Z$215:Z$222, SMALL(IF(Z$215:Z$222 = LARGE(Z$215:Z$222,3), ROW(Z$215:Z$222)-ROW(Z$215)+1), ROW(1:1))), "-")</f>
        <v>54.64</v>
      </c>
      <c r="Y215" s="13" t="str">
        <f t="shared" ref="Y215:Y222" si="175">#REF!</f>
        <v>#REF!</v>
      </c>
      <c r="Z215" s="224">
        <f t="array" ref="Z215:Z223">TRANSPOSE(C20:K20)</f>
        <v>58.9</v>
      </c>
      <c r="AB215" s="688" t="str">
        <f t="shared" ref="AB215:AC215" si="172">R215</f>
        <v>-</v>
      </c>
      <c r="AC215" s="690">
        <f t="shared" si="172"/>
        <v>58.9</v>
      </c>
      <c r="AD215" s="691"/>
      <c r="AE215" s="691" t="str">
        <f t="shared" ref="AE215:AF215" si="173">IF(T215 = R215, "", T215)</f>
        <v/>
      </c>
      <c r="AF215" s="691">
        <f t="shared" si="173"/>
        <v>54.8</v>
      </c>
      <c r="AG215" s="691"/>
      <c r="AH215" s="691" t="str">
        <f t="shared" ref="AH215:AI215" si="174">IF(OR(V215=R215, V215=T215), "", V215)</f>
        <v/>
      </c>
      <c r="AI215" s="760">
        <f t="shared" si="174"/>
        <v>54.64</v>
      </c>
    </row>
    <row r="216" ht="27.0" customHeight="1">
      <c r="A216" s="840"/>
      <c r="B216" s="841">
        <f t="shared" si="169"/>
        <v>3</v>
      </c>
      <c r="C216" s="683" t="str">
        <f t="shared" si="170"/>
        <v>CHAMPS</v>
      </c>
      <c r="D216" s="692">
        <f t="shared" si="171"/>
        <v>54.64</v>
      </c>
      <c r="E216" s="729" t="str">
        <f t="array" ref="E216">INDEX('All-Stars'!$D$2:$D$1457, MATCH(1, ('All-Stars'!$B$2:$B$1464 = 'League Stats'!C216) * ('All-Stars'!$E$2:$E$1457 = 'League Stats'!D216), 0))</f>
        <v>MIN D/ST</v>
      </c>
      <c r="F216" s="729" t="str">
        <f t="array" ref="F216">INDEX('All-Stars'!$F$2:$F$1464, MATCH(1, ('All-Stars'!$B$2:$B$1464 = 'League Stats'!C216) * ('All-Stars'!$E$2:$E$1457 = 'League Stats'!D216), 0))</f>
        <v>WEEK 3</v>
      </c>
      <c r="G216" s="729" t="str">
        <f t="array" ref="G216">INDEX('All-Stars'!$C$2:$C$1464, MATCH(1, ('All-Stars'!$B$2:$B$1464 = 'League Stats'!C216) * ('All-Stars'!$E$2:$E$1457 = 'League Stats'!D216), 0))</f>
        <v>D/ST</v>
      </c>
      <c r="Q216" s="700">
        <v>2.0</v>
      </c>
      <c r="R216" s="13" t="str">
        <f t="array" ref="R216">IFERROR(INDEX(Y$215:Y$222, SMALL(IF(Z$215:Z$222 = MAX(Z$215:Z$222), ROW(Y$215:Y$222)-ROW(Y$215)+1), ROW(2:2))), "-")</f>
        <v>-</v>
      </c>
      <c r="S216" s="13" t="str">
        <f t="array" ref="S216">IFERROR(INDEX(Z$215:Z$222, SMALL(IF(Z$215:Z$222 = MAX(Z$215:Z$222), ROW(Z$215:Z$222)-ROW(Z$215)+1), ROW(2:2))), "-")</f>
        <v>-</v>
      </c>
      <c r="T216" s="13" t="str">
        <f t="array" ref="T216">IFERROR(INDEX(Y$215:Y$222, SMALL(IF(Z$215:Z$222 = LARGE(Z$215:Z$222,2), ROW(Y$215:Y$222)-ROW(Y$215)+1), ROW(2:2))), "-")</f>
        <v>-</v>
      </c>
      <c r="U216" s="13" t="str">
        <f t="array" ref="U216">IFERROR(INDEX(Z$215:Z$222, SMALL(IF(Z$215:Z$222 = LARGE(Z$215:Z$222,2), ROW(Z$215:Z$222)-ROW(Z$215)+1), ROW(2:2))), "-")</f>
        <v>-</v>
      </c>
      <c r="V216" s="13" t="str">
        <f t="array" ref="V216">IFERROR(INDEX(Y$215:Y$222, SMALL(IF(Z$215:Z$222 = LARGE(Z$215:Z$222,3), ROW(Y$215:Y$222)-ROW(Y$215)+1), ROW(2:2))), "-")</f>
        <v>-</v>
      </c>
      <c r="W216" s="13" t="str">
        <f t="array" ref="W216">IFERROR(INDEX(Z$215:Z$222, SMALL(IF(Z$215:Z$222 = LARGE(Z$215:Z$222,3), ROW(Z$215:Z$222)-ROW(Z$215)+1), ROW(2:2))), "-")</f>
        <v>-</v>
      </c>
      <c r="Y216" s="13" t="str">
        <f t="shared" si="175"/>
        <v>#REF!</v>
      </c>
      <c r="Z216" s="224">
        <v>43.7</v>
      </c>
      <c r="AB216" s="696" t="str">
        <f t="shared" ref="AB216:AC216" si="176">IF(R216="-","",R216)</f>
        <v/>
      </c>
      <c r="AC216" s="13" t="str">
        <f t="shared" si="176"/>
        <v/>
      </c>
      <c r="AE216" s="13" t="str">
        <f t="shared" ref="AE216:AF216" si="177">IF(T216 = R216, "", T216)</f>
        <v/>
      </c>
      <c r="AF216" s="13" t="str">
        <f t="shared" si="177"/>
        <v/>
      </c>
      <c r="AH216" s="13" t="str">
        <f t="shared" ref="AH216:AI216" si="178">IF(OR(V216=R216, V216=T216), "", V216)</f>
        <v/>
      </c>
      <c r="AI216" s="699" t="str">
        <f t="shared" si="178"/>
        <v/>
      </c>
    </row>
    <row r="217" ht="27.0" customHeight="1">
      <c r="A217" s="840"/>
      <c r="B217" s="841">
        <f t="shared" si="169"/>
        <v>4</v>
      </c>
      <c r="C217" s="683" t="str">
        <f t="shared" si="170"/>
        <v>YARDIES</v>
      </c>
      <c r="D217" s="692">
        <f t="shared" si="171"/>
        <v>44.4</v>
      </c>
      <c r="E217" s="729" t="str">
        <f t="array" ref="E217">INDEX('All-Stars'!$D$2:$D$1457, MATCH(1, ('All-Stars'!$B$2:$B$1464 = 'League Stats'!C217) * ('All-Stars'!$E$2:$E$1457 = 'League Stats'!D217), 0))</f>
        <v>B. BOWERS</v>
      </c>
      <c r="F217" s="729" t="str">
        <f t="array" ref="F217">INDEX('All-Stars'!$F$2:$F$1464, MATCH(1, ('All-Stars'!$B$2:$B$1464 = 'League Stats'!C217) * ('All-Stars'!$E$2:$E$1457 = 'League Stats'!D217), 0))</f>
        <v>WEEK 9</v>
      </c>
      <c r="G217" s="729" t="str">
        <f t="array" ref="G217">INDEX('All-Stars'!$C$2:$C$1464, MATCH(1, ('All-Stars'!$B$2:$B$1464 = 'League Stats'!C217) * ('All-Stars'!$E$2:$E$1457 = 'League Stats'!D217), 0))</f>
        <v>TE</v>
      </c>
      <c r="Q217" s="700">
        <v>3.0</v>
      </c>
      <c r="R217" s="13" t="str">
        <f t="array" ref="R217">IFERROR(INDEX(Y$215:Y$222, SMALL(IF(Z$215:Z$222 = MAX(Z$215:Z$222), ROW(Y$215:Y$222)-ROW(Y$215)+1), ROW(3:3))), "-")</f>
        <v>-</v>
      </c>
      <c r="S217" s="13" t="str">
        <f t="array" ref="S217">IFERROR(INDEX(Z$215:Z$222, SMALL(IF(Z$215:Z$222 = MAX(Z$215:Z$222), ROW(Z$215:Z$222)-ROW(Z$215)+1), ROW(3:3))), "-")</f>
        <v>-</v>
      </c>
      <c r="T217" s="13" t="str">
        <f t="array" ref="T217">IFERROR(INDEX(Y$215:Y$222, SMALL(IF(Z$215:Z$222 = LARGE(Z$215:Z$222,2), ROW(Y$215:Y$222)-ROW(Y$215)+1), ROW(3:3))), "-")</f>
        <v>-</v>
      </c>
      <c r="U217" s="13" t="str">
        <f t="array" ref="U217">IFERROR(INDEX(Z$215:Z$222, SMALL(IF(Z$215:Z$222 = LARGE(Z$215:Z$222,2), ROW(Z$215:Z$222)-ROW(Z$215)+1), ROW(3:3))), "-")</f>
        <v>-</v>
      </c>
      <c r="V217" s="13" t="str">
        <f t="array" ref="V217">IFERROR(INDEX(Y$215:Y$222, SMALL(IF(Z$215:Z$222 = LARGE(Z$215:Z$222,3), ROW(Y$215:Y$222)-ROW(Y$215)+1), ROW(3:3))), "-")</f>
        <v>-</v>
      </c>
      <c r="W217" s="13" t="str">
        <f t="array" ref="W217">IFERROR(INDEX(Z$215:Z$222, SMALL(IF(Z$215:Z$222 = LARGE(Z$215:Z$222,3), ROW(Z$215:Z$222)-ROW(Z$215)+1), ROW(3:3))), "-")</f>
        <v>-</v>
      </c>
      <c r="Y217" s="13" t="str">
        <f t="shared" si="175"/>
        <v>#REF!</v>
      </c>
      <c r="Z217" s="224">
        <v>54.8</v>
      </c>
      <c r="AB217" s="696" t="str">
        <f t="shared" ref="AB217:AC217" si="179">IF(R217="-","",R217)</f>
        <v/>
      </c>
      <c r="AC217" s="13" t="str">
        <f t="shared" si="179"/>
        <v/>
      </c>
      <c r="AE217" s="13" t="str">
        <f t="shared" ref="AE217:AF217" si="180">IF(T217 = R217, "", T217)</f>
        <v/>
      </c>
      <c r="AF217" s="13" t="str">
        <f t="shared" si="180"/>
        <v/>
      </c>
      <c r="AH217" s="13" t="str">
        <f t="shared" ref="AH217:AI217" si="181">IF(OR(V217=R217, V217=T217), "", V217)</f>
        <v/>
      </c>
      <c r="AI217" s="699" t="str">
        <f t="shared" si="181"/>
        <v/>
      </c>
    </row>
    <row r="218" ht="15.75" customHeight="1">
      <c r="A218" s="840"/>
      <c r="B218" s="841">
        <f t="shared" si="169"/>
        <v>5</v>
      </c>
      <c r="C218" s="683" t="str">
        <f t="shared" si="170"/>
        <v>POPEYES</v>
      </c>
      <c r="D218" s="692">
        <f t="shared" si="171"/>
        <v>43.7</v>
      </c>
      <c r="E218" s="729" t="str">
        <f t="array" ref="E218">INDEX('All-Stars'!$D$2:$D$1457, MATCH(1, ('All-Stars'!$B$2:$B$1464 = 'League Stats'!C218) * ('All-Stars'!$E$2:$E$1457 = 'League Stats'!D218), 0))</f>
        <v>D. ACHANE</v>
      </c>
      <c r="F218" s="729" t="str">
        <f t="array" ref="F218">INDEX('All-Stars'!$F$2:$F$1464, MATCH(1, ('All-Stars'!$B$2:$B$1464 = 'League Stats'!C218) * ('All-Stars'!$E$2:$E$1457 = 'League Stats'!D218), 0))</f>
        <v>WEEK 10</v>
      </c>
      <c r="G218" s="729" t="str">
        <f t="array" ref="G218">INDEX('All-Stars'!$C$2:$C$1464, MATCH(1, ('All-Stars'!$B$2:$B$1464 = 'League Stats'!C218) * ('All-Stars'!$E$2:$E$1457 = 'League Stats'!D218), 0))</f>
        <v>RB</v>
      </c>
      <c r="Q218" s="700">
        <v>4.0</v>
      </c>
      <c r="R218" s="13" t="str">
        <f t="array" ref="R218">IFERROR(INDEX(Y$215:Y$222, SMALL(IF(Z$215:Z$222 = MAX(Z$215:Z$222), ROW(Y$215:Y$222)-ROW(Y$215)+1), ROW(4:4))), "-")</f>
        <v>-</v>
      </c>
      <c r="S218" s="13" t="str">
        <f t="array" ref="S218">IFERROR(INDEX(Z$215:Z$222, SMALL(IF(Z$215:Z$222 = MAX(Z$215:Z$222), ROW(Z$215:Z$222)-ROW(Z$215)+1), ROW(4:4))), "-")</f>
        <v>-</v>
      </c>
      <c r="T218" s="13" t="str">
        <f t="array" ref="T218">IFERROR(INDEX(Y$215:Y$222, SMALL(IF(Z$215:Z$222 = LARGE(Z$215:Z$222,2), ROW(Y$215:Y$222)-ROW(Y$215)+1), ROW(4:4))), "-")</f>
        <v>-</v>
      </c>
      <c r="U218" s="13" t="str">
        <f t="array" ref="U218">IFERROR(INDEX(Z$215:Z$222, SMALL(IF(Z$215:Z$222 = LARGE(Z$215:Z$222,2), ROW(Z$215:Z$222)-ROW(Z$215)+1), ROW(4:4))), "-")</f>
        <v>-</v>
      </c>
      <c r="V218" s="13" t="str">
        <f t="array" ref="V218">IFERROR(INDEX(Y$215:Y$222, SMALL(IF(Z$215:Z$222 = LARGE(Z$215:Z$222,3), ROW(Y$215:Y$222)-ROW(Y$215)+1), ROW(4:4))), "-")</f>
        <v>-</v>
      </c>
      <c r="W218" s="13" t="str">
        <f t="array" ref="W218">IFERROR(INDEX(Z$215:Z$222, SMALL(IF(Z$215:Z$222 = LARGE(Z$215:Z$222,3), ROW(Z$215:Z$222)-ROW(Z$215)+1), ROW(4:4))), "-")</f>
        <v>-</v>
      </c>
      <c r="Y218" s="13" t="str">
        <f t="shared" si="175"/>
        <v>#REF!</v>
      </c>
      <c r="Z218" s="224">
        <v>39.8</v>
      </c>
      <c r="AB218" s="696" t="str">
        <f t="shared" ref="AB218:AC218" si="182">IF(R218="-","",R218)</f>
        <v/>
      </c>
      <c r="AC218" s="13" t="str">
        <f t="shared" si="182"/>
        <v/>
      </c>
      <c r="AE218" s="13" t="str">
        <f t="shared" ref="AE218:AF218" si="183">IF(T218 = R218, "", T218)</f>
        <v/>
      </c>
      <c r="AF218" s="13" t="str">
        <f t="shared" si="183"/>
        <v/>
      </c>
      <c r="AH218" s="13" t="str">
        <f t="shared" ref="AH218:AI218" si="184">IF(OR(V218=R218, V218=T218), "", V218)</f>
        <v/>
      </c>
      <c r="AI218" s="699" t="str">
        <f t="shared" si="184"/>
        <v/>
      </c>
    </row>
    <row r="219" ht="15.75" customHeight="1">
      <c r="A219" s="840"/>
      <c r="B219" s="841">
        <f t="shared" si="169"/>
        <v>6</v>
      </c>
      <c r="C219" s="683" t="str">
        <f t="shared" si="170"/>
        <v>KINGS</v>
      </c>
      <c r="D219" s="692">
        <f t="shared" si="171"/>
        <v>42.5</v>
      </c>
      <c r="E219" s="729" t="str">
        <f t="array" ref="E219">INDEX('All-Stars'!$D$2:$D$1457, MATCH(1, ('All-Stars'!$B$2:$B$1464 = 'League Stats'!C219) * ('All-Stars'!$E$2:$E$1457 = 'League Stats'!D219), 0))</f>
        <v>#N/A</v>
      </c>
      <c r="F219" s="729" t="str">
        <f t="array" ref="F219">INDEX('All-Stars'!$F$2:$F$1464, MATCH(1, ('All-Stars'!$B$2:$B$1464 = 'League Stats'!C219) * ('All-Stars'!$E$2:$E$1457 = 'League Stats'!D219), 0))</f>
        <v>#N/A</v>
      </c>
      <c r="G219" s="729" t="str">
        <f t="array" ref="G219">INDEX('All-Stars'!$C$2:$C$1464, MATCH(1, ('All-Stars'!$B$2:$B$1464 = 'League Stats'!C219) * ('All-Stars'!$E$2:$E$1457 = 'League Stats'!D219), 0))</f>
        <v>#N/A</v>
      </c>
      <c r="Q219" s="700">
        <v>5.0</v>
      </c>
      <c r="R219" s="13" t="str">
        <f t="array" ref="R219">IFERROR(INDEX(Y$215:Y$222, SMALL(IF(Z$215:Z$222 = MAX(Z$215:Z$222), ROW(Y$215:Y$222)-ROW(Y$215)+1), ROW(5:5))), "-")</f>
        <v>-</v>
      </c>
      <c r="S219" s="13" t="str">
        <f t="array" ref="S219">IFERROR(INDEX(Z$215:Z$222, SMALL(IF(Z$215:Z$222 = MAX(Z$215:Z$222), ROW(Z$215:Z$222)-ROW(Z$215)+1), ROW(5:5))), "-")</f>
        <v>-</v>
      </c>
      <c r="T219" s="13" t="str">
        <f t="array" ref="T219">IFERROR(INDEX(Y$215:Y$222, SMALL(IF(Z$215:Z$222 = LARGE(Z$215:Z$222,2), ROW(Y$215:Y$222)-ROW(Y$215)+1), ROW(5:5))), "-")</f>
        <v>-</v>
      </c>
      <c r="U219" s="13" t="str">
        <f t="array" ref="U219">IFERROR(INDEX(Z$215:Z$222, SMALL(IF(Z$215:Z$222 = LARGE(Z$215:Z$222,2), ROW(Z$215:Z$222)-ROW(Z$215)+1), ROW(5:5))), "-")</f>
        <v>-</v>
      </c>
      <c r="V219" s="13" t="str">
        <f t="array" ref="V219">IFERROR(INDEX(Y$215:Y$222, SMALL(IF(Z$215:Z$222 = LARGE(Z$215:Z$222,3), ROW(Y$215:Y$222)-ROW(Y$215)+1), ROW(5:5))), "-")</f>
        <v>-</v>
      </c>
      <c r="W219" s="13" t="str">
        <f t="array" ref="W219">IFERROR(INDEX(Z$215:Z$222, SMALL(IF(Z$215:Z$222 = LARGE(Z$215:Z$222,3), ROW(Z$215:Z$222)-ROW(Z$215)+1), ROW(5:5))), "-")</f>
        <v>-</v>
      </c>
      <c r="Y219" s="13" t="str">
        <f t="shared" si="175"/>
        <v>#REF!</v>
      </c>
      <c r="Z219" s="224">
        <v>42.5</v>
      </c>
      <c r="AB219" s="696" t="str">
        <f t="shared" ref="AB219:AC219" si="185">IF(R219="-","",R219)</f>
        <v/>
      </c>
      <c r="AC219" s="13" t="str">
        <f t="shared" si="185"/>
        <v/>
      </c>
      <c r="AE219" s="13" t="str">
        <f t="shared" ref="AE219:AF219" si="186">IF(T219 = R219, "", T219)</f>
        <v/>
      </c>
      <c r="AF219" s="13" t="str">
        <f t="shared" si="186"/>
        <v/>
      </c>
      <c r="AH219" s="13" t="str">
        <f t="shared" ref="AH219:AI219" si="187">IF(OR(V219=R219, V219=T219), "", V219)</f>
        <v/>
      </c>
      <c r="AI219" s="699" t="str">
        <f t="shared" si="187"/>
        <v/>
      </c>
    </row>
    <row r="220" ht="15.75" customHeight="1">
      <c r="A220" s="840"/>
      <c r="B220" s="841">
        <f t="shared" si="169"/>
        <v>7</v>
      </c>
      <c r="C220" s="683" t="str">
        <f t="shared" si="170"/>
        <v>MUTTS</v>
      </c>
      <c r="D220" s="692">
        <f t="shared" si="171"/>
        <v>40.4</v>
      </c>
      <c r="E220" s="729" t="str">
        <f t="array" ref="E220">INDEX('All-Stars'!$D$2:$D$1457, MATCH(1, ('All-Stars'!$B$2:$B$1464 = 'League Stats'!C220) * ('All-Stars'!$E$2:$E$1457 = 'League Stats'!D220), 0))</f>
        <v>A. ST. BROWN</v>
      </c>
      <c r="F220" s="729" t="str">
        <f t="array" ref="F220">INDEX('All-Stars'!$F$2:$F$1464, MATCH(1, ('All-Stars'!$B$2:$B$1464 = 'League Stats'!C220) * ('All-Stars'!$E$2:$E$1457 = 'League Stats'!D220), 0))</f>
        <v>WEEK 2</v>
      </c>
      <c r="G220" s="729" t="str">
        <f t="array" ref="G220">INDEX('All-Stars'!$C$2:$C$1464, MATCH(1, ('All-Stars'!$B$2:$B$1464 = 'League Stats'!C220) * ('All-Stars'!$E$2:$E$1457 = 'League Stats'!D220), 0))</f>
        <v>WR</v>
      </c>
      <c r="Q220" s="700">
        <v>6.0</v>
      </c>
      <c r="R220" s="13" t="str">
        <f t="array" ref="R220">IFERROR(INDEX(Y$215:Y$222, SMALL(IF(Z$215:Z$222 = MAX(Z$215:Z$222), ROW(Y$215:Y$222)-ROW(Y$215)+1), ROW(6:6))), "-")</f>
        <v>-</v>
      </c>
      <c r="S220" s="13" t="str">
        <f t="array" ref="S220">IFERROR(INDEX(Z$215:Z$222, SMALL(IF(Z$215:Z$222 = MAX(Z$215:Z$222), ROW(Z$215:Z$222)-ROW(Z$215)+1), ROW(6:6))), "-")</f>
        <v>-</v>
      </c>
      <c r="T220" s="13" t="str">
        <f t="array" ref="T220">IFERROR(INDEX(Y$215:Y$222, SMALL(IF(Z$215:Z$222 = LARGE(Z$215:Z$222,2), ROW(Y$215:Y$222)-ROW(Y$215)+1), ROW(6:6))), "-")</f>
        <v>-</v>
      </c>
      <c r="U220" s="13" t="str">
        <f t="array" ref="U220">IFERROR(INDEX(Z$215:Z$222, SMALL(IF(Z$215:Z$222 = LARGE(Z$215:Z$222,2), ROW(Z$215:Z$222)-ROW(Z$215)+1), ROW(6:6))), "-")</f>
        <v>-</v>
      </c>
      <c r="V220" s="13" t="str">
        <f t="array" ref="V220">IFERROR(INDEX(Y$215:Y$222, SMALL(IF(Z$215:Z$222 = LARGE(Z$215:Z$222,3), ROW(Y$215:Y$222)-ROW(Y$215)+1), ROW(6:6))), "-")</f>
        <v>-</v>
      </c>
      <c r="W220" s="13" t="str">
        <f t="array" ref="W220">IFERROR(INDEX(Z$215:Z$222, SMALL(IF(Z$215:Z$222 = LARGE(Z$215:Z$222,3), ROW(Z$215:Z$222)-ROW(Z$215)+1), ROW(6:6))), "-")</f>
        <v>-</v>
      </c>
      <c r="Y220" s="13" t="str">
        <f t="shared" si="175"/>
        <v>#REF!</v>
      </c>
      <c r="Z220" s="224">
        <v>54.64</v>
      </c>
      <c r="AB220" s="696" t="str">
        <f t="shared" ref="AB220:AC220" si="188">IF(R220="-","",R220)</f>
        <v/>
      </c>
      <c r="AC220" s="13" t="str">
        <f t="shared" si="188"/>
        <v/>
      </c>
      <c r="AE220" s="13" t="str">
        <f t="shared" ref="AE220:AF220" si="189">IF(T220 = R220, "", T220)</f>
        <v/>
      </c>
      <c r="AF220" s="13" t="str">
        <f t="shared" si="189"/>
        <v/>
      </c>
      <c r="AH220" s="13" t="str">
        <f t="shared" ref="AH220:AI220" si="190">IF(OR(V220=R220, V220=T220), "", V220)</f>
        <v/>
      </c>
      <c r="AI220" s="699" t="str">
        <f t="shared" si="190"/>
        <v/>
      </c>
    </row>
    <row r="221" ht="15.75" customHeight="1">
      <c r="A221" s="852"/>
      <c r="B221" s="841">
        <f t="shared" si="169"/>
        <v>8</v>
      </c>
      <c r="C221" s="683" t="str">
        <f t="shared" si="170"/>
        <v>SAVAGES</v>
      </c>
      <c r="D221" s="692">
        <f t="shared" si="171"/>
        <v>39.8</v>
      </c>
      <c r="E221" s="729" t="str">
        <f t="array" ref="E221">INDEX('All-Stars'!$D$2:$D$1457, MATCH(1, ('All-Stars'!$B$2:$B$1464 = 'League Stats'!C221) * ('All-Stars'!$E$2:$E$1457 = 'League Stats'!D221), 0))</f>
        <v>D. LONDON</v>
      </c>
      <c r="F221" s="729" t="str">
        <f t="array" ref="F221">INDEX('All-Stars'!$F$2:$F$1464, MATCH(1, ('All-Stars'!$B$2:$B$1464 = 'League Stats'!C221) * ('All-Stars'!$E$2:$E$1457 = 'League Stats'!D221), 0))</f>
        <v>WEEK 9</v>
      </c>
      <c r="G221" s="729" t="str">
        <f t="array" ref="G221">INDEX('All-Stars'!$C$2:$C$1464, MATCH(1, ('All-Stars'!$B$2:$B$1464 = 'League Stats'!C221) * ('All-Stars'!$E$2:$E$1457 = 'League Stats'!D221), 0))</f>
        <v>WR</v>
      </c>
      <c r="Q221" s="700">
        <v>7.0</v>
      </c>
      <c r="R221" s="13" t="str">
        <f t="array" ref="R221">IFERROR(INDEX(Y$215:Y$222, SMALL(IF(Z$215:Z$222 = MAX(Z$215:Z$222), ROW(Y$215:Y$222)-ROW(Y$215)+1), ROW(7:7))), "-")</f>
        <v>-</v>
      </c>
      <c r="S221" s="13" t="str">
        <f t="array" ref="S221">IFERROR(INDEX(Z$215:Z$222, SMALL(IF(Z$215:Z$222 = MAX(Z$215:Z$222), ROW(Z$215:Z$222)-ROW(Z$215)+1), ROW(7:7))), "-")</f>
        <v>-</v>
      </c>
      <c r="T221" s="13" t="str">
        <f t="array" ref="T221">IFERROR(INDEX(Y$215:Y$222, SMALL(IF(Z$215:Z$222 = LARGE(Z$215:Z$222,2), ROW(Y$215:Y$222)-ROW(Y$215)+1), ROW(7:7))), "-")</f>
        <v>-</v>
      </c>
      <c r="U221" s="13" t="str">
        <f t="array" ref="U221">IFERROR(INDEX(Z$215:Z$222, SMALL(IF(Z$215:Z$222 = LARGE(Z$215:Z$222,2), ROW(Z$215:Z$222)-ROW(Z$215)+1), ROW(7:7))), "-")</f>
        <v>-</v>
      </c>
      <c r="V221" s="13" t="str">
        <f t="array" ref="V221">IFERROR(INDEX(Y$215:Y$222, SMALL(IF(Z$215:Z$222 = LARGE(Z$215:Z$222,3), ROW(Y$215:Y$222)-ROW(Y$215)+1), ROW(7:7))), "-")</f>
        <v>-</v>
      </c>
      <c r="W221" s="13" t="str">
        <f t="array" ref="W221">IFERROR(INDEX(Z$215:Z$222, SMALL(IF(Z$215:Z$222 = LARGE(Z$215:Z$222,3), ROW(Z$215:Z$222)-ROW(Z$215)+1), ROW(7:7))), "-")</f>
        <v>-</v>
      </c>
      <c r="Y221" s="13" t="str">
        <f t="shared" si="175"/>
        <v>#REF!</v>
      </c>
      <c r="Z221" s="224">
        <v>38.2</v>
      </c>
      <c r="AB221" s="696" t="str">
        <f t="shared" ref="AB221:AC221" si="191">IF(R221="-","",R221)</f>
        <v/>
      </c>
      <c r="AC221" s="13" t="str">
        <f t="shared" si="191"/>
        <v/>
      </c>
      <c r="AE221" s="13" t="str">
        <f t="shared" ref="AE221:AF221" si="192">IF(T221 = R221, "", T221)</f>
        <v/>
      </c>
      <c r="AF221" s="13" t="str">
        <f t="shared" si="192"/>
        <v/>
      </c>
      <c r="AH221" s="13" t="str">
        <f t="shared" ref="AH221:AI221" si="193">IF(OR(V221=R221, V221=T221), "", V221)</f>
        <v/>
      </c>
      <c r="AI221" s="699" t="str">
        <f t="shared" si="193"/>
        <v/>
      </c>
    </row>
    <row r="222" ht="15.75" customHeight="1">
      <c r="A222" s="853"/>
      <c r="Q222" s="700">
        <v>8.0</v>
      </c>
      <c r="R222" s="13" t="str">
        <f t="array" ref="R222">IFERROR(INDEX(Y$215:Y$222, SMALL(IF(Z$215:Z$222 = MAX(Z$215:Z$222), ROW(Y$215:Y$222)-ROW(Y$215)+1), ROW(8:8))), "-")</f>
        <v>-</v>
      </c>
      <c r="S222" s="13" t="str">
        <f t="array" ref="S222">IFERROR(INDEX(Z$215:Z$222, SMALL(IF(Z$215:Z$222 = MAX(Z$215:Z$222), ROW(Z$215:Z$222)-ROW(Z$215)+1), ROW(8:8))), "-")</f>
        <v>-</v>
      </c>
      <c r="T222" s="13" t="str">
        <f t="array" ref="T222">IFERROR(INDEX(Y$215:Y$222, SMALL(IF(Z$215:Z$222 = LARGE(Z$215:Z$222,2), ROW(Y$215:Y$222)-ROW(Y$215)+1), ROW(8:8))), "-")</f>
        <v>-</v>
      </c>
      <c r="U222" s="13" t="str">
        <f t="array" ref="U222">IFERROR(INDEX(Z$215:Z$222, SMALL(IF(Z$215:Z$222 = LARGE(Z$215:Z$222,2), ROW(Z$215:Z$222)-ROW(Z$215)+1), ROW(8:8))), "-")</f>
        <v>-</v>
      </c>
      <c r="V222" s="13" t="str">
        <f t="array" ref="V222">IFERROR(INDEX(Y$215:Y$222, SMALL(IF(Z$215:Z$222 = LARGE(Z$215:Z$222,3), ROW(Y$215:Y$222)-ROW(Y$215)+1), ROW(8:8))), "-")</f>
        <v>-</v>
      </c>
      <c r="W222" s="13" t="str">
        <f t="array" ref="W222">IFERROR(INDEX(Z$215:Z$222, SMALL(IF(Z$215:Z$222 = LARGE(Z$215:Z$222,3), ROW(Z$215:Z$222)-ROW(Z$215)+1), ROW(8:8))), "-")</f>
        <v>-</v>
      </c>
      <c r="Y222" s="13" t="str">
        <f t="shared" si="175"/>
        <v>#REF!</v>
      </c>
      <c r="Z222" s="224">
        <v>44.4</v>
      </c>
      <c r="AB222" s="720" t="str">
        <f t="shared" ref="AB222:AC222" si="194">IF(R222="-","",R222)</f>
        <v/>
      </c>
      <c r="AC222" s="722" t="str">
        <f t="shared" si="194"/>
        <v/>
      </c>
      <c r="AD222" s="722"/>
      <c r="AE222" s="722" t="str">
        <f t="shared" ref="AE222:AF222" si="195">IF(T222 = R222, "", T222)</f>
        <v/>
      </c>
      <c r="AF222" s="722" t="str">
        <f t="shared" si="195"/>
        <v/>
      </c>
      <c r="AG222" s="722"/>
      <c r="AH222" s="722" t="str">
        <f t="shared" ref="AH222:AI222" si="196">IF(OR(V222=R222, V222=T222), "", V222)</f>
        <v/>
      </c>
      <c r="AI222" s="724" t="str">
        <f t="shared" si="196"/>
        <v/>
      </c>
    </row>
    <row r="223" ht="15.75" customHeight="1">
      <c r="A223" s="837" t="s">
        <v>91</v>
      </c>
      <c r="B223" s="854" t="s">
        <v>307</v>
      </c>
      <c r="C223" s="855" t="s">
        <v>492</v>
      </c>
      <c r="D223" s="855" t="s">
        <v>543</v>
      </c>
      <c r="E223" s="855" t="s">
        <v>626</v>
      </c>
      <c r="Z223" s="224">
        <v>40.4</v>
      </c>
    </row>
    <row r="224" ht="15.75" customHeight="1">
      <c r="A224" s="840"/>
      <c r="B224" s="841">
        <f t="shared" ref="B224:B231" si="197">_xlfn.RANK.EQ(D224,$D$224:$D$231)</f>
        <v>1</v>
      </c>
      <c r="C224" s="683" t="str">
        <f t="shared" ref="C224:C231" si="198">INDEX(C$3:K$3,MATCH(LARGE(C$21:K$21,$Q225),C$21:K$21,0))</f>
        <v>GREEN</v>
      </c>
      <c r="D224" s="692">
        <f t="shared" ref="D224:D231" si="199">LARGE(C$21:K$21,$Q225)</f>
        <v>179.8614286</v>
      </c>
      <c r="E224" s="692">
        <f t="shared" ref="E224:E231" si="200">LARGE(C$23:K$23,$B224)</f>
        <v>2518.06</v>
      </c>
      <c r="Z224" s="224"/>
    </row>
    <row r="225" ht="15.75" customHeight="1">
      <c r="A225" s="840"/>
      <c r="B225" s="841">
        <f t="shared" si="197"/>
        <v>2</v>
      </c>
      <c r="C225" s="683" t="str">
        <f t="shared" si="198"/>
        <v>CHAMPS</v>
      </c>
      <c r="D225" s="692">
        <f t="shared" si="199"/>
        <v>165.0264286</v>
      </c>
      <c r="E225" s="692">
        <f t="shared" si="200"/>
        <v>2310.37</v>
      </c>
      <c r="Q225" s="700">
        <v>1.0</v>
      </c>
      <c r="R225" s="13" t="str">
        <f t="array" ref="R225">IFERROR(INDEX(Y$225:Y$232, SMALL(IF(Z$225:Z$232 = MAX(Z$225:Z$232), ROW(Y$225:Y$232)-ROW(Y$225)+1), ROW(1:1))), "-")</f>
        <v>-</v>
      </c>
      <c r="S225" s="13">
        <f t="array" ref="S225">IFERROR(INDEX(Z$225:Z$232, SMALL(IF(Z$225:Z$232= MAX(Z$225:Z$232), ROW(Z$225:Z$232)-ROW(Z$225)+1), ROW(1:1))), "-")</f>
        <v>179.8614286</v>
      </c>
      <c r="T225" s="13" t="str">
        <f t="array" ref="T225">IFERROR(INDEX(Y$225:Y$232, SMALL(IF(Z$225:Z$232 = LARGE(Z$225:Z$232,2), ROW(Y$225:Y$232)-ROW(Y$225)+1), ROW(1:1))), "-")</f>
        <v>-</v>
      </c>
      <c r="U225" s="13">
        <f t="array" ref="U225">IFERROR(INDEX(Z$225:Z$232, SMALL(IF(Z$225:Z$232 = LARGE(Z$225:Z$232,2), ROW(Z$225:Z$232)-ROW(Z$225)+1), ROW(1:1))), "-")</f>
        <v>165.0264286</v>
      </c>
      <c r="V225" s="13" t="str">
        <f t="array" ref="V225">IFERROR(INDEX(Y$225:Y$232, SMALL(IF(Z$225:Z$232= LARGE(Z$225:Z$232,3), ROW(Y$225:Y$232)-ROW(Y$225)+1), ROW(1:1))), "-")</f>
        <v>-</v>
      </c>
      <c r="W225" s="13">
        <f t="array" ref="W225">IFERROR(INDEX(Z$225:Z$232, SMALL(IF(Z$225:Z$232 = LARGE(Z$225:Z$232,3), ROW(Z$225:Z$232)-ROW(Z$225)+1), ROW(1:1))), "-")</f>
        <v>164.4371429</v>
      </c>
      <c r="Y225" s="13" t="str">
        <f t="shared" ref="Y225:Y232" si="204">#REF!</f>
        <v>#REF!</v>
      </c>
      <c r="Z225" s="224">
        <f t="array" ref="Z225:Z233">TRANSPOSE(C21:K21)</f>
        <v>164.4371429</v>
      </c>
      <c r="AB225" s="688" t="str">
        <f t="shared" ref="AB225:AC225" si="201">R225</f>
        <v>-</v>
      </c>
      <c r="AC225" s="690">
        <f t="shared" si="201"/>
        <v>179.8614286</v>
      </c>
      <c r="AD225" s="691"/>
      <c r="AE225" s="691" t="str">
        <f t="shared" ref="AE225:AF225" si="202">IF(T225 = R225, "", T225)</f>
        <v/>
      </c>
      <c r="AF225" s="691">
        <f t="shared" si="202"/>
        <v>165.0264286</v>
      </c>
      <c r="AG225" s="691"/>
      <c r="AH225" s="691" t="str">
        <f t="shared" ref="AH225:AI225" si="203">IF(OR(V225=R225, V225=T225), "", V225)</f>
        <v/>
      </c>
      <c r="AI225" s="760">
        <f t="shared" si="203"/>
        <v>164.4371429</v>
      </c>
    </row>
    <row r="226" ht="15.75" customHeight="1">
      <c r="A226" s="840"/>
      <c r="B226" s="841">
        <f t="shared" si="197"/>
        <v>3</v>
      </c>
      <c r="C226" s="683" t="str">
        <f t="shared" si="198"/>
        <v>DECOUPES</v>
      </c>
      <c r="D226" s="692">
        <f t="shared" si="199"/>
        <v>164.4371429</v>
      </c>
      <c r="E226" s="692">
        <f t="shared" si="200"/>
        <v>2302.12</v>
      </c>
      <c r="Q226" s="700">
        <v>2.0</v>
      </c>
      <c r="R226" s="13" t="str">
        <f t="array" ref="R226">IFERROR(INDEX(Y$225:Y$232, SMALL(IF(Z$225:Z$232 = MAX(Z$225:Z$232), ROW(Y$225:Y$232)-ROW(Y$225)+1), ROW(2:2))), "-")</f>
        <v>-</v>
      </c>
      <c r="S226" s="13" t="str">
        <f t="array" ref="S226">IFERROR(INDEX(Z$225:Z$232, SMALL(IF(Z$225:Z$232= MAX(Z$225:Z$232), ROW(Z$225:Z$232)-ROW(Z$225)+1), ROW(2:2))), "-")</f>
        <v>-</v>
      </c>
      <c r="T226" s="13" t="str">
        <f t="array" ref="T226">IFERROR(INDEX(Y$225:Y$232, SMALL(IF(Z$225:Z$232 = LARGE(Z$225:Z$232,2), ROW(Y$225:Y$232)-ROW(Y$225)+1), ROW(2:2))), "-")</f>
        <v>-</v>
      </c>
      <c r="U226" s="13" t="str">
        <f t="array" ref="U226">IFERROR(INDEX(Z$225:Z$232, SMALL(IF(Z$225:Z$232 = LARGE(Z$225:Z$232,2), ROW(Z$225:Z$232)-ROW(Z$225)+1), ROW(2:2))), "-")</f>
        <v>-</v>
      </c>
      <c r="V226" s="13" t="str">
        <f t="array" ref="V226">IFERROR(INDEX(Y$225:Y$232, SMALL(IF(Z$225:Z$232= LARGE(Z$225:Z$232,3), ROW(Y$225:Y$232)-ROW(Y$225)+1), ROW(2:2))), "-")</f>
        <v>-</v>
      </c>
      <c r="W226" s="13" t="str">
        <f t="array" ref="W226">IFERROR(INDEX(Z$225:Z$232, SMALL(IF(Z$225:Z$232 = LARGE(Z$225:Z$232,3), ROW(Z$225:Z$232)-ROW(Z$225)+1), ROW(2:2))), "-")</f>
        <v>-</v>
      </c>
      <c r="Y226" s="13" t="str">
        <f t="shared" si="204"/>
        <v>#REF!</v>
      </c>
      <c r="Z226" s="224">
        <v>161.3557142857143</v>
      </c>
      <c r="AB226" s="696" t="str">
        <f t="shared" ref="AB226:AC226" si="205">IF(R226="-","",R226)</f>
        <v/>
      </c>
      <c r="AC226" s="13" t="str">
        <f t="shared" si="205"/>
        <v/>
      </c>
      <c r="AE226" s="13" t="str">
        <f t="shared" ref="AE226:AF226" si="206">IF(T226 = R226, "", T226)</f>
        <v/>
      </c>
      <c r="AF226" s="13" t="str">
        <f t="shared" si="206"/>
        <v/>
      </c>
      <c r="AH226" s="13" t="str">
        <f t="shared" ref="AH226:AI226" si="207">IF(OR(V226=R226, V226=T226), "", V226)</f>
        <v/>
      </c>
      <c r="AI226" s="699" t="str">
        <f t="shared" si="207"/>
        <v/>
      </c>
    </row>
    <row r="227" ht="15.75" customHeight="1">
      <c r="A227" s="840"/>
      <c r="B227" s="841">
        <f t="shared" si="197"/>
        <v>4</v>
      </c>
      <c r="C227" s="683" t="str">
        <f t="shared" si="198"/>
        <v>MUTTS</v>
      </c>
      <c r="D227" s="692">
        <f t="shared" si="199"/>
        <v>164.0414286</v>
      </c>
      <c r="E227" s="692">
        <f t="shared" si="200"/>
        <v>2296.58</v>
      </c>
      <c r="Q227" s="700">
        <v>3.0</v>
      </c>
      <c r="R227" s="13" t="str">
        <f t="array" ref="R227">IFERROR(INDEX(Y$225:Y$232, SMALL(IF(Z$225:Z$232 = MAX(Z$225:Z$232), ROW(Y$225:Y$232)-ROW(Y$225)+1), ROW(3:3))), "-")</f>
        <v>-</v>
      </c>
      <c r="S227" s="13" t="str">
        <f t="array" ref="S227">IFERROR(INDEX(Z$225:Z$232, SMALL(IF(Z$225:Z$232= MAX(Z$225:Z$232), ROW(Z$225:Z$232)-ROW(Z$225)+1), ROW(3:3))), "-")</f>
        <v>-</v>
      </c>
      <c r="T227" s="13" t="str">
        <f t="array" ref="T227">IFERROR(INDEX(Y$225:Y$232, SMALL(IF(Z$225:Z$232 = LARGE(Z$225:Z$232,2), ROW(Y$225:Y$232)-ROW(Y$225)+1), ROW(3:3))), "-")</f>
        <v>-</v>
      </c>
      <c r="U227" s="13" t="str">
        <f t="array" ref="U227">IFERROR(INDEX(Z$225:Z$232, SMALL(IF(Z$225:Z$232 = LARGE(Z$225:Z$232,2), ROW(Z$225:Z$232)-ROW(Z$225)+1), ROW(3:3))), "-")</f>
        <v>-</v>
      </c>
      <c r="V227" s="13" t="str">
        <f t="array" ref="V227">IFERROR(INDEX(Y$225:Y$232, SMALL(IF(Z$225:Z$232= LARGE(Z$225:Z$232,3), ROW(Y$225:Y$232)-ROW(Y$225)+1), ROW(3:3))), "-")</f>
        <v>-</v>
      </c>
      <c r="W227" s="13" t="str">
        <f t="array" ref="W227">IFERROR(INDEX(Z$225:Z$232, SMALL(IF(Z$225:Z$232 = LARGE(Z$225:Z$232,3), ROW(Z$225:Z$232)-ROW(Z$225)+1), ROW(3:3))), "-")</f>
        <v>-</v>
      </c>
      <c r="Y227" s="13" t="str">
        <f t="shared" si="204"/>
        <v>#REF!</v>
      </c>
      <c r="Z227" s="224">
        <v>179.86142857142858</v>
      </c>
      <c r="AB227" s="696" t="str">
        <f t="shared" ref="AB227:AC227" si="208">IF(R227="-","",R227)</f>
        <v/>
      </c>
      <c r="AC227" s="13" t="str">
        <f t="shared" si="208"/>
        <v/>
      </c>
      <c r="AE227" s="13" t="str">
        <f t="shared" ref="AE227:AF227" si="209">IF(T227 = R227, "", T227)</f>
        <v/>
      </c>
      <c r="AF227" s="13" t="str">
        <f t="shared" si="209"/>
        <v/>
      </c>
      <c r="AH227" s="13" t="str">
        <f t="shared" ref="AH227:AI227" si="210">IF(OR(V227=R227, V227=T227), "", V227)</f>
        <v/>
      </c>
      <c r="AI227" s="699" t="str">
        <f t="shared" si="210"/>
        <v/>
      </c>
    </row>
    <row r="228" ht="15.75" customHeight="1">
      <c r="A228" s="840"/>
      <c r="B228" s="841">
        <f t="shared" si="197"/>
        <v>5</v>
      </c>
      <c r="C228" s="683" t="str">
        <f t="shared" si="198"/>
        <v>METAMOOKDAWGS</v>
      </c>
      <c r="D228" s="692">
        <f t="shared" si="199"/>
        <v>162.46</v>
      </c>
      <c r="E228" s="692">
        <f t="shared" si="200"/>
        <v>2274.44</v>
      </c>
      <c r="Q228" s="700">
        <v>4.0</v>
      </c>
      <c r="R228" s="13" t="str">
        <f t="array" ref="R228">IFERROR(INDEX(Y$225:Y$232, SMALL(IF(Z$225:Z$232 = MAX(Z$225:Z$232), ROW(Y$225:Y$232)-ROW(Y$225)+1), ROW(4:4))), "-")</f>
        <v>-</v>
      </c>
      <c r="S228" s="13" t="str">
        <f t="array" ref="S228">IFERROR(INDEX(Z$225:Z$232, SMALL(IF(Z$225:Z$232= MAX(Z$225:Z$232), ROW(Z$225:Z$232)-ROW(Z$225)+1), ROW(4:4))), "-")</f>
        <v>-</v>
      </c>
      <c r="T228" s="13" t="str">
        <f t="array" ref="T228">IFERROR(INDEX(Y$225:Y$232, SMALL(IF(Z$225:Z$232 = LARGE(Z$225:Z$232,2), ROW(Y$225:Y$232)-ROW(Y$225)+1), ROW(4:4))), "-")</f>
        <v>-</v>
      </c>
      <c r="U228" s="13" t="str">
        <f t="array" ref="U228">IFERROR(INDEX(Z$225:Z$232, SMALL(IF(Z$225:Z$232 = LARGE(Z$225:Z$232,2), ROW(Z$225:Z$232)-ROW(Z$225)+1), ROW(4:4))), "-")</f>
        <v>-</v>
      </c>
      <c r="V228" s="13" t="str">
        <f t="array" ref="V228">IFERROR(INDEX(Y$225:Y$232, SMALL(IF(Z$225:Z$232= LARGE(Z$225:Z$232,3), ROW(Y$225:Y$232)-ROW(Y$225)+1), ROW(4:4))), "-")</f>
        <v>-</v>
      </c>
      <c r="W228" s="13" t="str">
        <f t="array" ref="W228">IFERROR(INDEX(Z$225:Z$232, SMALL(IF(Z$225:Z$232 = LARGE(Z$225:Z$232,3), ROW(Z$225:Z$232)-ROW(Z$225)+1), ROW(4:4))), "-")</f>
        <v>-</v>
      </c>
      <c r="Y228" s="13" t="str">
        <f t="shared" si="204"/>
        <v>#REF!</v>
      </c>
      <c r="Z228" s="224">
        <v>150.6807142857143</v>
      </c>
      <c r="AB228" s="696" t="str">
        <f t="shared" ref="AB228:AC228" si="211">IF(R228="-","",R228)</f>
        <v/>
      </c>
      <c r="AC228" s="13" t="str">
        <f t="shared" si="211"/>
        <v/>
      </c>
      <c r="AE228" s="13" t="str">
        <f t="shared" ref="AE228:AF228" si="212">IF(T228 = R228, "", T228)</f>
        <v/>
      </c>
      <c r="AF228" s="13" t="str">
        <f t="shared" si="212"/>
        <v/>
      </c>
      <c r="AH228" s="13" t="str">
        <f t="shared" ref="AH228:AI228" si="213">IF(OR(V228=R228, V228=T228), "", V228)</f>
        <v/>
      </c>
      <c r="AI228" s="699" t="str">
        <f t="shared" si="213"/>
        <v/>
      </c>
    </row>
    <row r="229" ht="15.75" customHeight="1">
      <c r="A229" s="840"/>
      <c r="B229" s="841">
        <f t="shared" si="197"/>
        <v>6</v>
      </c>
      <c r="C229" s="683" t="str">
        <f t="shared" si="198"/>
        <v>POPEYES</v>
      </c>
      <c r="D229" s="692">
        <f t="shared" si="199"/>
        <v>161.3557143</v>
      </c>
      <c r="E229" s="692">
        <f t="shared" si="200"/>
        <v>2258.98</v>
      </c>
      <c r="Q229" s="700">
        <v>5.0</v>
      </c>
      <c r="R229" s="13" t="str">
        <f t="array" ref="R229">IFERROR(INDEX(Y$225:Y$232, SMALL(IF(Z$225:Z$232 = MAX(Z$225:Z$232), ROW(Y$225:Y$232)-ROW(Y$225)+1), ROW(5:5))), "-")</f>
        <v>-</v>
      </c>
      <c r="S229" s="13" t="str">
        <f t="array" ref="S229">IFERROR(INDEX(Z$225:Z$232, SMALL(IF(Z$225:Z$232= MAX(Z$225:Z$232), ROW(Z$225:Z$232)-ROW(Z$225)+1), ROW(5:5))), "-")</f>
        <v>-</v>
      </c>
      <c r="T229" s="13" t="str">
        <f t="array" ref="T229">IFERROR(INDEX(Y$225:Y$232, SMALL(IF(Z$225:Z$232 = LARGE(Z$225:Z$232,2), ROW(Y$225:Y$232)-ROW(Y$225)+1), ROW(5:5))), "-")</f>
        <v>-</v>
      </c>
      <c r="U229" s="13" t="str">
        <f t="array" ref="U229">IFERROR(INDEX(Z$225:Z$232, SMALL(IF(Z$225:Z$232 = LARGE(Z$225:Z$232,2), ROW(Z$225:Z$232)-ROW(Z$225)+1), ROW(5:5))), "-")</f>
        <v>-</v>
      </c>
      <c r="V229" s="13" t="str">
        <f t="array" ref="V229">IFERROR(INDEX(Y$225:Y$232, SMALL(IF(Z$225:Z$232= LARGE(Z$225:Z$232,3), ROW(Y$225:Y$232)-ROW(Y$225)+1), ROW(5:5))), "-")</f>
        <v>-</v>
      </c>
      <c r="W229" s="13" t="str">
        <f t="array" ref="W229">IFERROR(INDEX(Z$225:Z$232, SMALL(IF(Z$225:Z$232 = LARGE(Z$225:Z$232,3), ROW(Z$225:Z$232)-ROW(Z$225)+1), ROW(5:5))), "-")</f>
        <v>-</v>
      </c>
      <c r="Y229" s="13" t="str">
        <f t="shared" si="204"/>
        <v>#REF!</v>
      </c>
      <c r="Z229" s="224">
        <v>151.74357142857144</v>
      </c>
      <c r="AB229" s="696" t="str">
        <f t="shared" ref="AB229:AC229" si="214">IF(R229="-","",R229)</f>
        <v/>
      </c>
      <c r="AC229" s="13" t="str">
        <f t="shared" si="214"/>
        <v/>
      </c>
      <c r="AE229" s="13" t="str">
        <f t="shared" ref="AE229:AF229" si="215">IF(T229 = R229, "", T229)</f>
        <v/>
      </c>
      <c r="AF229" s="13" t="str">
        <f t="shared" si="215"/>
        <v/>
      </c>
      <c r="AH229" s="13" t="str">
        <f t="shared" ref="AH229:AI229" si="216">IF(OR(V229=R229, V229=T229), "", V229)</f>
        <v/>
      </c>
      <c r="AI229" s="699" t="str">
        <f t="shared" si="216"/>
        <v/>
      </c>
    </row>
    <row r="230" ht="15.75" customHeight="1">
      <c r="A230" s="840"/>
      <c r="B230" s="841">
        <f t="shared" si="197"/>
        <v>7</v>
      </c>
      <c r="C230" s="683" t="str">
        <f t="shared" si="198"/>
        <v>YARDIES</v>
      </c>
      <c r="D230" s="692">
        <f t="shared" si="199"/>
        <v>159.7657143</v>
      </c>
      <c r="E230" s="692">
        <f t="shared" si="200"/>
        <v>2236.72</v>
      </c>
      <c r="Q230" s="700">
        <v>6.0</v>
      </c>
      <c r="R230" s="13" t="str">
        <f t="array" ref="R230">IFERROR(INDEX(Y$225:Y$232, SMALL(IF(Z$225:Z$232 = MAX(Z$225:Z$232), ROW(Y$225:Y$232)-ROW(Y$225)+1), ROW(6:6))), "-")</f>
        <v>-</v>
      </c>
      <c r="S230" s="13" t="str">
        <f t="array" ref="S230">IFERROR(INDEX(Z$225:Z$232, SMALL(IF(Z$225:Z$232= MAX(Z$225:Z$232), ROW(Z$225:Z$232)-ROW(Z$225)+1), ROW(6:6))), "-")</f>
        <v>-</v>
      </c>
      <c r="T230" s="13" t="str">
        <f t="array" ref="T230">IFERROR(INDEX(Y$225:Y$232, SMALL(IF(Z$225:Z$232 = LARGE(Z$225:Z$232,2), ROW(Y$225:Y$232)-ROW(Y$225)+1), ROW(6:6))), "-")</f>
        <v>-</v>
      </c>
      <c r="U230" s="13" t="str">
        <f t="array" ref="U230">IFERROR(INDEX(Z$225:Z$232, SMALL(IF(Z$225:Z$232 = LARGE(Z$225:Z$232,2), ROW(Z$225:Z$232)-ROW(Z$225)+1), ROW(6:6))), "-")</f>
        <v>-</v>
      </c>
      <c r="V230" s="13" t="str">
        <f t="array" ref="V230">IFERROR(INDEX(Y$225:Y$232, SMALL(IF(Z$225:Z$232= LARGE(Z$225:Z$232,3), ROW(Y$225:Y$232)-ROW(Y$225)+1), ROW(6:6))), "-")</f>
        <v>-</v>
      </c>
      <c r="W230" s="13" t="str">
        <f t="array" ref="W230">IFERROR(INDEX(Z$225:Z$232, SMALL(IF(Z$225:Z$232 = LARGE(Z$225:Z$232,3), ROW(Z$225:Z$232)-ROW(Z$225)+1), ROW(6:6))), "-")</f>
        <v>-</v>
      </c>
      <c r="Y230" s="13" t="str">
        <f t="shared" si="204"/>
        <v>#REF!</v>
      </c>
      <c r="Z230" s="224">
        <v>165.02642857142857</v>
      </c>
      <c r="AB230" s="696" t="str">
        <f t="shared" ref="AB230:AC230" si="217">IF(R230="-","",R230)</f>
        <v/>
      </c>
      <c r="AC230" s="13" t="str">
        <f t="shared" si="217"/>
        <v/>
      </c>
      <c r="AE230" s="13" t="str">
        <f t="shared" ref="AE230:AF230" si="218">IF(T230 = R230, "", T230)</f>
        <v/>
      </c>
      <c r="AF230" s="13" t="str">
        <f t="shared" si="218"/>
        <v/>
      </c>
      <c r="AH230" s="13" t="str">
        <f t="shared" ref="AH230:AI230" si="219">IF(OR(V230=R230, V230=T230), "", V230)</f>
        <v/>
      </c>
      <c r="AI230" s="699" t="str">
        <f t="shared" si="219"/>
        <v/>
      </c>
    </row>
    <row r="231" ht="15.75" customHeight="1">
      <c r="A231" s="840"/>
      <c r="B231" s="841">
        <f t="shared" si="197"/>
        <v>8</v>
      </c>
      <c r="C231" s="683" t="str">
        <f t="shared" si="198"/>
        <v>KINGS</v>
      </c>
      <c r="D231" s="692">
        <f t="shared" si="199"/>
        <v>151.7435714</v>
      </c>
      <c r="E231" s="692">
        <f t="shared" si="200"/>
        <v>2124.41</v>
      </c>
      <c r="Q231" s="700">
        <v>7.0</v>
      </c>
      <c r="R231" s="13" t="str">
        <f t="array" ref="R231">IFERROR(INDEX(Y$225:Y$232, SMALL(IF(Z$225:Z$232 = MAX(Z$225:Z$232), ROW(Y$225:Y$232)-ROW(Y$225)+1), ROW(7:7))), "-")</f>
        <v>-</v>
      </c>
      <c r="S231" s="13" t="str">
        <f t="array" ref="S231">IFERROR(INDEX(Z$225:Z$232, SMALL(IF(Z$225:Z$232= MAX(Z$225:Z$232), ROW(Z$225:Z$232)-ROW(Z$225)+1), ROW(7:7))), "-")</f>
        <v>-</v>
      </c>
      <c r="T231" s="13" t="str">
        <f t="array" ref="T231">IFERROR(INDEX(Y$225:Y$232, SMALL(IF(Z$225:Z$232 = LARGE(Z$225:Z$232,2), ROW(Y$225:Y$232)-ROW(Y$225)+1), ROW(7:7))), "-")</f>
        <v>-</v>
      </c>
      <c r="U231" s="13" t="str">
        <f t="array" ref="U231">IFERROR(INDEX(Z$225:Z$232, SMALL(IF(Z$225:Z$232 = LARGE(Z$225:Z$232,2), ROW(Z$225:Z$232)-ROW(Z$225)+1), ROW(7:7))), "-")</f>
        <v>-</v>
      </c>
      <c r="V231" s="13" t="str">
        <f t="array" ref="V231">IFERROR(INDEX(Y$225:Y$232, SMALL(IF(Z$225:Z$232= LARGE(Z$225:Z$232,3), ROW(Y$225:Y$232)-ROW(Y$225)+1), ROW(7:7))), "-")</f>
        <v>-</v>
      </c>
      <c r="W231" s="13" t="str">
        <f t="array" ref="W231">IFERROR(INDEX(Z$225:Z$232, SMALL(IF(Z$225:Z$232 = LARGE(Z$225:Z$232,3), ROW(Z$225:Z$232)-ROW(Z$225)+1), ROW(7:7))), "-")</f>
        <v>-</v>
      </c>
      <c r="Y231" s="13" t="str">
        <f t="shared" si="204"/>
        <v>#REF!</v>
      </c>
      <c r="Z231" s="224">
        <v>162.46000000000004</v>
      </c>
      <c r="AB231" s="696" t="str">
        <f t="shared" ref="AB231:AC231" si="220">IF(R231="-","",R231)</f>
        <v/>
      </c>
      <c r="AC231" s="13" t="str">
        <f t="shared" si="220"/>
        <v/>
      </c>
      <c r="AE231" s="13" t="str">
        <f t="shared" ref="AE231:AF231" si="221">IF(T231 = R231, "", T231)</f>
        <v/>
      </c>
      <c r="AF231" s="13" t="str">
        <f t="shared" si="221"/>
        <v/>
      </c>
      <c r="AH231" s="13" t="str">
        <f t="shared" ref="AH231:AI231" si="222">IF(OR(V231=R231, V231=T231), "", V231)</f>
        <v/>
      </c>
      <c r="AI231" s="699" t="str">
        <f t="shared" si="222"/>
        <v/>
      </c>
    </row>
    <row r="232" ht="15.75" customHeight="1">
      <c r="A232" s="840"/>
      <c r="Q232" s="700">
        <v>8.0</v>
      </c>
      <c r="R232" s="13" t="str">
        <f t="array" ref="R232">IFERROR(INDEX(Y$225:Y$232, SMALL(IF(Z$225:Z$232 = MAX(Z$225:Z$232), ROW(Y$225:Y$232)-ROW(Y$225)+1), ROW(8:8))), "-")</f>
        <v>-</v>
      </c>
      <c r="S232" s="13" t="str">
        <f t="array" ref="S232">IFERROR(INDEX(Z$225:Z$232, SMALL(IF(Z$225:Z$232= MAX(Z$225:Z$232), ROW(Z$225:Z$232)-ROW(Z$225)+1), ROW(8:8))), "-")</f>
        <v>-</v>
      </c>
      <c r="T232" s="13" t="str">
        <f t="array" ref="T232">IFERROR(INDEX(Y$225:Y$232, SMALL(IF(Z$225:Z$232 = LARGE(Z$225:Z$232,2), ROW(Y$225:Y$232)-ROW(Y$225)+1), ROW(8:8))), "-")</f>
        <v>-</v>
      </c>
      <c r="U232" s="13" t="str">
        <f t="array" ref="U232">IFERROR(INDEX(Z$225:Z$232, SMALL(IF(Z$225:Z$232 = LARGE(Z$225:Z$232,2), ROW(Z$225:Z$232)-ROW(Z$225)+1), ROW(8:8))), "-")</f>
        <v>-</v>
      </c>
      <c r="V232" s="13" t="str">
        <f t="array" ref="V232">IFERROR(INDEX(Y$225:Y$232, SMALL(IF(Z$225:Z$232= LARGE(Z$225:Z$232,3), ROW(Y$225:Y$232)-ROW(Y$225)+1), ROW(8:8))), "-")</f>
        <v>-</v>
      </c>
      <c r="W232" s="13" t="str">
        <f t="array" ref="W232">IFERROR(INDEX(Z$225:Z$232, SMALL(IF(Z$225:Z$232 = LARGE(Z$225:Z$232,3), ROW(Z$225:Z$232)-ROW(Z$225)+1), ROW(8:8))), "-")</f>
        <v>-</v>
      </c>
      <c r="Y232" s="13" t="str">
        <f t="shared" si="204"/>
        <v>#REF!</v>
      </c>
      <c r="Z232" s="224">
        <v>159.76571428571427</v>
      </c>
      <c r="AB232" s="720" t="str">
        <f t="shared" ref="AB232:AC232" si="223">IF(R232="-","",R232)</f>
        <v/>
      </c>
      <c r="AC232" s="722" t="str">
        <f t="shared" si="223"/>
        <v/>
      </c>
      <c r="AD232" s="722"/>
      <c r="AE232" s="722" t="str">
        <f t="shared" ref="AE232:AF232" si="224">IF(T232 = R232, "", T232)</f>
        <v/>
      </c>
      <c r="AF232" s="722" t="str">
        <f t="shared" si="224"/>
        <v/>
      </c>
      <c r="AG232" s="722"/>
      <c r="AH232" s="722" t="str">
        <f t="shared" ref="AH232:AI232" si="225">IF(OR(V232=R232, V232=T232), "", V232)</f>
        <v/>
      </c>
      <c r="AI232" s="724" t="str">
        <f t="shared" si="225"/>
        <v/>
      </c>
    </row>
    <row r="233" ht="15.75" customHeight="1">
      <c r="A233" s="840"/>
      <c r="B233" s="856" t="s">
        <v>553</v>
      </c>
      <c r="C233" s="838" t="s">
        <v>492</v>
      </c>
      <c r="D233" s="838" t="s">
        <v>543</v>
      </c>
      <c r="E233" s="839" t="s">
        <v>7</v>
      </c>
      <c r="Z233" s="224">
        <v>164.0414285714286</v>
      </c>
    </row>
    <row r="234" ht="15.75" customHeight="1">
      <c r="A234" s="840"/>
      <c r="B234" s="841">
        <f t="shared" ref="B234:B241" si="226">_xlfn.RANK.EQ(D234,$D$234:$D241)</f>
        <v>1</v>
      </c>
      <c r="C234" s="683" t="str">
        <f t="shared" ref="C234:C241" si="227">INDEX(C$3:K$3,MATCH(LARGE(C$22:K$22,$Q235),C$22:K$22,0))</f>
        <v>DECOUPES</v>
      </c>
      <c r="D234" s="692">
        <f t="shared" ref="D234:D241" si="228">LARGE(C$22:K$22,$Q235)</f>
        <v>247.45</v>
      </c>
      <c r="E234" s="729"/>
      <c r="Z234" s="224"/>
    </row>
    <row r="235" ht="15.75" customHeight="1">
      <c r="A235" s="840"/>
      <c r="B235" s="841">
        <f t="shared" si="226"/>
        <v>2</v>
      </c>
      <c r="C235" s="683" t="str">
        <f t="shared" si="227"/>
        <v>MUTTS</v>
      </c>
      <c r="D235" s="692">
        <f t="shared" si="228"/>
        <v>234.4</v>
      </c>
      <c r="E235" s="729"/>
      <c r="Q235" s="700">
        <v>1.0</v>
      </c>
      <c r="R235" s="13" t="str">
        <f t="array" ref="R235">IFERROR(INDEX(Y$235:Y$242, SMALL(IF(Z$235:Z$242 = MAX(Z$235:Z$242), ROW(Y$235:Y$242)-ROW(Y$235)+1), ROW(1:1))), "-")</f>
        <v>-</v>
      </c>
      <c r="S235" s="13">
        <f t="array" ref="S235">IFERROR(INDEX(Z$235:Z$242, SMALL(IF(Z$235:Z$242 = MAX(Z$235:Z$242), ROW(Z$235:Z$242)-ROW(Z$235)+1), ROW(1:1))), "-")</f>
        <v>247.45</v>
      </c>
      <c r="T235" s="13" t="str">
        <f t="array" ref="T235">IFERROR(INDEX(Y$235:Y$242, SMALL(IF(Z$235:Z$242 = LARGE(Z$235:Z$242,2), ROW(Y$235:Y$242)-ROW(Y$235)+1), ROW(1:1))), "-")</f>
        <v>-</v>
      </c>
      <c r="U235" s="13">
        <f t="array" ref="U235">IFERROR(INDEX(Z$235:Z$242, SMALL(IF(Z$235:Z$242 = LARGE(Z$235:Z$242,2), ROW(Z$235:Z$242)-ROW(Z$235)+1), ROW(1:1))), "-")</f>
        <v>232.94</v>
      </c>
      <c r="V235" s="13" t="str">
        <f t="array" ref="V235">IFERROR(INDEX(Y$235:Y$242, SMALL(IF(Z$235:Z$242= LARGE(Z$235:Z$242,3), ROW(Y$235:Y$242)-ROW(Y$235)+1), ROW(1:1))), "-")</f>
        <v>-</v>
      </c>
      <c r="W235" s="13">
        <f t="array" ref="W235">IFERROR(INDEX(Z$235:Z$242, SMALL(IF(Z$235:Z$242= LARGE(Z$235:Z$242,3), ROW(Z$235:Z$242)-ROW(Z$235)+1), ROW(1:1))), "-")</f>
        <v>230.16</v>
      </c>
      <c r="Y235" s="13" t="str">
        <f t="shared" ref="Y235:Y242" si="232">#REF!</f>
        <v>#REF!</v>
      </c>
      <c r="Z235" s="224">
        <f t="array" ref="Z235:Z243">TRANSPOSE(C22:K22)</f>
        <v>247.45</v>
      </c>
      <c r="AB235" s="688" t="str">
        <f t="shared" ref="AB235:AC235" si="229">R235</f>
        <v>-</v>
      </c>
      <c r="AC235" s="690">
        <f t="shared" si="229"/>
        <v>247.45</v>
      </c>
      <c r="AD235" s="691"/>
      <c r="AE235" s="691" t="str">
        <f t="shared" ref="AE235:AF235" si="230">IF(T235 = R235, "", T235)</f>
        <v/>
      </c>
      <c r="AF235" s="691">
        <f t="shared" si="230"/>
        <v>232.94</v>
      </c>
      <c r="AG235" s="691"/>
      <c r="AH235" s="691" t="str">
        <f t="shared" ref="AH235:AI235" si="231">IF(OR(V235=R235, V235=T235), "", V235)</f>
        <v/>
      </c>
      <c r="AI235" s="760">
        <f t="shared" si="231"/>
        <v>230.16</v>
      </c>
    </row>
    <row r="236" ht="15.75" customHeight="1">
      <c r="A236" s="840"/>
      <c r="B236" s="841">
        <f t="shared" si="226"/>
        <v>3</v>
      </c>
      <c r="C236" s="683" t="str">
        <f t="shared" si="227"/>
        <v>CHAMPS</v>
      </c>
      <c r="D236" s="692">
        <f t="shared" si="228"/>
        <v>232.94</v>
      </c>
      <c r="E236" s="729"/>
      <c r="Q236" s="700">
        <v>2.0</v>
      </c>
      <c r="R236" s="13" t="str">
        <f t="array" ref="R236">IFERROR(INDEX(Y$235:Y$242, SMALL(IF(Z$235:Z$242 = MAX(Z$235:Z$242), ROW(Y$235:Y$242)-ROW(Y$235)+1), ROW(2:2))), "-")</f>
        <v>-</v>
      </c>
      <c r="S236" s="13" t="str">
        <f t="array" ref="S236">IFERROR(INDEX(Z$235:Z$242, SMALL(IF(Z$235:Z$242 = MAX(Z$235:Z$242), ROW(Z$235:Z$242)-ROW(Z$235)+1), ROW(2:2))), "-")</f>
        <v>-</v>
      </c>
      <c r="T236" s="13" t="str">
        <f t="array" ref="T236">IFERROR(INDEX(Y$235:Y$242, SMALL(IF(Z$235:Z$242 = LARGE(Z$235:Z$242,2), ROW(Y$235:Y$242)-ROW(Y$235)+1), ROW(2:2))), "-")</f>
        <v>-</v>
      </c>
      <c r="U236" s="13" t="str">
        <f t="array" ref="U236">IFERROR(INDEX(Z$235:Z$242, SMALL(IF(Z$235:Z$242 = LARGE(Z$235:Z$242,2), ROW(Z$235:Z$242)-ROW(Z$235)+1), ROW(2:2))), "-")</f>
        <v>-</v>
      </c>
      <c r="V236" s="13" t="str">
        <f t="array" ref="V236">IFERROR(INDEX(Y$235:Y$242, SMALL(IF(Z$235:Z$242= LARGE(Z$235:Z$242,3), ROW(Y$235:Y$242)-ROW(Y$235)+1), ROW(2:2))), "-")</f>
        <v>-</v>
      </c>
      <c r="W236" s="13" t="str">
        <f t="array" ref="W236">IFERROR(INDEX(Z$235:Z$242, SMALL(IF(Z$235:Z$242= LARGE(Z$235:Z$242,3), ROW(Z$235:Z$242)-ROW(Z$235)+1), ROW(2:2))), "-")</f>
        <v>-</v>
      </c>
      <c r="Y236" s="13" t="str">
        <f t="shared" si="232"/>
        <v>#REF!</v>
      </c>
      <c r="Z236" s="224">
        <v>219.36</v>
      </c>
      <c r="AB236" s="696" t="str">
        <f t="shared" ref="AB236:AC236" si="233">IF(R236="-","",R236)</f>
        <v/>
      </c>
      <c r="AC236" s="13" t="str">
        <f t="shared" si="233"/>
        <v/>
      </c>
      <c r="AE236" s="13" t="str">
        <f t="shared" ref="AE236:AF236" si="234">IF(T236 = R236, "", T236)</f>
        <v/>
      </c>
      <c r="AF236" s="13" t="str">
        <f t="shared" si="234"/>
        <v/>
      </c>
      <c r="AH236" s="13" t="str">
        <f t="shared" ref="AH236:AI236" si="235">IF(OR(V236=R236, V236=T236), "", V236)</f>
        <v/>
      </c>
      <c r="AI236" s="699" t="str">
        <f t="shared" si="235"/>
        <v/>
      </c>
    </row>
    <row r="237" ht="15.75" customHeight="1">
      <c r="A237" s="840"/>
      <c r="B237" s="841">
        <f t="shared" si="226"/>
        <v>4</v>
      </c>
      <c r="C237" s="683" t="str">
        <f t="shared" si="227"/>
        <v>METAMOOKDAWGS</v>
      </c>
      <c r="D237" s="692">
        <f t="shared" si="228"/>
        <v>230.16</v>
      </c>
      <c r="E237" s="729"/>
      <c r="Q237" s="700">
        <v>3.0</v>
      </c>
      <c r="R237" s="13" t="str">
        <f t="array" ref="R237">IFERROR(INDEX(Y$235:Y$242, SMALL(IF(Z$235:Z$242 = MAX(Z$235:Z$242), ROW(Y$235:Y$242)-ROW(Y$235)+1), ROW(3:3))), "-")</f>
        <v>-</v>
      </c>
      <c r="S237" s="13" t="str">
        <f t="array" ref="S237">IFERROR(INDEX(Z$235:Z$242, SMALL(IF(Z$235:Z$242 = MAX(Z$235:Z$242), ROW(Z$235:Z$242)-ROW(Z$235)+1), ROW(3:3))), "-")</f>
        <v>-</v>
      </c>
      <c r="T237" s="13" t="str">
        <f t="array" ref="T237">IFERROR(INDEX(Y$235:Y$242, SMALL(IF(Z$235:Z$242 = LARGE(Z$235:Z$242,2), ROW(Y$235:Y$242)-ROW(Y$235)+1), ROW(3:3))), "-")</f>
        <v>-</v>
      </c>
      <c r="U237" s="13" t="str">
        <f t="array" ref="U237">IFERROR(INDEX(Z$235:Z$242, SMALL(IF(Z$235:Z$242 = LARGE(Z$235:Z$242,2), ROW(Z$235:Z$242)-ROW(Z$235)+1), ROW(3:3))), "-")</f>
        <v>-</v>
      </c>
      <c r="V237" s="13" t="str">
        <f t="array" ref="V237">IFERROR(INDEX(Y$235:Y$242, SMALL(IF(Z$235:Z$242= LARGE(Z$235:Z$242,3), ROW(Y$235:Y$242)-ROW(Y$235)+1), ROW(3:3))), "-")</f>
        <v>-</v>
      </c>
      <c r="W237" s="13" t="str">
        <f t="array" ref="W237">IFERROR(INDEX(Z$235:Z$242, SMALL(IF(Z$235:Z$242= LARGE(Z$235:Z$242,3), ROW(Z$235:Z$242)-ROW(Z$235)+1), ROW(3:3))), "-")</f>
        <v>-</v>
      </c>
      <c r="Y237" s="13" t="str">
        <f t="shared" si="232"/>
        <v>#REF!</v>
      </c>
      <c r="Z237" s="224">
        <v>216.6</v>
      </c>
      <c r="AB237" s="696" t="str">
        <f t="shared" ref="AB237:AC237" si="236">IF(R237="-","",R237)</f>
        <v/>
      </c>
      <c r="AC237" s="13" t="str">
        <f t="shared" si="236"/>
        <v/>
      </c>
      <c r="AE237" s="13" t="str">
        <f t="shared" ref="AE237:AF237" si="237">IF(T237 = R237, "", T237)</f>
        <v/>
      </c>
      <c r="AF237" s="13" t="str">
        <f t="shared" si="237"/>
        <v/>
      </c>
      <c r="AH237" s="13" t="str">
        <f t="shared" ref="AH237:AI237" si="238">IF(OR(V237=R237, V237=T237), "", V237)</f>
        <v/>
      </c>
      <c r="AI237" s="699" t="str">
        <f t="shared" si="238"/>
        <v/>
      </c>
    </row>
    <row r="238" ht="15.75" customHeight="1">
      <c r="A238" s="840"/>
      <c r="B238" s="841">
        <f t="shared" si="226"/>
        <v>5</v>
      </c>
      <c r="C238" s="683" t="str">
        <f t="shared" si="227"/>
        <v>POPEYES</v>
      </c>
      <c r="D238" s="692">
        <f t="shared" si="228"/>
        <v>219.36</v>
      </c>
      <c r="E238" s="729"/>
      <c r="Q238" s="700">
        <v>4.0</v>
      </c>
      <c r="R238" s="13" t="str">
        <f t="array" ref="R238">IFERROR(INDEX(Y$235:Y$242, SMALL(IF(Z$235:Z$242 = MAX(Z$235:Z$242), ROW(Y$235:Y$242)-ROW(Y$235)+1), ROW(4:4))), "-")</f>
        <v>-</v>
      </c>
      <c r="S238" s="13" t="str">
        <f t="array" ref="S238">IFERROR(INDEX(Z$235:Z$242, SMALL(IF(Z$235:Z$242 = MAX(Z$235:Z$242), ROW(Z$235:Z$242)-ROW(Z$235)+1), ROW(4:4))), "-")</f>
        <v>-</v>
      </c>
      <c r="T238" s="13" t="str">
        <f t="array" ref="T238">IFERROR(INDEX(Y$235:Y$242, SMALL(IF(Z$235:Z$242 = LARGE(Z$235:Z$242,2), ROW(Y$235:Y$242)-ROW(Y$235)+1), ROW(4:4))), "-")</f>
        <v>-</v>
      </c>
      <c r="U238" s="13" t="str">
        <f t="array" ref="U238">IFERROR(INDEX(Z$235:Z$242, SMALL(IF(Z$235:Z$242 = LARGE(Z$235:Z$242,2), ROW(Z$235:Z$242)-ROW(Z$235)+1), ROW(4:4))), "-")</f>
        <v>-</v>
      </c>
      <c r="V238" s="13" t="str">
        <f t="array" ref="V238">IFERROR(INDEX(Y$235:Y$242, SMALL(IF(Z$235:Z$242= LARGE(Z$235:Z$242,3), ROW(Y$235:Y$242)-ROW(Y$235)+1), ROW(4:4))), "-")</f>
        <v>-</v>
      </c>
      <c r="W238" s="13" t="str">
        <f t="array" ref="W238">IFERROR(INDEX(Z$235:Z$242, SMALL(IF(Z$235:Z$242= LARGE(Z$235:Z$242,3), ROW(Z$235:Z$242)-ROW(Z$235)+1), ROW(4:4))), "-")</f>
        <v>-</v>
      </c>
      <c r="Y238" s="13" t="str">
        <f t="shared" si="232"/>
        <v>#REF!</v>
      </c>
      <c r="Z238" s="224">
        <v>192.41999999999996</v>
      </c>
      <c r="AB238" s="696" t="str">
        <f t="shared" ref="AB238:AC238" si="239">IF(R238="-","",R238)</f>
        <v/>
      </c>
      <c r="AC238" s="13" t="str">
        <f t="shared" si="239"/>
        <v/>
      </c>
      <c r="AE238" s="13" t="str">
        <f t="shared" ref="AE238:AF238" si="240">IF(T238 = R238, "", T238)</f>
        <v/>
      </c>
      <c r="AF238" s="13" t="str">
        <f t="shared" si="240"/>
        <v/>
      </c>
      <c r="AH238" s="13" t="str">
        <f t="shared" ref="AH238:AI238" si="241">IF(OR(V238=R238, V238=T238), "", V238)</f>
        <v/>
      </c>
      <c r="AI238" s="699" t="str">
        <f t="shared" si="241"/>
        <v/>
      </c>
    </row>
    <row r="239" ht="15.75" customHeight="1">
      <c r="A239" s="840"/>
      <c r="B239" s="841">
        <f t="shared" si="226"/>
        <v>6</v>
      </c>
      <c r="C239" s="683" t="str">
        <f t="shared" si="227"/>
        <v>GREEN</v>
      </c>
      <c r="D239" s="692">
        <f t="shared" si="228"/>
        <v>216.6</v>
      </c>
      <c r="E239" s="729"/>
      <c r="Q239" s="700">
        <v>5.0</v>
      </c>
      <c r="R239" s="13" t="str">
        <f t="array" ref="R239">IFERROR(INDEX(Y$235:Y$242, SMALL(IF(Z$235:Z$242 = MAX(Z$235:Z$242), ROW(Y$235:Y$242)-ROW(Y$235)+1), ROW(5:5))), "-")</f>
        <v>-</v>
      </c>
      <c r="S239" s="13" t="str">
        <f t="array" ref="S239">IFERROR(INDEX(Z$235:Z$242, SMALL(IF(Z$235:Z$242 = MAX(Z$235:Z$242), ROW(Z$235:Z$242)-ROW(Z$235)+1), ROW(5:5))), "-")</f>
        <v>-</v>
      </c>
      <c r="T239" s="13" t="str">
        <f t="array" ref="T239">IFERROR(INDEX(Y$235:Y$242, SMALL(IF(Z$235:Z$242 = LARGE(Z$235:Z$242,2), ROW(Y$235:Y$242)-ROW(Y$235)+1), ROW(5:5))), "-")</f>
        <v>-</v>
      </c>
      <c r="U239" s="13" t="str">
        <f t="array" ref="U239">IFERROR(INDEX(Z$235:Z$242, SMALL(IF(Z$235:Z$242 = LARGE(Z$235:Z$242,2), ROW(Z$235:Z$242)-ROW(Z$235)+1), ROW(5:5))), "-")</f>
        <v>-</v>
      </c>
      <c r="V239" s="13" t="str">
        <f t="array" ref="V239">IFERROR(INDEX(Y$235:Y$242, SMALL(IF(Z$235:Z$242= LARGE(Z$235:Z$242,3), ROW(Y$235:Y$242)-ROW(Y$235)+1), ROW(5:5))), "-")</f>
        <v>-</v>
      </c>
      <c r="W239" s="13" t="str">
        <f t="array" ref="W239">IFERROR(INDEX(Z$235:Z$242, SMALL(IF(Z$235:Z$242= LARGE(Z$235:Z$242,3), ROW(Z$235:Z$242)-ROW(Z$235)+1), ROW(5:5))), "-")</f>
        <v>-</v>
      </c>
      <c r="Y239" s="13" t="str">
        <f t="shared" si="232"/>
        <v>#REF!</v>
      </c>
      <c r="Z239" s="224">
        <v>206.24000000000004</v>
      </c>
      <c r="AB239" s="696" t="str">
        <f t="shared" ref="AB239:AC239" si="242">IF(R239="-","",R239)</f>
        <v/>
      </c>
      <c r="AC239" s="13" t="str">
        <f t="shared" si="242"/>
        <v/>
      </c>
      <c r="AE239" s="13" t="str">
        <f t="shared" ref="AE239:AF239" si="243">IF(T239 = R239, "", T239)</f>
        <v/>
      </c>
      <c r="AF239" s="13" t="str">
        <f t="shared" si="243"/>
        <v/>
      </c>
      <c r="AH239" s="13" t="str">
        <f t="shared" ref="AH239:AI239" si="244">IF(OR(V239=R239, V239=T239), "", V239)</f>
        <v/>
      </c>
      <c r="AI239" s="699" t="str">
        <f t="shared" si="244"/>
        <v/>
      </c>
    </row>
    <row r="240" ht="15.75" customHeight="1">
      <c r="A240" s="840"/>
      <c r="B240" s="841">
        <f t="shared" si="226"/>
        <v>7</v>
      </c>
      <c r="C240" s="683" t="str">
        <f t="shared" si="227"/>
        <v>KINGS</v>
      </c>
      <c r="D240" s="692">
        <f t="shared" si="228"/>
        <v>206.24</v>
      </c>
      <c r="E240" s="729"/>
      <c r="Q240" s="700">
        <v>6.0</v>
      </c>
      <c r="R240" s="13" t="str">
        <f t="array" ref="R240">IFERROR(INDEX(Y$235:Y$242, SMALL(IF(Z$235:Z$242 = MAX(Z$235:Z$242), ROW(Y$235:Y$242)-ROW(Y$235)+1), ROW(6:6))), "-")</f>
        <v>-</v>
      </c>
      <c r="S240" s="13" t="str">
        <f t="array" ref="S240">IFERROR(INDEX(Z$235:Z$242, SMALL(IF(Z$235:Z$242 = MAX(Z$235:Z$242), ROW(Z$235:Z$242)-ROW(Z$235)+1), ROW(6:6))), "-")</f>
        <v>-</v>
      </c>
      <c r="T240" s="13" t="str">
        <f t="array" ref="T240">IFERROR(INDEX(Y$235:Y$242, SMALL(IF(Z$235:Z$242 = LARGE(Z$235:Z$242,2), ROW(Y$235:Y$242)-ROW(Y$235)+1), ROW(6:6))), "-")</f>
        <v>-</v>
      </c>
      <c r="U240" s="13" t="str">
        <f t="array" ref="U240">IFERROR(INDEX(Z$235:Z$242, SMALL(IF(Z$235:Z$242 = LARGE(Z$235:Z$242,2), ROW(Z$235:Z$242)-ROW(Z$235)+1), ROW(6:6))), "-")</f>
        <v>-</v>
      </c>
      <c r="V240" s="13" t="str">
        <f t="array" ref="V240">IFERROR(INDEX(Y$235:Y$242, SMALL(IF(Z$235:Z$242= LARGE(Z$235:Z$242,3), ROW(Y$235:Y$242)-ROW(Y$235)+1), ROW(6:6))), "-")</f>
        <v>-</v>
      </c>
      <c r="W240" s="13" t="str">
        <f t="array" ref="W240">IFERROR(INDEX(Z$235:Z$242, SMALL(IF(Z$235:Z$242= LARGE(Z$235:Z$242,3), ROW(Z$235:Z$242)-ROW(Z$235)+1), ROW(6:6))), "-")</f>
        <v>-</v>
      </c>
      <c r="Y240" s="13" t="str">
        <f t="shared" si="232"/>
        <v>#REF!</v>
      </c>
      <c r="Z240" s="224">
        <v>232.94</v>
      </c>
      <c r="AB240" s="696" t="str">
        <f t="shared" ref="AB240:AC240" si="245">IF(R240="-","",R240)</f>
        <v/>
      </c>
      <c r="AC240" s="13" t="str">
        <f t="shared" si="245"/>
        <v/>
      </c>
      <c r="AE240" s="13" t="str">
        <f t="shared" ref="AE240:AF240" si="246">IF(T240 = R240, "", T240)</f>
        <v/>
      </c>
      <c r="AF240" s="13" t="str">
        <f t="shared" si="246"/>
        <v/>
      </c>
      <c r="AH240" s="13" t="str">
        <f t="shared" ref="AH240:AI240" si="247">IF(OR(V240=R240, V240=T240), "", V240)</f>
        <v/>
      </c>
      <c r="AI240" s="699" t="str">
        <f t="shared" si="247"/>
        <v/>
      </c>
    </row>
    <row r="241" ht="15.75" customHeight="1">
      <c r="A241" s="852"/>
      <c r="B241" s="841">
        <f t="shared" si="226"/>
        <v>8</v>
      </c>
      <c r="C241" s="683" t="str">
        <f t="shared" si="227"/>
        <v>YARDIES</v>
      </c>
      <c r="D241" s="692">
        <f t="shared" si="228"/>
        <v>204.92</v>
      </c>
      <c r="E241" s="729"/>
      <c r="Q241" s="700">
        <v>7.0</v>
      </c>
      <c r="R241" s="13" t="str">
        <f t="array" ref="R241">IFERROR(INDEX(Y$235:Y$242, SMALL(IF(Z$235:Z$242 = MAX(Z$235:Z$242), ROW(Y$235:Y$242)-ROW(Y$235)+1), ROW(7:7))), "-")</f>
        <v>-</v>
      </c>
      <c r="S241" s="13" t="str">
        <f t="array" ref="S241">IFERROR(INDEX(Z$235:Z$242, SMALL(IF(Z$235:Z$242 = MAX(Z$235:Z$242), ROW(Z$235:Z$242)-ROW(Z$235)+1), ROW(7:7))), "-")</f>
        <v>-</v>
      </c>
      <c r="T241" s="13" t="str">
        <f t="array" ref="T241">IFERROR(INDEX(Y$235:Y$242, SMALL(IF(Z$235:Z$242 = LARGE(Z$235:Z$242,2), ROW(Y$235:Y$242)-ROW(Y$235)+1), ROW(7:7))), "-")</f>
        <v>-</v>
      </c>
      <c r="U241" s="13" t="str">
        <f t="array" ref="U241">IFERROR(INDEX(Z$235:Z$242, SMALL(IF(Z$235:Z$242 = LARGE(Z$235:Z$242,2), ROW(Z$235:Z$242)-ROW(Z$235)+1), ROW(7:7))), "-")</f>
        <v>-</v>
      </c>
      <c r="V241" s="13" t="str">
        <f t="array" ref="V241">IFERROR(INDEX(Y$235:Y$242, SMALL(IF(Z$235:Z$242= LARGE(Z$235:Z$242,3), ROW(Y$235:Y$242)-ROW(Y$235)+1), ROW(7:7))), "-")</f>
        <v>-</v>
      </c>
      <c r="W241" s="13" t="str">
        <f t="array" ref="W241">IFERROR(INDEX(Z$235:Z$242, SMALL(IF(Z$235:Z$242= LARGE(Z$235:Z$242,3), ROW(Z$235:Z$242)-ROW(Z$235)+1), ROW(7:7))), "-")</f>
        <v>-</v>
      </c>
      <c r="Y241" s="13" t="str">
        <f t="shared" si="232"/>
        <v>#REF!</v>
      </c>
      <c r="Z241" s="224">
        <v>230.15999999999997</v>
      </c>
      <c r="AB241" s="696" t="str">
        <f t="shared" ref="AB241:AC241" si="248">IF(R241="-","",R241)</f>
        <v/>
      </c>
      <c r="AC241" s="13" t="str">
        <f t="shared" si="248"/>
        <v/>
      </c>
      <c r="AE241" s="13" t="str">
        <f t="shared" ref="AE241:AF241" si="249">IF(T241 = R241, "", T241)</f>
        <v/>
      </c>
      <c r="AF241" s="13" t="str">
        <f t="shared" si="249"/>
        <v/>
      </c>
      <c r="AH241" s="13" t="str">
        <f t="shared" ref="AH241:AI241" si="250">IF(OR(V241=R241, V241=T241), "", V241)</f>
        <v/>
      </c>
      <c r="AI241" s="699" t="str">
        <f t="shared" si="250"/>
        <v/>
      </c>
    </row>
    <row r="242" ht="15.75" customHeight="1">
      <c r="Q242" s="700">
        <v>8.0</v>
      </c>
      <c r="R242" s="13" t="str">
        <f t="array" ref="R242">IFERROR(INDEX(Y$235:Y$242, SMALL(IF(Z$235:Z$242 = MAX(Z$235:Z$242), ROW(Y$235:Y$242)-ROW(Y$235)+1), ROW(8:8))), "-")</f>
        <v>-</v>
      </c>
      <c r="S242" s="13" t="str">
        <f t="array" ref="S242">IFERROR(INDEX(Z$235:Z$242, SMALL(IF(Z$235:Z$242 = MAX(Z$235:Z$242), ROW(Z$235:Z$242)-ROW(Z$235)+1), ROW(8:8))), "-")</f>
        <v>-</v>
      </c>
      <c r="T242" s="13" t="str">
        <f t="array" ref="T242">IFERROR(INDEX(Y$235:Y$242, SMALL(IF(Z$235:Z$242 = LARGE(Z$235:Z$242,2), ROW(Y$235:Y$242)-ROW(Y$235)+1), ROW(8:8))), "-")</f>
        <v>-</v>
      </c>
      <c r="U242" s="13" t="str">
        <f t="array" ref="U242">IFERROR(INDEX(Z$235:Z$242, SMALL(IF(Z$235:Z$242 = LARGE(Z$235:Z$242,2), ROW(Z$235:Z$242)-ROW(Z$235)+1), ROW(8:8))), "-")</f>
        <v>-</v>
      </c>
      <c r="V242" s="13" t="str">
        <f t="array" ref="V242">IFERROR(INDEX(Y$235:Y$242, SMALL(IF(Z$235:Z$242= LARGE(Z$235:Z$242,3), ROW(Y$235:Y$242)-ROW(Y$235)+1), ROW(8:8))), "-")</f>
        <v>-</v>
      </c>
      <c r="W242" s="13" t="str">
        <f t="array" ref="W242">IFERROR(INDEX(Z$235:Z$242, SMALL(IF(Z$235:Z$242= LARGE(Z$235:Z$242,3), ROW(Z$235:Z$242)-ROW(Z$235)+1), ROW(8:8))), "-")</f>
        <v>-</v>
      </c>
      <c r="Y242" s="13" t="str">
        <f t="shared" si="232"/>
        <v>#REF!</v>
      </c>
      <c r="Z242" s="224">
        <v>204.92</v>
      </c>
      <c r="AB242" s="720" t="str">
        <f t="shared" ref="AB242:AC242" si="251">IF(R242="-","",R242)</f>
        <v/>
      </c>
      <c r="AC242" s="722" t="str">
        <f t="shared" si="251"/>
        <v/>
      </c>
      <c r="AD242" s="722"/>
      <c r="AE242" s="722" t="str">
        <f t="shared" ref="AE242:AF242" si="252">IF(T242 = R242, "", T242)</f>
        <v/>
      </c>
      <c r="AF242" s="722" t="str">
        <f t="shared" si="252"/>
        <v/>
      </c>
      <c r="AG242" s="722"/>
      <c r="AH242" s="722" t="str">
        <f t="shared" ref="AH242:AI242" si="253">IF(OR(V242=R242, V242=T242), "", V242)</f>
        <v/>
      </c>
      <c r="AI242" s="724" t="str">
        <f t="shared" si="253"/>
        <v/>
      </c>
    </row>
    <row r="243" ht="15.75" customHeight="1">
      <c r="A243" s="837" t="s">
        <v>65</v>
      </c>
      <c r="B243" s="838" t="s">
        <v>297</v>
      </c>
      <c r="C243" s="838" t="s">
        <v>492</v>
      </c>
      <c r="D243" s="838" t="s">
        <v>543</v>
      </c>
      <c r="Z243" s="224">
        <v>234.4</v>
      </c>
    </row>
    <row r="244" ht="15.75" customHeight="1">
      <c r="A244" s="840"/>
      <c r="B244" s="858">
        <f t="shared" ref="B244:B251" si="254">_xlfn.RANK.EQ(D244,D$244:D$251,0)</f>
        <v>2</v>
      </c>
      <c r="C244" s="683" t="str">
        <f>Settings!A3</f>
        <v>DECOUPES</v>
      </c>
      <c r="D244" s="692">
        <f>'Weekly Scores'!BW2</f>
        <v>4</v>
      </c>
      <c r="Z244" s="224"/>
    </row>
    <row r="245" ht="15.75" customHeight="1">
      <c r="A245" s="840"/>
      <c r="B245" s="858">
        <f t="shared" si="254"/>
        <v>4</v>
      </c>
      <c r="C245" s="683" t="str">
        <f>Settings!A4</f>
        <v>POPEYES</v>
      </c>
      <c r="D245" s="692">
        <f>'Weekly Scores'!BW3</f>
        <v>2</v>
      </c>
      <c r="Q245" s="700">
        <v>1.0</v>
      </c>
      <c r="Z245" s="224"/>
    </row>
    <row r="246" ht="15.75" customHeight="1">
      <c r="A246" s="840"/>
      <c r="B246" s="858">
        <f t="shared" si="254"/>
        <v>1</v>
      </c>
      <c r="C246" s="683" t="str">
        <f>Settings!A5</f>
        <v>GREEN</v>
      </c>
      <c r="D246" s="692">
        <f>'Weekly Scores'!BW4</f>
        <v>5</v>
      </c>
      <c r="Q246" s="700">
        <v>2.0</v>
      </c>
      <c r="Z246" s="224"/>
    </row>
    <row r="247" ht="15.75" customHeight="1">
      <c r="A247" s="840"/>
      <c r="B247" s="858">
        <f t="shared" si="254"/>
        <v>4</v>
      </c>
      <c r="C247" s="683" t="str">
        <f>Settings!A6</f>
        <v>SAVAGES</v>
      </c>
      <c r="D247" s="692">
        <f>'Weekly Scores'!BW5</f>
        <v>2</v>
      </c>
      <c r="Q247" s="700">
        <v>3.0</v>
      </c>
      <c r="Z247" s="224"/>
    </row>
    <row r="248" ht="15.75" customHeight="1">
      <c r="A248" s="840"/>
      <c r="B248" s="858">
        <f t="shared" si="254"/>
        <v>3</v>
      </c>
      <c r="C248" s="683" t="str">
        <f>Settings!A7</f>
        <v>CHAMPS</v>
      </c>
      <c r="D248" s="692">
        <f>'Weekly Scores'!BW7</f>
        <v>3</v>
      </c>
      <c r="Q248" s="700">
        <v>4.0</v>
      </c>
      <c r="Z248" s="224"/>
    </row>
    <row r="249" ht="15.75" customHeight="1">
      <c r="A249" s="840"/>
      <c r="B249" s="858">
        <f t="shared" si="254"/>
        <v>4</v>
      </c>
      <c r="C249" s="683" t="str">
        <f>Settings!A8</f>
        <v>METAMOOKDAWGS</v>
      </c>
      <c r="D249" s="692">
        <f>'Weekly Scores'!BW8</f>
        <v>2</v>
      </c>
      <c r="Q249" s="700">
        <v>5.0</v>
      </c>
      <c r="Z249" s="224"/>
    </row>
    <row r="250" ht="15.75" customHeight="1">
      <c r="A250" s="840"/>
      <c r="B250" s="858">
        <f t="shared" si="254"/>
        <v>4</v>
      </c>
      <c r="C250" s="683" t="str">
        <f>Settings!A9</f>
        <v>YARDIES</v>
      </c>
      <c r="D250" s="692">
        <f>'Weekly Scores'!BW9</f>
        <v>2</v>
      </c>
      <c r="Q250" s="700">
        <v>6.0</v>
      </c>
      <c r="Z250" s="224"/>
    </row>
    <row r="251" ht="15.75" customHeight="1">
      <c r="A251" s="852"/>
      <c r="B251" s="858">
        <f t="shared" si="254"/>
        <v>8</v>
      </c>
      <c r="C251" s="683" t="str">
        <f>Settings!A10</f>
        <v>MUTTS</v>
      </c>
      <c r="D251" s="692">
        <f>'Weekly Scores'!BW10</f>
        <v>1</v>
      </c>
      <c r="Q251" s="700">
        <v>7.0</v>
      </c>
      <c r="Z251" s="224"/>
    </row>
    <row r="252" ht="15.75" customHeight="1">
      <c r="Q252" s="700">
        <v>8.0</v>
      </c>
      <c r="Z252" s="224"/>
    </row>
    <row r="253" ht="15.75" customHeight="1">
      <c r="F253" s="13">
        <v>15.0</v>
      </c>
      <c r="Z253" s="224"/>
    </row>
    <row r="254" ht="15.75" customHeight="1">
      <c r="Z254" s="224"/>
    </row>
    <row r="255" ht="15.75" customHeight="1">
      <c r="Z255" s="224"/>
    </row>
    <row r="256" ht="15.75" customHeight="1">
      <c r="Z256" s="224"/>
    </row>
    <row r="257" ht="15.75" customHeight="1">
      <c r="Z257" s="224"/>
    </row>
    <row r="258" ht="15.75" customHeight="1">
      <c r="Z258" s="224"/>
    </row>
    <row r="259" ht="15.75" customHeight="1">
      <c r="Z259" s="224"/>
    </row>
    <row r="260" ht="15.75" customHeight="1">
      <c r="Z260" s="224"/>
    </row>
    <row r="261" ht="15.75" customHeight="1">
      <c r="Z261" s="224"/>
    </row>
    <row r="262" ht="15.75" customHeight="1">
      <c r="Z262" s="224"/>
    </row>
    <row r="263" ht="15.75" customHeight="1">
      <c r="Z263" s="224"/>
    </row>
    <row r="264" ht="15.75" customHeight="1">
      <c r="Z264" s="224"/>
    </row>
    <row r="265" ht="15.75" customHeight="1">
      <c r="Z265" s="224"/>
    </row>
    <row r="266" ht="15.75" customHeight="1">
      <c r="Z266" s="224"/>
    </row>
    <row r="267" ht="15.75" customHeight="1">
      <c r="Z267" s="224"/>
    </row>
    <row r="268" ht="15.75" customHeight="1">
      <c r="Z268" s="224"/>
    </row>
    <row r="269" ht="15.75" customHeight="1">
      <c r="Z269" s="224"/>
    </row>
    <row r="270" ht="15.75" customHeight="1">
      <c r="Z270" s="224"/>
    </row>
    <row r="271" ht="15.75" customHeight="1">
      <c r="Z271" s="224"/>
    </row>
    <row r="272" ht="15.75" customHeight="1">
      <c r="Z272" s="224"/>
    </row>
    <row r="273" ht="15.75" customHeight="1">
      <c r="Z273" s="224"/>
    </row>
    <row r="274" ht="15.75" customHeight="1">
      <c r="Z274" s="224"/>
    </row>
    <row r="275" ht="15.75" customHeight="1">
      <c r="Z275" s="224"/>
    </row>
    <row r="276" ht="15.75" customHeight="1">
      <c r="Z276" s="224"/>
    </row>
    <row r="277" ht="15.75" customHeight="1">
      <c r="Z277" s="224"/>
    </row>
    <row r="278" ht="15.75" customHeight="1">
      <c r="Z278" s="224"/>
    </row>
    <row r="279" ht="15.75" customHeight="1">
      <c r="Z279" s="224"/>
    </row>
    <row r="280" ht="15.75" customHeight="1">
      <c r="Z280" s="224"/>
    </row>
    <row r="281" ht="15.75" customHeight="1">
      <c r="Z281" s="224"/>
    </row>
    <row r="282" ht="15.75" customHeight="1">
      <c r="Z282" s="224"/>
    </row>
    <row r="283" ht="15.75" customHeight="1">
      <c r="Z283" s="224"/>
    </row>
    <row r="284" ht="15.75" customHeight="1">
      <c r="Z284" s="224"/>
    </row>
    <row r="285" ht="15.75" customHeight="1">
      <c r="Z285" s="224"/>
    </row>
    <row r="286" ht="15.75" customHeight="1">
      <c r="Z286" s="224"/>
    </row>
    <row r="287" ht="15.75" customHeight="1">
      <c r="Z287" s="224"/>
    </row>
    <row r="288" ht="15.75" customHeight="1">
      <c r="Z288" s="224"/>
    </row>
    <row r="289" ht="15.75" customHeight="1">
      <c r="Z289" s="224"/>
    </row>
    <row r="290" ht="15.75" customHeight="1">
      <c r="Z290" s="224"/>
    </row>
    <row r="291" ht="15.75" customHeight="1">
      <c r="Z291" s="224"/>
    </row>
    <row r="292" ht="15.75" customHeight="1">
      <c r="Z292" s="224"/>
    </row>
    <row r="293" ht="15.75" customHeight="1">
      <c r="Z293" s="224"/>
    </row>
    <row r="294" ht="15.75" customHeight="1">
      <c r="Z294" s="224"/>
    </row>
    <row r="295" ht="15.75" customHeight="1">
      <c r="Z295" s="224"/>
    </row>
    <row r="296" ht="15.75" customHeight="1">
      <c r="Z296" s="224"/>
    </row>
    <row r="297" ht="15.75" customHeight="1">
      <c r="Z297" s="224"/>
    </row>
    <row r="298" ht="15.75" customHeight="1">
      <c r="Z298" s="224"/>
    </row>
    <row r="299" ht="15.75" customHeight="1">
      <c r="Z299" s="224"/>
    </row>
    <row r="300" ht="15.75" customHeight="1">
      <c r="Z300" s="224"/>
    </row>
    <row r="301" ht="15.75" customHeight="1">
      <c r="Z301" s="224"/>
    </row>
    <row r="302" ht="15.75" customHeight="1">
      <c r="Z302" s="224"/>
    </row>
    <row r="303" ht="15.75" customHeight="1">
      <c r="Z303" s="224"/>
    </row>
    <row r="304" ht="15.75" customHeight="1">
      <c r="Z304" s="224"/>
    </row>
    <row r="305" ht="15.75" customHeight="1">
      <c r="Z305" s="224"/>
    </row>
    <row r="306" ht="15.75" customHeight="1">
      <c r="Z306" s="224"/>
    </row>
    <row r="307" ht="15.75" customHeight="1">
      <c r="Z307" s="224"/>
    </row>
    <row r="308" ht="15.75" customHeight="1">
      <c r="Z308" s="224"/>
    </row>
    <row r="309" ht="15.75" customHeight="1">
      <c r="Z309" s="224"/>
    </row>
    <row r="310" ht="15.75" customHeight="1">
      <c r="Z310" s="224"/>
    </row>
    <row r="311" ht="15.75" customHeight="1">
      <c r="Z311" s="224"/>
    </row>
    <row r="312" ht="15.75" customHeight="1">
      <c r="Z312" s="224"/>
    </row>
    <row r="313" ht="15.75" customHeight="1">
      <c r="Z313" s="224"/>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c r="AK541" s="13" t="str">
        <f>'BACKEND 2'!BF2</f>
        <v>SAVAGES</v>
      </c>
      <c r="AM541" s="13" t="str">
        <f>'BACKEND 2'!BG2</f>
        <v>CHAMPS</v>
      </c>
      <c r="AO541" s="13" t="str">
        <f>'BACKEND 2'!BH2</f>
        <v>CHAMPS</v>
      </c>
      <c r="AQ541" s="13" t="str">
        <f>'BACKEND 2'!BI2</f>
        <v>CHAMPS</v>
      </c>
      <c r="AU541" s="13" t="str">
        <f>'BACKEND 2'!BJ2</f>
        <v>CHAMPS</v>
      </c>
      <c r="AW541" s="13" t="str">
        <f>'BACKEND 2'!BK2</f>
        <v>CHAMPS</v>
      </c>
      <c r="AY541" s="13" t="str">
        <f>'BACKEND 2'!BL2</f>
        <v>CHAMPS</v>
      </c>
      <c r="BA541" s="13" t="str">
        <f>'BACKEND 2'!BM2</f>
        <v>CHAMPS</v>
      </c>
    </row>
    <row r="542" ht="15.75" customHeight="1">
      <c r="AK542" s="13">
        <f>'BACKEND 2'!BF3</f>
        <v>27.2</v>
      </c>
      <c r="AM542" s="13">
        <f>'BACKEND 2'!BG3</f>
        <v>38.82</v>
      </c>
      <c r="AO542" s="13">
        <f>'BACKEND 2'!BH3</f>
        <v>25.88</v>
      </c>
      <c r="AQ542" s="13">
        <f>'BACKEND 2'!BI3</f>
        <v>54.64</v>
      </c>
      <c r="AU542" s="13">
        <f>'BACKEND 2'!BJ3</f>
        <v>33.9</v>
      </c>
      <c r="AW542" s="13">
        <f>'BACKEND 2'!BK3</f>
        <v>32.5</v>
      </c>
      <c r="AY542" s="13">
        <f>'BACKEND 2'!BL3</f>
        <v>33.8</v>
      </c>
      <c r="BA542" s="13">
        <f>'BACKEND 2'!BM3</f>
        <v>29.05</v>
      </c>
    </row>
    <row r="543" ht="15.75" customHeight="1">
      <c r="AK543" s="13" t="str">
        <f>'BACKEND 2'!BF4</f>
        <v>T. HIGGINS</v>
      </c>
      <c r="AM543" s="13" t="str">
        <f>'BACKEND 2'!BG4</f>
        <v>J. HERBERT</v>
      </c>
      <c r="AO543" s="13" t="str">
        <f>'BACKEND 2'!BH4</f>
        <v>J. HERBERT</v>
      </c>
      <c r="AQ543" s="13" t="str">
        <f>'BACKEND 2'!BI4</f>
        <v>MIN D/ST</v>
      </c>
      <c r="AU543" s="13" t="str">
        <f>'BACKEND 2'!BJ4</f>
        <v>J. JACOBS</v>
      </c>
      <c r="AW543" s="13" t="str">
        <f>'BACKEND 2'!BK4</f>
        <v>K. WILLIAMS</v>
      </c>
      <c r="AY543" s="13" t="str">
        <f>'BACKEND 2'!BL4</f>
        <v>J. JACOBS</v>
      </c>
      <c r="BA543" s="13" t="str">
        <f>'BACKEND 2'!BM4</f>
        <v>CAR D/ST</v>
      </c>
    </row>
    <row r="544" ht="15.75" customHeight="1">
      <c r="AK544" s="13" t="str">
        <f>'BACKEND 2'!BF5</f>
        <v>WEEK 14</v>
      </c>
      <c r="AM544" s="13" t="str">
        <f>'BACKEND 2'!BG5</f>
        <v>WEEK 1</v>
      </c>
      <c r="AO544" s="13" t="str">
        <f>'BACKEND 2'!BH5</f>
        <v>WEEK 2</v>
      </c>
      <c r="AQ544" s="13" t="str">
        <f>'BACKEND 2'!BI5</f>
        <v>WEEK 3</v>
      </c>
      <c r="AU544" s="13" t="str">
        <f>'BACKEND 2'!BJ5</f>
        <v>WEEK 4</v>
      </c>
      <c r="AW544" s="13" t="str">
        <f>'BACKEND 2'!BK5</f>
        <v>WEEK 5</v>
      </c>
      <c r="AY544" s="13" t="str">
        <f>'BACKEND 2'!BL5</f>
        <v>WEEK 6</v>
      </c>
      <c r="BA544" s="13" t="str">
        <f>'BACKEND 2'!BM5</f>
        <v>WEEK 7</v>
      </c>
    </row>
    <row r="545" ht="15.75" customHeight="1"/>
    <row r="546" ht="15.75" customHeight="1"/>
    <row r="547" ht="15.75" customHeight="1"/>
    <row r="548" ht="15.75" customHeight="1"/>
    <row r="549" ht="15.75" customHeight="1"/>
    <row r="550" ht="15.75" customHeight="1"/>
    <row r="551" ht="15.75" customHeight="1"/>
    <row r="552" ht="15.75" customHeight="1"/>
    <row r="553" ht="15.75" customHeight="1">
      <c r="BF553" s="13" t="str">
        <f>'BACKEND 2'!BO2</f>
        <v>CHAMPS</v>
      </c>
      <c r="BG553" s="13" t="str">
        <f>'BACKEND 2'!BP2</f>
        <v>CHAMPS</v>
      </c>
      <c r="BH553" s="13" t="str">
        <f>'BACKEND 2'!BQ2</f>
        <v>CHAMPS</v>
      </c>
      <c r="BI553" s="13" t="str">
        <f>'BACKEND 2'!BR2</f>
        <v>CHAMPS</v>
      </c>
      <c r="BJ553" s="13" t="str">
        <f>'BACKEND 2'!BS2</f>
        <v>CHAMPS</v>
      </c>
      <c r="BK553" s="13" t="str">
        <f>'BACKEND 2'!BT2</f>
        <v>CHAMPS</v>
      </c>
      <c r="BL553" s="13" t="str">
        <f>'BACKEND 2'!BU2</f>
        <v>METAMOOKDAWGS</v>
      </c>
      <c r="BM553" s="13" t="str">
        <f>'BACKEND 2'!BV2</f>
        <v>METAMOOKDAWGS</v>
      </c>
      <c r="BN553" s="13" t="str">
        <f>'BACKEND 2'!BW2</f>
        <v>METAMOOKDAWGS</v>
      </c>
      <c r="BO553" s="13" t="str">
        <f>'BACKEND 2'!BX2</f>
        <v>METAMOOKDAWGS</v>
      </c>
      <c r="BP553" s="13" t="str">
        <f>'BACKEND 2'!BY2</f>
        <v>METAMOOKDAWGS</v>
      </c>
      <c r="BQ553" s="13" t="str">
        <f>'BACKEND 2'!BZ2</f>
        <v>METAMOOKDAWGS</v>
      </c>
      <c r="BR553" s="13" t="str">
        <f>'BACKEND 2'!CA2</f>
        <v>METAMOOKDAWGS</v>
      </c>
      <c r="BS553" s="13" t="str">
        <f>'BACKEND 2'!CB2</f>
        <v>METAMOOKDAWGS</v>
      </c>
      <c r="BT553" s="13" t="str">
        <f>'BACKEND 2'!CC2</f>
        <v>METAMOOKDAWGS</v>
      </c>
      <c r="BU553" s="13" t="str">
        <f>'BACKEND 2'!CD2</f>
        <v>METAMOOKDAWGS</v>
      </c>
    </row>
    <row r="554" ht="15.75" customHeight="1">
      <c r="AJ554" s="13" t="str">
        <f>'BACKEND 2'!BE2</f>
        <v>SAVAGES</v>
      </c>
      <c r="BE554" s="13" t="str">
        <f>'BACKEND 2'!BN2</f>
        <v>CHAMPS</v>
      </c>
      <c r="BF554" s="13">
        <f>'BACKEND 2'!BO3</f>
        <v>33.6</v>
      </c>
      <c r="BG554" s="13">
        <f>'BACKEND 2'!BP3</f>
        <v>23.8</v>
      </c>
      <c r="BH554" s="13">
        <f>'BACKEND 2'!BQ3</f>
        <v>25.1</v>
      </c>
      <c r="BI554" s="13">
        <f>'BACKEND 2'!BR3</f>
        <v>23.35</v>
      </c>
      <c r="BJ554" s="13">
        <f>'BACKEND 2'!BS3</f>
        <v>35.46</v>
      </c>
      <c r="BK554" s="13">
        <f>'BACKEND 2'!BT3</f>
        <v>26.36</v>
      </c>
      <c r="BL554" s="13">
        <f>'BACKEND 2'!BU3</f>
        <v>28.68</v>
      </c>
      <c r="BM554" s="13">
        <f>'BACKEND 2'!BV3</f>
        <v>30.05</v>
      </c>
      <c r="BN554" s="13">
        <f>'BACKEND 2'!BW3</f>
        <v>37.94</v>
      </c>
      <c r="BO554" s="13">
        <f>'BACKEND 2'!BX3</f>
        <v>29.7</v>
      </c>
      <c r="BP554" s="13">
        <f>'BACKEND 2'!BY3</f>
        <v>28.2</v>
      </c>
      <c r="BQ554" s="13">
        <f>'BACKEND 2'!BZ3</f>
        <v>31.2</v>
      </c>
      <c r="BR554" s="13">
        <f>'BACKEND 2'!CA3</f>
        <v>34.44</v>
      </c>
      <c r="BS554" s="13">
        <f>'BACKEND 2'!CB3</f>
        <v>35.8</v>
      </c>
      <c r="BT554" s="13">
        <f>'BACKEND 2'!CC3</f>
        <v>23.1</v>
      </c>
      <c r="BU554" s="13">
        <f>'BACKEND 2'!CD3</f>
        <v>30.35</v>
      </c>
      <c r="BV554" s="13" t="str">
        <f>'BACKEND 2'!CE2</f>
        <v>METAMOOKDAWGS</v>
      </c>
      <c r="BW554" s="13" t="str">
        <f>'BACKEND 2'!CF2</f>
        <v>METAMOOKDAWGS</v>
      </c>
      <c r="BX554" s="13" t="str">
        <f>'BACKEND 2'!CG2</f>
        <v>METAMOOKDAWGS</v>
      </c>
      <c r="BY554" s="13" t="str">
        <f>'BACKEND 2'!CH2</f>
        <v>METAMOOKDAWGS</v>
      </c>
      <c r="BZ554" s="13" t="str">
        <f>'BACKEND 2'!CI2</f>
        <v>YARDIES</v>
      </c>
      <c r="CA554" s="13" t="str">
        <f>'BACKEND 2'!CJ2</f>
        <v>YARDIES</v>
      </c>
      <c r="CB554" s="13" t="str">
        <f>'BACKEND 2'!CK2</f>
        <v>YARDIES</v>
      </c>
      <c r="CC554" s="13" t="str">
        <f>'BACKEND 2'!CL2</f>
        <v>YARDIES</v>
      </c>
      <c r="CD554" s="13" t="str">
        <f>'BACKEND 2'!CM2</f>
        <v>YARDIES</v>
      </c>
      <c r="CE554" s="13" t="str">
        <f>'BACKEND 2'!CN2</f>
        <v>YARDIES</v>
      </c>
      <c r="CF554" s="13" t="str">
        <f>'BACKEND 2'!CO2</f>
        <v>YARDIES</v>
      </c>
      <c r="CG554" s="13" t="str">
        <f>'BACKEND 2'!CP2</f>
        <v>YARDIES</v>
      </c>
      <c r="CH554" s="13" t="str">
        <f>'BACKEND 2'!CQ2</f>
        <v>YARDIES</v>
      </c>
      <c r="CI554" s="13" t="str">
        <f>'BACKEND 2'!CR2</f>
        <v>YARDIES</v>
      </c>
      <c r="CJ554" s="13" t="str">
        <f>'BACKEND 2'!CS2</f>
        <v>YARDIES</v>
      </c>
      <c r="CK554" s="13" t="str">
        <f>'BACKEND 2'!CT2</f>
        <v>YARDIES</v>
      </c>
      <c r="CL554" s="13" t="str">
        <f>'BACKEND 2'!CU2</f>
        <v>YARDIES</v>
      </c>
      <c r="CM554" s="13" t="str">
        <f>'BACKEND 2'!CV2</f>
        <v>YARDIES</v>
      </c>
      <c r="CN554" s="13" t="str">
        <f>'BACKEND 2'!CW2</f>
        <v>MUTTS</v>
      </c>
      <c r="CO554" s="13" t="str">
        <f>'BACKEND 2'!CX2</f>
        <v>MUTTS</v>
      </c>
      <c r="CP554" s="13" t="str">
        <f>'BACKEND 2'!CY2</f>
        <v>MUTTS</v>
      </c>
      <c r="CQ554" s="13" t="str">
        <f>'BACKEND 2'!CZ2</f>
        <v>MUTTS</v>
      </c>
      <c r="CR554" s="13" t="str">
        <f>'BACKEND 2'!DA2</f>
        <v>MUTTS</v>
      </c>
      <c r="CS554" s="13" t="str">
        <f>'BACKEND 2'!DB2</f>
        <v>MUTTS</v>
      </c>
      <c r="CT554" s="13" t="str">
        <f>'BACKEND 2'!DC2</f>
        <v>MUTTS</v>
      </c>
      <c r="CU554" s="13" t="str">
        <f>'BACKEND 2'!DD2</f>
        <v>MUTTS</v>
      </c>
      <c r="CV554" s="13" t="str">
        <f>'BACKEND 2'!DE2</f>
        <v>MUTTS</v>
      </c>
      <c r="CW554" s="13" t="str">
        <f>'BACKEND 2'!DF2</f>
        <v>MUTTS</v>
      </c>
      <c r="CX554" s="13" t="str">
        <f>'BACKEND 2'!DG2</f>
        <v>MUTTS</v>
      </c>
      <c r="CY554" s="13" t="str">
        <f>'BACKEND 2'!DH2</f>
        <v>MUTTS</v>
      </c>
      <c r="CZ554" s="13" t="str">
        <f>'BACKEND 2'!DI2</f>
        <v>MUTTS</v>
      </c>
      <c r="DA554" s="13" t="str">
        <f>'BACKEND 2'!DJ2</f>
        <v>MUTTS</v>
      </c>
    </row>
    <row r="555" ht="15.75" customHeight="1">
      <c r="AJ555" s="13">
        <f>'BACKEND 2'!BE3</f>
        <v>27.54</v>
      </c>
      <c r="BE555" s="13">
        <f>'BACKEND 2'!BN3</f>
        <v>33.38</v>
      </c>
      <c r="BF555" s="13" t="str">
        <f>'BACKEND 2'!BO4</f>
        <v>J. HERBERT</v>
      </c>
      <c r="BG555" s="13" t="str">
        <f>'BACKEND 2'!BP4</f>
        <v>K. WILLIAMS</v>
      </c>
      <c r="BH555" s="13" t="str">
        <f>'BACKEND 2'!BQ4</f>
        <v>G. DORTCH</v>
      </c>
      <c r="BI555" s="13" t="str">
        <f>'BACKEND 2'!BR4</f>
        <v>G. DORTCH</v>
      </c>
      <c r="BJ555" s="13" t="str">
        <f>'BACKEND 2'!BS4</f>
        <v>J. LOVE</v>
      </c>
      <c r="BK555" s="13" t="str">
        <f>'BACKEND 2'!BT4</f>
        <v>J. LOVE</v>
      </c>
      <c r="BL555" s="13" t="str">
        <f>'BACKEND 2'!BU4</f>
        <v>J. HURTS</v>
      </c>
      <c r="BM555" s="13" t="str">
        <f>'BACKEND 2'!BV4</f>
        <v>SEA D/ST</v>
      </c>
      <c r="BN555" s="13" t="str">
        <f>'BACKEND 2'!BW4</f>
        <v>J. HURTS</v>
      </c>
      <c r="BO555" s="13" t="str">
        <f>'BACKEND 2'!BX4</f>
        <v>O. HAMPTON</v>
      </c>
      <c r="BP555" s="13" t="str">
        <f>'BACKEND 2'!BY4</f>
        <v>J. SMITH-NJIGBA</v>
      </c>
      <c r="BQ555" s="13" t="str">
        <f>'BACKEND 2'!BZ4</f>
        <v>J. SMITH-NJIGBA</v>
      </c>
      <c r="BR555" s="13" t="str">
        <f>'BACKEND 2'!CA4</f>
        <v>J. HURTS</v>
      </c>
      <c r="BS555" s="13" t="str">
        <f>'BACKEND 2'!CB4</f>
        <v>S. BARKLEY</v>
      </c>
      <c r="BT555" s="13" t="str">
        <f>'BACKEND 2'!CC4</f>
        <v>J. SMITH-NJIGBA</v>
      </c>
      <c r="BU555" s="13" t="str">
        <f>'BACKEND 2'!CD4</f>
        <v>SEA D/ST</v>
      </c>
      <c r="BV555" s="13">
        <f>'BACKEND 2'!CE3</f>
        <v>24.2</v>
      </c>
      <c r="BW555" s="13">
        <f>'BACKEND 2'!CF3</f>
        <v>38.2</v>
      </c>
      <c r="BX555" s="13">
        <f>'BACKEND 2'!CG3</f>
        <v>22.5</v>
      </c>
      <c r="BY555" s="13">
        <f>'BACKEND 2'!CH3</f>
        <v>32.4</v>
      </c>
      <c r="BZ555" s="13">
        <f>'BACKEND 2'!CI3</f>
        <v>32</v>
      </c>
      <c r="CA555" s="13">
        <f>'BACKEND 2'!CJ3</f>
        <v>32.8</v>
      </c>
      <c r="CB555" s="13">
        <f>'BACKEND 2'!CK3</f>
        <v>15.2</v>
      </c>
      <c r="CC555" s="13">
        <f>'BACKEND 2'!CL3</f>
        <v>37.38</v>
      </c>
      <c r="CD555" s="13">
        <f>'BACKEND 2'!CM3</f>
        <v>40.66</v>
      </c>
      <c r="CE555" s="13">
        <f>'BACKEND 2'!CN3</f>
        <v>37.9</v>
      </c>
      <c r="CF555" s="13">
        <f>'BACKEND 2'!CO3</f>
        <v>28.9</v>
      </c>
      <c r="CG555" s="13">
        <f>'BACKEND 2'!CP3</f>
        <v>39.6</v>
      </c>
      <c r="CH555" s="13">
        <f>'BACKEND 2'!CQ3</f>
        <v>44.4</v>
      </c>
      <c r="CI555" s="13">
        <f>'BACKEND 2'!CR3</f>
        <v>28.7</v>
      </c>
      <c r="CJ555" s="13">
        <f>'BACKEND 2'!CS3</f>
        <v>23</v>
      </c>
      <c r="CK555" s="13">
        <f>'BACKEND 2'!CT3</f>
        <v>30.8</v>
      </c>
      <c r="CL555" s="13">
        <f>'BACKEND 2'!CU3</f>
        <v>23.94</v>
      </c>
      <c r="CM555" s="13">
        <f>'BACKEND 2'!CV3</f>
        <v>32.56</v>
      </c>
      <c r="CN555" s="13">
        <f>'BACKEND 2'!CW3</f>
        <v>35.76</v>
      </c>
      <c r="CO555" s="13">
        <f>'BACKEND 2'!CX3</f>
        <v>40.4</v>
      </c>
      <c r="CP555" s="13">
        <f>'BACKEND 2'!CY3</f>
        <v>36.72</v>
      </c>
      <c r="CQ555" s="13">
        <f>'BACKEND 2'!CZ3</f>
        <v>26</v>
      </c>
      <c r="CR555" s="13">
        <f>'BACKEND 2'!DA3</f>
        <v>23.9</v>
      </c>
      <c r="CS555" s="13">
        <f>'BACKEND 2'!DB3</f>
        <v>32.9</v>
      </c>
      <c r="CT555" s="13">
        <f>'BACKEND 2'!DC3</f>
        <v>26.8</v>
      </c>
      <c r="CU555" s="13">
        <f>'BACKEND 2'!DD3</f>
        <v>37.86</v>
      </c>
      <c r="CV555" s="13">
        <f>'BACKEND 2'!DE3</f>
        <v>36.66</v>
      </c>
      <c r="CW555" s="13">
        <f>'BACKEND 2'!DF3</f>
        <v>27.2</v>
      </c>
      <c r="CX555" s="13">
        <f>'BACKEND 2'!DG3</f>
        <v>22</v>
      </c>
      <c r="CY555" s="13">
        <f>'BACKEND 2'!DH3</f>
        <v>30.9</v>
      </c>
      <c r="CZ555" s="13">
        <f>'BACKEND 2'!DI3</f>
        <v>24.84</v>
      </c>
      <c r="DA555" s="13">
        <f>'BACKEND 2'!DJ3</f>
        <v>29</v>
      </c>
    </row>
    <row r="556" ht="15.75" customHeight="1">
      <c r="AJ556" s="13" t="str">
        <f>'BACKEND 2'!BE4</f>
        <v>J. GOFF</v>
      </c>
      <c r="BE556" s="13" t="str">
        <f>'BACKEND 2'!BN4</f>
        <v>J. HERBERT</v>
      </c>
      <c r="BF556" s="13" t="str">
        <f>'BACKEND 2'!BO5</f>
        <v>WEEK 9</v>
      </c>
      <c r="BG556" s="13" t="str">
        <f>'BACKEND 2'!BP5</f>
        <v>WEEK 10</v>
      </c>
      <c r="BH556" s="13" t="str">
        <f>'BACKEND 2'!BQ5</f>
        <v>WEEK 11</v>
      </c>
      <c r="BI556" s="13" t="str">
        <f>'BACKEND 2'!BR5</f>
        <v>WEEK 12</v>
      </c>
      <c r="BJ556" s="13" t="str">
        <f>'BACKEND 2'!BS5</f>
        <v>WEEK 13</v>
      </c>
      <c r="BK556" s="13" t="str">
        <f>'BACKEND 2'!BT5</f>
        <v>WEEK 14</v>
      </c>
      <c r="BL556" s="13" t="str">
        <f>'BACKEND 2'!BU5</f>
        <v>WEEK 1</v>
      </c>
      <c r="BM556" s="13" t="str">
        <f>'BACKEND 2'!BV5</f>
        <v>WEEK 2</v>
      </c>
      <c r="BN556" s="13" t="str">
        <f>'BACKEND 2'!BW5</f>
        <v>WEEK 3</v>
      </c>
      <c r="BO556" s="13" t="str">
        <f>'BACKEND 2'!BX5</f>
        <v>WEEK 4</v>
      </c>
      <c r="BP556" s="13" t="str">
        <f>'BACKEND 2'!BY5</f>
        <v>WEEK 5</v>
      </c>
      <c r="BQ556" s="13" t="str">
        <f>'BACKEND 2'!BZ5</f>
        <v>WEEK 6</v>
      </c>
      <c r="BR556" s="13" t="str">
        <f>'BACKEND 2'!CA5</f>
        <v>WEEK 7</v>
      </c>
      <c r="BS556" s="13" t="str">
        <f>'BACKEND 2'!CB5</f>
        <v>WEEK 8</v>
      </c>
      <c r="BT556" s="13" t="str">
        <f>'BACKEND 2'!CC5</f>
        <v>WEEK 9</v>
      </c>
      <c r="BU556" s="13" t="str">
        <f>'BACKEND 2'!CD5</f>
        <v>WEEK 10</v>
      </c>
      <c r="BV556" s="13" t="str">
        <f>'BACKEND 2'!CE4</f>
        <v>N. COLLINS</v>
      </c>
      <c r="BW556" s="13" t="str">
        <f>'BACKEND 2'!CF4</f>
        <v>J. SMITH-NJIGBA</v>
      </c>
      <c r="BX556" s="13" t="str">
        <f>'BACKEND 2'!CG4</f>
        <v>R. HARVEY</v>
      </c>
      <c r="BY556" s="13" t="str">
        <f>'BACKEND 2'!CH4</f>
        <v>SEA D/ST</v>
      </c>
      <c r="BZ556" s="13" t="str">
        <f>'BACKEND 2'!CI4</f>
        <v>D. HENRY</v>
      </c>
      <c r="CA556" s="13" t="str">
        <f>'BACKEND 2'!CJ4</f>
        <v>R. ODUNZE</v>
      </c>
      <c r="CB556" s="13" t="str">
        <f>'BACKEND 2'!CK4</f>
        <v>R. ODUNZE</v>
      </c>
      <c r="CC556" s="13" t="str">
        <f>'BACKEND 2'!CL4</f>
        <v>J. LOVE</v>
      </c>
      <c r="CD556" s="13" t="str">
        <f>'BACKEND 2'!CM4</f>
        <v>C. STROUD</v>
      </c>
      <c r="CE556" s="13" t="str">
        <f>'BACKEND 2'!CN4</f>
        <v>R. DOWDLE</v>
      </c>
      <c r="CF556" s="13" t="str">
        <f>'BACKEND 2'!CO4</f>
        <v>Q. JUDKINS</v>
      </c>
      <c r="CG556" s="13" t="str">
        <f>'BACKEND 2'!CP4</f>
        <v>J. LOVE</v>
      </c>
      <c r="CH556" s="13" t="str">
        <f>'BACKEND 2'!CQ4</f>
        <v>B. BOWERS</v>
      </c>
      <c r="CI556" s="13" t="str">
        <f>'BACKEND 2'!CR4</f>
        <v>C. WILLIAMS</v>
      </c>
      <c r="CJ556" s="13" t="str">
        <f>'BACKEND 2'!CS4</f>
        <v>D. HENRY</v>
      </c>
      <c r="CK556" s="13" t="str">
        <f>'BACKEND 2'!CT4</f>
        <v>C. DIKE</v>
      </c>
      <c r="CL556" s="13" t="str">
        <f>'BACKEND 2'!CU4</f>
        <v>J. BURROW</v>
      </c>
      <c r="CM556" s="13" t="str">
        <f>'BACKEND 2'!CV4</f>
        <v>J. BURROW</v>
      </c>
      <c r="CN556" s="13" t="str">
        <f>'BACKEND 2'!CW4</f>
        <v>L. JACKSON</v>
      </c>
      <c r="CO556" s="13" t="str">
        <f>'BACKEND 2'!CX4</f>
        <v>A. ST. BROWN</v>
      </c>
      <c r="CP556" s="13" t="str">
        <f>'BACKEND 2'!CY4</f>
        <v>L. JACKSON</v>
      </c>
      <c r="CQ556" s="13" t="str">
        <f>'BACKEND 2'!CZ4</f>
        <v>A. ST. BROWN</v>
      </c>
      <c r="CR556" s="13" t="str">
        <f>'BACKEND 2'!DA4</f>
        <v>J. FERGUSON</v>
      </c>
      <c r="CS556" s="13" t="str">
        <f>'BACKEND 2'!DB4</f>
        <v>C. SKATTEBO</v>
      </c>
      <c r="CT556" s="13" t="str">
        <f>'BACKEND 2'!DC4</f>
        <v>C. OLAVE</v>
      </c>
      <c r="CU556" s="13" t="str">
        <f>'BACKEND 2'!DD4</f>
        <v>B. HALL</v>
      </c>
      <c r="CV556" s="13" t="str">
        <f>'BACKEND 2'!DE4</f>
        <v>L. JACKSON</v>
      </c>
      <c r="CW556" s="13" t="str">
        <f>'BACKEND 2'!DF4</f>
        <v>LAC D/ST</v>
      </c>
      <c r="CX556" s="13" t="str">
        <f>'BACKEND 2'!DG4</f>
        <v>J. COOK</v>
      </c>
      <c r="CY556" s="13" t="str">
        <f>'BACKEND 2'!DH4</f>
        <v>A. ST. BROWN</v>
      </c>
      <c r="CZ556" s="13" t="str">
        <f>'BACKEND 2'!DI4</f>
        <v>LAC D/ST</v>
      </c>
      <c r="DA556" s="13" t="str">
        <f>'BACKEND 2'!DJ4</f>
        <v>B. AUBREY</v>
      </c>
    </row>
    <row r="557" ht="15.75" customHeight="1">
      <c r="AJ557" s="13" t="str">
        <f>'BACKEND 2'!BE5</f>
        <v>WEEK 13</v>
      </c>
      <c r="BE557" s="13" t="str">
        <f>'BACKEND 2'!BN5</f>
        <v>WEEK 8</v>
      </c>
      <c r="BV557" s="13" t="str">
        <f>'BACKEND 2'!CE5</f>
        <v>WEEK 11</v>
      </c>
      <c r="BW557" s="13" t="str">
        <f>'BACKEND 2'!CF5</f>
        <v>WEEK 12</v>
      </c>
      <c r="BX557" s="13" t="str">
        <f>'BACKEND 2'!CG5</f>
        <v>WEEK 13</v>
      </c>
      <c r="BY557" s="13" t="str">
        <f>'BACKEND 2'!CH5</f>
        <v>WEEK 14</v>
      </c>
      <c r="BZ557" s="13" t="str">
        <f>'BACKEND 2'!CI5</f>
        <v>WEEK 1</v>
      </c>
      <c r="CA557" s="13" t="str">
        <f>'BACKEND 2'!CJ5</f>
        <v>WEEK 2</v>
      </c>
      <c r="CB557" s="13" t="str">
        <f>'BACKEND 2'!CK5</f>
        <v>WEEK 3</v>
      </c>
      <c r="CC557" s="13" t="str">
        <f>'BACKEND 2'!CL5</f>
        <v>WEEK 4</v>
      </c>
      <c r="CD557" s="13" t="str">
        <f>'BACKEND 2'!CM5</f>
        <v>WEEK 5</v>
      </c>
      <c r="CE557" s="13" t="str">
        <f>'BACKEND 2'!CN5</f>
        <v>WEEK 6</v>
      </c>
      <c r="CF557" s="13" t="str">
        <f>'BACKEND 2'!CO5</f>
        <v>WEEK 7</v>
      </c>
      <c r="CG557" s="13" t="str">
        <f>'BACKEND 2'!CP5</f>
        <v>WEEK 8</v>
      </c>
      <c r="CH557" s="13" t="str">
        <f>'BACKEND 2'!CQ5</f>
        <v>WEEK 9</v>
      </c>
      <c r="CI557" s="13" t="str">
        <f>'BACKEND 2'!CR5</f>
        <v>WEEK 10</v>
      </c>
      <c r="CJ557" s="13" t="str">
        <f>'BACKEND 2'!CS5</f>
        <v>WEEK 11</v>
      </c>
      <c r="CK557" s="13" t="str">
        <f>'BACKEND 2'!CT5</f>
        <v>WEEK 12</v>
      </c>
      <c r="CL557" s="13" t="str">
        <f>'BACKEND 2'!CU5</f>
        <v>WEEK 13</v>
      </c>
      <c r="CM557" s="13" t="str">
        <f>'BACKEND 2'!CV5</f>
        <v>WEEK 14</v>
      </c>
      <c r="CN557" s="13" t="str">
        <f>'BACKEND 2'!CW5</f>
        <v>WEEK 1</v>
      </c>
      <c r="CO557" s="13" t="str">
        <f>'BACKEND 2'!CX5</f>
        <v>WEEK 2</v>
      </c>
      <c r="CP557" s="13" t="str">
        <f>'BACKEND 2'!CY5</f>
        <v>WEEK 3</v>
      </c>
      <c r="CQ557" s="13" t="str">
        <f>'BACKEND 2'!CZ5</f>
        <v>WEEK 4</v>
      </c>
      <c r="CR557" s="13" t="str">
        <f>'BACKEND 2'!DA5</f>
        <v>WEEK 5</v>
      </c>
      <c r="CS557" s="13" t="str">
        <f>'BACKEND 2'!DB5</f>
        <v>WEEK 6</v>
      </c>
      <c r="CT557" s="13" t="str">
        <f>'BACKEND 2'!DC5</f>
        <v>WEEK 7</v>
      </c>
      <c r="CU557" s="13" t="str">
        <f>'BACKEND 2'!DD5</f>
        <v>WEEK 8</v>
      </c>
      <c r="CV557" s="13" t="str">
        <f>'BACKEND 2'!DE5</f>
        <v>WEEK 9</v>
      </c>
      <c r="CW557" s="13" t="str">
        <f>'BACKEND 2'!DF5</f>
        <v>WEEK 10</v>
      </c>
      <c r="CX557" s="13" t="str">
        <f>'BACKEND 2'!DG5</f>
        <v>WEEK 11</v>
      </c>
      <c r="CY557" s="13" t="str">
        <f>'BACKEND 2'!DH5</f>
        <v>WEEK 12</v>
      </c>
      <c r="CZ557" s="13" t="str">
        <f>'BACKEND 2'!DI5</f>
        <v>WEEK 13</v>
      </c>
      <c r="DA557" s="13" t="str">
        <f>'BACKEND 2'!DJ5</f>
        <v>WEEK 14</v>
      </c>
    </row>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c r="A579" s="13" t="str">
        <f>'BACKEND 2'!B2</f>
        <v>TEAM</v>
      </c>
      <c r="B579" s="13" t="str">
        <f>'BACKEND 2'!A9</f>
        <v>DECOUPES</v>
      </c>
      <c r="C579" s="13" t="str">
        <f>'BACKEND 2'!D2</f>
        <v>DECOUPES</v>
      </c>
      <c r="D579" s="13" t="str">
        <f>'BACKEND 2'!E2</f>
        <v>DECOUPES</v>
      </c>
      <c r="E579" s="13" t="str">
        <f>'BACKEND 2'!F2</f>
        <v>DECOUPES</v>
      </c>
      <c r="F579" s="13" t="str">
        <f>'BACKEND 2'!G2</f>
        <v>DECOUPES</v>
      </c>
      <c r="G579" s="13" t="str">
        <f>'BACKEND 2'!H2</f>
        <v>DECOUPES</v>
      </c>
      <c r="H579" s="13" t="str">
        <f>'BACKEND 2'!I2</f>
        <v>DECOUPES</v>
      </c>
      <c r="I579" s="13" t="str">
        <f>'BACKEND 2'!J2</f>
        <v>DECOUPES</v>
      </c>
      <c r="J579" s="13" t="str">
        <f>'BACKEND 2'!K2</f>
        <v>DECOUPES</v>
      </c>
      <c r="K579" s="13" t="str">
        <f>'BACKEND 2'!L2</f>
        <v>DECOUPES</v>
      </c>
      <c r="L579" s="13" t="str">
        <f>'BACKEND 2'!AG2</f>
        <v>GREEN</v>
      </c>
      <c r="M579" s="13" t="str">
        <f>'BACKEND 2'!AH2</f>
        <v>GREEN</v>
      </c>
      <c r="N579" s="13" t="str">
        <f>'BACKEND 2'!AI2</f>
        <v>GREEN</v>
      </c>
      <c r="O579" s="13" t="str">
        <f>'BACKEND 2'!AJ2</f>
        <v>GREEN</v>
      </c>
      <c r="P579" s="13" t="str">
        <f>'BACKEND 2'!AK2</f>
        <v>GREEN</v>
      </c>
    </row>
    <row r="580" ht="15.75" customHeight="1">
      <c r="A580" s="13" t="str">
        <f>'BACKEND 2'!B3</f>
        <v>SCORE</v>
      </c>
      <c r="B580" s="230">
        <f>'BACKEND 2'!C3</f>
        <v>24.82</v>
      </c>
      <c r="C580" s="13">
        <f>'BACKEND 2'!D3</f>
        <v>25.6</v>
      </c>
      <c r="D580" s="13">
        <f>'BACKEND 2'!E3</f>
        <v>20.42</v>
      </c>
      <c r="E580" s="13">
        <f>'BACKEND 2'!F3</f>
        <v>32.44</v>
      </c>
      <c r="F580" s="13">
        <f>'BACKEND 2'!G3</f>
        <v>34.22</v>
      </c>
      <c r="G580" s="13">
        <f>'BACKEND 2'!H3</f>
        <v>31.74</v>
      </c>
      <c r="H580" s="13">
        <f>'BACKEND 2'!I3</f>
        <v>39.5</v>
      </c>
      <c r="I580" s="13">
        <f>'BACKEND 2'!J3</f>
        <v>34.3</v>
      </c>
      <c r="J580" s="13">
        <f>'BACKEND 2'!K3</f>
        <v>18.8</v>
      </c>
      <c r="K580" s="13">
        <f>'BACKEND 2'!L3</f>
        <v>40.7</v>
      </c>
      <c r="L580" s="13">
        <f>'BACKEND 2'!AG3</f>
        <v>35.5</v>
      </c>
      <c r="M580" s="13">
        <f>'BACKEND 2'!AH3</f>
        <v>33.74</v>
      </c>
      <c r="N580" s="13">
        <f>'BACKEND 2'!AI3</f>
        <v>33.3</v>
      </c>
      <c r="O580" s="13">
        <f>'BACKEND 2'!AJ3</f>
        <v>38.7</v>
      </c>
      <c r="P580" s="13">
        <f>'BACKEND 2'!AK3</f>
        <v>45.26</v>
      </c>
      <c r="Q580" s="13" t="str">
        <f>'BACKEND 2'!AL2</f>
        <v>GREEN</v>
      </c>
      <c r="R580" s="13" t="str">
        <f>'BACKEND 2'!AM2</f>
        <v>GREEN</v>
      </c>
      <c r="S580" s="13" t="str">
        <f>'BACKEND 2'!AN2</f>
        <v>GREEN</v>
      </c>
      <c r="T580" s="13" t="str">
        <f>'BACKEND 2'!AO2</f>
        <v>GREEN</v>
      </c>
      <c r="U580" s="13" t="str">
        <f>'BACKEND 2'!AP2</f>
        <v>GREEN</v>
      </c>
      <c r="V580" s="13" t="str">
        <f>'BACKEND 2'!AQ2</f>
        <v>GREEN</v>
      </c>
      <c r="W580" s="13" t="str">
        <f>'BACKEND 2'!AR2</f>
        <v>GREEN</v>
      </c>
      <c r="X580" s="13" t="str">
        <f>'BACKEND 2'!A555</f>
        <v>SAVAGES</v>
      </c>
      <c r="Y580" s="13" t="str">
        <f>'BACKEND 2'!AT2</f>
        <v>SAVAGES</v>
      </c>
      <c r="Z580" s="13" t="str">
        <f>'BACKEND 2'!AU2</f>
        <v>SAVAGES</v>
      </c>
      <c r="AA580" s="13" t="str">
        <f>'BACKEND 2'!AV2</f>
        <v>SAVAGES</v>
      </c>
      <c r="AB580" s="13" t="str">
        <f>'BACKEND 2'!AW2</f>
        <v>SAVAGES</v>
      </c>
      <c r="AC580" s="13" t="str">
        <f>'BACKEND 2'!AX2</f>
        <v>SAVAGES</v>
      </c>
      <c r="AD580" s="13" t="str">
        <f>'BACKEND 2'!AY2</f>
        <v>SAVAGES</v>
      </c>
      <c r="AE580" s="13" t="str">
        <f>'BACKEND 2'!AZ2</f>
        <v>SAVAGES</v>
      </c>
      <c r="AF580" s="13" t="str">
        <f>'BACKEND 2'!BA2</f>
        <v>SAVAGES</v>
      </c>
      <c r="AG580" s="13" t="str">
        <f>'BACKEND 2'!BB2</f>
        <v>SAVAGES</v>
      </c>
      <c r="AH580" s="13" t="str">
        <f>'BACKEND 2'!BC2</f>
        <v>SAVAGES</v>
      </c>
      <c r="AI580" s="13" t="str">
        <f>'BACKEND 2'!BD2</f>
        <v>SAVAGES</v>
      </c>
    </row>
    <row r="581" ht="15.75" customHeight="1">
      <c r="A581" s="13" t="str">
        <f>'BACKEND 2'!B4</f>
        <v>PLAYER NAME</v>
      </c>
      <c r="B581" s="13" t="str">
        <f>'BACKEND 2'!C4</f>
        <v>J. DANIELS</v>
      </c>
      <c r="C581" s="13" t="str">
        <f>'BACKEND 2'!D4</f>
        <v>J. DANIELS</v>
      </c>
      <c r="D581" s="13" t="str">
        <f>'BACKEND 2'!E4</f>
        <v>D. JONES</v>
      </c>
      <c r="E581" s="13" t="str">
        <f>'BACKEND 2'!F4</f>
        <v>J. FIELDS</v>
      </c>
      <c r="F581" s="13" t="str">
        <f>'BACKEND 2'!G4</f>
        <v>J. FIELDS</v>
      </c>
      <c r="G581" s="13" t="str">
        <f>'BACKEND 2'!H4</f>
        <v>D. PRESCOTT</v>
      </c>
      <c r="H581" s="13" t="str">
        <f>'BACKEND 2'!I4</f>
        <v>J. GIBBS</v>
      </c>
      <c r="I581" s="13" t="str">
        <f>'BACKEND 2'!J4</f>
        <v>T. KRAFT</v>
      </c>
      <c r="J581" s="13" t="str">
        <f>'BACKEND 2'!K4</f>
        <v>D. PRESCOTT</v>
      </c>
      <c r="K581" s="13" t="str">
        <f>'BACKEND 2'!L4</f>
        <v>J. GIBBS</v>
      </c>
      <c r="L581" s="13" t="str">
        <f>'BACKEND 2'!AG4</f>
        <v>J. TAYLOR</v>
      </c>
      <c r="M581" s="13" t="str">
        <f>'BACKEND 2'!AH4</f>
        <v>B. NIX</v>
      </c>
      <c r="N581" s="13" t="str">
        <f>'BACKEND 2'!AI4</f>
        <v>J. TAYLOR</v>
      </c>
      <c r="O581" s="13" t="str">
        <f>'BACKEND 2'!AJ4</f>
        <v>B. ROBINSON</v>
      </c>
      <c r="P581" s="13" t="str">
        <f>'BACKEND 2'!AK4</f>
        <v>B. NIX</v>
      </c>
      <c r="Q581" s="13">
        <f>'BACKEND 2'!AL3</f>
        <v>39.6</v>
      </c>
      <c r="R581" s="13">
        <f>'BACKEND 2'!AM3</f>
        <v>38.44</v>
      </c>
      <c r="S581" s="13">
        <f>'BACKEND 2'!AN3</f>
        <v>54.8</v>
      </c>
      <c r="T581" s="13">
        <f>'BACKEND 2'!AO3</f>
        <v>34</v>
      </c>
      <c r="U581" s="13">
        <f>'BACKEND 2'!AP3</f>
        <v>31.92</v>
      </c>
      <c r="V581" s="13">
        <f>'BACKEND 2'!AQ3</f>
        <v>36.2</v>
      </c>
      <c r="W581" s="13">
        <f>'BACKEND 2'!AR3</f>
        <v>31.84</v>
      </c>
      <c r="X581" s="13">
        <f>'BACKEND 2'!AS3</f>
        <v>25.62</v>
      </c>
      <c r="Y581" s="13">
        <f>'BACKEND 2'!AT3</f>
        <v>37.5</v>
      </c>
      <c r="Z581" s="13">
        <f>'BACKEND 2'!AU3</f>
        <v>21.5</v>
      </c>
      <c r="AA581" s="13">
        <f>'BACKEND 2'!AV3</f>
        <v>36.13</v>
      </c>
      <c r="AB581" s="13">
        <f>'BACKEND 2'!AW3</f>
        <v>30</v>
      </c>
      <c r="AC581" s="13">
        <f>'BACKEND 2'!AX3</f>
        <v>32.8</v>
      </c>
      <c r="AD581" s="13">
        <f>'BACKEND 2'!AY3</f>
        <v>39.1</v>
      </c>
      <c r="AE581" s="13">
        <f>'BACKEND 2'!AZ3</f>
        <v>23.16</v>
      </c>
      <c r="AF581" s="13">
        <f>'BACKEND 2'!BA3</f>
        <v>39.8</v>
      </c>
      <c r="AG581" s="13">
        <f>'BACKEND 2'!BB3</f>
        <v>35.2</v>
      </c>
      <c r="AH581" s="13">
        <f>'BACKEND 2'!BC3</f>
        <v>28.5</v>
      </c>
      <c r="AI581" s="13">
        <f>'BACKEND 2'!BD3</f>
        <v>26.5</v>
      </c>
    </row>
    <row r="582" ht="15.75" customHeight="1">
      <c r="A582" s="13" t="str">
        <f>'BACKEND 2'!B5</f>
        <v>WEEK</v>
      </c>
      <c r="B582" s="13" t="str">
        <f>'BACKEND 2'!C5</f>
        <v>WEEK 1</v>
      </c>
      <c r="C582" s="13" t="str">
        <f>'BACKEND 2'!D5</f>
        <v>WEEK 2</v>
      </c>
      <c r="D582" s="13" t="str">
        <f>'BACKEND 2'!E5</f>
        <v>WEEK 3</v>
      </c>
      <c r="E582" s="13" t="str">
        <f>'BACKEND 2'!F5</f>
        <v>WEEK 4</v>
      </c>
      <c r="F582" s="13" t="str">
        <f>'BACKEND 2'!G5</f>
        <v>WEEK 5</v>
      </c>
      <c r="G582" s="13" t="str">
        <f>'BACKEND 2'!H5</f>
        <v>WEEK 6</v>
      </c>
      <c r="H582" s="13" t="str">
        <f>'BACKEND 2'!I5</f>
        <v>WEEK 7</v>
      </c>
      <c r="I582" s="13" t="str">
        <f>'BACKEND 2'!J5</f>
        <v>WEEK 8</v>
      </c>
      <c r="J582" s="13" t="str">
        <f>'BACKEND 2'!K5</f>
        <v>WEEK 9</v>
      </c>
      <c r="K582" s="13" t="str">
        <f>'BACKEND 2'!L5</f>
        <v>WEEK 10</v>
      </c>
      <c r="L582" s="13" t="str">
        <f>'BACKEND 2'!AG5</f>
        <v>WEEK 3</v>
      </c>
      <c r="M582" s="13" t="str">
        <f>'BACKEND 2'!AH5</f>
        <v>WEEK 4</v>
      </c>
      <c r="N582" s="13" t="str">
        <f>'BACKEND 2'!AI5</f>
        <v>WEEK 5</v>
      </c>
      <c r="O582" s="13" t="str">
        <f>'BACKEND 2'!AJ5</f>
        <v>WEEK 6</v>
      </c>
      <c r="P582" s="13" t="str">
        <f>'BACKEND 2'!AK5</f>
        <v>WEEK 7</v>
      </c>
      <c r="Q582" s="13" t="str">
        <f>'BACKEND 2'!AL4</f>
        <v>J. TAYLOR</v>
      </c>
      <c r="R582" s="13" t="str">
        <f>'BACKEND 2'!AM4</f>
        <v>M. STAFFORD</v>
      </c>
      <c r="S582" s="13" t="str">
        <f>'BACKEND 2'!AN4</f>
        <v>J. TAYLOR</v>
      </c>
      <c r="T582" s="13" t="str">
        <f>'BACKEND 2'!AO4</f>
        <v>T. MCMILLAN</v>
      </c>
      <c r="U582" s="13" t="str">
        <f>'BACKEND 2'!AP4</f>
        <v>M. STAFFORD</v>
      </c>
      <c r="V582" s="13" t="str">
        <f>'BACKEND 2'!AQ4</f>
        <v>A. BROWN</v>
      </c>
      <c r="W582" s="13" t="str">
        <f>'BACKEND 2'!AR4</f>
        <v>M. STAFFORD</v>
      </c>
      <c r="X582" s="13" t="str">
        <f>'BACKEND 2'!AS4</f>
        <v>K. MURRAY</v>
      </c>
      <c r="Y582" s="13" t="str">
        <f>'BACKEND 2'!AT4</f>
        <v>J. CHASE</v>
      </c>
      <c r="Z582" s="13" t="str">
        <f>'BACKEND 2'!AU4</f>
        <v>DET D/ST</v>
      </c>
      <c r="AA582" s="13" t="str">
        <f>'BACKEND 2'!AV4</f>
        <v>DET D/ST</v>
      </c>
      <c r="AB582" s="13" t="str">
        <f>'BACKEND 2'!AW4</f>
        <v>J. CHASE</v>
      </c>
      <c r="AC582" s="13" t="str">
        <f>'BACKEND 2'!AX4</f>
        <v>D. LONDON</v>
      </c>
      <c r="AD582" s="13" t="str">
        <f>'BACKEND 2'!AY4</f>
        <v>J. CHASE</v>
      </c>
      <c r="AE582" s="13" t="str">
        <f>'BACKEND 2'!AZ4</f>
        <v>A. RODGERS</v>
      </c>
      <c r="AF582" s="13" t="str">
        <f>'BACKEND 2'!BA4</f>
        <v>D. LONDON</v>
      </c>
      <c r="AG582" s="13" t="str">
        <f>'BACKEND 2'!BB4</f>
        <v>J. GOFF</v>
      </c>
      <c r="AH582" s="13" t="str">
        <f>'BACKEND 2'!BC4</f>
        <v>T. MCBRIDE</v>
      </c>
      <c r="AI582" s="13" t="str">
        <f>'BACKEND 2'!BD4</f>
        <v>A. JEANTY</v>
      </c>
    </row>
    <row r="583" ht="15.75" customHeight="1">
      <c r="Q583" s="13" t="str">
        <f>'BACKEND 2'!AL5</f>
        <v>WEEK 8</v>
      </c>
      <c r="R583" s="13" t="str">
        <f>'BACKEND 2'!AM5</f>
        <v>WEEK 9</v>
      </c>
      <c r="S583" s="13" t="str">
        <f>'BACKEND 2'!AN5</f>
        <v>WEEK 10</v>
      </c>
      <c r="T583" s="13" t="str">
        <f>'BACKEND 2'!AO5</f>
        <v>WEEK 11</v>
      </c>
      <c r="U583" s="13" t="str">
        <f>'BACKEND 2'!AP5</f>
        <v>WEEK 12</v>
      </c>
      <c r="V583" s="13" t="str">
        <f>'BACKEND 2'!AQ5</f>
        <v>WEEK 13</v>
      </c>
      <c r="W583" s="13" t="str">
        <f>'BACKEND 2'!AR5</f>
        <v>WEEK 14</v>
      </c>
      <c r="X583" s="13" t="str">
        <f>'BACKEND 2'!AS5</f>
        <v>WEEK 1</v>
      </c>
      <c r="Y583" s="13" t="str">
        <f>'BACKEND 2'!AT5</f>
        <v>WEEK 2</v>
      </c>
      <c r="Z583" s="13" t="str">
        <f>'BACKEND 2'!AU5</f>
        <v>WEEK 3</v>
      </c>
      <c r="AA583" s="13" t="str">
        <f>'BACKEND 2'!AV5</f>
        <v>WEEK 4</v>
      </c>
      <c r="AB583" s="13" t="str">
        <f>'BACKEND 2'!AW5</f>
        <v>WEEK 5</v>
      </c>
      <c r="AC583" s="13" t="str">
        <f>'BACKEND 2'!AX5</f>
        <v>WEEK 6</v>
      </c>
      <c r="AD583" s="13" t="str">
        <f>'BACKEND 2'!AY5</f>
        <v>WEEK 7</v>
      </c>
      <c r="AE583" s="13" t="str">
        <f>'BACKEND 2'!AZ5</f>
        <v>WEEK 8</v>
      </c>
      <c r="AF583" s="13" t="str">
        <f>'BACKEND 2'!BA5</f>
        <v>WEEK 9</v>
      </c>
      <c r="AG583" s="13" t="str">
        <f>'BACKEND 2'!BB5</f>
        <v>WEEK 10</v>
      </c>
      <c r="AH583" s="13" t="str">
        <f>'BACKEND 2'!BC5</f>
        <v>WEEK 11</v>
      </c>
      <c r="AI583" s="13" t="str">
        <f>'BACKEND 2'!BD5</f>
        <v>WEEK 12</v>
      </c>
    </row>
  </sheetData>
  <mergeCells count="46">
    <mergeCell ref="A223:A241"/>
    <mergeCell ref="A243:A251"/>
    <mergeCell ref="A12:A13"/>
    <mergeCell ref="A14:A15"/>
    <mergeCell ref="A16:A17"/>
    <mergeCell ref="A18:A19"/>
    <mergeCell ref="A21:A23"/>
    <mergeCell ref="A24:A26"/>
    <mergeCell ref="A213:A221"/>
    <mergeCell ref="A2:L2"/>
    <mergeCell ref="AL2:AV2"/>
    <mergeCell ref="A4:A5"/>
    <mergeCell ref="AM4:AN4"/>
    <mergeCell ref="AO4:AP4"/>
    <mergeCell ref="AQ4:AR4"/>
    <mergeCell ref="A6:A7"/>
    <mergeCell ref="M14:M15"/>
    <mergeCell ref="M16:M17"/>
    <mergeCell ref="M18:M19"/>
    <mergeCell ref="M21:M23"/>
    <mergeCell ref="M24:M26"/>
    <mergeCell ref="M4:M5"/>
    <mergeCell ref="M6:M7"/>
    <mergeCell ref="A8:A9"/>
    <mergeCell ref="M8:M9"/>
    <mergeCell ref="A10:A11"/>
    <mergeCell ref="M10:M11"/>
    <mergeCell ref="M12:M13"/>
    <mergeCell ref="AS4:AT4"/>
    <mergeCell ref="AU4:AV4"/>
    <mergeCell ref="AO13:AO14"/>
    <mergeCell ref="AQ13:AQ14"/>
    <mergeCell ref="AS13:AS14"/>
    <mergeCell ref="AU13:AU14"/>
    <mergeCell ref="AL16:AV16"/>
    <mergeCell ref="AO27:AO28"/>
    <mergeCell ref="AQ27:AQ28"/>
    <mergeCell ref="AS27:AS28"/>
    <mergeCell ref="AU27:AU28"/>
    <mergeCell ref="AM13:AM14"/>
    <mergeCell ref="AM18:AN18"/>
    <mergeCell ref="AO18:AP18"/>
    <mergeCell ref="AQ18:AR18"/>
    <mergeCell ref="AS18:AT18"/>
    <mergeCell ref="AU18:AV18"/>
    <mergeCell ref="AM27:AM28"/>
  </mergeCells>
  <conditionalFormatting sqref="B29:B38">
    <cfRule type="colorScale" priority="1">
      <colorScale>
        <cfvo type="min"/>
        <cfvo type="percentile" val="50"/>
        <cfvo type="max"/>
        <color rgb="FF63BE7B"/>
        <color rgb="FFFCFCFF"/>
        <color rgb="FFF8696B"/>
      </colorScale>
    </cfRule>
  </conditionalFormatting>
  <conditionalFormatting sqref="B41:B50">
    <cfRule type="colorScale" priority="2">
      <colorScale>
        <cfvo type="min"/>
        <cfvo type="max"/>
        <color rgb="FF63BE7B"/>
        <color rgb="FFFCFCFF"/>
      </colorScale>
    </cfRule>
  </conditionalFormatting>
  <conditionalFormatting sqref="B54:B63">
    <cfRule type="colorScale" priority="3">
      <colorScale>
        <cfvo type="min"/>
        <cfvo type="percentile" val="50"/>
        <cfvo type="max"/>
        <color rgb="FF63BE7B"/>
        <color rgb="FFFCFCFF"/>
        <color rgb="FFF8696B"/>
      </colorScale>
    </cfRule>
  </conditionalFormatting>
  <conditionalFormatting sqref="B66:B75">
    <cfRule type="colorScale" priority="4">
      <colorScale>
        <cfvo type="min"/>
        <cfvo type="max"/>
        <color rgb="FF63BE7B"/>
        <color rgb="FFFCFCFF"/>
      </colorScale>
    </cfRule>
  </conditionalFormatting>
  <conditionalFormatting sqref="B214:B221">
    <cfRule type="colorScale" priority="5">
      <colorScale>
        <cfvo type="min"/>
        <cfvo type="max"/>
        <color rgb="FF63BE7B"/>
        <color rgb="FFFCFCFF"/>
      </colorScale>
    </cfRule>
  </conditionalFormatting>
  <conditionalFormatting sqref="B224:B231">
    <cfRule type="colorScale" priority="6">
      <colorScale>
        <cfvo type="min"/>
        <cfvo type="percentile" val="50"/>
        <cfvo type="max"/>
        <color rgb="FF63BE7B"/>
        <color rgb="FFFCFCFF"/>
        <color rgb="FFF8696B"/>
      </colorScale>
    </cfRule>
  </conditionalFormatting>
  <conditionalFormatting sqref="B234:B241">
    <cfRule type="colorScale" priority="7">
      <colorScale>
        <cfvo type="min"/>
        <cfvo type="max"/>
        <color rgb="FF63BE7B"/>
        <color rgb="FFFCFCFF"/>
      </colorScale>
    </cfRule>
  </conditionalFormatting>
  <conditionalFormatting sqref="B244:B251">
    <cfRule type="colorScale" priority="8">
      <colorScale>
        <cfvo type="min"/>
        <cfvo type="max"/>
        <color rgb="FFFCFCFF"/>
        <color rgb="FF63BE7B"/>
      </colorScale>
    </cfRule>
  </conditionalFormatting>
  <conditionalFormatting sqref="B244:B251">
    <cfRule type="colorScale" priority="9">
      <colorScale>
        <cfvo type="formula" val="1"/>
        <cfvo type="formula" val="2"/>
        <cfvo type="formula" val="3"/>
        <color rgb="FFFEF2CB"/>
        <color rgb="FFECECEC"/>
        <color rgb="FFFBE4D5"/>
      </colorScale>
    </cfRule>
  </conditionalFormatting>
  <conditionalFormatting sqref="C5:F5 H5:K5">
    <cfRule type="colorScale" priority="10">
      <colorScale>
        <cfvo type="min"/>
        <cfvo type="max"/>
        <color rgb="FFFCFCFF"/>
        <color rgb="FF63BE7B"/>
      </colorScale>
    </cfRule>
  </conditionalFormatting>
  <conditionalFormatting sqref="C6:F6 H6:K6">
    <cfRule type="colorScale" priority="11">
      <colorScale>
        <cfvo type="min"/>
        <cfvo type="percentile" val="50"/>
        <cfvo type="max"/>
        <color rgb="FFF8696B"/>
        <color rgb="FFFCFCFF"/>
        <color rgb="FF63BE7B"/>
      </colorScale>
    </cfRule>
  </conditionalFormatting>
  <conditionalFormatting sqref="C7:F7 H7:K7">
    <cfRule type="colorScale" priority="12">
      <colorScale>
        <cfvo type="min"/>
        <cfvo type="max"/>
        <color rgb="FFFCFCFF"/>
        <color rgb="FF63BE7B"/>
      </colorScale>
    </cfRule>
  </conditionalFormatting>
  <conditionalFormatting sqref="C8:F8 H8:K8">
    <cfRule type="colorScale" priority="13">
      <colorScale>
        <cfvo type="min"/>
        <cfvo type="percentile" val="50"/>
        <cfvo type="max"/>
        <color rgb="FFF8696B"/>
        <color rgb="FFFCFCFF"/>
        <color rgb="FF63BE7B"/>
      </colorScale>
    </cfRule>
  </conditionalFormatting>
  <conditionalFormatting sqref="C9:F9 H9:K9">
    <cfRule type="colorScale" priority="14">
      <colorScale>
        <cfvo type="min"/>
        <cfvo type="max"/>
        <color rgb="FFFCFCFF"/>
        <color rgb="FF63BE7B"/>
      </colorScale>
    </cfRule>
  </conditionalFormatting>
  <conditionalFormatting sqref="C10:F10 H10:K10">
    <cfRule type="colorScale" priority="15">
      <colorScale>
        <cfvo type="min"/>
        <cfvo type="percentile" val="50"/>
        <cfvo type="max"/>
        <color rgb="FFF8696B"/>
        <color rgb="FFFCFCFF"/>
        <color rgb="FF63BE7B"/>
      </colorScale>
    </cfRule>
  </conditionalFormatting>
  <conditionalFormatting sqref="C11:F11 H11:K11">
    <cfRule type="colorScale" priority="16">
      <colorScale>
        <cfvo type="min"/>
        <cfvo type="max"/>
        <color rgb="FFFCFCFF"/>
        <color rgb="FF63BE7B"/>
      </colorScale>
    </cfRule>
  </conditionalFormatting>
  <conditionalFormatting sqref="C12:F12 H12:K12">
    <cfRule type="colorScale" priority="17">
      <colorScale>
        <cfvo type="min"/>
        <cfvo type="percentile" val="50"/>
        <cfvo type="max"/>
        <color rgb="FFF8696B"/>
        <color rgb="FFFCFCFF"/>
        <color rgb="FF63BE7B"/>
      </colorScale>
    </cfRule>
  </conditionalFormatting>
  <conditionalFormatting sqref="C13:F13 H13:K13">
    <cfRule type="colorScale" priority="18">
      <colorScale>
        <cfvo type="min"/>
        <cfvo type="max"/>
        <color rgb="FFFCFCFF"/>
        <color rgb="FF63BE7B"/>
      </colorScale>
    </cfRule>
  </conditionalFormatting>
  <conditionalFormatting sqref="C14:F14 H14:K14">
    <cfRule type="colorScale" priority="19">
      <colorScale>
        <cfvo type="min"/>
        <cfvo type="percentile" val="50"/>
        <cfvo type="max"/>
        <color rgb="FFF8696B"/>
        <color rgb="FFFCFCFF"/>
        <color rgb="FF63BE7B"/>
      </colorScale>
    </cfRule>
  </conditionalFormatting>
  <conditionalFormatting sqref="C15:F15 H15:K15">
    <cfRule type="colorScale" priority="20">
      <colorScale>
        <cfvo type="min"/>
        <cfvo type="max"/>
        <color rgb="FFFCFCFF"/>
        <color rgb="FF63BE7B"/>
      </colorScale>
    </cfRule>
  </conditionalFormatting>
  <conditionalFormatting sqref="C16:F16 H16:K16">
    <cfRule type="colorScale" priority="21">
      <colorScale>
        <cfvo type="min"/>
        <cfvo type="percentile" val="50"/>
        <cfvo type="max"/>
        <color rgb="FFF8696B"/>
        <color rgb="FFFCFCFF"/>
        <color rgb="FF63BE7B"/>
      </colorScale>
    </cfRule>
  </conditionalFormatting>
  <conditionalFormatting sqref="C17:F17 H17:K17">
    <cfRule type="colorScale" priority="22">
      <colorScale>
        <cfvo type="min"/>
        <cfvo type="max"/>
        <color rgb="FFFCFCFF"/>
        <color rgb="FF63BE7B"/>
      </colorScale>
    </cfRule>
  </conditionalFormatting>
  <conditionalFormatting sqref="C18:F18 H18:K18">
    <cfRule type="colorScale" priority="23">
      <colorScale>
        <cfvo type="min"/>
        <cfvo type="percentile" val="50"/>
        <cfvo type="max"/>
        <color rgb="FFF8696B"/>
        <color rgb="FFFCFCFF"/>
        <color rgb="FF63BE7B"/>
      </colorScale>
    </cfRule>
  </conditionalFormatting>
  <conditionalFormatting sqref="C19:F19 H19:K19">
    <cfRule type="colorScale" priority="24">
      <colorScale>
        <cfvo type="min"/>
        <cfvo type="max"/>
        <color rgb="FFFCFCFF"/>
        <color rgb="FF63BE7B"/>
      </colorScale>
    </cfRule>
  </conditionalFormatting>
  <conditionalFormatting sqref="C20:F20 H20:K20">
    <cfRule type="colorScale" priority="25">
      <colorScale>
        <cfvo type="min"/>
        <cfvo type="max"/>
        <color rgb="FFFCFCFF"/>
        <color rgb="FF63BE7B"/>
      </colorScale>
    </cfRule>
  </conditionalFormatting>
  <conditionalFormatting sqref="C21:F21 H21:K21">
    <cfRule type="colorScale" priority="26">
      <colorScale>
        <cfvo type="min"/>
        <cfvo type="percentile" val="50"/>
        <cfvo type="max"/>
        <color rgb="FFF8696B"/>
        <color rgb="FFFCFCFF"/>
        <color rgb="FF63BE7B"/>
      </colorScale>
    </cfRule>
  </conditionalFormatting>
  <conditionalFormatting sqref="C22:F22 H22:K22">
    <cfRule type="colorScale" priority="27">
      <colorScale>
        <cfvo type="min"/>
        <cfvo type="max"/>
        <color rgb="FFFCFCFF"/>
        <color rgb="FF63BE7B"/>
      </colorScale>
    </cfRule>
  </conditionalFormatting>
  <conditionalFormatting sqref="C23:F23 H23:K23">
    <cfRule type="colorScale" priority="28">
      <colorScale>
        <cfvo type="min"/>
        <cfvo type="max"/>
        <color rgb="FFFCFCFF"/>
        <color rgb="FF63BE7B"/>
      </colorScale>
    </cfRule>
  </conditionalFormatting>
  <conditionalFormatting sqref="C24:F24 H24:K24">
    <cfRule type="colorScale" priority="29">
      <colorScale>
        <cfvo type="min"/>
        <cfvo type="percentile" val="50"/>
        <cfvo type="max"/>
        <color rgb="FF63BE7B"/>
        <color rgb="FFFCFCFF"/>
        <color rgb="FFF8696B"/>
      </colorScale>
    </cfRule>
  </conditionalFormatting>
  <conditionalFormatting sqref="C25:F25 H25:K25">
    <cfRule type="colorScale" priority="30">
      <colorScale>
        <cfvo type="min"/>
        <cfvo type="max"/>
        <color rgb="FFFCFCFF"/>
        <color rgb="FF63BE7B"/>
      </colorScale>
    </cfRule>
  </conditionalFormatting>
  <conditionalFormatting sqref="C26:F26 H26:K26">
    <cfRule type="colorScale" priority="31">
      <colorScale>
        <cfvo type="min"/>
        <cfvo type="max"/>
        <color rgb="FF63BE7B"/>
        <color rgb="FFFCFCFF"/>
      </colorScale>
    </cfRule>
  </conditionalFormatting>
  <conditionalFormatting sqref="C4:L4 G5:G26 L5:L26">
    <cfRule type="colorScale" priority="32">
      <colorScale>
        <cfvo type="min"/>
        <cfvo type="percentile" val="50"/>
        <cfvo type="max"/>
        <color rgb="FFF8696B"/>
        <color rgb="FFFCFCFF"/>
        <color rgb="FF63BE7B"/>
      </colorScale>
    </cfRule>
  </conditionalFormatting>
  <conditionalFormatting sqref="D29:D38">
    <cfRule type="colorScale" priority="33">
      <colorScale>
        <cfvo type="min"/>
        <cfvo type="percentile" val="50"/>
        <cfvo type="max"/>
        <color rgb="FFF8696B"/>
        <color rgb="FFFCFCFF"/>
        <color rgb="FF63BE7B"/>
      </colorScale>
    </cfRule>
  </conditionalFormatting>
  <conditionalFormatting sqref="D41:D50">
    <cfRule type="colorScale" priority="34">
      <colorScale>
        <cfvo type="min"/>
        <cfvo type="max"/>
        <color rgb="FFFCFCFF"/>
        <color rgb="FF63BE7B"/>
      </colorScale>
    </cfRule>
  </conditionalFormatting>
  <conditionalFormatting sqref="D41:D50">
    <cfRule type="colorScale" priority="35">
      <colorScale>
        <cfvo type="min"/>
        <cfvo type="percentile" val="50"/>
        <cfvo type="max"/>
        <color rgb="FFF8696B"/>
        <color rgb="FFFCFCFF"/>
        <color rgb="FF63BE7B"/>
      </colorScale>
    </cfRule>
  </conditionalFormatting>
  <conditionalFormatting sqref="D54:D63">
    <cfRule type="colorScale" priority="36">
      <colorScale>
        <cfvo type="min"/>
        <cfvo type="percentile" val="50"/>
        <cfvo type="max"/>
        <color rgb="FFF8696B"/>
        <color rgb="FFFCFCFF"/>
        <color rgb="FF63BE7B"/>
      </colorScale>
    </cfRule>
  </conditionalFormatting>
  <conditionalFormatting sqref="D66:D75">
    <cfRule type="colorScale" priority="37">
      <colorScale>
        <cfvo type="min"/>
        <cfvo type="max"/>
        <color rgb="FFFCFCFF"/>
        <color rgb="FF63BE7B"/>
      </colorScale>
    </cfRule>
  </conditionalFormatting>
  <conditionalFormatting sqref="D66:D75">
    <cfRule type="colorScale" priority="38">
      <colorScale>
        <cfvo type="min"/>
        <cfvo type="percentile" val="50"/>
        <cfvo type="max"/>
        <color rgb="FFF8696B"/>
        <color rgb="FFFCFCFF"/>
        <color rgb="FF63BE7B"/>
      </colorScale>
    </cfRule>
  </conditionalFormatting>
  <conditionalFormatting sqref="D214:D221">
    <cfRule type="colorScale" priority="39">
      <colorScale>
        <cfvo type="min"/>
        <cfvo type="max"/>
        <color rgb="FFFCFCFF"/>
        <color rgb="FF63BE7B"/>
      </colorScale>
    </cfRule>
  </conditionalFormatting>
  <conditionalFormatting sqref="D224:D231">
    <cfRule type="colorScale" priority="40">
      <colorScale>
        <cfvo type="min"/>
        <cfvo type="percentile" val="50"/>
        <cfvo type="max"/>
        <color rgb="FFF8696B"/>
        <color rgb="FFFCFCFF"/>
        <color rgb="FF63BE7B"/>
      </colorScale>
    </cfRule>
  </conditionalFormatting>
  <conditionalFormatting sqref="D234:D241">
    <cfRule type="colorScale" priority="41">
      <colorScale>
        <cfvo type="min"/>
        <cfvo type="max"/>
        <color rgb="FFFCFCFF"/>
        <color rgb="FF63BE7B"/>
      </colorScale>
    </cfRule>
  </conditionalFormatting>
  <conditionalFormatting sqref="D244:D251">
    <cfRule type="colorScale" priority="42">
      <colorScale>
        <cfvo type="min"/>
        <cfvo type="max"/>
        <color rgb="FFFCFCFF"/>
        <color rgb="FF63BE7B"/>
      </colorScale>
    </cfRule>
  </conditionalFormatting>
  <conditionalFormatting sqref="AN5 AN19 AP5 AP19 AR5 AR19 AT5 AT19 AV5:AV13 AV19">
    <cfRule type="colorScale" priority="43">
      <colorScale>
        <cfvo type="min"/>
        <cfvo type="percentile" val="50"/>
        <cfvo type="max"/>
        <color rgb="FFF8696B"/>
        <color rgb="FFFCFCFF"/>
        <color rgb="FF63BE7B"/>
      </colorScale>
    </cfRule>
  </conditionalFormatting>
  <conditionalFormatting sqref="AN6 AN20 AP6 AP20 AR6 AR20 AT6 AT20 AV20">
    <cfRule type="colorScale" priority="44">
      <colorScale>
        <cfvo type="min"/>
        <cfvo type="percentile" val="50"/>
        <cfvo type="max"/>
        <color rgb="FFF8696B"/>
        <color rgb="FFFCFCFF"/>
        <color rgb="FF63BE7B"/>
      </colorScale>
    </cfRule>
  </conditionalFormatting>
  <conditionalFormatting sqref="AN7 AN21 AP7 AP21 AR7 AR21 AT7 AT21 AV21">
    <cfRule type="colorScale" priority="45">
      <colorScale>
        <cfvo type="min"/>
        <cfvo type="percentile" val="50"/>
        <cfvo type="max"/>
        <color rgb="FFF8696B"/>
        <color rgb="FFFCFCFF"/>
        <color rgb="FF63BE7B"/>
      </colorScale>
    </cfRule>
  </conditionalFormatting>
  <conditionalFormatting sqref="AN8 AN22 AP8 AP22 AR8 AR22 AT8 AT22 AV22">
    <cfRule type="colorScale" priority="46">
      <colorScale>
        <cfvo type="min"/>
        <cfvo type="percentile" val="50"/>
        <cfvo type="max"/>
        <color rgb="FFF8696B"/>
        <color rgb="FFFCFCFF"/>
        <color rgb="FF63BE7B"/>
      </colorScale>
    </cfRule>
  </conditionalFormatting>
  <conditionalFormatting sqref="AN9 AN23 AP9 AP23 AR9 AR23 AT9 AT23 AV23">
    <cfRule type="colorScale" priority="47">
      <colorScale>
        <cfvo type="min"/>
        <cfvo type="percentile" val="50"/>
        <cfvo type="max"/>
        <color rgb="FFF8696B"/>
        <color rgb="FFFCFCFF"/>
        <color rgb="FF63BE7B"/>
      </colorScale>
    </cfRule>
  </conditionalFormatting>
  <conditionalFormatting sqref="AN10 AN24 AP10 AP24 AR10 AR24 AT10 AT24 AV24">
    <cfRule type="colorScale" priority="48">
      <colorScale>
        <cfvo type="min"/>
        <cfvo type="percentile" val="50"/>
        <cfvo type="max"/>
        <color rgb="FFF8696B"/>
        <color rgb="FFFCFCFF"/>
        <color rgb="FF63BE7B"/>
      </colorScale>
    </cfRule>
  </conditionalFormatting>
  <conditionalFormatting sqref="AN11 AN25 AP11 AP25 AR11 AR25 AT11 AT25 AV25">
    <cfRule type="colorScale" priority="49">
      <colorScale>
        <cfvo type="min"/>
        <cfvo type="percentile" val="50"/>
        <cfvo type="max"/>
        <color rgb="FFF8696B"/>
        <color rgb="FFFCFCFF"/>
        <color rgb="FF63BE7B"/>
      </colorScale>
    </cfRule>
  </conditionalFormatting>
  <conditionalFormatting sqref="AN12 AN26 AP12 AP26 AR12 AR26 AT12 AT26 AV26">
    <cfRule type="colorScale" priority="50">
      <colorScale>
        <cfvo type="min"/>
        <cfvo type="percentile" val="50"/>
        <cfvo type="max"/>
        <color rgb="FFF8696B"/>
        <color rgb="FFFCFCFF"/>
        <color rgb="FF63BE7B"/>
      </colorScale>
    </cfRule>
  </conditionalFormatting>
  <conditionalFormatting sqref="AN13 AN27 AP13 AP27 AR13 AR27 AT13 AT27 AV27">
    <cfRule type="colorScale" priority="51">
      <colorScale>
        <cfvo type="min"/>
        <cfvo type="percentile" val="50"/>
        <cfvo type="max"/>
        <color rgb="FFF8696B"/>
        <color rgb="FFFCFCFF"/>
        <color rgb="FF63BE7B"/>
      </colorScale>
    </cfRule>
  </conditionalFormatting>
  <conditionalFormatting sqref="AN14 AN28 AP14 AP28 AR14 AR28 AT14 AT28 AV14 AV28">
    <cfRule type="colorScale" priority="52">
      <colorScale>
        <cfvo type="min"/>
        <cfvo type="percentile" val="50"/>
        <cfvo type="max"/>
        <color rgb="FFF8696B"/>
        <color rgb="FFFCFCFF"/>
        <color rgb="FF63BE7B"/>
      </colorScale>
    </cfRule>
  </conditionalFormatting>
  <conditionalFormatting sqref="AN3 AN17 AP3 AP17 AR3 AR17 AT3 AT17 AV3 AV17">
    <cfRule type="colorScale" priority="53">
      <colorScale>
        <cfvo type="min"/>
        <cfvo type="percentile" val="50"/>
        <cfvo type="max"/>
        <color rgb="FFF8696B"/>
        <color rgb="FFFCFCFF"/>
        <color rgb="FF63BE7B"/>
      </colorScale>
    </cfRule>
  </conditionalFormatting>
  <conditionalFormatting sqref="AY3:AY12">
    <cfRule type="colorScale" priority="54">
      <colorScale>
        <cfvo type="min"/>
        <cfvo type="percentile" val="50"/>
        <cfvo type="max"/>
        <color rgb="FF63BE7B"/>
        <color rgb="FFFCFCFF"/>
        <color rgb="FFF8696B"/>
      </colorScale>
    </cfRule>
  </conditionalFormatting>
  <conditionalFormatting sqref="BB3:BB12">
    <cfRule type="colorScale" priority="55">
      <colorScale>
        <cfvo type="min"/>
        <cfvo type="percentile" val="50"/>
        <cfvo type="max"/>
        <color rgb="FFF8696B"/>
        <color rgb="FFFCFCFF"/>
        <color rgb="FF63BE7B"/>
      </colorScale>
    </cfRule>
  </conditionalFormatting>
  <conditionalFormatting sqref="BC3:BC12">
    <cfRule type="colorScale" priority="56">
      <colorScale>
        <cfvo type="min"/>
        <cfvo type="percentile" val="50"/>
        <cfvo type="max"/>
        <color rgb="FFF8696B"/>
        <color rgb="FFFCFCFF"/>
        <color rgb="FF63BE7B"/>
      </colorScale>
    </cfRule>
  </conditionalFormatting>
  <conditionalFormatting sqref="BD3:BD12">
    <cfRule type="colorScale" priority="57">
      <colorScale>
        <cfvo type="min"/>
        <cfvo type="percentile" val="50"/>
        <cfvo type="max"/>
        <color rgb="FFF8696B"/>
        <color rgb="FFFCFCFF"/>
        <color rgb="FF63BE7B"/>
      </colorScale>
    </cfRule>
  </conditionalFormatting>
  <conditionalFormatting sqref="BE3:BE12">
    <cfRule type="colorScale" priority="58">
      <colorScale>
        <cfvo type="min"/>
        <cfvo type="percentile" val="50"/>
        <cfvo type="max"/>
        <color rgb="FFF8696B"/>
        <color rgb="FFFCFCFF"/>
        <color rgb="FF63BE7B"/>
      </colorScale>
    </cfRule>
  </conditionalFormatting>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67"/>
    <col customWidth="1" min="2" max="2" width="16.78"/>
    <col customWidth="1" min="3" max="3" width="13.0"/>
    <col customWidth="1" min="4" max="4" width="18.0"/>
    <col customWidth="1" min="5" max="7" width="10.56"/>
    <col customWidth="1" min="8" max="9" width="10.78"/>
    <col customWidth="1" min="10" max="10" width="10.56"/>
    <col customWidth="1" min="11" max="11" width="16.33"/>
    <col customWidth="1" min="12" max="12" width="10.56"/>
    <col customWidth="1" min="13" max="13" width="18.0"/>
    <col customWidth="1" min="14" max="14" width="16.33"/>
    <col customWidth="1" min="15" max="15" width="10.56"/>
    <col customWidth="1" min="16" max="16" width="18.0"/>
    <col customWidth="1" min="17" max="17" width="13.67"/>
    <col customWidth="1" min="18" max="18" width="10.56"/>
    <col customWidth="1" min="19" max="19" width="18.0"/>
    <col customWidth="1" min="20" max="20" width="13.11"/>
    <col customWidth="1" min="21" max="21" width="10.56"/>
    <col customWidth="1" min="22" max="22" width="18.0"/>
    <col customWidth="1" min="23" max="23" width="16.33"/>
    <col customWidth="1" min="24" max="24" width="6.67"/>
    <col customWidth="1" min="25" max="25" width="18.0"/>
    <col customWidth="1" min="26" max="26" width="14.11"/>
    <col customWidth="1" min="27" max="27" width="6.67"/>
    <col customWidth="1" min="28" max="28" width="10.0"/>
    <col customWidth="1" min="29" max="29" width="13.11"/>
    <col customWidth="1" min="30" max="30" width="6.67"/>
    <col customWidth="1" min="31" max="31" width="18.0"/>
    <col customWidth="1" min="32" max="32" width="13.67"/>
    <col customWidth="1" min="33" max="33" width="6.67"/>
    <col customWidth="1" min="34" max="34" width="18.0"/>
    <col customWidth="1" min="35" max="35" width="15.0"/>
    <col customWidth="1" min="36" max="36" width="10.56"/>
    <col customWidth="1" min="37" max="37" width="18.0"/>
    <col customWidth="1" min="38" max="38" width="13.11"/>
    <col customWidth="1" min="39" max="39" width="10.56"/>
    <col customWidth="1" min="40" max="40" width="18.0"/>
    <col customWidth="1" min="41" max="41" width="13.11"/>
    <col customWidth="1" min="42" max="42" width="10.56"/>
    <col customWidth="1" min="43" max="43" width="10.0"/>
    <col customWidth="1" min="44" max="44" width="13.67"/>
    <col customWidth="1" min="45" max="45" width="10.56"/>
    <col customWidth="1" min="46" max="46" width="18.0"/>
    <col customWidth="1" min="47" max="47" width="14.33"/>
    <col customWidth="1" min="48" max="48" width="10.56"/>
    <col customWidth="1" min="49" max="49" width="18.0"/>
    <col customWidth="1" min="50" max="50" width="14.78"/>
    <col customWidth="1" min="51" max="51" width="10.56"/>
    <col customWidth="1" min="52" max="52" width="18.0"/>
    <col customWidth="1" min="53" max="53" width="10.56"/>
    <col customWidth="1" min="54" max="54" width="5.11"/>
    <col customWidth="1" min="55" max="55" width="18.0"/>
    <col customWidth="1" min="56" max="56" width="5.44"/>
    <col customWidth="1" hidden="1" min="57" max="57" width="4.44"/>
    <col customWidth="1" min="58" max="58" width="6.33"/>
    <col customWidth="1" min="59" max="59" width="4.56"/>
    <col customWidth="1" min="60" max="60" width="10.56"/>
    <col customWidth="1" min="61" max="61" width="7.67"/>
    <col customWidth="1" hidden="1" min="62" max="62" width="5.67"/>
    <col customWidth="1" min="63" max="63" width="9.0"/>
    <col customWidth="1" min="64" max="64" width="10.0"/>
    <col customWidth="1" min="65" max="65" width="12.0"/>
    <col customWidth="1" min="66" max="66" width="5.78"/>
    <col customWidth="1" min="67" max="67" width="8.44"/>
    <col customWidth="1" min="68" max="68" width="10.56"/>
  </cols>
  <sheetData>
    <row r="1" ht="15.75" customHeight="1">
      <c r="A1" s="585" t="s">
        <v>507</v>
      </c>
      <c r="B1" s="13" t="s">
        <v>298</v>
      </c>
      <c r="C1" s="13" t="s">
        <v>300</v>
      </c>
      <c r="D1" s="13" t="s">
        <v>509</v>
      </c>
      <c r="E1" s="13" t="s">
        <v>510</v>
      </c>
      <c r="F1" s="13" t="s">
        <v>7</v>
      </c>
      <c r="J1" s="13" t="s">
        <v>511</v>
      </c>
      <c r="BB1" s="314"/>
    </row>
    <row r="2" ht="18.0" customHeight="1">
      <c r="A2" s="585">
        <v>1.0</v>
      </c>
      <c r="B2" s="586" t="str">
        <f>Settings!$A$3</f>
        <v>DECOUPES</v>
      </c>
      <c r="C2" s="587" t="s">
        <v>100</v>
      </c>
      <c r="D2" s="13" t="str">
        <f>'Entry Sheet'!B5</f>
        <v>J. DANIELS</v>
      </c>
      <c r="E2" s="230">
        <f>'Entry Sheet'!C5</f>
        <v>24.82</v>
      </c>
      <c r="F2" s="589" t="s">
        <v>512</v>
      </c>
      <c r="K2" s="590" t="s">
        <v>512</v>
      </c>
      <c r="L2" s="591"/>
      <c r="M2" s="592"/>
      <c r="N2" s="590" t="s">
        <v>513</v>
      </c>
      <c r="O2" s="591"/>
      <c r="P2" s="592"/>
      <c r="Q2" s="590" t="s">
        <v>514</v>
      </c>
      <c r="R2" s="591"/>
      <c r="S2" s="592"/>
      <c r="T2" s="590" t="s">
        <v>515</v>
      </c>
      <c r="U2" s="591"/>
      <c r="V2" s="592"/>
      <c r="W2" s="590" t="s">
        <v>516</v>
      </c>
      <c r="X2" s="591"/>
      <c r="Y2" s="592"/>
      <c r="Z2" s="590" t="s">
        <v>517</v>
      </c>
      <c r="AA2" s="591"/>
      <c r="AB2" s="592"/>
      <c r="AC2" s="590" t="s">
        <v>518</v>
      </c>
      <c r="AD2" s="591"/>
      <c r="AE2" s="592"/>
      <c r="AF2" s="590" t="s">
        <v>519</v>
      </c>
      <c r="AG2" s="591"/>
      <c r="AH2" s="592"/>
      <c r="AI2" s="590" t="s">
        <v>520</v>
      </c>
      <c r="AJ2" s="591"/>
      <c r="AK2" s="592"/>
      <c r="AL2" s="590" t="s">
        <v>521</v>
      </c>
      <c r="AM2" s="591"/>
      <c r="AN2" s="592"/>
      <c r="AO2" s="590" t="s">
        <v>522</v>
      </c>
      <c r="AP2" s="591"/>
      <c r="AQ2" s="592"/>
      <c r="AR2" s="590" t="s">
        <v>523</v>
      </c>
      <c r="AS2" s="591"/>
      <c r="AT2" s="592"/>
      <c r="AU2" s="590" t="s">
        <v>524</v>
      </c>
      <c r="AV2" s="591"/>
      <c r="AW2" s="592"/>
      <c r="AX2" s="590" t="s">
        <v>525</v>
      </c>
      <c r="AY2" s="591"/>
      <c r="AZ2" s="592"/>
      <c r="BB2" s="593" t="s">
        <v>297</v>
      </c>
      <c r="BC2" s="594" t="s">
        <v>492</v>
      </c>
      <c r="BD2" s="595" t="s">
        <v>526</v>
      </c>
      <c r="BE2" s="18" t="s">
        <v>527</v>
      </c>
      <c r="BF2" s="18" t="s">
        <v>528</v>
      </c>
      <c r="BG2" s="18" t="s">
        <v>529</v>
      </c>
      <c r="BI2" s="13" t="s">
        <v>292</v>
      </c>
      <c r="BJ2" s="13" t="s">
        <v>295</v>
      </c>
      <c r="BK2" s="13" t="s">
        <v>295</v>
      </c>
      <c r="BL2" s="13" t="s">
        <v>169</v>
      </c>
      <c r="BM2" s="13" t="s">
        <v>530</v>
      </c>
      <c r="BN2" s="13" t="s">
        <v>531</v>
      </c>
      <c r="BO2" s="13" t="s">
        <v>30</v>
      </c>
    </row>
    <row r="3" ht="15.75" customHeight="1">
      <c r="A3" s="585">
        <v>2.0</v>
      </c>
      <c r="B3" s="586" t="str">
        <f>Settings!$A$3</f>
        <v>DECOUPES</v>
      </c>
      <c r="C3" s="596" t="s">
        <v>106</v>
      </c>
      <c r="D3" s="13" t="str">
        <f>'Entry Sheet'!B6</f>
        <v>C. BROWN</v>
      </c>
      <c r="E3" s="230">
        <f>'Entry Sheet'!C6</f>
        <v>15.2</v>
      </c>
      <c r="F3" s="589" t="s">
        <v>512</v>
      </c>
      <c r="H3" s="13">
        <v>1.0</v>
      </c>
      <c r="I3" s="13" t="s">
        <v>100</v>
      </c>
      <c r="J3" s="585" t="s">
        <v>100</v>
      </c>
      <c r="K3" s="600" t="str">
        <f t="array" ref="K3">INDEX($D:$D, MATCH(1, ($F:$F=K$2)*($E:$E=L3)*($C:$C=$I3), 0))</f>
        <v>J. ALLEN</v>
      </c>
      <c r="L3" s="601">
        <f t="array" ref="L3">IF(LARGE(IF(($F:$F=K$2)*($C:$C=$I3), $E:$E), $H3)=0,"N/A",LARGE(IF(($F:$F=K$2)*($C:$C=$I3), $E:$E), $H3))</f>
        <v>49.16</v>
      </c>
      <c r="M3" s="603" t="str">
        <f t="array" ref="M3">INDEX($B:$B, MATCH(1, ($F:$F=K$2)*($E:$E=L3)*($C:$C=$I3), 0))</f>
        <v>EAGLES</v>
      </c>
      <c r="N3" s="600" t="str">
        <f t="array" ref="N3">INDEX($D:$D, MATCH(1, ($F:$F=N$2)*($E:$E=O3)*($C:$C=$I3), 0))</f>
        <v>L. JACKSON</v>
      </c>
      <c r="O3" s="601">
        <f t="array" ref="O3">IF(LARGE(IF(($F:$F=N$2)*($C:$C=$I3), $E:$E), $H3)=0,"N/A",LARGE(IF(($F:$F=N$2)*($C:$C=$I3), $E:$E), $H3))</f>
        <v>36.3</v>
      </c>
      <c r="P3" s="603" t="str">
        <f t="array" ref="P3">INDEX($B:$B, MATCH(1, ($F:$F=N$2)*($E:$E=O3)*($C:$C=$I3), 0))</f>
        <v>MUTTS</v>
      </c>
      <c r="Q3" s="600" t="str">
        <f t="array" ref="Q3">INDEX($D:$D, MATCH(1, ($F:$F=Q$2)*($E:$E=R3)*($C:$C=$I3), 0))</f>
        <v>J. HURTS</v>
      </c>
      <c r="R3" s="601">
        <f t="array" ref="R3">IF(LARGE(IF(($F:$F=Q$2)*($C:$C=$I3), $E:$E), $H3)=0,"N/A",LARGE(IF(($F:$F=Q$2)*($C:$C=$I3), $E:$E), $H3))</f>
        <v>37.94</v>
      </c>
      <c r="S3" s="603" t="str">
        <f t="array" ref="S3">INDEX($B:$B, MATCH(1, ($F:$F=Q$2)*($E:$E=R3)*($C:$C=$I3), 0))</f>
        <v>METAMOOKDAWGS</v>
      </c>
      <c r="T3" s="600" t="str">
        <f t="array" ref="T3">INDEX($D:$D, MATCH(1, ($F:$F=T$2)*($E:$E=U3)*($C:$C=$I3), 0))</f>
        <v>P. MAHOMES</v>
      </c>
      <c r="U3" s="601">
        <f t="array" ref="U3">IF(LARGE(IF(($F:$F=T$2)*($C:$C=$I3), $E:$E), $H3)=0,"N/A",LARGE(IF(($F:$F=T$2)*($C:$C=$I3), $E:$E), $H3))</f>
        <v>38.3</v>
      </c>
      <c r="V3" s="603" t="str">
        <f t="array" ref="V3">INDEX($B:$B, MATCH(1, ($F:$F=T$2)*($E:$E=U3)*($C:$C=$I3), 0))</f>
        <v>KINGS</v>
      </c>
      <c r="W3" s="600" t="str">
        <f t="array" ref="W3">INDEX($D:$D, MATCH(1, ($F:$F=W$2)*($E:$E=X3)*($C:$C=$I3), 0))</f>
        <v>C. STROUD</v>
      </c>
      <c r="X3" s="601">
        <f t="array" ref="X3">IF(LARGE(IF(($F:$F=W$2)*($C:$C=$I3), $E:$E), $H3)=0,"N/A",LARGE(IF(($F:$F=W$2)*($C:$C=$I3), $E:$E), $H3))</f>
        <v>40.66</v>
      </c>
      <c r="Y3" s="603" t="str">
        <f t="array" ref="Y3">INDEX($B:$B, MATCH(1, ($F:$F=W$2)*($E:$E=X3)*($C:$C=$I3), 0))</f>
        <v>YARDIES</v>
      </c>
      <c r="Z3" s="600" t="str">
        <f t="array" ref="Z3">INDEX($D:$D, MATCH(1, ($F:$F=Z$2)*($E:$E=AA3)*($C:$C=$I3), 0))</f>
        <v>P. MAHOMES</v>
      </c>
      <c r="AA3" s="601">
        <f t="array" ref="AA3">IF(LARGE(IF(($F:$F=Z$2)*($C:$C=$I3), $E:$E), $H3)=0,"N/A",LARGE(IF(($F:$F=Z$2)*($C:$C=$I3), $E:$E), $H3))</f>
        <v>41.28</v>
      </c>
      <c r="AB3" s="603" t="str">
        <f t="array" ref="AB3">INDEX($B:$B, MATCH(1, ($F:$F=Z$2)*($E:$E=AA3)*($C:$C=$I3), 0))</f>
        <v>KINGS</v>
      </c>
      <c r="AC3" s="600" t="str">
        <f t="array" ref="AC3">INDEX($D:$D, MATCH(1, ($F:$F=AC$2)*($E:$E=AD3)*($C:$C=$I3), 0))</f>
        <v>B. NIX</v>
      </c>
      <c r="AD3" s="601">
        <f t="array" ref="AD3">IF(LARGE(IF(($F:$F=AC$2)*($C:$C=$I3), $E:$E), $H3)=0,"N/A",LARGE(IF(($F:$F=AC$2)*($C:$C=$I3), $E:$E), $H3))</f>
        <v>45.26</v>
      </c>
      <c r="AE3" s="603" t="str">
        <f t="array" ref="AE3">INDEX($B:$B, MATCH(1, ($F:$F=AC$2)*($E:$E=AD3)*($C:$C=$I3), 0))</f>
        <v>GREEN</v>
      </c>
      <c r="AF3" s="600" t="str">
        <f t="array" ref="AF3">INDEX($D:$D, MATCH(1, ($F:$F=AF$2)*($E:$E=AG3)*($C:$C=$I3), 0))</f>
        <v>J. LOVE</v>
      </c>
      <c r="AG3" s="601">
        <f t="array" ref="AG3">IF(LARGE(IF(($F:$F=AF$2)*($C:$C=$I3), $E:$E), $H3)=0,"N/A",LARGE(IF(($F:$F=AF$2)*($C:$C=$I3), $E:$E), $H3))</f>
        <v>39.6</v>
      </c>
      <c r="AH3" s="603" t="str">
        <f t="array" ref="AH3">INDEX($B:$B, MATCH(1, ($F:$F=AF$2)*($E:$E=AG3)*($C:$C=$I3), 0))</f>
        <v>YARDIES</v>
      </c>
      <c r="AI3" s="600" t="str">
        <f t="array" ref="AI3">INDEX($D:$D, MATCH(1, ($F:$F=AI$2)*($E:$E=AJ3)*($C:$C=$I3), 0))</f>
        <v>S. DARNOLD</v>
      </c>
      <c r="AJ3" s="601">
        <f t="array" ref="AJ3">IF(LARGE(IF(($F:$F=AI$2)*($C:$C=$I3), $E:$E), $H3)=0,"N/A",LARGE(IF(($F:$F=AI$2)*($C:$C=$I3), $E:$E), $H3))</f>
        <v>39</v>
      </c>
      <c r="AK3" s="603" t="str">
        <f t="array" ref="AK3">INDEX($B:$B, MATCH(1, ($F:$F=AI$2)*($E:$E=AJ3)*($C:$C=$I3), 0))</f>
        <v>POPEYES</v>
      </c>
      <c r="AL3" s="600" t="str">
        <f t="array" ref="AL3">INDEX($D:$D, MATCH(1, ($F:$F=AL$2)*($E:$E=AM3)*($C:$C=$I3), 0))</f>
        <v>M. STAFFORD</v>
      </c>
      <c r="AM3" s="601">
        <f t="array" ref="AM3">IF(LARGE(IF(($F:$F=AL$2)*($C:$C=$I3), $E:$E), $H3)=0,"N/A",LARGE(IF(($F:$F=AL$2)*($C:$C=$I3), $E:$E), $H3))</f>
        <v>37.6</v>
      </c>
      <c r="AN3" s="603" t="str">
        <f t="array" ref="AN3">INDEX($B:$B, MATCH(1, ($F:$F=AL$2)*($E:$E=AM3)*($C:$C=$I3), 0))</f>
        <v>GREEN</v>
      </c>
      <c r="AO3" s="600" t="str">
        <f t="array" ref="AO3">INDEX($D:$D, MATCH(1, ($F:$F=AO$2)*($E:$E=AP3)*($C:$C=$I3), 0))</f>
        <v>J. ALLEN</v>
      </c>
      <c r="AP3" s="601">
        <f t="array" ref="AP3">IF(LARGE(IF(($F:$F=AO$2)*($C:$C=$I3), $E:$E), $H3)=0,"N/A",LARGE(IF(($F:$F=AO$2)*($C:$C=$I3), $E:$E), $H3))</f>
        <v>50.28</v>
      </c>
      <c r="AQ3" s="603" t="str">
        <f t="array" ref="AQ3">INDEX($B:$B, MATCH(1, ($F:$F=AO$2)*($E:$E=AP3)*($C:$C=$I3), 0))</f>
        <v>EAGLES</v>
      </c>
      <c r="AR3" s="600" t="str">
        <f t="array" ref="AR3">INDEX($D:$D, MATCH(1, ($F:$F=AR$2)*($E:$E=AS3)*($C:$C=$I3), 0))</f>
        <v>J. HURTS</v>
      </c>
      <c r="AS3" s="601">
        <f t="array" ref="AS3">IF(LARGE(IF(($F:$F=AR$2)*($C:$C=$I3), $E:$E), $H3)=0,"N/A",LARGE(IF(($F:$F=AR$2)*($C:$C=$I3), $E:$E), $H3))</f>
        <v>36.56</v>
      </c>
      <c r="AT3" s="603" t="str">
        <f t="array" ref="AT3">INDEX($B:$B, MATCH(1, ($F:$F=AR$2)*($E:$E=AS3)*($C:$C=$I3), 0))</f>
        <v>METAMOOKDAWGS</v>
      </c>
      <c r="AU3" s="600" t="str">
        <f t="array" ref="AU3">INDEX($D:$D, MATCH(1, ($F:$F=AU$2)*($E:$E=AV3)*($C:$C=$I3), 0))</f>
        <v>P. MAHOMES</v>
      </c>
      <c r="AV3" s="601">
        <f t="array" ref="AV3">IF(LARGE(IF(($F:$F=AU$2)*($C:$C=$I3), $E:$E), $H3)=0,"N/A",LARGE(IF(($F:$F=AU$2)*($C:$C=$I3), $E:$E), $H3))</f>
        <v>40.14</v>
      </c>
      <c r="AW3" s="603" t="str">
        <f t="array" ref="AW3">INDEX($B:$B, MATCH(1, ($F:$F=AU$2)*($E:$E=AV3)*($C:$C=$I3), 0))</f>
        <v>KINGS</v>
      </c>
      <c r="AX3" s="600" t="str">
        <f t="array" ref="AX3">INDEX($D:$D, MATCH(1, ($F:$F=AX$2)*($E:$E=AY3)*($C:$C=$I3), 0))</f>
        <v>J. ALLEN</v>
      </c>
      <c r="AY3" s="601">
        <f t="array" ref="AY3">IF(LARGE(IF(($F:$F=AX$2)*($C:$C=$I3), $E:$E), $H3)=0,"N/A",LARGE(IF(($F:$F=AX$2)*($C:$C=$I3), $E:$E), $H3))</f>
        <v>47.94</v>
      </c>
      <c r="AZ3" s="603" t="str">
        <f t="array" ref="AZ3">INDEX($B:$B, MATCH(1, ($F:$F=AX$2)*($E:$E=AY3)*($C:$C=$I3), 0))</f>
        <v>EAGLES</v>
      </c>
      <c r="BB3" s="640">
        <f t="shared" ref="BB3:BB12" si="1">_xlfn.RANK.EQ(BD3,$BD$3:$BD$12)</f>
        <v>10</v>
      </c>
      <c r="BC3" s="641" t="str">
        <f>Settings!A3</f>
        <v>DECOUPES</v>
      </c>
      <c r="BD3" s="643">
        <f t="shared" ref="BD3:BD12" si="2">COUNTIF($K$3:$AZ$13,BC3)+BF3</f>
        <v>11</v>
      </c>
      <c r="BE3" s="13">
        <f>'League Standings'!A2</f>
        <v>3</v>
      </c>
      <c r="BF3" s="18">
        <v>0.0</v>
      </c>
      <c r="BG3" s="13">
        <f t="shared" ref="BG3:BG12" si="3">COUNTIF($K$3:$AZ$13,BC3)</f>
        <v>11</v>
      </c>
      <c r="BI3" s="644" t="s">
        <v>100</v>
      </c>
      <c r="BJ3" s="645">
        <v>1.0</v>
      </c>
      <c r="BK3" s="645" t="s">
        <v>540</v>
      </c>
      <c r="BL3" s="645" t="str">
        <f t="array" ref="BL3">INDEX(B:B, MATCH(LARGE(_xlws.FILTER(E:E, C:C=BI3), BJ3), E:E, 0))</f>
        <v>#NAME?</v>
      </c>
      <c r="BM3" s="645" t="str">
        <f t="array" ref="BM3">INDEX(D:D, MATCH(LARGE(_xlws.FILTER(E:E, C:C=BI3), BJ3), E:E, 0))</f>
        <v>#NAME?</v>
      </c>
      <c r="BN3" s="647" t="str">
        <f t="array" ref="BN3">LARGE(_xlws.FILTER(E:E, C:C=BI3), BJ3)</f>
        <v>#NAME?</v>
      </c>
      <c r="BO3" s="648" t="str">
        <f t="array" ref="BO3">INDEX(F:F, MATCH(LARGE(_xlws.FILTER(E:E, C:C=BI3), BJ3), E:E, 0))</f>
        <v>#NAME?</v>
      </c>
      <c r="BP3" s="13" t="str">
        <f t="array" ref="BP3">INDEX(A:A, MATCH(LARGE(_xlws.FILTER(E:E, C:C=BI3), BJ3), E:E, 0))</f>
        <v>#NAME?</v>
      </c>
    </row>
    <row r="4" ht="15.75" customHeight="1">
      <c r="A4" s="585">
        <v>3.0</v>
      </c>
      <c r="B4" s="586" t="str">
        <f>Settings!$A$3</f>
        <v>DECOUPES</v>
      </c>
      <c r="C4" s="596" t="s">
        <v>106</v>
      </c>
      <c r="D4" s="13" t="str">
        <f>'Entry Sheet'!B7</f>
        <v>B. IRVING</v>
      </c>
      <c r="E4" s="230">
        <f>'Entry Sheet'!C7</f>
        <v>15.9</v>
      </c>
      <c r="F4" s="589" t="s">
        <v>512</v>
      </c>
      <c r="H4" s="13">
        <v>1.0</v>
      </c>
      <c r="I4" s="13" t="s">
        <v>106</v>
      </c>
      <c r="J4" s="585" t="s">
        <v>541</v>
      </c>
      <c r="K4" s="653" t="str">
        <f t="array" ref="K4">INDEX($D:$D, MATCH(1, ($F:$F=K$2)*($E:$E=L4)*($C:$C=$I4), 0))</f>
        <v>D. HENRY</v>
      </c>
      <c r="L4" s="655">
        <f t="array" ref="L4">IF(LARGE(IF(($F:$F=K$2)*($C:$C=$I4), $E:$E), $H4)=0,"N/A",LARGE(IF(($F:$F=K$2)*($C:$C=$I4), $E:$E), $H4))</f>
        <v>32</v>
      </c>
      <c r="M4" s="658" t="str">
        <f t="array" ref="M4">INDEX($B:$B, MATCH(1, ($F:$F=K$2)*($E:$E=L4)*($C:$C=$I4), 0))</f>
        <v>YARDIES</v>
      </c>
      <c r="N4" s="653" t="str">
        <f t="array" ref="N4">INDEX($D:$D, MATCH(1, ($F:$F=N$2)*($E:$E=O4)*($C:$C=$I4), 0))</f>
        <v>J. TAYLOR</v>
      </c>
      <c r="O4" s="655">
        <f t="array" ref="O4">IF(LARGE(IF(($F:$F=N$2)*($C:$C=$I4), $E:$E), $H4)=0,"N/A",LARGE(IF(($F:$F=N$2)*($C:$C=$I4), $E:$E), $H4))</f>
        <v>33</v>
      </c>
      <c r="P4" s="658" t="str">
        <f t="array" ref="P4">INDEX($B:$B, MATCH(1, ($F:$F=N$2)*($E:$E=O4)*($C:$C=$I4), 0))</f>
        <v>GREEN</v>
      </c>
      <c r="Q4" s="653" t="str">
        <f t="array" ref="Q4">INDEX($D:$D, MATCH(1, ($F:$F=Q$2)*($E:$E=R4)*($C:$C=$I4), 0))</f>
        <v>J. TAYLOR</v>
      </c>
      <c r="R4" s="655">
        <f t="array" ref="R4">IF(LARGE(IF(($F:$F=Q$2)*($C:$C=$I4), $E:$E), $H4)=0,"N/A",LARGE(IF(($F:$F=Q$2)*($C:$C=$I4), $E:$E), $H4))</f>
        <v>35.5</v>
      </c>
      <c r="S4" s="658" t="str">
        <f t="array" ref="S4">INDEX($B:$B, MATCH(1, ($F:$F=Q$2)*($E:$E=R4)*($C:$C=$I4), 0))</f>
        <v>GREEN</v>
      </c>
      <c r="T4" s="653" t="str">
        <f t="array" ref="T4">INDEX($D:$D, MATCH(1, ($F:$F=T$2)*($E:$E=U4)*($C:$C=$I4), 0))</f>
        <v>J. JACOBS</v>
      </c>
      <c r="U4" s="655">
        <f t="array" ref="U4">IF(LARGE(IF(($F:$F=T$2)*($C:$C=$I4), $E:$E), $H4)=0,"N/A",LARGE(IF(($F:$F=T$2)*($C:$C=$I4), $E:$E), $H4))</f>
        <v>33.9</v>
      </c>
      <c r="V4" s="658" t="str">
        <f t="array" ref="V4">INDEX($B:$B, MATCH(1, ($F:$F=T$2)*($E:$E=U4)*($C:$C=$I4), 0))</f>
        <v>CHAMPS</v>
      </c>
      <c r="W4" s="653" t="str">
        <f t="array" ref="W4">INDEX($D:$D, MATCH(1, ($F:$F=W$2)*($E:$E=X4)*($C:$C=$I4), 0))</f>
        <v>J. TAYLOR</v>
      </c>
      <c r="X4" s="655">
        <f t="array" ref="X4">IF(LARGE(IF(($F:$F=W$2)*($C:$C=$I4), $E:$E), $H4)=0,"N/A",LARGE(IF(($F:$F=W$2)*($C:$C=$I4), $E:$E), $H4))</f>
        <v>33.3</v>
      </c>
      <c r="Y4" s="658" t="str">
        <f t="array" ref="Y4">INDEX($B:$B, MATCH(1, ($F:$F=W$2)*($E:$E=X4)*($C:$C=$I4), 0))</f>
        <v>GREEN</v>
      </c>
      <c r="Z4" s="653" t="str">
        <f t="array" ref="Z4">INDEX($D:$D, MATCH(1, ($F:$F=Z$2)*($E:$E=AA4)*($C:$C=$I4), 0))</f>
        <v>B. ROBINSON</v>
      </c>
      <c r="AA4" s="655">
        <f t="array" ref="AA4">IF(LARGE(IF(($F:$F=Z$2)*($C:$C=$I4), $E:$E), $H4)=0,"N/A",LARGE(IF(($F:$F=Z$2)*($C:$C=$I4), $E:$E), $H4))</f>
        <v>38.7</v>
      </c>
      <c r="AB4" s="658" t="str">
        <f t="array" ref="AB4">INDEX($B:$B, MATCH(1, ($F:$F=Z$2)*($E:$E=AA4)*($C:$C=$I4), 0))</f>
        <v>GREEN</v>
      </c>
      <c r="AC4" s="653" t="str">
        <f t="array" ref="AC4">INDEX($D:$D, MATCH(1, ($F:$F=AC$2)*($E:$E=AD4)*($C:$C=$I4), 0))</f>
        <v>C. MCCAFFREY</v>
      </c>
      <c r="AD4" s="655">
        <f t="array" ref="AD4">IF(LARGE(IF(($F:$F=AC$2)*($C:$C=$I4), $E:$E), $H4)=0,"N/A",LARGE(IF(($F:$F=AC$2)*($C:$C=$I4), $E:$E), $H4))</f>
        <v>42.5</v>
      </c>
      <c r="AE4" s="658" t="str">
        <f t="array" ref="AE4">INDEX($B:$B, MATCH(1, ($F:$F=AC$2)*($E:$E=AD4)*($C:$C=$I4), 0))</f>
        <v>KINGS</v>
      </c>
      <c r="AF4" s="653" t="str">
        <f t="array" ref="AF4">INDEX($D:$D, MATCH(1, ($F:$F=AF$2)*($E:$E=AG4)*($C:$C=$I4), 0))</f>
        <v>J. TAYLOR</v>
      </c>
      <c r="AG4" s="655">
        <f t="array" ref="AG4">IF(LARGE(IF(($F:$F=AF$2)*($C:$C=$I4), $E:$E), $H4)=0,"N/A",LARGE(IF(($F:$F=AF$2)*($C:$C=$I4), $E:$E), $H4))</f>
        <v>39.6</v>
      </c>
      <c r="AH4" s="658" t="str">
        <f t="array" ref="AH4">INDEX($B:$B, MATCH(1, ($F:$F=AF$2)*($E:$E=AG4)*($C:$C=$I4), 0))</f>
        <v>GREEN</v>
      </c>
      <c r="AI4" s="653" t="str">
        <f t="array" ref="AI4">INDEX($D:$D, MATCH(1, ($F:$F=AI$2)*($E:$E=AJ4)*($C:$C=$I4), 0))</f>
        <v>C. MCCAFFREY</v>
      </c>
      <c r="AJ4" s="655">
        <f t="array" ref="AJ4">IF(LARGE(IF(($F:$F=AI$2)*($C:$C=$I4), $E:$E), $H4)=0,"N/A",LARGE(IF(($F:$F=AI$2)*($C:$C=$I4), $E:$E), $H4))</f>
        <v>38.1</v>
      </c>
      <c r="AK4" s="658" t="str">
        <f t="array" ref="AK4">INDEX($B:$B, MATCH(1, ($F:$F=AI$2)*($E:$E=AJ4)*($C:$C=$I4), 0))</f>
        <v>KINGS</v>
      </c>
      <c r="AL4" s="653" t="str">
        <f t="array" ref="AL4">INDEX($D:$D, MATCH(1, ($F:$F=AL$2)*($E:$E=AM4)*($C:$C=$I4), 0))</f>
        <v>J. TAYLOR</v>
      </c>
      <c r="AM4" s="655">
        <f t="array" ref="AM4">IF(LARGE(IF(($F:$F=AL$2)*($C:$C=$I4), $E:$E), $H4)=0,"N/A",LARGE(IF(($F:$F=AL$2)*($C:$C=$I4), $E:$E), $H4))</f>
        <v>54.8</v>
      </c>
      <c r="AN4" s="658" t="str">
        <f t="array" ref="AN4">INDEX($B:$B, MATCH(1, ($F:$F=AL$2)*($E:$E=AM4)*($C:$C=$I4), 0))</f>
        <v>GREEN</v>
      </c>
      <c r="AO4" s="653" t="str">
        <f t="array" ref="AO4">INDEX($D:$D, MATCH(1, ($F:$F=AO$2)*($E:$E=AP4)*($C:$C=$I4), 0))</f>
        <v>C. MCCAFFREY</v>
      </c>
      <c r="AP4" s="655">
        <f t="array" ref="AP4">IF(LARGE(IF(($F:$F=AO$2)*($C:$C=$I4), $E:$E), $H4)=0,"N/A",LARGE(IF(($F:$F=AO$2)*($C:$C=$I4), $E:$E), $H4))</f>
        <v>36.4</v>
      </c>
      <c r="AQ4" s="658" t="str">
        <f t="array" ref="AQ4">INDEX($B:$B, MATCH(1, ($F:$F=AO$2)*($E:$E=AP4)*($C:$C=$I4), 0))</f>
        <v>KINGS</v>
      </c>
      <c r="AR4" s="653" t="str">
        <f t="array" ref="AR4">INDEX($D:$D, MATCH(1, ($F:$F=AR$2)*($E:$E=AS4)*($C:$C=$I4), 0))</f>
        <v>J. GIBBS</v>
      </c>
      <c r="AS4" s="655">
        <f t="array" ref="AS4">IF(LARGE(IF(($F:$F=AR$2)*($C:$C=$I4), $E:$E), $H4)=0,"N/A",LARGE(IF(($F:$F=AR$2)*($C:$C=$I4), $E:$E), $H4))</f>
        <v>58.9</v>
      </c>
      <c r="AT4" s="658" t="str">
        <f t="array" ref="AT4">INDEX($B:$B, MATCH(1, ($F:$F=AR$2)*($E:$E=AS4)*($C:$C=$I4), 0))</f>
        <v>DECOUPES</v>
      </c>
      <c r="AU4" s="653" t="str">
        <f t="array" ref="AU4">INDEX($D:$D, MATCH(1, ($F:$F=AU$2)*($E:$E=AV4)*($C:$C=$I4), 0))</f>
        <v>B. ROBINSON</v>
      </c>
      <c r="AV4" s="655">
        <f t="array" ref="AV4">IF(LARGE(IF(($F:$F=AU$2)*($C:$C=$I4), $E:$E), $H4)=0,"N/A",LARGE(IF(($F:$F=AU$2)*($C:$C=$I4), $E:$E), $H4))</f>
        <v>33.6</v>
      </c>
      <c r="AW4" s="658" t="str">
        <f t="array" ref="AW4">INDEX($B:$B, MATCH(1, ($F:$F=AU$2)*($E:$E=AV4)*($C:$C=$I4), 0))</f>
        <v>GREEN</v>
      </c>
      <c r="AX4" s="653" t="str">
        <f t="array" ref="AX4">INDEX($D:$D, MATCH(1, ($F:$F=AX$2)*($E:$E=AY4)*($C:$C=$I4), 0))</f>
        <v>J. GIBBS</v>
      </c>
      <c r="AY4" s="655">
        <f t="array" ref="AY4">IF(LARGE(IF(($F:$F=AX$2)*($C:$C=$I4), $E:$E), $H4)=0,"N/A",LARGE(IF(($F:$F=AX$2)*($C:$C=$I4), $E:$E), $H4))</f>
        <v>38.2</v>
      </c>
      <c r="AZ4" s="658" t="str">
        <f t="array" ref="AZ4">INDEX($B:$B, MATCH(1, ($F:$F=AX$2)*($E:$E=AY4)*($C:$C=$I4), 0))</f>
        <v>DECOUPES</v>
      </c>
      <c r="BB4" s="640">
        <f t="shared" si="1"/>
        <v>6</v>
      </c>
      <c r="BC4" s="701" t="str">
        <f>Settings!A4</f>
        <v>POPEYES</v>
      </c>
      <c r="BD4" s="702">
        <f t="shared" si="2"/>
        <v>15</v>
      </c>
      <c r="BE4" s="13">
        <f>'League Standings'!A3</f>
        <v>5</v>
      </c>
      <c r="BF4" s="18">
        <v>0.0</v>
      </c>
      <c r="BG4" s="13">
        <f t="shared" si="3"/>
        <v>15</v>
      </c>
      <c r="BI4" s="703" t="s">
        <v>100</v>
      </c>
      <c r="BJ4" s="471">
        <v>2.0</v>
      </c>
      <c r="BK4" s="471" t="s">
        <v>549</v>
      </c>
      <c r="BL4" s="471" t="str">
        <f t="array" ref="BL4">INDEX(B:B, MATCH(LARGE(_xlws.FILTER(E:E, C:C=BI4), BJ4), E:E, 0))</f>
        <v>#NAME?</v>
      </c>
      <c r="BM4" s="471" t="str">
        <f t="array" ref="BM4">INDEX(D:D, MATCH(LARGE(_xlws.FILTER(E:E, C:C=BI4), BJ4), E:E, 0))</f>
        <v>#NAME?</v>
      </c>
      <c r="BN4" s="704" t="str">
        <f t="array" ref="BN4">LARGE(_xlws.FILTER(E:E, C:C=BI4), BJ4)</f>
        <v>#NAME?</v>
      </c>
      <c r="BO4" s="705" t="str">
        <f t="array" ref="BO4">INDEX(F:F, MATCH(LARGE(_xlws.FILTER(E:E, C:C=BI4), BJ4), E:E, 0))</f>
        <v>#NAME?</v>
      </c>
      <c r="BP4" s="13" t="str">
        <f t="array" ref="BP4">INDEX(A:A, MATCH(LARGE(_xlws.FILTER(E:E, C:C=BI4), BJ4), E:E, 0))</f>
        <v>#NAME?</v>
      </c>
    </row>
    <row r="5" ht="15.75" customHeight="1">
      <c r="A5" s="585">
        <v>4.0</v>
      </c>
      <c r="B5" s="586" t="str">
        <f>Settings!$A$3</f>
        <v>DECOUPES</v>
      </c>
      <c r="C5" s="596" t="s">
        <v>106</v>
      </c>
      <c r="D5" s="13" t="str">
        <f>'Entry Sheet'!B8</f>
        <v/>
      </c>
      <c r="E5" s="230" t="str">
        <f>'Entry Sheet'!C8</f>
        <v/>
      </c>
      <c r="F5" s="589" t="s">
        <v>512</v>
      </c>
      <c r="H5" s="13">
        <v>2.0</v>
      </c>
      <c r="I5" s="13" t="s">
        <v>106</v>
      </c>
      <c r="J5" s="585" t="s">
        <v>550</v>
      </c>
      <c r="K5" s="653" t="str">
        <f t="array" ref="K5">INDEX($D:$D, MATCH(1, ($F:$F=K$2)*($E:$E=L5)*($C:$C=$I5), 0))</f>
        <v>B. ROBINSON</v>
      </c>
      <c r="L5" s="655">
        <f t="array" ref="L5">IF(LARGE(IF(($F:$F=K$2)*($C:$C=$I5), $E:$E), $H5)=0,"N/A",LARGE(IF(($F:$F=K$2)*($C:$C=$I5), $E:$E), $H5))</f>
        <v>26.6</v>
      </c>
      <c r="M5" s="658" t="str">
        <f t="array" ref="M5">INDEX($B:$B, MATCH(1, ($F:$F=K$2)*($E:$E=L5)*($C:$C=$I5), 0))</f>
        <v>GREEN</v>
      </c>
      <c r="N5" s="653" t="str">
        <f t="array" ref="N5">INDEX($D:$D, MATCH(1, ($F:$F=N$2)*($E:$E=O5)*($C:$C=$I5), 0))</f>
        <v>D. ACHANE</v>
      </c>
      <c r="O5" s="655">
        <f t="array" ref="O5">IF(LARGE(IF(($F:$F=N$2)*($C:$C=$I5), $E:$E), $H5)=0,"N/A",LARGE(IF(($F:$F=N$2)*($C:$C=$I5), $E:$E), $H5))</f>
        <v>27.3</v>
      </c>
      <c r="P5" s="658" t="str">
        <f t="array" ref="P5">INDEX($B:$B, MATCH(1, ($F:$F=N$2)*($E:$E=O5)*($C:$C=$I5), 0))</f>
        <v>POPEYES</v>
      </c>
      <c r="Q5" s="653" t="str">
        <f t="array" ref="Q5">INDEX($D:$D, MATCH(1, ($F:$F=Q$2)*($E:$E=R5)*($C:$C=$I5), 0))</f>
        <v>J. GIBBS</v>
      </c>
      <c r="R5" s="655">
        <f t="array" ref="R5">IF(LARGE(IF(($F:$F=Q$2)*($C:$C=$I5), $E:$E), $H5)=0,"N/A",LARGE(IF(($F:$F=Q$2)*($C:$C=$I5), $E:$E), $H5))</f>
        <v>29.1</v>
      </c>
      <c r="S5" s="658" t="str">
        <f t="array" ref="S5">INDEX($B:$B, MATCH(1, ($F:$F=Q$2)*($E:$E=R5)*($C:$C=$I5), 0))</f>
        <v>CHAMPS</v>
      </c>
      <c r="T5" s="653" t="str">
        <f t="array" ref="T5">INDEX($D:$D, MATCH(1, ($F:$F=T$2)*($E:$E=U5)*($C:$C=$I5), 0))</f>
        <v>B. ROBINSON</v>
      </c>
      <c r="U5" s="655">
        <f t="array" ref="U5">IF(LARGE(IF(($F:$F=T$2)*($C:$C=$I5), $E:$E), $H5)=0,"N/A",LARGE(IF(($F:$F=T$2)*($C:$C=$I5), $E:$E), $H5))</f>
        <v>30.8</v>
      </c>
      <c r="V5" s="658" t="str">
        <f t="array" ref="V5">INDEX($B:$B, MATCH(1, ($F:$F=T$2)*($E:$E=U5)*($C:$C=$I5), 0))</f>
        <v>GREEN</v>
      </c>
      <c r="W5" s="653" t="str">
        <f t="array" ref="W5">INDEX($D:$D, MATCH(1, ($F:$F=W$2)*($E:$E=X5)*($C:$C=$I5), 0))</f>
        <v>K. WILLIAMS</v>
      </c>
      <c r="X5" s="655">
        <f t="array" ref="X5">IF(LARGE(IF(($F:$F=W$2)*($C:$C=$I5), $E:$E), $H5)=0,"N/A",LARGE(IF(($F:$F=W$2)*($C:$C=$I5), $E:$E), $H5))</f>
        <v>32.5</v>
      </c>
      <c r="Y5" s="658" t="str">
        <f t="array" ref="Y5">INDEX($B:$B, MATCH(1, ($F:$F=W$2)*($E:$E=X5)*($C:$C=$I5), 0))</f>
        <v>CHAMPS</v>
      </c>
      <c r="Z5" s="653" t="str">
        <f t="array" ref="Z5">INDEX($D:$D, MATCH(1, ($F:$F=Z$2)*($E:$E=AA5)*($C:$C=$I5), 0))</f>
        <v>J. JACOBS</v>
      </c>
      <c r="AA5" s="655">
        <f t="array" ref="AA5">IF(LARGE(IF(($F:$F=Z$2)*($C:$C=$I5), $E:$E), $H5)=0,"N/A",LARGE(IF(($F:$F=Z$2)*($C:$C=$I5), $E:$E), $H5))</f>
        <v>33.8</v>
      </c>
      <c r="AB5" s="658" t="str">
        <f t="array" ref="AB5">INDEX($B:$B, MATCH(1, ($F:$F=Z$2)*($E:$E=AA5)*($C:$C=$I5), 0))</f>
        <v>CHAMPS</v>
      </c>
      <c r="AC5" s="653" t="str">
        <f t="array" ref="AC5">INDEX($D:$D, MATCH(1, ($F:$F=AC$2)*($E:$E=AD5)*($C:$C=$I5), 0))</f>
        <v>J. GIBBS</v>
      </c>
      <c r="AD5" s="655">
        <f t="array" ref="AD5">IF(LARGE(IF(($F:$F=AC$2)*($C:$C=$I5), $E:$E), $H5)=0,"N/A",LARGE(IF(($F:$F=AC$2)*($C:$C=$I5), $E:$E), $H5))</f>
        <v>39.5</v>
      </c>
      <c r="AE5" s="658" t="str">
        <f t="array" ref="AE5">INDEX($B:$B, MATCH(1, ($F:$F=AC$2)*($E:$E=AD5)*($C:$C=$I5), 0))</f>
        <v>DECOUPES</v>
      </c>
      <c r="AF5" s="653" t="str">
        <f t="array" ref="AF5">INDEX($D:$D, MATCH(1, ($F:$F=AF$2)*($E:$E=AG5)*($C:$C=$I5), 0))</f>
        <v>B. HALL</v>
      </c>
      <c r="AG5" s="655">
        <f t="array" ref="AG5">IF(LARGE(IF(($F:$F=AF$2)*($C:$C=$I5), $E:$E), $H5)=0,"N/A",LARGE(IF(($F:$F=AF$2)*($C:$C=$I5), $E:$E), $H5))</f>
        <v>37.86</v>
      </c>
      <c r="AH5" s="658" t="str">
        <f t="array" ref="AH5">INDEX($B:$B, MATCH(1, ($F:$F=AF$2)*($E:$E=AG5)*($C:$C=$I5), 0))</f>
        <v>MUTTS</v>
      </c>
      <c r="AI5" s="653" t="str">
        <f t="array" ref="AI5">INDEX($D:$D, MATCH(1, ($F:$F=AI$2)*($E:$E=AJ5)*($C:$C=$I5), 0))</f>
        <v>R. DOWDLE</v>
      </c>
      <c r="AJ5" s="655">
        <f t="array" ref="AJ5">IF(LARGE(IF(($F:$F=AI$2)*($C:$C=$I5), $E:$E), $H5)=0,"N/A",LARGE(IF(($F:$F=AI$2)*($C:$C=$I5), $E:$E), $H5))</f>
        <v>31.6</v>
      </c>
      <c r="AK5" s="658" t="str">
        <f t="array" ref="AK5">INDEX($B:$B, MATCH(1, ($F:$F=AI$2)*($E:$E=AJ5)*($C:$C=$I5), 0))</f>
        <v>YARDIES</v>
      </c>
      <c r="AL5" s="653" t="str">
        <f t="array" ref="AL5">INDEX($D:$D, MATCH(1, ($F:$F=AL$2)*($E:$E=AM5)*($C:$C=$I5), 0))</f>
        <v>D. ACHANE</v>
      </c>
      <c r="AM5" s="655">
        <f t="array" ref="AM5">IF(LARGE(IF(($F:$F=AL$2)*($C:$C=$I5), $E:$E), $H5)=0,"N/A",LARGE(IF(($F:$F=AL$2)*($C:$C=$I5), $E:$E), $H5))</f>
        <v>43.7</v>
      </c>
      <c r="AN5" s="658" t="str">
        <f t="array" ref="AN5">INDEX($B:$B, MATCH(1, ($F:$F=AL$2)*($E:$E=AM5)*($C:$C=$I5), 0))</f>
        <v>POPEYES</v>
      </c>
      <c r="AO5" s="653" t="str">
        <f t="array" ref="AO5">INDEX($D:$D, MATCH(1, ($F:$F=AO$2)*($E:$E=AP5)*($C:$C=$I5), 0))</f>
        <v>T. HENDERSON</v>
      </c>
      <c r="AP5" s="655">
        <f t="array" ref="AP5">IF(LARGE(IF(($F:$F=AO$2)*($C:$C=$I5), $E:$E), $H5)=0,"N/A",LARGE(IF(($F:$F=AO$2)*($C:$C=$I5), $E:$E), $H5))</f>
        <v>34.2</v>
      </c>
      <c r="AQ5" s="658" t="str">
        <f t="array" ref="AQ5">INDEX($B:$B, MATCH(1, ($F:$F=AO$2)*($E:$E=AP5)*($C:$C=$I5), 0))</f>
        <v>POPEYES</v>
      </c>
      <c r="AR5" s="653" t="str">
        <f t="array" ref="AR5">INDEX($D:$D, MATCH(1, ($F:$F=AR$2)*($E:$E=AS5)*($C:$C=$I5), 0))</f>
        <v>C. MCCAFFREY</v>
      </c>
      <c r="AS5" s="655">
        <f t="array" ref="AS5">IF(LARGE(IF(($F:$F=AR$2)*($C:$C=$I5), $E:$E), $H5)=0,"N/A",LARGE(IF(($F:$F=AR$2)*($C:$C=$I5), $E:$E), $H5))</f>
        <v>29.6</v>
      </c>
      <c r="AT5" s="658" t="str">
        <f t="array" ref="AT5">INDEX($B:$B, MATCH(1, ($F:$F=AR$2)*($E:$E=AS5)*($C:$C=$I5), 0))</f>
        <v>KINGS</v>
      </c>
      <c r="AU5" s="653" t="str">
        <f t="array" ref="AU5">INDEX($D:$D, MATCH(1, ($F:$F=AU$2)*($E:$E=AV5)*($C:$C=$I5), 0))</f>
        <v>J. COOK</v>
      </c>
      <c r="AV5" s="655">
        <f t="array" ref="AV5">IF(LARGE(IF(($F:$F=AU$2)*($C:$C=$I5), $E:$E), $H5)=0,"N/A",LARGE(IF(($F:$F=AU$2)*($C:$C=$I5), $E:$E), $H5))</f>
        <v>22.9</v>
      </c>
      <c r="AW5" s="658" t="str">
        <f t="array" ref="AW5">INDEX($B:$B, MATCH(1, ($F:$F=AU$2)*($E:$E=AV5)*($C:$C=$I5), 0))</f>
        <v>MUTTS</v>
      </c>
      <c r="AX5" s="653" t="str">
        <f t="array" ref="AX5">INDEX($D:$D, MATCH(1, ($F:$F=AX$2)*($E:$E=AY5)*($C:$C=$I5), 0))</f>
        <v>R. HARVEY</v>
      </c>
      <c r="AY5" s="655">
        <f t="array" ref="AY5">IF(LARGE(IF(($F:$F=AX$2)*($C:$C=$I5), $E:$E), $H5)=0,"N/A",LARGE(IF(($F:$F=AX$2)*($C:$C=$I5), $E:$E), $H5))</f>
        <v>23.7</v>
      </c>
      <c r="AZ5" s="658" t="str">
        <f t="array" ref="AZ5">INDEX($B:$B, MATCH(1, ($F:$F=AX$2)*($E:$E=AY5)*($C:$C=$I5), 0))</f>
        <v>METAMOOKDAWGS</v>
      </c>
      <c r="BB5" s="640">
        <f t="shared" si="1"/>
        <v>1</v>
      </c>
      <c r="BC5" s="706" t="str">
        <f>Settings!A5</f>
        <v>GREEN</v>
      </c>
      <c r="BD5" s="707">
        <f t="shared" si="2"/>
        <v>23</v>
      </c>
      <c r="BE5" s="13">
        <f>'League Standings'!A4</f>
        <v>1</v>
      </c>
      <c r="BF5" s="18">
        <v>0.0</v>
      </c>
      <c r="BG5" s="13">
        <f t="shared" si="3"/>
        <v>23</v>
      </c>
      <c r="BI5" s="708" t="s">
        <v>100</v>
      </c>
      <c r="BJ5" s="709">
        <v>3.0</v>
      </c>
      <c r="BK5" s="709" t="s">
        <v>551</v>
      </c>
      <c r="BL5" s="709" t="str">
        <f t="array" ref="BL5">INDEX(B:B, MATCH(LARGE(_xlws.FILTER(E:E, C:C=BI5), BJ5), E:E, 0))</f>
        <v>#NAME?</v>
      </c>
      <c r="BM5" s="709" t="str">
        <f t="array" ref="BM5">INDEX(D:D, MATCH(LARGE(_xlws.FILTER(E:E, C:C=BI5), BJ5), E:E, 0))</f>
        <v>#NAME?</v>
      </c>
      <c r="BN5" s="710" t="str">
        <f t="array" ref="BN5">LARGE(_xlws.FILTER(E:E, C:C=BI5), BJ5)</f>
        <v>#NAME?</v>
      </c>
      <c r="BO5" s="711" t="str">
        <f t="array" ref="BO5">INDEX(F:F, MATCH(LARGE(_xlws.FILTER(E:E, C:C=BI5), BJ5), E:E, 0))</f>
        <v>#NAME?</v>
      </c>
      <c r="BP5" s="13" t="str">
        <f t="array" ref="BP5">INDEX(A:A, MATCH(LARGE(_xlws.FILTER(E:E, C:C=BI5), BJ5), E:E, 0))</f>
        <v>#NAME?</v>
      </c>
    </row>
    <row r="6" ht="15.75" customHeight="1">
      <c r="A6" s="585">
        <v>5.0</v>
      </c>
      <c r="B6" s="586" t="str">
        <f>Settings!$A$3</f>
        <v>DECOUPES</v>
      </c>
      <c r="C6" s="712" t="s">
        <v>117</v>
      </c>
      <c r="D6" s="13" t="str">
        <f>'Entry Sheet'!B9</f>
        <v>C. LAMB</v>
      </c>
      <c r="E6" s="230">
        <f>'Entry Sheet'!C9</f>
        <v>19</v>
      </c>
      <c r="F6" s="589" t="s">
        <v>512</v>
      </c>
      <c r="H6" s="13">
        <v>1.0</v>
      </c>
      <c r="I6" s="13" t="s">
        <v>117</v>
      </c>
      <c r="J6" s="585" t="s">
        <v>552</v>
      </c>
      <c r="K6" s="713" t="str">
        <f t="array" ref="K6">INDEX($D:$D, MATCH(1, ($F:$F=K$2)*($E:$E=L6)*($C:$C=$I6), 0))</f>
        <v>Z. FLOWERS</v>
      </c>
      <c r="L6" s="655">
        <f t="array" ref="L6">IF(LARGE(IF(($F:$F=K$2)*($C:$C=$I6), $E:$E), $H6)=0,"N/A",LARGE(IF(($F:$F=K$2)*($C:$C=$I6), $E:$E), $H6))</f>
        <v>29.3</v>
      </c>
      <c r="M6" s="658" t="str">
        <f t="array" ref="M6">INDEX($B:$B, MATCH(1, ($F:$F=K$2)*($E:$E=L6)*($C:$C=$I6), 0))</f>
        <v>YARDIES</v>
      </c>
      <c r="N6" s="713" t="str">
        <f t="array" ref="N6">INDEX($D:$D, MATCH(1, ($F:$F=N$2)*($E:$E=O6)*($C:$C=$I6), 0))</f>
        <v>A. ST. BROWN</v>
      </c>
      <c r="O6" s="655">
        <f t="array" ref="O6">IF(LARGE(IF(($F:$F=N$2)*($C:$C=$I6), $E:$E), $H6)=0,"N/A",LARGE(IF(($F:$F=N$2)*($C:$C=$I6), $E:$E), $H6))</f>
        <v>40.4</v>
      </c>
      <c r="P6" s="658" t="str">
        <f t="array" ref="P6">INDEX($B:$B, MATCH(1, ($F:$F=N$2)*($E:$E=O6)*($C:$C=$I6), 0))</f>
        <v>MUTTS</v>
      </c>
      <c r="Q6" s="713" t="str">
        <f t="array" ref="Q6">INDEX($D:$D, MATCH(1, ($F:$F=Q$2)*($E:$E=R6)*($C:$C=$I6), 0))</f>
        <v>C. SUTTON</v>
      </c>
      <c r="R6" s="655">
        <f t="array" ref="R6">IF(LARGE(IF(($F:$F=Q$2)*($C:$C=$I6), $E:$E), $H6)=0,"N/A",LARGE(IF(($F:$F=Q$2)*($C:$C=$I6), $E:$E), $H6))</f>
        <v>24.8</v>
      </c>
      <c r="S6" s="658" t="str">
        <f t="array" ref="S6">INDEX($B:$B, MATCH(1, ($F:$F=Q$2)*($E:$E=R6)*($C:$C=$I6), 0))</f>
        <v>GREEN</v>
      </c>
      <c r="T6" s="713" t="str">
        <f t="array" ref="T6">INDEX($D:$D, MATCH(1, ($F:$F=T$2)*($E:$E=U6)*($C:$C=$I6), 0))</f>
        <v>P. NACUA</v>
      </c>
      <c r="U6" s="655">
        <f t="array" ref="U6">IF(LARGE(IF(($F:$F=T$2)*($C:$C=$I6), $E:$E), $H6)=0,"N/A",LARGE(IF(($F:$F=T$2)*($C:$C=$I6), $E:$E), $H6))</f>
        <v>37</v>
      </c>
      <c r="V6" s="658" t="str">
        <f t="array" ref="V6">INDEX($B:$B, MATCH(1, ($F:$F=T$2)*($E:$E=U6)*($C:$C=$I6), 0))</f>
        <v>POPEYES</v>
      </c>
      <c r="W6" s="713" t="str">
        <f t="array" ref="W6">INDEX($D:$D, MATCH(1, ($F:$F=W$2)*($E:$E=X6)*($C:$C=$I6), 0))</f>
        <v>E. EGBUKA</v>
      </c>
      <c r="X6" s="655">
        <f t="array" ref="X6">IF(LARGE(IF(($F:$F=W$2)*($C:$C=$I6), $E:$E), $H6)=0,"N/A",LARGE(IF(($F:$F=W$2)*($C:$C=$I6), $E:$E), $H6))</f>
        <v>32.3</v>
      </c>
      <c r="Y6" s="658" t="str">
        <f t="array" ref="Y6">INDEX($B:$B, MATCH(1, ($F:$F=W$2)*($E:$E=X6)*($C:$C=$I6), 0))</f>
        <v>POPEYES</v>
      </c>
      <c r="Z6" s="713" t="str">
        <f t="array" ref="Z6">INDEX($D:$D, MATCH(1, ($F:$F=Z$2)*($E:$E=AA6)*($C:$C=$I6), 0))</f>
        <v>D. LONDON</v>
      </c>
      <c r="AA6" s="655">
        <f t="array" ref="AA6">IF(LARGE(IF(($F:$F=Z$2)*($C:$C=$I6), $E:$E), $H6)=0,"N/A",LARGE(IF(($F:$F=Z$2)*($C:$C=$I6), $E:$E), $H6))</f>
        <v>32.8</v>
      </c>
      <c r="AB6" s="658" t="str">
        <f t="array" ref="AB6">INDEX($B:$B, MATCH(1, ($F:$F=Z$2)*($E:$E=AA6)*($C:$C=$I6), 0))</f>
        <v>SAVAGES</v>
      </c>
      <c r="AC6" s="713" t="str">
        <f t="array" ref="AC6">INDEX($D:$D, MATCH(1, ($F:$F=AC$2)*($E:$E=AD6)*($C:$C=$I6), 0))</f>
        <v>J. CHASE</v>
      </c>
      <c r="AD6" s="655">
        <f t="array" ref="AD6">IF(LARGE(IF(($F:$F=AC$2)*($C:$C=$I6), $E:$E), $H6)=0,"N/A",LARGE(IF(($F:$F=AC$2)*($C:$C=$I6), $E:$E), $H6))</f>
        <v>39.1</v>
      </c>
      <c r="AE6" s="658" t="str">
        <f t="array" ref="AE6">INDEX($B:$B, MATCH(1, ($F:$F=AC$2)*($E:$E=AD6)*($C:$C=$I6), 0))</f>
        <v>SAVAGES</v>
      </c>
      <c r="AF6" s="713" t="str">
        <f t="array" ref="AF6">INDEX($D:$D, MATCH(1, ($F:$F=AF$2)*($E:$E=AG6)*($C:$C=$I6), 0))</f>
        <v>R. RICE</v>
      </c>
      <c r="AG6" s="655">
        <f t="array" ref="AG6">IF(LARGE(IF(($F:$F=AF$2)*($C:$C=$I6), $E:$E), $H6)=0,"N/A",LARGE(IF(($F:$F=AF$2)*($C:$C=$I6), $E:$E), $H6))</f>
        <v>25.7</v>
      </c>
      <c r="AH6" s="658" t="str">
        <f t="array" ref="AH6">INDEX($B:$B, MATCH(1, ($F:$F=AF$2)*($E:$E=AG6)*($C:$C=$I6), 0))</f>
        <v>DECOUPES</v>
      </c>
      <c r="AI6" s="713" t="str">
        <f t="array" ref="AI6">INDEX($D:$D, MATCH(1, ($F:$F=AI$2)*($E:$E=AJ6)*($C:$C=$I6), 0))</f>
        <v>D. LONDON</v>
      </c>
      <c r="AJ6" s="655">
        <f t="array" ref="AJ6">IF(LARGE(IF(($F:$F=AI$2)*($C:$C=$I6), $E:$E), $H6)=0,"N/A",LARGE(IF(($F:$F=AI$2)*($C:$C=$I6), $E:$E), $H6))</f>
        <v>39.8</v>
      </c>
      <c r="AK6" s="658" t="str">
        <f t="array" ref="AK6">INDEX($B:$B, MATCH(1, ($F:$F=AI$2)*($E:$E=AJ6)*($C:$C=$I6), 0))</f>
        <v>SAVAGES</v>
      </c>
      <c r="AL6" s="713" t="str">
        <f t="array" ref="AL6">INDEX($D:$D, MATCH(1, ($F:$F=AL$2)*($E:$E=AM6)*($C:$C=$I6), 0))</f>
        <v>D. LONDON</v>
      </c>
      <c r="AM6" s="655">
        <f t="array" ref="AM6">IF(LARGE(IF(($F:$F=AL$2)*($C:$C=$I6), $E:$E), $H6)=0,"N/A",LARGE(IF(($F:$F=AL$2)*($C:$C=$I6), $E:$E), $H6))</f>
        <v>25.4</v>
      </c>
      <c r="AN6" s="658" t="str">
        <f t="array" ref="AN6">INDEX($B:$B, MATCH(1, ($F:$F=AL$2)*($E:$E=AM6)*($C:$C=$I6), 0))</f>
        <v>SAVAGES</v>
      </c>
      <c r="AO6" s="713" t="str">
        <f t="array" ref="AO6">INDEX($D:$D, MATCH(1, ($F:$F=AO$2)*($E:$E=AP6)*($C:$C=$I6), 0))</f>
        <v>G. PICKENS</v>
      </c>
      <c r="AP6" s="655">
        <f t="array" ref="AP6">IF(LARGE(IF(($F:$F=AO$2)*($C:$C=$I6), $E:$E), $H6)=0,"N/A",LARGE(IF(($F:$F=AO$2)*($C:$C=$I6), $E:$E), $H6))</f>
        <v>30.4</v>
      </c>
      <c r="AQ6" s="658" t="str">
        <f t="array" ref="AQ6">INDEX($B:$B, MATCH(1, ($F:$F=AO$2)*($E:$E=AP6)*($C:$C=$I6), 0))</f>
        <v>EAGLES</v>
      </c>
      <c r="AR6" s="713" t="str">
        <f t="array" ref="AR6">INDEX($D:$D, MATCH(1, ($F:$F=AR$2)*($E:$E=AS6)*($C:$C=$I6), 0))</f>
        <v>J. SMITH-NJIGBA</v>
      </c>
      <c r="AS6" s="655">
        <f t="array" ref="AS6">IF(LARGE(IF(($F:$F=AR$2)*($C:$C=$I6), $E:$E), $H6)=0,"N/A",LARGE(IF(($F:$F=AR$2)*($C:$C=$I6), $E:$E), $H6))</f>
        <v>38.2</v>
      </c>
      <c r="AT6" s="658" t="str">
        <f t="array" ref="AT6">INDEX($B:$B, MATCH(1, ($F:$F=AR$2)*($E:$E=AS6)*($C:$C=$I6), 0))</f>
        <v>METAMOOKDAWGS</v>
      </c>
      <c r="AU6" s="713" t="str">
        <f t="array" ref="AU6">INDEX($D:$D, MATCH(1, ($F:$F=AU$2)*($E:$E=AV6)*($C:$C=$I6), 0))</f>
        <v>A. BROWN</v>
      </c>
      <c r="AV6" s="655">
        <f t="array" ref="AV6">IF(LARGE(IF(($F:$F=AU$2)*($C:$C=$I6), $E:$E), $H6)=0,"N/A",LARGE(IF(($F:$F=AU$2)*($C:$C=$I6), $E:$E), $H6))</f>
        <v>36.2</v>
      </c>
      <c r="AW6" s="658" t="str">
        <f t="array" ref="AW6">INDEX($B:$B, MATCH(1, ($F:$F=AU$2)*($E:$E=AV6)*($C:$C=$I6), 0))</f>
        <v>GREEN</v>
      </c>
      <c r="AX6" s="713" t="str">
        <f t="array" ref="AX6">INDEX($D:$D, MATCH(1, ($F:$F=AX$2)*($E:$E=AY6)*($C:$C=$I6), 0))</f>
        <v>P. NACUA</v>
      </c>
      <c r="AY6" s="655">
        <f t="array" ref="AY6">IF(LARGE(IF(($F:$F=AX$2)*($C:$C=$I6), $E:$E), $H6)=0,"N/A",LARGE(IF(($F:$F=AX$2)*($C:$C=$I6), $E:$E), $H6))</f>
        <v>36.7</v>
      </c>
      <c r="AZ6" s="658" t="str">
        <f t="array" ref="AZ6">INDEX($B:$B, MATCH(1, ($F:$F=AX$2)*($E:$E=AY6)*($C:$C=$I6), 0))</f>
        <v>POPEYES</v>
      </c>
      <c r="BB6" s="640">
        <f t="shared" si="1"/>
        <v>3</v>
      </c>
      <c r="BC6" s="733" t="str">
        <f>Settings!A6</f>
        <v>SAVAGES</v>
      </c>
      <c r="BD6" s="734">
        <f t="shared" si="2"/>
        <v>16</v>
      </c>
      <c r="BE6" s="13">
        <f>'League Standings'!A5</f>
        <v>9</v>
      </c>
      <c r="BF6" s="18">
        <v>0.0</v>
      </c>
      <c r="BG6" s="13">
        <f t="shared" si="3"/>
        <v>16</v>
      </c>
      <c r="BI6" s="735" t="s">
        <v>106</v>
      </c>
      <c r="BJ6" s="736">
        <v>1.0</v>
      </c>
      <c r="BK6" s="736" t="s">
        <v>540</v>
      </c>
      <c r="BL6" s="736" t="str">
        <f t="array" ref="BL6">INDEX(B:B, MATCH(LARGE(_xlws.FILTER(E:E, C:C=BI6), BJ6), E:E, 0))</f>
        <v>#NAME?</v>
      </c>
      <c r="BM6" s="736" t="str">
        <f t="array" ref="BM6">INDEX(D:D, MATCH(LARGE(_xlws.FILTER(E:E, C:C=BI6), BJ6), E:E, 0))</f>
        <v>#NAME?</v>
      </c>
      <c r="BN6" s="737" t="str">
        <f t="array" ref="BN6">LARGE(_xlws.FILTER(E:E, C:C=BI6), BJ6)</f>
        <v>#NAME?</v>
      </c>
      <c r="BO6" s="738" t="str">
        <f t="array" ref="BO6">INDEX(F:F, MATCH(LARGE(_xlws.FILTER(E:E, C:C=BI6), BJ6), E:E, 0))</f>
        <v>#NAME?</v>
      </c>
      <c r="BP6" s="13" t="str">
        <f t="array" ref="BP6">INDEX(A:A, MATCH(LARGE(_xlws.FILTER(E:E, C:C=BI6), BJ6), E:E, 0))</f>
        <v>#NAME?</v>
      </c>
    </row>
    <row r="7" ht="15.75" customHeight="1">
      <c r="A7" s="585">
        <v>6.0</v>
      </c>
      <c r="B7" s="586" t="str">
        <f>Settings!$A$3</f>
        <v>DECOUPES</v>
      </c>
      <c r="C7" s="712" t="s">
        <v>117</v>
      </c>
      <c r="D7" s="13" t="str">
        <f>'Entry Sheet'!B10</f>
        <v>J. MEYERS</v>
      </c>
      <c r="E7" s="230">
        <f>'Entry Sheet'!C10</f>
        <v>17.7</v>
      </c>
      <c r="F7" s="589" t="s">
        <v>512</v>
      </c>
      <c r="H7" s="13">
        <v>2.0</v>
      </c>
      <c r="I7" s="13" t="s">
        <v>117</v>
      </c>
      <c r="J7" s="585" t="s">
        <v>558</v>
      </c>
      <c r="K7" s="713" t="str">
        <f t="array" ref="K7">INDEX($D:$D, MATCH(1, ($F:$F=K$2)*($E:$E=L7)*($C:$C=$I7), 0))</f>
        <v>D. SAMUEL</v>
      </c>
      <c r="L7" s="655">
        <f t="array" ref="L7">IF(LARGE(IF(($F:$F=K$2)*($C:$C=$I7), $E:$E), $H7)=0,"N/A",LARGE(IF(($F:$F=K$2)*($C:$C=$I7), $E:$E), $H7))</f>
        <v>25.2</v>
      </c>
      <c r="M7" s="658" t="str">
        <f t="array" ref="M7">INDEX($B:$B, MATCH(1, ($F:$F=K$2)*($E:$E=L7)*($C:$C=$I7), 0))</f>
        <v>MUTTS</v>
      </c>
      <c r="N7" s="713" t="str">
        <f t="array" ref="N7">INDEX($D:$D, MATCH(1, ($F:$F=N$2)*($E:$E=O7)*($C:$C=$I7), 0))</f>
        <v>M. NABERS</v>
      </c>
      <c r="O7" s="655">
        <f t="array" ref="O7">IF(LARGE(IF(($F:$F=N$2)*($C:$C=$I7), $E:$E), $H7)=0,"N/A",LARGE(IF(($F:$F=N$2)*($C:$C=$I7), $E:$E), $H7))</f>
        <v>38.7</v>
      </c>
      <c r="P7" s="658" t="str">
        <f t="array" ref="P7">INDEX($B:$B, MATCH(1, ($F:$F=N$2)*($E:$E=O7)*($C:$C=$I7), 0))</f>
        <v>EAGLES</v>
      </c>
      <c r="Q7" s="713" t="str">
        <f t="array" ref="Q7">INDEX($D:$D, MATCH(1, ($F:$F=Q$2)*($E:$E=R7)*($C:$C=$I7), 0))</f>
        <v>G. WILSON</v>
      </c>
      <c r="R7" s="655">
        <f t="array" ref="R7">IF(LARGE(IF(($F:$F=Q$2)*($C:$C=$I7), $E:$E), $H7)=0,"N/A",LARGE(IF(($F:$F=Q$2)*($C:$C=$I7), $E:$E), $H7))</f>
        <v>24.4</v>
      </c>
      <c r="S7" s="658" t="str">
        <f t="array" ref="S7">INDEX($B:$B, MATCH(1, ($F:$F=Q$2)*($E:$E=R7)*($C:$C=$I7), 0))</f>
        <v>CHAMPS</v>
      </c>
      <c r="T7" s="713" t="str">
        <f t="array" ref="T7">INDEX($D:$D, MATCH(1, ($F:$F=T$2)*($E:$E=U7)*($C:$C=$I7), 0))</f>
        <v>A. ST. BROWN</v>
      </c>
      <c r="U7" s="655">
        <f t="array" ref="U7">IF(LARGE(IF(($F:$F=T$2)*($C:$C=$I7), $E:$E), $H7)=0,"N/A",LARGE(IF(($F:$F=T$2)*($C:$C=$I7), $E:$E), $H7))</f>
        <v>26</v>
      </c>
      <c r="V7" s="658" t="str">
        <f t="array" ref="V7">INDEX($B:$B, MATCH(1, ($F:$F=T$2)*($E:$E=U7)*($C:$C=$I7), 0))</f>
        <v>MUTTS</v>
      </c>
      <c r="W7" s="713" t="str">
        <f t="array" ref="W7">INDEX($D:$D, MATCH(1, ($F:$F=W$2)*($E:$E=X7)*($C:$C=$I7), 0))</f>
        <v>J. CHASE</v>
      </c>
      <c r="X7" s="655">
        <f t="array" ref="X7">IF(LARGE(IF(($F:$F=W$2)*($C:$C=$I7), $E:$E), $H7)=0,"N/A",LARGE(IF(($F:$F=W$2)*($C:$C=$I7), $E:$E), $H7))</f>
        <v>30</v>
      </c>
      <c r="Y7" s="658" t="str">
        <f t="array" ref="Y7">INDEX($B:$B, MATCH(1, ($F:$F=W$2)*($E:$E=X7)*($C:$C=$I7), 0))</f>
        <v>SAVAGES</v>
      </c>
      <c r="Z7" s="713" t="str">
        <f t="array" ref="Z7">INDEX($D:$D, MATCH(1, ($F:$F=Z$2)*($E:$E=AA7)*($C:$C=$I7), 0))</f>
        <v>J. SMITH-NJIGBA</v>
      </c>
      <c r="AA7" s="655">
        <f t="array" ref="AA7">IF(LARGE(IF(($F:$F=Z$2)*($C:$C=$I7), $E:$E), $H7)=0,"N/A",LARGE(IF(($F:$F=Z$2)*($C:$C=$I7), $E:$E), $H7))</f>
        <v>31.2</v>
      </c>
      <c r="AB7" s="658" t="str">
        <f t="array" ref="AB7">INDEX($B:$B, MATCH(1, ($F:$F=Z$2)*($E:$E=AA7)*($C:$C=$I7), 0))</f>
        <v>METAMOOKDAWGS</v>
      </c>
      <c r="AC7" s="713" t="str">
        <f t="array" ref="AC7">INDEX($D:$D, MATCH(1, ($F:$F=AC$2)*($E:$E=AD7)*($C:$C=$I7), 0))</f>
        <v>D. SMITH</v>
      </c>
      <c r="AD7" s="655">
        <f t="array" ref="AD7">IF(LARGE(IF(($F:$F=AC$2)*($C:$C=$I7), $E:$E), $H7)=0,"N/A",LARGE(IF(($F:$F=AC$2)*($C:$C=$I7), $E:$E), $H7))</f>
        <v>34.3</v>
      </c>
      <c r="AE7" s="658" t="str">
        <f t="array" ref="AE7">INDEX($B:$B, MATCH(1, ($F:$F=AC$2)*($E:$E=AD7)*($C:$C=$I7), 0))</f>
        <v>POPEYES</v>
      </c>
      <c r="AF7" s="713" t="str">
        <f t="array" ref="AF7">INDEX($D:$D, MATCH(1, ($F:$F=AF$2)*($E:$E=AG7)*($C:$C=$I7), 0))</f>
        <v>C. DIKE</v>
      </c>
      <c r="AG7" s="655">
        <f t="array" ref="AG7">IF(LARGE(IF(($F:$F=AF$2)*($C:$C=$I7), $E:$E), $H7)=0,"N/A",LARGE(IF(($F:$F=AF$2)*($C:$C=$I7), $E:$E), $H7))</f>
        <v>25.25</v>
      </c>
      <c r="AH7" s="658" t="str">
        <f t="array" ref="AH7">INDEX($B:$B, MATCH(1, ($F:$F=AF$2)*($E:$E=AG7)*($C:$C=$I7), 0))</f>
        <v>YARDIES</v>
      </c>
      <c r="AI7" s="713" t="str">
        <f t="array" ref="AI7">INDEX($D:$D, MATCH(1, ($F:$F=AI$2)*($E:$E=AJ7)*($C:$C=$I7), 0))</f>
        <v>D.J. MOORE</v>
      </c>
      <c r="AJ7" s="655">
        <f t="array" ref="AJ7">IF(LARGE(IF(($F:$F=AI$2)*($C:$C=$I7), $E:$E), $H7)=0,"N/A",LARGE(IF(($F:$F=AI$2)*($C:$C=$I7), $E:$E), $H7))</f>
        <v>25.28</v>
      </c>
      <c r="AK7" s="658" t="str">
        <f t="array" ref="AK7">INDEX($B:$B, MATCH(1, ($F:$F=AI$2)*($E:$E=AJ7)*($C:$C=$I7), 0))</f>
        <v>KINGS</v>
      </c>
      <c r="AL7" s="713" t="str">
        <f t="array" ref="AL7">INDEX($D:$D, MATCH(1, ($F:$F=AL$2)*($E:$E=AM7)*($C:$C=$I7), 0))</f>
        <v>J. WILLIAMS</v>
      </c>
      <c r="AM7" s="655">
        <f t="array" ref="AM7">IF(LARGE(IF(($F:$F=AL$2)*($C:$C=$I7), $E:$E), $H7)=0,"N/A",LARGE(IF(($F:$F=AL$2)*($C:$C=$I7), $E:$E), $H7))</f>
        <v>24.9</v>
      </c>
      <c r="AN7" s="658" t="str">
        <f t="array" ref="AN7">INDEX($B:$B, MATCH(1, ($F:$F=AL$2)*($E:$E=AM7)*($C:$C=$I7), 0))</f>
        <v>EAGLES</v>
      </c>
      <c r="AO7" s="713" t="str">
        <f t="array" ref="AO7">INDEX($D:$D, MATCH(1, ($F:$F=AO$2)*($E:$E=AP7)*($C:$C=$I7), 0))</f>
        <v>G. DORTCH</v>
      </c>
      <c r="AP7" s="655">
        <f t="array" ref="AP7">IF(LARGE(IF(($F:$F=AO$2)*($C:$C=$I7), $E:$E), $H7)=0,"N/A",LARGE(IF(($F:$F=AO$2)*($C:$C=$I7), $E:$E), $H7))</f>
        <v>25.1</v>
      </c>
      <c r="AQ7" s="658" t="str">
        <f t="array" ref="AQ7">INDEX($B:$B, MATCH(1, ($F:$F=AO$2)*($E:$E=AP7)*($C:$C=$I7), 0))</f>
        <v>CHAMPS</v>
      </c>
      <c r="AR7" s="713" t="str">
        <f t="array" ref="AR7">INDEX($D:$D, MATCH(1, ($F:$F=AR$2)*($E:$E=AS7)*($C:$C=$I7), 0))</f>
        <v>W. ROBINSON</v>
      </c>
      <c r="AS7" s="655">
        <f t="array" ref="AS7">IF(LARGE(IF(($F:$F=AR$2)*($C:$C=$I7), $E:$E), $H7)=0,"N/A",LARGE(IF(($F:$F=AR$2)*($C:$C=$I7), $E:$E), $H7))</f>
        <v>31.7</v>
      </c>
      <c r="AT7" s="658" t="str">
        <f t="array" ref="AT7">INDEX($B:$B, MATCH(1, ($F:$F=AR$2)*($E:$E=AS7)*($C:$C=$I7), 0))</f>
        <v>DECOUPES</v>
      </c>
      <c r="AU7" s="713" t="str">
        <f t="array" ref="AU7">INDEX($D:$D, MATCH(1, ($F:$F=AU$2)*($E:$E=AV7)*($C:$C=$I7), 0))</f>
        <v>R. RICE</v>
      </c>
      <c r="AV7" s="655">
        <f t="array" ref="AV7">IF(LARGE(IF(($F:$F=AU$2)*($C:$C=$I7), $E:$E), $H7)=0,"N/A",LARGE(IF(($F:$F=AU$2)*($C:$C=$I7), $E:$E), $H7))</f>
        <v>29.5</v>
      </c>
      <c r="AW7" s="658" t="str">
        <f t="array" ref="AW7">INDEX($B:$B, MATCH(1, ($F:$F=AU$2)*($E:$E=AV7)*($C:$C=$I7), 0))</f>
        <v>DECOUPES</v>
      </c>
      <c r="AX7" s="713" t="str">
        <f t="array" ref="AX7">INDEX($D:$D, MATCH(1, ($F:$F=AX$2)*($E:$E=AY7)*($C:$C=$I7), 0))</f>
        <v>J. SMITH-NJIGBA</v>
      </c>
      <c r="AY7" s="655">
        <f t="array" ref="AY7">IF(LARGE(IF(($F:$F=AX$2)*($C:$C=$I7), $E:$E), $H7)=0,"N/A",LARGE(IF(($F:$F=AX$2)*($C:$C=$I7), $E:$E), $H7))</f>
        <v>28.2</v>
      </c>
      <c r="AZ7" s="658" t="str">
        <f t="array" ref="AZ7">INDEX($B:$B, MATCH(1, ($F:$F=AX$2)*($E:$E=AY7)*($C:$C=$I7), 0))</f>
        <v>METAMOOKDAWGS</v>
      </c>
      <c r="BB7" s="640">
        <f t="shared" si="1"/>
        <v>8</v>
      </c>
      <c r="BC7" s="742" t="str">
        <f>Settings!A7</f>
        <v>CHAMPS</v>
      </c>
      <c r="BD7" s="743">
        <f t="shared" si="2"/>
        <v>13</v>
      </c>
      <c r="BE7" s="13">
        <f>'League Standings'!A7</f>
        <v>6</v>
      </c>
      <c r="BF7" s="18">
        <v>0.0</v>
      </c>
      <c r="BG7" s="13">
        <f t="shared" si="3"/>
        <v>13</v>
      </c>
      <c r="BI7" s="744" t="s">
        <v>106</v>
      </c>
      <c r="BJ7" s="365">
        <v>2.0</v>
      </c>
      <c r="BK7" s="365" t="s">
        <v>549</v>
      </c>
      <c r="BL7" s="365" t="str">
        <f t="array" ref="BL7">INDEX(B:B, MATCH(LARGE(_xlws.FILTER(E:E, C:C=BI7), BJ7), E:E, 0))</f>
        <v>#NAME?</v>
      </c>
      <c r="BM7" s="365" t="str">
        <f t="array" ref="BM7">INDEX(D:D, MATCH(LARGE(_xlws.FILTER(E:E, C:C=BI7), BJ7), E:E, 0))</f>
        <v>#NAME?</v>
      </c>
      <c r="BN7" s="745" t="str">
        <f t="array" ref="BN7">LARGE(_xlws.FILTER(E:E, C:C=BI7), BJ7)</f>
        <v>#NAME?</v>
      </c>
      <c r="BO7" s="746" t="str">
        <f t="array" ref="BO7">INDEX(F:F, MATCH(LARGE(_xlws.FILTER(E:E, C:C=BI7), BJ7), E:E, 0))</f>
        <v>#NAME?</v>
      </c>
      <c r="BP7" s="13" t="str">
        <f t="array" ref="BP7">INDEX(A:A, MATCH(LARGE(_xlws.FILTER(E:E, C:C=BI7), BJ7), E:E, 0))</f>
        <v>#NAME?</v>
      </c>
    </row>
    <row r="8" ht="15.75" customHeight="1">
      <c r="A8" s="585">
        <v>7.0</v>
      </c>
      <c r="B8" s="586" t="str">
        <f>Settings!$A$3</f>
        <v>DECOUPES</v>
      </c>
      <c r="C8" s="712" t="s">
        <v>117</v>
      </c>
      <c r="D8" s="13" t="str">
        <f>'Entry Sheet'!B11</f>
        <v>T. MCLAURIN</v>
      </c>
      <c r="E8" s="230">
        <f>'Entry Sheet'!C11</f>
        <v>4.7</v>
      </c>
      <c r="F8" s="589" t="s">
        <v>512</v>
      </c>
      <c r="H8" s="13">
        <v>3.0</v>
      </c>
      <c r="I8" s="13" t="s">
        <v>117</v>
      </c>
      <c r="J8" s="585" t="s">
        <v>565</v>
      </c>
      <c r="K8" s="713" t="str">
        <f t="array" ref="K8">INDEX($D:$D, MATCH(1, ($F:$F=K$2)*($E:$E=L8)*($C:$C=$I8), 0))</f>
        <v>P. NACUA</v>
      </c>
      <c r="L8" s="655">
        <f t="array" ref="L8">IF(LARGE(IF(($F:$F=K$2)*($C:$C=$I8), $E:$E), $H8)=0,"N/A",LARGE(IF(($F:$F=K$2)*($C:$C=$I8), $E:$E), $H8))</f>
        <v>24.2</v>
      </c>
      <c r="M8" s="658" t="str">
        <f t="array" ref="M8">INDEX($B:$B, MATCH(1, ($F:$F=K$2)*($E:$E=L8)*($C:$C=$I8), 0))</f>
        <v>POPEYES</v>
      </c>
      <c r="N8" s="713" t="str">
        <f t="array" ref="N8">INDEX($D:$D, MATCH(1, ($F:$F=N$2)*($E:$E=O8)*($C:$C=$I8), 0))</f>
        <v>J. CHASE</v>
      </c>
      <c r="O8" s="655">
        <f t="array" ref="O8">IF(LARGE(IF(($F:$F=N$2)*($C:$C=$I8), $E:$E), $H8)=0,"N/A",LARGE(IF(($F:$F=N$2)*($C:$C=$I8), $E:$E), $H8))</f>
        <v>37.5</v>
      </c>
      <c r="P8" s="658" t="str">
        <f t="array" ref="P8">INDEX($B:$B, MATCH(1, ($F:$F=N$2)*($E:$E=O8)*($C:$C=$I8), 0))</f>
        <v>SAVAGES</v>
      </c>
      <c r="Q8" s="713" t="str">
        <f t="array" ref="Q8">INDEX($D:$D, MATCH(1, ($F:$F=Q$2)*($E:$E=R8)*($C:$C=$I8), 0))</f>
        <v>P. NACUA</v>
      </c>
      <c r="R8" s="655">
        <f t="array" ref="R8">IF(LARGE(IF(($F:$F=Q$2)*($C:$C=$I8), $E:$E), $H8)=0,"N/A",LARGE(IF(($F:$F=Q$2)*($C:$C=$I8), $E:$E), $H8))</f>
        <v>23.9</v>
      </c>
      <c r="S8" s="658" t="str">
        <f t="array" ref="S8">INDEX($B:$B, MATCH(1, ($F:$F=Q$2)*($E:$E=R8)*($C:$C=$I8), 0))</f>
        <v>POPEYES</v>
      </c>
      <c r="T8" s="713" t="str">
        <f t="array" ref="T8">INDEX($D:$D, MATCH(1, ($F:$F=T$2)*($E:$E=U8)*($C:$C=$I8), 0))</f>
        <v>D. METCALF</v>
      </c>
      <c r="U8" s="655">
        <f t="array" ref="U8">IF(LARGE(IF(($F:$F=T$2)*($C:$C=$I8), $E:$E), $H8)=0,"N/A",LARGE(IF(($F:$F=T$2)*($C:$C=$I8), $E:$E), $H8))</f>
        <v>24.6</v>
      </c>
      <c r="V8" s="658" t="str">
        <f t="array" ref="V8">INDEX($B:$B, MATCH(1, ($F:$F=T$2)*($E:$E=U8)*($C:$C=$I8), 0))</f>
        <v>METAMOOKDAWGS</v>
      </c>
      <c r="W8" s="713" t="str">
        <f t="array" ref="W8">INDEX($D:$D, MATCH(1, ($F:$F=W$2)*($E:$E=X8)*($C:$C=$I8), 0))</f>
        <v>S. DIGGS</v>
      </c>
      <c r="X8" s="655">
        <f t="array" ref="X8">IF(LARGE(IF(($F:$F=W$2)*($C:$C=$I8), $E:$E), $H8)=0,"N/A",LARGE(IF(($F:$F=W$2)*($C:$C=$I8), $E:$E), $H8))</f>
        <v>25.6</v>
      </c>
      <c r="Y8" s="658" t="str">
        <f t="array" ref="Y8">INDEX($B:$B, MATCH(1, ($F:$F=W$2)*($E:$E=X8)*($C:$C=$I8), 0))</f>
        <v>YARDIES</v>
      </c>
      <c r="Z8" s="713" t="str">
        <f t="array" ref="Z8">INDEX($D:$D, MATCH(1, ($F:$F=Z$2)*($E:$E=AA8)*($C:$C=$I8), 0))</f>
        <v>J. CHASE</v>
      </c>
      <c r="AA8" s="655">
        <f t="array" ref="AA8">IF(LARGE(IF(($F:$F=Z$2)*($C:$C=$I8), $E:$E), $H8)=0,"N/A",LARGE(IF(($F:$F=Z$2)*($C:$C=$I8), $E:$E), $H8))</f>
        <v>25.2</v>
      </c>
      <c r="AB8" s="658" t="str">
        <f t="array" ref="AB8">INDEX($B:$B, MATCH(1, ($F:$F=Z$2)*($E:$E=AA8)*($C:$C=$I8), 0))</f>
        <v>SAVAGES</v>
      </c>
      <c r="AC8" s="713" t="str">
        <f t="array" ref="AC8">INDEX($D:$D, MATCH(1, ($F:$F=AC$2)*($E:$E=AD8)*($C:$C=$I8), 0))</f>
        <v>K. ALLEN</v>
      </c>
      <c r="AD8" s="655">
        <f t="array" ref="AD8">IF(LARGE(IF(($F:$F=AC$2)*($C:$C=$I8), $E:$E), $H8)=0,"N/A",LARGE(IF(($F:$F=AC$2)*($C:$C=$I8), $E:$E), $H8))</f>
        <v>29.9</v>
      </c>
      <c r="AE8" s="658" t="str">
        <f t="array" ref="AE8">INDEX($B:$B, MATCH(1, ($F:$F=AC$2)*($E:$E=AD8)*($C:$C=$I8), 0))</f>
        <v>SAVAGES</v>
      </c>
      <c r="AF8" s="713" t="str">
        <f t="array" ref="AF8">INDEX($D:$D, MATCH(1, ($F:$F=AF$2)*($E:$E=AG8)*($C:$C=$I8), 0))</f>
        <v>M. PITTMAN JR.</v>
      </c>
      <c r="AG8" s="655">
        <f t="array" ref="AG8">IF(LARGE(IF(($F:$F=AF$2)*($C:$C=$I8), $E:$E), $H8)=0,"N/A",LARGE(IF(($F:$F=AF$2)*($C:$C=$I8), $E:$E), $H8))</f>
        <v>23.5</v>
      </c>
      <c r="AH8" s="658" t="str">
        <f t="array" ref="AH8">INDEX($B:$B, MATCH(1, ($F:$F=AF$2)*($E:$E=AG8)*($C:$C=$I8), 0))</f>
        <v>CHAMPS</v>
      </c>
      <c r="AI8" s="713" t="str">
        <f t="array" ref="AI8">INDEX($D:$D, MATCH(1, ($F:$F=AI$2)*($E:$E=AJ8)*($C:$C=$I8), 0))</f>
        <v>J. SMITH-NJIGBA</v>
      </c>
      <c r="AJ8" s="655">
        <f t="array" ref="AJ8">IF(LARGE(IF(($F:$F=AI$2)*($C:$C=$I8), $E:$E), $H8)=0,"N/A",LARGE(IF(($F:$F=AI$2)*($C:$C=$I8), $E:$E), $H8))</f>
        <v>23.1</v>
      </c>
      <c r="AK8" s="658" t="str">
        <f t="array" ref="AK8">INDEX($B:$B, MATCH(1, ($F:$F=AI$2)*($E:$E=AJ8)*($C:$C=$I8), 0))</f>
        <v>METAMOOKDAWGS</v>
      </c>
      <c r="AL8" s="713" t="str">
        <f t="array" ref="AL8">INDEX($D:$D, MATCH(1, ($F:$F=AL$2)*($E:$E=AM8)*($C:$C=$I8), 0))</f>
        <v>E. EGBUKA</v>
      </c>
      <c r="AM8" s="655">
        <f t="array" ref="AM8">IF(LARGE(IF(($F:$F=AL$2)*($C:$C=$I8), $E:$E), $H8)=0,"N/A",LARGE(IF(($F:$F=AL$2)*($C:$C=$I8), $E:$E), $H8))</f>
        <v>24.5</v>
      </c>
      <c r="AN8" s="658" t="str">
        <f t="array" ref="AN8">INDEX($B:$B, MATCH(1, ($F:$F=AL$2)*($E:$E=AM8)*($C:$C=$I8), 0))</f>
        <v>POPEYES</v>
      </c>
      <c r="AO8" s="713" t="str">
        <f t="array" ref="AO8">INDEX($D:$D, MATCH(1, ($F:$F=AO$2)*($E:$E=AP8)*($C:$C=$I8), 0))</f>
        <v>N. COLLINS</v>
      </c>
      <c r="AP8" s="655">
        <f t="array" ref="AP8">IF(LARGE(IF(($F:$F=AO$2)*($C:$C=$I8), $E:$E), $H8)=0,"N/A",LARGE(IF(($F:$F=AO$2)*($C:$C=$I8), $E:$E), $H8))</f>
        <v>24.2</v>
      </c>
      <c r="AQ8" s="658" t="str">
        <f t="array" ref="AQ8">INDEX($B:$B, MATCH(1, ($F:$F=AO$2)*($E:$E=AP8)*($C:$C=$I8), 0))</f>
        <v>METAMOOKDAWGS</v>
      </c>
      <c r="AR8" s="713" t="str">
        <f t="array" ref="AR8">INDEX($D:$D, MATCH(1, ($F:$F=AR$2)*($E:$E=AS8)*($C:$C=$I8), 0))</f>
        <v>A. ST. BROWN</v>
      </c>
      <c r="AS8" s="655">
        <f t="array" ref="AS8">IF(LARGE(IF(($F:$F=AR$2)*($C:$C=$I8), $E:$E), $H8)=0,"N/A",LARGE(IF(($F:$F=AR$2)*($C:$C=$I8), $E:$E), $H8))</f>
        <v>30.9</v>
      </c>
      <c r="AT8" s="658" t="str">
        <f t="array" ref="AT8">INDEX($B:$B, MATCH(1, ($F:$F=AR$2)*($E:$E=AS8)*($C:$C=$I8), 0))</f>
        <v>MUTTS</v>
      </c>
      <c r="AU8" s="713" t="str">
        <f t="array" ref="AU8">INDEX($D:$D, MATCH(1, ($F:$F=AU$2)*($E:$E=AV8)*($C:$C=$I8), 0))</f>
        <v>JM. WILLIAMS</v>
      </c>
      <c r="AV8" s="655">
        <f t="array" ref="AV8">IF(LARGE(IF(($F:$F=AU$2)*($C:$C=$I8), $E:$E), $H8)=0,"N/A",LARGE(IF(($F:$F=AU$2)*($C:$C=$I8), $E:$E), $H8))</f>
        <v>28</v>
      </c>
      <c r="AW8" s="658" t="str">
        <f t="array" ref="AW8">INDEX($B:$B, MATCH(1, ($F:$F=AU$2)*($E:$E=AV8)*($C:$C=$I8), 0))</f>
        <v>EAGLES</v>
      </c>
      <c r="AX8" s="713" t="str">
        <f t="array" ref="AX8">INDEX($D:$D, MATCH(1, ($F:$F=AX$2)*($E:$E=AY8)*($C:$C=$I8), 0))</f>
        <v>T. HIGGINS</v>
      </c>
      <c r="AY8" s="655">
        <f t="array" ref="AY8">IF(LARGE(IF(($F:$F=AX$2)*($C:$C=$I8), $E:$E), $H8)=0,"N/A",LARGE(IF(($F:$F=AX$2)*($C:$C=$I8), $E:$E), $H8))</f>
        <v>27.2</v>
      </c>
      <c r="AZ8" s="658" t="str">
        <f t="array" ref="AZ8">INDEX($B:$B, MATCH(1, ($F:$F=AX$2)*($E:$E=AY8)*($C:$C=$I8), 0))</f>
        <v>SAVAGES</v>
      </c>
      <c r="BB8" s="640">
        <f t="shared" si="1"/>
        <v>3</v>
      </c>
      <c r="BC8" s="752" t="str">
        <f>Settings!A8</f>
        <v>METAMOOKDAWGS</v>
      </c>
      <c r="BD8" s="753">
        <f t="shared" si="2"/>
        <v>16</v>
      </c>
      <c r="BE8" s="13">
        <f>'League Standings'!A8</f>
        <v>10</v>
      </c>
      <c r="BF8" s="18">
        <v>0.0</v>
      </c>
      <c r="BG8" s="13">
        <f t="shared" si="3"/>
        <v>16</v>
      </c>
      <c r="BI8" s="754" t="s">
        <v>106</v>
      </c>
      <c r="BJ8" s="755">
        <v>3.0</v>
      </c>
      <c r="BK8" s="755" t="s">
        <v>551</v>
      </c>
      <c r="BL8" s="755" t="str">
        <f t="array" ref="BL8">INDEX(B:B, MATCH(LARGE(_xlws.FILTER(E:E, C:C=BI8), BJ8), E:E, 0))</f>
        <v>#NAME?</v>
      </c>
      <c r="BM8" s="755" t="str">
        <f t="array" ref="BM8">INDEX(D:D, MATCH(LARGE(_xlws.FILTER(E:E, C:C=BI8), BJ8), E:E, 0))</f>
        <v>#NAME?</v>
      </c>
      <c r="BN8" s="756" t="str">
        <f t="array" ref="BN8">LARGE(_xlws.FILTER(E:E, C:C=BI8), BJ8)</f>
        <v>#NAME?</v>
      </c>
      <c r="BO8" s="757" t="str">
        <f t="array" ref="BO8">INDEX(F:F, MATCH(LARGE(_xlws.FILTER(E:E, C:C=BI8), BJ8), E:E, 0))</f>
        <v>#NAME?</v>
      </c>
      <c r="BP8" s="13" t="str">
        <f t="array" ref="BP8">INDEX(A:A, MATCH(LARGE(_xlws.FILTER(E:E, C:C=BI8), BJ8), E:E, 0))</f>
        <v>#NAME?</v>
      </c>
    </row>
    <row r="9" ht="15.75" customHeight="1">
      <c r="A9" s="585">
        <v>8.0</v>
      </c>
      <c r="B9" s="586" t="str">
        <f>Settings!$A$3</f>
        <v>DECOUPES</v>
      </c>
      <c r="C9" s="712" t="s">
        <v>117</v>
      </c>
      <c r="D9" s="13" t="str">
        <f>'Entry Sheet'!B12</f>
        <v/>
      </c>
      <c r="E9" s="230" t="str">
        <f>'Entry Sheet'!C12</f>
        <v/>
      </c>
      <c r="F9" s="589" t="s">
        <v>512</v>
      </c>
      <c r="H9" s="13">
        <v>1.0</v>
      </c>
      <c r="I9" s="13" t="s">
        <v>132</v>
      </c>
      <c r="J9" s="585" t="s">
        <v>132</v>
      </c>
      <c r="K9" s="759" t="str">
        <f t="array" ref="K9">INDEX($D:$D, MATCH(1, ($F:$F=K$2)*($E:$E=L9)*($C:$C=$I9), 0))</f>
        <v>B. BOWERS</v>
      </c>
      <c r="L9" s="655">
        <f t="array" ref="L9">IF(LARGE(IF(($F:$F=K$2)*($C:$C=$I9), $E:$E), $H9)=0,"N/A",LARGE(IF(($F:$F=K$2)*($C:$C=$I9), $E:$E), $H9))</f>
        <v>16.3</v>
      </c>
      <c r="M9" s="658" t="str">
        <f t="array" ref="M9">INDEX($B:$B, MATCH(1, ($F:$F=K$2)*($E:$E=L9)*($C:$C=$I9), 0))</f>
        <v>YARDIES</v>
      </c>
      <c r="N9" s="759" t="str">
        <f t="array" ref="N9">INDEX($D:$D, MATCH(1, ($F:$F=N$2)*($E:$E=O9)*($C:$C=$I9), 0))</f>
        <v>J. FERGUSON</v>
      </c>
      <c r="O9" s="655">
        <f t="array" ref="O9">IF(LARGE(IF(($F:$F=N$2)*($C:$C=$I9), $E:$E), $H9)=0,"N/A",LARGE(IF(($F:$F=N$2)*($C:$C=$I9), $E:$E), $H9))</f>
        <v>16.8</v>
      </c>
      <c r="P9" s="658" t="str">
        <f t="array" ref="P9">INDEX($B:$B, MATCH(1, ($F:$F=N$2)*($E:$E=O9)*($C:$C=$I9), 0))</f>
        <v>MUTTS</v>
      </c>
      <c r="Q9" s="759" t="str">
        <f t="array" ref="Q9">INDEX($D:$D, MATCH(1, ($F:$F=Q$2)*($E:$E=R9)*($C:$C=$I9), 0))</f>
        <v>H. HENRY</v>
      </c>
      <c r="R9" s="655">
        <f t="array" ref="R9">IF(LARGE(IF(($F:$F=Q$2)*($C:$C=$I9), $E:$E), $H9)=0,"N/A",LARGE(IF(($F:$F=Q$2)*($C:$C=$I9), $E:$E), $H9))</f>
        <v>29</v>
      </c>
      <c r="S9" s="658" t="str">
        <f t="array" ref="S9">INDEX($B:$B, MATCH(1, ($F:$F=Q$2)*($E:$E=R9)*($C:$C=$I9), 0))</f>
        <v>KINGS</v>
      </c>
      <c r="T9" s="759" t="str">
        <f t="array" ref="T9">INDEX($D:$D, MATCH(1, ($F:$F=T$2)*($E:$E=U9)*($C:$C=$I9), 0))</f>
        <v>T. WARREN</v>
      </c>
      <c r="U9" s="655">
        <f t="array" ref="U9">IF(LARGE(IF(($F:$F=T$2)*($C:$C=$I9), $E:$E), $H9)=0,"N/A",LARGE(IF(($F:$F=T$2)*($C:$C=$I9), $E:$E), $H9))</f>
        <v>18.5</v>
      </c>
      <c r="V9" s="658" t="str">
        <f t="array" ref="V9">INDEX($B:$B, MATCH(1, ($F:$F=T$2)*($E:$E=U9)*($C:$C=$I9), 0))</f>
        <v>GREEN</v>
      </c>
      <c r="W9" s="759" t="str">
        <f t="array" ref="W9">INDEX($D:$D, MATCH(1, ($F:$F=W$2)*($E:$E=X9)*($C:$C=$I9), 0))</f>
        <v>J. FERGUSON</v>
      </c>
      <c r="X9" s="655">
        <f t="array" ref="X9">IF(LARGE(IF(($F:$F=W$2)*($C:$C=$I9), $E:$E), $H9)=0,"N/A",LARGE(IF(($F:$F=W$2)*($C:$C=$I9), $E:$E), $H9))</f>
        <v>23.9</v>
      </c>
      <c r="Y9" s="658" t="str">
        <f t="array" ref="Y9">INDEX($B:$B, MATCH(1, ($F:$F=W$2)*($E:$E=X9)*($C:$C=$I9), 0))</f>
        <v>MUTTS</v>
      </c>
      <c r="Z9" s="759" t="str">
        <f t="array" ref="Z9">INDEX($D:$D, MATCH(1, ($F:$F=Z$2)*($E:$E=AA9)*($C:$C=$I9), 0))</f>
        <v>T. MCBRIDE</v>
      </c>
      <c r="AA9" s="655">
        <f t="array" ref="AA9">IF(LARGE(IF(($F:$F=Z$2)*($C:$C=$I9), $E:$E), $H9)=0,"N/A",LARGE(IF(($F:$F=Z$2)*($C:$C=$I9), $E:$E), $H9))</f>
        <v>21.2</v>
      </c>
      <c r="AB9" s="658" t="str">
        <f t="array" ref="AB9">INDEX($B:$B, MATCH(1, ($F:$F=Z$2)*($E:$E=AA9)*($C:$C=$I9), 0))</f>
        <v>SAVAGES</v>
      </c>
      <c r="AC9" s="759" t="str">
        <f t="array" ref="AC9">INDEX($D:$D, MATCH(1, ($F:$F=AC$2)*($E:$E=AD9)*($C:$C=$I9), 0))</f>
        <v>T. MCBRIDE</v>
      </c>
      <c r="AD9" s="655">
        <f t="array" ref="AD9">IF(LARGE(IF(($F:$F=AC$2)*($C:$C=$I9), $E:$E), $H9)=0,"N/A",LARGE(IF(($F:$F=AC$2)*($C:$C=$I9), $E:$E), $H9))</f>
        <v>29.4</v>
      </c>
      <c r="AE9" s="658" t="str">
        <f t="array" ref="AE9">INDEX($B:$B, MATCH(1, ($F:$F=AC$2)*($E:$E=AD9)*($C:$C=$I9), 0))</f>
        <v>SAVAGES</v>
      </c>
      <c r="AF9" s="759" t="str">
        <f t="array" ref="AF9">INDEX($D:$D, MATCH(1, ($F:$F=AF$2)*($E:$E=AG9)*($C:$C=$I9), 0))</f>
        <v>T. KRAFT</v>
      </c>
      <c r="AG9" s="655">
        <f t="array" ref="AG9">IF(LARGE(IF(($F:$F=AF$2)*($C:$C=$I9), $E:$E), $H9)=0,"N/A",LARGE(IF(($F:$F=AF$2)*($C:$C=$I9), $E:$E), $H9))</f>
        <v>34.3</v>
      </c>
      <c r="AH9" s="658" t="str">
        <f t="array" ref="AH9">INDEX($B:$B, MATCH(1, ($F:$F=AF$2)*($E:$E=AG9)*($C:$C=$I9), 0))</f>
        <v>DECOUPES</v>
      </c>
      <c r="AI9" s="759" t="str">
        <f t="array" ref="AI9">INDEX($D:$D, MATCH(1, ($F:$F=AI$2)*($E:$E=AJ9)*($C:$C=$I9), 0))</f>
        <v>B. BOWERS</v>
      </c>
      <c r="AJ9" s="655">
        <f t="array" ref="AJ9">IF(LARGE(IF(($F:$F=AI$2)*($C:$C=$I9), $E:$E), $H9)=0,"N/A",LARGE(IF(($F:$F=AI$2)*($C:$C=$I9), $E:$E), $H9))</f>
        <v>44.4</v>
      </c>
      <c r="AK9" s="658" t="str">
        <f t="array" ref="AK9">INDEX($B:$B, MATCH(1, ($F:$F=AI$2)*($E:$E=AJ9)*($C:$C=$I9), 0))</f>
        <v>YARDIES</v>
      </c>
      <c r="AL9" s="759" t="str">
        <f t="array" ref="AL9">INDEX($D:$D, MATCH(1, ($F:$F=AL$2)*($E:$E=AM9)*($C:$C=$I9), 0))</f>
        <v>T. MCBRIDE</v>
      </c>
      <c r="AM9" s="655">
        <f t="array" ref="AM9">IF(LARGE(IF(($F:$F=AL$2)*($C:$C=$I9), $E:$E), $H9)=0,"N/A",LARGE(IF(($F:$F=AL$2)*($C:$C=$I9), $E:$E), $H9))</f>
        <v>28.7</v>
      </c>
      <c r="AN9" s="658" t="str">
        <f t="array" ref="AN9">INDEX($B:$B, MATCH(1, ($F:$F=AL$2)*($E:$E=AM9)*($C:$C=$I9), 0))</f>
        <v>SAVAGES</v>
      </c>
      <c r="AO9" s="759" t="str">
        <f t="array" ref="AO9">INDEX($D:$D, MATCH(1, ($F:$F=AO$2)*($E:$E=AP9)*($C:$C=$I9), 0))</f>
        <v>T. MCBRIDE</v>
      </c>
      <c r="AP9" s="655">
        <f t="array" ref="AP9">IF(LARGE(IF(($F:$F=AO$2)*($C:$C=$I9), $E:$E), $H9)=0,"N/A",LARGE(IF(($F:$F=AO$2)*($C:$C=$I9), $E:$E), $H9))</f>
        <v>28.5</v>
      </c>
      <c r="AQ9" s="658" t="str">
        <f t="array" ref="AQ9">INDEX($B:$B, MATCH(1, ($F:$F=AO$2)*($E:$E=AP9)*($C:$C=$I9), 0))</f>
        <v>SAVAGES</v>
      </c>
      <c r="AR9" s="759" t="str">
        <f t="array" ref="AR9">INDEX($D:$D, MATCH(1, ($F:$F=AR$2)*($E:$E=AS9)*($C:$C=$I9), 0))</f>
        <v>H. HENRY</v>
      </c>
      <c r="AS9" s="655">
        <f t="array" ref="AS9">IF(LARGE(IF(($F:$F=AR$2)*($C:$C=$I9), $E:$E), $H9)=0,"N/A",LARGE(IF(($F:$F=AR$2)*($C:$C=$I9), $E:$E), $H9))</f>
        <v>25.5</v>
      </c>
      <c r="AT9" s="658" t="str">
        <f t="array" ref="AT9">INDEX($B:$B, MATCH(1, ($F:$F=AR$2)*($E:$E=AS9)*($C:$C=$I9), 0))</f>
        <v>KINGS</v>
      </c>
      <c r="AU9" s="759" t="str">
        <f t="array" ref="AU9">INDEX($D:$D, MATCH(1, ($F:$F=AU$2)*($E:$E=AV9)*($C:$C=$I9), 0))</f>
        <v>B. BOWERS</v>
      </c>
      <c r="AV9" s="655">
        <f t="array" ref="AV9">IF(LARGE(IF(($F:$F=AU$2)*($C:$C=$I9), $E:$E), $H9)=0,"N/A",LARGE(IF(($F:$F=AU$2)*($C:$C=$I9), $E:$E), $H9))</f>
        <v>22.3</v>
      </c>
      <c r="AW9" s="658" t="str">
        <f t="array" ref="AW9">INDEX($B:$B, MATCH(1, ($F:$F=AU$2)*($E:$E=AV9)*($C:$C=$I9), 0))</f>
        <v>YARDIES</v>
      </c>
      <c r="AX9" s="759" t="str">
        <f t="array" ref="AX9">INDEX($D:$D, MATCH(1, ($F:$F=AX$2)*($E:$E=AY9)*($C:$C=$I9), 0))</f>
        <v>H. FANNIN</v>
      </c>
      <c r="AY9" s="655">
        <f t="array" ref="AY9">IF(LARGE(IF(($F:$F=AX$2)*($C:$C=$I9), $E:$E), $H9)=0,"N/A",LARGE(IF(($F:$F=AX$2)*($C:$C=$I9), $E:$E), $H9))</f>
        <v>26.4</v>
      </c>
      <c r="AZ9" s="658" t="str">
        <f t="array" ref="AZ9">INDEX($B:$B, MATCH(1, ($F:$F=AX$2)*($E:$E=AY9)*($C:$C=$I9), 0))</f>
        <v>POPEYES</v>
      </c>
      <c r="BB9" s="640">
        <f t="shared" si="1"/>
        <v>2</v>
      </c>
      <c r="BC9" s="762" t="str">
        <f>Settings!A9</f>
        <v>YARDIES</v>
      </c>
      <c r="BD9" s="763">
        <f t="shared" si="2"/>
        <v>17</v>
      </c>
      <c r="BE9" s="13">
        <f>'League Standings'!A9</f>
        <v>2</v>
      </c>
      <c r="BF9" s="18">
        <v>1.0</v>
      </c>
      <c r="BG9" s="13">
        <f t="shared" si="3"/>
        <v>16</v>
      </c>
      <c r="BI9" s="703" t="s">
        <v>117</v>
      </c>
      <c r="BJ9" s="471">
        <v>1.0</v>
      </c>
      <c r="BK9" s="471" t="s">
        <v>540</v>
      </c>
      <c r="BL9" s="471" t="str">
        <f t="array" ref="BL9">INDEX(B:B, MATCH(LARGE(_xlws.FILTER(E:E, C:C=BI9), BJ9), E:E, 0))</f>
        <v>#NAME?</v>
      </c>
      <c r="BM9" s="471" t="str">
        <f t="array" ref="BM9">INDEX(D:D, MATCH(LARGE(_xlws.FILTER(E:E, C:C=BI9), BJ9), E:E, 0))</f>
        <v>#NAME?</v>
      </c>
      <c r="BN9" s="704" t="str">
        <f t="array" ref="BN9">LARGE(_xlws.FILTER(E:E, C:C=BI9), BJ9)</f>
        <v>#NAME?</v>
      </c>
      <c r="BO9" s="705" t="str">
        <f t="array" ref="BO9">INDEX(F:F, MATCH(LARGE(_xlws.FILTER(E:E, C:C=BI9), BJ9), E:E, 0))</f>
        <v>#NAME?</v>
      </c>
      <c r="BP9" s="13" t="str">
        <f t="array" ref="BP9">INDEX(A:A, MATCH(LARGE(_xlws.FILTER(E:E, C:C=BI9), BJ9), E:E, 0))</f>
        <v>#NAME?</v>
      </c>
    </row>
    <row r="10" ht="15.75" customHeight="1">
      <c r="A10" s="585">
        <v>9.0</v>
      </c>
      <c r="B10" s="586" t="str">
        <f>Settings!$A$3</f>
        <v>DECOUPES</v>
      </c>
      <c r="C10" s="764" t="s">
        <v>132</v>
      </c>
      <c r="D10" s="13" t="str">
        <f>'Entry Sheet'!B13</f>
        <v>T. KELCE</v>
      </c>
      <c r="E10" s="230">
        <f>'Entry Sheet'!C13</f>
        <v>12.7</v>
      </c>
      <c r="F10" s="589" t="s">
        <v>512</v>
      </c>
      <c r="H10" s="13">
        <v>1.0</v>
      </c>
      <c r="I10" s="13" t="s">
        <v>136</v>
      </c>
      <c r="J10" s="585" t="s">
        <v>136</v>
      </c>
      <c r="K10" s="765" t="str">
        <f t="array" ref="K10">INDEX($D:$D, MATCH(1, ($F:$F=K$2)*($E:$E=L10)*($C:$C=$I10), 0))</f>
        <v>J. COOK</v>
      </c>
      <c r="L10" s="655">
        <f t="array" ref="L10">IF(LARGE(IF(($F:$F=K$2)*($C:$C=$I10), $E:$E), $H10)=0,"N/A",LARGE(IF(($F:$F=K$2)*($C:$C=$I10), $E:$E), $H10))</f>
        <v>22.5</v>
      </c>
      <c r="M10" s="658" t="str">
        <f t="array" ref="M10">INDEX($B:$B, MATCH(1, ($F:$F=K$2)*($E:$E=L10)*($C:$C=$I10), 0))</f>
        <v>MUTTS</v>
      </c>
      <c r="N10" s="765" t="str">
        <f t="array" ref="N10">INDEX($D:$D, MATCH(1, ($F:$F=N$2)*($E:$E=O10)*($C:$C=$I10), 0))</f>
        <v>J. COOK</v>
      </c>
      <c r="O10" s="655">
        <f t="array" ref="O10">IF(LARGE(IF(($F:$F=N$2)*($C:$C=$I10), $E:$E), $H10)=0,"N/A",LARGE(IF(($F:$F=N$2)*($C:$C=$I10), $E:$E), $H10))</f>
        <v>29.6</v>
      </c>
      <c r="P10" s="658" t="str">
        <f t="array" ref="P10">INDEX($B:$B, MATCH(1, ($F:$F=N$2)*($E:$E=O10)*($C:$C=$I10), 0))</f>
        <v>MUTTS</v>
      </c>
      <c r="Q10" s="765" t="str">
        <f t="array" ref="Q10">INDEX($D:$D, MATCH(1, ($F:$F=Q$2)*($E:$E=R10)*($C:$C=$I10), 0))</f>
        <v>D. MONTGOMERY</v>
      </c>
      <c r="R10" s="655">
        <f t="array" ref="R10">IF(LARGE(IF(($F:$F=Q$2)*($C:$C=$I10), $E:$E), $H10)=0,"N/A",LARGE(IF(($F:$F=Q$2)*($C:$C=$I10), $E:$E), $H10))</f>
        <v>31.6</v>
      </c>
      <c r="S10" s="658" t="str">
        <f t="array" ref="S10">INDEX($B:$B, MATCH(1, ($F:$F=Q$2)*($E:$E=R10)*($C:$C=$I10), 0))</f>
        <v>CHAMPS</v>
      </c>
      <c r="T10" s="765" t="str">
        <f t="array" ref="T10">INDEX($D:$D, MATCH(1, ($F:$F=T$2)*($E:$E=U10)*($C:$C=$I10), 0))</f>
        <v>G. PICKENS</v>
      </c>
      <c r="U10" s="655">
        <f t="array" ref="U10">IF(LARGE(IF(($F:$F=T$2)*($C:$C=$I10), $E:$E), $H10)=0,"N/A",LARGE(IF(($F:$F=T$2)*($C:$C=$I10), $E:$E), $H10))</f>
        <v>34.4</v>
      </c>
      <c r="V10" s="658" t="str">
        <f t="array" ref="V10">INDEX($B:$B, MATCH(1, ($F:$F=T$2)*($E:$E=U10)*($C:$C=$I10), 0))</f>
        <v>EAGLES</v>
      </c>
      <c r="W10" s="765" t="str">
        <f t="array" ref="W10">INDEX($D:$D, MATCH(1, ($F:$F=W$2)*($E:$E=X10)*($C:$C=$I10), 0))</f>
        <v>R. DOWDLE</v>
      </c>
      <c r="X10" s="655">
        <f t="array" ref="X10">IF(LARGE(IF(($F:$F=W$2)*($C:$C=$I10), $E:$E), $H10)=0,"N/A",LARGE(IF(($F:$F=W$2)*($C:$C=$I10), $E:$E), $H10))</f>
        <v>36.7</v>
      </c>
      <c r="Y10" s="658" t="str">
        <f t="array" ref="Y10">INDEX($B:$B, MATCH(1, ($F:$F=W$2)*($E:$E=X10)*($C:$C=$I10), 0))</f>
        <v>YARDIES</v>
      </c>
      <c r="Z10" s="765" t="str">
        <f t="array" ref="Z10">INDEX($D:$D, MATCH(1, ($F:$F=Z$2)*($E:$E=AA10)*($C:$C=$I10), 0))</f>
        <v>R. DOWDLE</v>
      </c>
      <c r="AA10" s="655">
        <f t="array" ref="AA10">IF(LARGE(IF(($F:$F=Z$2)*($C:$C=$I10), $E:$E), $H10)=0,"N/A",LARGE(IF(($F:$F=Z$2)*($C:$C=$I10), $E:$E), $H10))</f>
        <v>37.9</v>
      </c>
      <c r="AB10" s="658" t="str">
        <f t="array" ref="AB10">INDEX($B:$B, MATCH(1, ($F:$F=Z$2)*($E:$E=AA10)*($C:$C=$I10), 0))</f>
        <v>YARDIES</v>
      </c>
      <c r="AC10" s="765" t="str">
        <f t="array" ref="AC10">INDEX($D:$D, MATCH(1, ($F:$F=AC$2)*($E:$E=AD10)*($C:$C=$I10), 0))</f>
        <v>J. SMITH-NJIGBA</v>
      </c>
      <c r="AD10" s="655">
        <f t="array" ref="AD10">IF(LARGE(IF(($F:$F=AC$2)*($C:$C=$I10), $E:$E), $H10)=0,"N/A",LARGE(IF(($F:$F=AC$2)*($C:$C=$I10), $E:$E), $H10))</f>
        <v>27.3</v>
      </c>
      <c r="AE10" s="658" t="str">
        <f t="array" ref="AE10">INDEX($B:$B, MATCH(1, ($F:$F=AC$2)*($E:$E=AD10)*($C:$C=$I10), 0))</f>
        <v>METAMOOKDAWGS</v>
      </c>
      <c r="AF10" s="765" t="str">
        <f t="array" ref="AF10">INDEX($D:$D, MATCH(1, ($F:$F=AF$2)*($E:$E=AG10)*($C:$C=$I10), 0))</f>
        <v>K. VIDAL</v>
      </c>
      <c r="AG10" s="655">
        <f t="array" ref="AG10">IF(LARGE(IF(($F:$F=AF$2)*($C:$C=$I10), $E:$E), $H10)=0,"N/A",LARGE(IF(($F:$F=AF$2)*($C:$C=$I10), $E:$E), $H10))</f>
        <v>23</v>
      </c>
      <c r="AH10" s="658" t="str">
        <f t="array" ref="AH10">INDEX($B:$B, MATCH(1, ($F:$F=AF$2)*($E:$E=AG10)*($C:$C=$I10), 0))</f>
        <v>YARDIES</v>
      </c>
      <c r="AI10" s="765" t="str">
        <f t="array" ref="AI10">INDEX($D:$D, MATCH(1, ($F:$F=AI$2)*($E:$E=AJ10)*($C:$C=$I10), 0))</f>
        <v>K. MONANGAI</v>
      </c>
      <c r="AJ10" s="655">
        <f t="array" ref="AJ10">IF(LARGE(IF(($F:$F=AI$2)*($C:$C=$I10), $E:$E), $H10)=0,"N/A",LARGE(IF(($F:$F=AI$2)*($C:$C=$I10), $E:$E), $H10))</f>
        <v>26.4</v>
      </c>
      <c r="AK10" s="658" t="str">
        <f t="array" ref="AK10">INDEX($B:$B, MATCH(1, ($F:$F=AI$2)*($E:$E=AJ10)*($C:$C=$I10), 0))</f>
        <v>GREEN</v>
      </c>
      <c r="AL10" s="765" t="str">
        <f t="array" ref="AL10">INDEX($D:$D, MATCH(1, ($F:$F=AL$2)*($E:$E=AM10)*($C:$C=$I10), 0))</f>
        <v>T. ETIENNE</v>
      </c>
      <c r="AM10" s="655">
        <f t="array" ref="AM10">IF(LARGE(IF(($F:$F=AL$2)*($C:$C=$I10), $E:$E), $H10)=0,"N/A",LARGE(IF(($F:$F=AL$2)*($C:$C=$I10), $E:$E), $H10))</f>
        <v>17.3</v>
      </c>
      <c r="AN10" s="658" t="str">
        <f t="array" ref="AN10">INDEX($B:$B, MATCH(1, ($F:$F=AL$2)*($E:$E=AM10)*($C:$C=$I10), 0))</f>
        <v>SAVAGES</v>
      </c>
      <c r="AO10" s="765" t="str">
        <f t="array" ref="AO10">INDEX($D:$D, MATCH(1, ($F:$F=AO$2)*($E:$E=AP10)*($C:$C=$I10), 0))</f>
        <v>T. MCMILLAN</v>
      </c>
      <c r="AP10" s="655">
        <f t="array" ref="AP10">IF(LARGE(IF(($F:$F=AO$2)*($C:$C=$I10), $E:$E), $H10)=0,"N/A",LARGE(IF(($F:$F=AO$2)*($C:$C=$I10), $E:$E), $H10))</f>
        <v>34</v>
      </c>
      <c r="AQ10" s="658" t="str">
        <f t="array" ref="AQ10">INDEX($B:$B, MATCH(1, ($F:$F=AO$2)*($E:$E=AP10)*($C:$C=$I10), 0))</f>
        <v>GREEN</v>
      </c>
      <c r="AR10" s="765" t="str">
        <f t="array" ref="AR10">INDEX($D:$D, MATCH(1, ($F:$F=AR$2)*($E:$E=AS10)*($C:$C=$I10), 0))</f>
        <v>K. SHAKIR</v>
      </c>
      <c r="AS10" s="655">
        <f t="array" ref="AS10">IF(LARGE(IF(($F:$F=AR$2)*($C:$C=$I10), $E:$E), $H10)=0,"N/A",LARGE(IF(($F:$F=AR$2)*($C:$C=$I10), $E:$E), $H10))</f>
        <v>18.75</v>
      </c>
      <c r="AT10" s="658" t="str">
        <f t="array" ref="AT10">INDEX($B:$B, MATCH(1, ($F:$F=AR$2)*($E:$E=AS10)*($C:$C=$I10), 0))</f>
        <v>KINGS</v>
      </c>
      <c r="AU10" s="765" t="str">
        <f t="array" ref="AU10">INDEX($D:$D, MATCH(1, ($F:$F=AU$2)*($E:$E=AV10)*($C:$C=$I10), 0))</f>
        <v>D. SWIFT</v>
      </c>
      <c r="AV10" s="655">
        <f t="array" ref="AV10">IF(LARGE(IF(($F:$F=AU$2)*($C:$C=$I10), $E:$E), $H10)=0,"N/A",LARGE(IF(($F:$F=AU$2)*($C:$C=$I10), $E:$E), $H10))</f>
        <v>23.6</v>
      </c>
      <c r="AW10" s="658" t="str">
        <f t="array" ref="AW10">INDEX($B:$B, MATCH(1, ($F:$F=AU$2)*($E:$E=AV10)*($C:$C=$I10), 0))</f>
        <v>GREEN</v>
      </c>
      <c r="AX10" s="765" t="str">
        <f t="array" ref="AX10">INDEX($D:$D, MATCH(1, ($F:$F=AX$2)*($E:$E=AY10)*($C:$C=$I10), 0))</f>
        <v>C. WATSON</v>
      </c>
      <c r="AY10" s="655">
        <f t="array" ref="AY10">IF(LARGE(IF(($F:$F=AX$2)*($C:$C=$I10), $E:$E), $H10)=0,"N/A",LARGE(IF(($F:$F=AX$2)*($C:$C=$I10), $E:$E), $H10))</f>
        <v>24.9</v>
      </c>
      <c r="AZ10" s="658" t="str">
        <f t="array" ref="AZ10">INDEX($B:$B, MATCH(1, ($F:$F=AX$2)*($E:$E=AY10)*($C:$C=$I10), 0))</f>
        <v>EAGLES</v>
      </c>
      <c r="BB10" s="640">
        <f t="shared" si="1"/>
        <v>6</v>
      </c>
      <c r="BC10" s="786" t="str">
        <f>Settings!A10</f>
        <v>MUTTS</v>
      </c>
      <c r="BD10" s="787">
        <f t="shared" si="2"/>
        <v>15</v>
      </c>
      <c r="BE10" s="13">
        <f>'League Standings'!A10</f>
        <v>4</v>
      </c>
      <c r="BF10" s="18">
        <v>0.0</v>
      </c>
      <c r="BG10" s="13">
        <f t="shared" si="3"/>
        <v>15</v>
      </c>
      <c r="BI10" s="703" t="s">
        <v>117</v>
      </c>
      <c r="BJ10" s="471">
        <v>2.0</v>
      </c>
      <c r="BK10" s="471" t="s">
        <v>549</v>
      </c>
      <c r="BL10" s="471" t="str">
        <f t="array" ref="BL10">INDEX(B:B, MATCH(LARGE(_xlws.FILTER(E:E, C:C=BI10), BJ10), E:E, 0))</f>
        <v>#NAME?</v>
      </c>
      <c r="BM10" s="471" t="str">
        <f t="array" ref="BM10">INDEX(D:D, MATCH(LARGE(_xlws.FILTER(E:E, C:C=BI10), BJ10), E:E, 0))</f>
        <v>#NAME?</v>
      </c>
      <c r="BN10" s="704" t="str">
        <f t="array" ref="BN10">LARGE(_xlws.FILTER(E:E, C:C=BI10), BJ10)</f>
        <v>#NAME?</v>
      </c>
      <c r="BO10" s="705" t="str">
        <f t="array" ref="BO10">INDEX(F:F, MATCH(LARGE(_xlws.FILTER(E:E, C:C=BI10), BJ10), E:E, 0))</f>
        <v>#NAME?</v>
      </c>
      <c r="BP10" s="13" t="str">
        <f t="array" ref="BP10">INDEX(A:A, MATCH(LARGE(_xlws.FILTER(E:E, C:C=BI10), BJ10), E:E, 0))</f>
        <v>#NAME?</v>
      </c>
    </row>
    <row r="11" ht="15.75" customHeight="1">
      <c r="A11" s="585">
        <v>10.0</v>
      </c>
      <c r="B11" s="586" t="str">
        <f>Settings!$A$3</f>
        <v>DECOUPES</v>
      </c>
      <c r="C11" s="795" t="s">
        <v>136</v>
      </c>
      <c r="D11" s="13" t="str">
        <f>'Entry Sheet'!B14</f>
        <v>S. DIGGS</v>
      </c>
      <c r="E11" s="230">
        <f>'Entry Sheet'!C14</f>
        <v>11.7</v>
      </c>
      <c r="F11" s="589" t="s">
        <v>512</v>
      </c>
      <c r="H11" s="13">
        <v>1.0</v>
      </c>
      <c r="I11" s="13" t="s">
        <v>139</v>
      </c>
      <c r="J11" s="585" t="s">
        <v>139</v>
      </c>
      <c r="K11" s="799" t="str">
        <f t="array" ref="K11">INDEX($D:$D, MATCH(1, ($F:$F=K$2)*($E:$E=L11)*($C:$C=$I11), 0))</f>
        <v>DEN D/ST</v>
      </c>
      <c r="L11" s="655">
        <f t="array" ref="L11">IF(LARGE(IF(($F:$F=K$2)*($C:$C=$I11), $E:$E), $H11)=0,"N/A",LARGE(IF(($F:$F=K$2)*($C:$C=$I11), $E:$E), $H11))</f>
        <v>31.86</v>
      </c>
      <c r="M11" s="658" t="str">
        <f t="array" ref="M11">INDEX($B:$B, MATCH(1, ($F:$F=K$2)*($E:$E=L11)*($C:$C=$I11), 0))</f>
        <v>EAGLES</v>
      </c>
      <c r="N11" s="799" t="str">
        <f t="array" ref="N11">INDEX($D:$D, MATCH(1, ($F:$F=N$2)*($E:$E=O11)*($C:$C=$I11), 0))</f>
        <v>SEA D/ST</v>
      </c>
      <c r="O11" s="655">
        <f t="array" ref="O11">IF(LARGE(IF(($F:$F=N$2)*($C:$C=$I11), $E:$E), $H11)=0,"N/A",LARGE(IF(($F:$F=N$2)*($C:$C=$I11), $E:$E), $H11))</f>
        <v>30.05</v>
      </c>
      <c r="P11" s="658" t="str">
        <f t="array" ref="P11">INDEX($B:$B, MATCH(1, ($F:$F=N$2)*($E:$E=O11)*($C:$C=$I11), 0))</f>
        <v>METAMOOKDAWGS</v>
      </c>
      <c r="Q11" s="799" t="str">
        <f t="array" ref="Q11">INDEX($D:$D, MATCH(1, ($F:$F=Q$2)*($E:$E=R11)*($C:$C=$I11), 0))</f>
        <v>MIN D/ST</v>
      </c>
      <c r="R11" s="655">
        <f t="array" ref="R11">IF(LARGE(IF(($F:$F=Q$2)*($C:$C=$I11), $E:$E), $H11)=0,"N/A",LARGE(IF(($F:$F=Q$2)*($C:$C=$I11), $E:$E), $H11))</f>
        <v>54.64</v>
      </c>
      <c r="S11" s="658" t="str">
        <f t="array" ref="S11">INDEX($B:$B, MATCH(1, ($F:$F=Q$2)*($E:$E=R11)*($C:$C=$I11), 0))</f>
        <v>CHAMPS</v>
      </c>
      <c r="T11" s="799" t="str">
        <f t="array" ref="T11">INDEX($D:$D, MATCH(1, ($F:$F=T$2)*($E:$E=U11)*($C:$C=$I11), 0))</f>
        <v>DET D/ST</v>
      </c>
      <c r="U11" s="655">
        <f t="array" ref="U11">IF(LARGE(IF(($F:$F=T$2)*($C:$C=$I11), $E:$E), $H11)=0,"N/A",LARGE(IF(($F:$F=T$2)*($C:$C=$I11), $E:$E), $H11))</f>
        <v>36.13</v>
      </c>
      <c r="V11" s="658" t="str">
        <f t="array" ref="V11">INDEX($B:$B, MATCH(1, ($F:$F=T$2)*($E:$E=U11)*($C:$C=$I11), 0))</f>
        <v>SAVAGES</v>
      </c>
      <c r="W11" s="799" t="str">
        <f t="array" ref="W11">INDEX($D:$D, MATCH(1, ($F:$F=W$2)*($E:$E=X11)*($C:$C=$I11), 0))</f>
        <v>IND D/ST</v>
      </c>
      <c r="X11" s="655">
        <f t="array" ref="X11">IF(LARGE(IF(($F:$F=W$2)*($C:$C=$I11), $E:$E), $H11)=0,"N/A",LARGE(IF(($F:$F=W$2)*($C:$C=$I11), $E:$E), $H11))</f>
        <v>26.7</v>
      </c>
      <c r="Y11" s="658" t="str">
        <f t="array" ref="Y11">INDEX($B:$B, MATCH(1, ($F:$F=W$2)*($E:$E=X11)*($C:$C=$I11), 0))</f>
        <v>POPEYES</v>
      </c>
      <c r="Z11" s="799" t="str">
        <f t="array" ref="Z11">INDEX($D:$D, MATCH(1, ($F:$F=Z$2)*($E:$E=AA11)*($C:$C=$I11), 0))</f>
        <v>DEN D/ST</v>
      </c>
      <c r="AA11" s="655">
        <f t="array" ref="AA11">IF(LARGE(IF(($F:$F=Z$2)*($C:$C=$I11), $E:$E), $H11)=0,"N/A",LARGE(IF(($F:$F=Z$2)*($C:$C=$I11), $E:$E), $H11))</f>
        <v>33.08</v>
      </c>
      <c r="AB11" s="658" t="str">
        <f t="array" ref="AB11">INDEX($B:$B, MATCH(1, ($F:$F=Z$2)*($E:$E=AA11)*($C:$C=$I11), 0))</f>
        <v>EAGLES</v>
      </c>
      <c r="AC11" s="799" t="str">
        <f t="array" ref="AC11">INDEX($D:$D, MATCH(1, ($F:$F=AC$2)*($E:$E=AD11)*($C:$C=$I11), 0))</f>
        <v>CAR D/ST</v>
      </c>
      <c r="AD11" s="655">
        <f t="array" ref="AD11">IF(LARGE(IF(($F:$F=AC$2)*($C:$C=$I11), $E:$E), $H11)=0,"N/A",LARGE(IF(($F:$F=AC$2)*($C:$C=$I11), $E:$E), $H11))</f>
        <v>29.05</v>
      </c>
      <c r="AE11" s="658" t="str">
        <f t="array" ref="AE11">INDEX($B:$B, MATCH(1, ($F:$F=AC$2)*($E:$E=AD11)*($C:$C=$I11), 0))</f>
        <v>CHAMPS</v>
      </c>
      <c r="AF11" s="799" t="str">
        <f t="array" ref="AF11">INDEX($D:$D, MATCH(1, ($F:$F=AF$2)*($E:$E=AG11)*($C:$C=$I11), 0))</f>
        <v>KC D/ST</v>
      </c>
      <c r="AG11" s="655">
        <f t="array" ref="AG11">IF(LARGE(IF(($F:$F=AF$2)*($C:$C=$I11), $E:$E), $H11)=0,"N/A",LARGE(IF(($F:$F=AF$2)*($C:$C=$I11), $E:$E), $H11))</f>
        <v>20.34</v>
      </c>
      <c r="AH11" s="658" t="str">
        <f t="array" ref="AH11">INDEX($B:$B, MATCH(1, ($F:$F=AF$2)*($E:$E=AG11)*($C:$C=$I11), 0))</f>
        <v>DECOUPES</v>
      </c>
      <c r="AI11" s="799" t="str">
        <f t="array" ref="AI11">INDEX($D:$D, MATCH(1, ($F:$F=AI$2)*($E:$E=AJ11)*($C:$C=$I11), 0))</f>
        <v>DET D/ST</v>
      </c>
      <c r="AJ11" s="655">
        <f t="array" ref="AJ11">IF(LARGE(IF(($F:$F=AI$2)*($C:$C=$I11), $E:$E), $H11)=0,"N/A",LARGE(IF(($F:$F=AI$2)*($C:$C=$I11), $E:$E), $H11))</f>
        <v>23.7</v>
      </c>
      <c r="AK11" s="658" t="str">
        <f t="array" ref="AK11">INDEX($B:$B, MATCH(1, ($F:$F=AI$2)*($E:$E=AJ11)*($C:$C=$I11), 0))</f>
        <v>SAVAGES</v>
      </c>
      <c r="AL11" s="799" t="str">
        <f t="array" ref="AL11">INDEX($D:$D, MATCH(1, ($F:$F=AL$2)*($E:$E=AM11)*($C:$C=$I11), 0))</f>
        <v>SEA D/ST</v>
      </c>
      <c r="AM11" s="655">
        <f t="array" ref="AM11">IF(LARGE(IF(($F:$F=AL$2)*($C:$C=$I11), $E:$E), $H11)=0,"N/A",LARGE(IF(($F:$F=AL$2)*($C:$C=$I11), $E:$E), $H11))</f>
        <v>30.35</v>
      </c>
      <c r="AN11" s="658" t="str">
        <f t="array" ref="AN11">INDEX($B:$B, MATCH(1, ($F:$F=AL$2)*($E:$E=AM11)*($C:$C=$I11), 0))</f>
        <v>METAMOOKDAWGS</v>
      </c>
      <c r="AO11" s="799" t="str">
        <f t="array" ref="AO11">INDEX($D:$D, MATCH(1, ($F:$F=AO$2)*($E:$E=AP11)*($C:$C=$I11), 0))</f>
        <v>BAL D/ST</v>
      </c>
      <c r="AP11" s="655">
        <f t="array" ref="AP11">IF(LARGE(IF(($F:$F=AO$2)*($C:$C=$I11), $E:$E), $H11)=0,"N/A",LARGE(IF(($F:$F=AO$2)*($C:$C=$I11), $E:$E), $H11))</f>
        <v>24.83</v>
      </c>
      <c r="AQ11" s="658" t="str">
        <f t="array" ref="AQ11">INDEX($B:$B, MATCH(1, ($F:$F=AO$2)*($E:$E=AP11)*($C:$C=$I11), 0))</f>
        <v>CHAMPS</v>
      </c>
      <c r="AR11" s="799" t="str">
        <f t="array" ref="AR11">INDEX($D:$D, MATCH(1, ($F:$F=AR$2)*($E:$E=AS11)*($C:$C=$I11), 0))</f>
        <v>CLE D/ST</v>
      </c>
      <c r="AS11" s="655">
        <f t="array" ref="AS11">IF(LARGE(IF(($F:$F=AR$2)*($C:$C=$I11), $E:$E), $H11)=0,"N/A",LARGE(IF(($F:$F=AR$2)*($C:$C=$I11), $E:$E), $H11))</f>
        <v>39.18</v>
      </c>
      <c r="AT11" s="658" t="str">
        <f t="array" ref="AT11">INDEX($B:$B, MATCH(1, ($F:$F=AR$2)*($E:$E=AS11)*($C:$C=$I11), 0))</f>
        <v>POPEYES</v>
      </c>
      <c r="AU11" s="799" t="str">
        <f t="array" ref="AU11">INDEX($D:$D, MATCH(1, ($F:$F=AU$2)*($E:$E=AV11)*($C:$C=$I11), 0))</f>
        <v>NE D/ST</v>
      </c>
      <c r="AV11" s="655">
        <f t="array" ref="AV11">IF(LARGE(IF(($F:$F=AU$2)*($C:$C=$I11), $E:$E), $H11)=0,"N/A",LARGE(IF(($F:$F=AU$2)*($C:$C=$I11), $E:$E), $H11))</f>
        <v>29.87</v>
      </c>
      <c r="AW11" s="658" t="str">
        <f t="array" ref="AW11">INDEX($B:$B, MATCH(1, ($F:$F=AU$2)*($E:$E=AV11)*($C:$C=$I11), 0))</f>
        <v>GREEN</v>
      </c>
      <c r="AX11" s="799" t="str">
        <f t="array" ref="AX11">INDEX($D:$D, MATCH(1, ($F:$F=AX$2)*($E:$E=AY11)*($C:$C=$I11), 0))</f>
        <v>PHI D/ST</v>
      </c>
      <c r="AY11" s="655">
        <f t="array" ref="AY11">IF(LARGE(IF(($F:$F=AX$2)*($C:$C=$I11), $E:$E), $H11)=0,"N/A",LARGE(IF(($F:$F=AX$2)*($C:$C=$I11), $E:$E), $H11))</f>
        <v>37.27</v>
      </c>
      <c r="AZ11" s="658" t="str">
        <f t="array" ref="AZ11">INDEX($B:$B, MATCH(1, ($F:$F=AX$2)*($E:$E=AY11)*($C:$C=$I11), 0))</f>
        <v>KINGS</v>
      </c>
      <c r="BB11" s="640">
        <f t="shared" si="1"/>
        <v>8</v>
      </c>
      <c r="BC11" s="814" t="str">
        <f>Settings!A11</f>
        <v>EAGLES</v>
      </c>
      <c r="BD11" s="815">
        <f t="shared" si="2"/>
        <v>13</v>
      </c>
      <c r="BE11" s="13">
        <f>'League Standings'!A11</f>
        <v>7</v>
      </c>
      <c r="BF11" s="18">
        <v>0.0</v>
      </c>
      <c r="BG11" s="13">
        <f t="shared" si="3"/>
        <v>13</v>
      </c>
      <c r="BI11" s="708" t="s">
        <v>117</v>
      </c>
      <c r="BJ11" s="709">
        <v>3.0</v>
      </c>
      <c r="BK11" s="709" t="s">
        <v>551</v>
      </c>
      <c r="BL11" s="709" t="str">
        <f t="array" ref="BL11">INDEX(B:B, MATCH(LARGE(_xlws.FILTER(E:E, C:C=BI11), BJ11), E:E, 0))</f>
        <v>#NAME?</v>
      </c>
      <c r="BM11" s="709" t="str">
        <f t="array" ref="BM11">INDEX(D:D, MATCH(LARGE(_xlws.FILTER(E:E, C:C=BI11), BJ11), E:E, 0))</f>
        <v>#NAME?</v>
      </c>
      <c r="BN11" s="710" t="str">
        <f t="array" ref="BN11">LARGE(_xlws.FILTER(E:E, C:C=BI11), BJ11)</f>
        <v>#NAME?</v>
      </c>
      <c r="BO11" s="711" t="str">
        <f t="array" ref="BO11">INDEX(F:F, MATCH(LARGE(_xlws.FILTER(E:E, C:C=BI11), BJ11), E:E, 0))</f>
        <v>#NAME?</v>
      </c>
      <c r="BP11" s="13" t="str">
        <f t="array" ref="BP11">INDEX(A:A, MATCH(LARGE(_xlws.FILTER(E:E, C:C=BI11), BJ11), E:E, 0))</f>
        <v>#NAME?</v>
      </c>
    </row>
    <row r="12" ht="15.75" customHeight="1">
      <c r="A12" s="585">
        <v>11.0</v>
      </c>
      <c r="B12" s="586" t="str">
        <f>Settings!$A$3</f>
        <v>DECOUPES</v>
      </c>
      <c r="C12" s="818" t="s">
        <v>139</v>
      </c>
      <c r="D12" s="13" t="str">
        <f>'Entry Sheet'!B15</f>
        <v>LAR D/ST</v>
      </c>
      <c r="E12" s="230">
        <f>'Entry Sheet'!C15</f>
        <v>21.68</v>
      </c>
      <c r="F12" s="589" t="s">
        <v>512</v>
      </c>
      <c r="H12" s="13">
        <v>1.0</v>
      </c>
      <c r="I12" s="13" t="s">
        <v>146</v>
      </c>
      <c r="J12" s="585" t="s">
        <v>146</v>
      </c>
      <c r="K12" s="823" t="str">
        <f t="array" ref="K12">INDEX($D:$D, MATCH(1, ($F:$F=K$2)*($E:$E=L12)*($C:$C=$I12), 0))</f>
        <v>C. BOSWELL</v>
      </c>
      <c r="L12" s="655">
        <f t="array" ref="L12">IF(LARGE(IF(($F:$F=K$2)*($C:$C=$I12), $E:$E), $H12)=0,"N/A",LARGE(IF(($F:$F=K$2)*($C:$C=$I12), $E:$E), $H12))</f>
        <v>19</v>
      </c>
      <c r="M12" s="658" t="str">
        <f t="array" ref="M12">INDEX($B:$B, MATCH(1, ($F:$F=K$2)*($E:$E=L12)*($C:$C=$I12), 0))</f>
        <v>YARDIES</v>
      </c>
      <c r="N12" s="823" t="str">
        <f t="array" ref="N12">INDEX($D:$D, MATCH(1, ($F:$F=N$2)*($E:$E=O12)*($C:$C=$I12), 0))</f>
        <v>B. AUBREY</v>
      </c>
      <c r="O12" s="655">
        <f t="array" ref="O12">IF(LARGE(IF(($F:$F=N$2)*($C:$C=$I12), $E:$E), $H12)=0,"N/A",LARGE(IF(($F:$F=N$2)*($C:$C=$I12), $E:$E), $H12))</f>
        <v>27</v>
      </c>
      <c r="P12" s="658" t="str">
        <f t="array" ref="P12">INDEX($B:$B, MATCH(1, ($F:$F=N$2)*($E:$E=O12)*($C:$C=$I12), 0))</f>
        <v>MUTTS</v>
      </c>
      <c r="Q12" s="823" t="str">
        <f t="array" ref="Q12">INDEX($D:$D, MATCH(1, ($F:$F=Q$2)*($E:$E=R12)*($C:$C=$I12), 0))</f>
        <v>C. MCLAUGHLIN</v>
      </c>
      <c r="R12" s="655">
        <f t="array" ref="R12">IF(LARGE(IF(($F:$F=Q$2)*($C:$C=$I12), $E:$E), $H12)=0,"N/A",LARGE(IF(($F:$F=Q$2)*($C:$C=$I12), $E:$E), $H12))</f>
        <v>23</v>
      </c>
      <c r="S12" s="658" t="str">
        <f t="array" ref="S12">INDEX($B:$B, MATCH(1, ($F:$F=Q$2)*($E:$E=R12)*($C:$C=$I12), 0))</f>
        <v>METAMOOKDAWGS</v>
      </c>
      <c r="T12" s="823" t="str">
        <f t="array" ref="T12">INDEX($D:$D, MATCH(1, ($F:$F=T$2)*($E:$E=U12)*($C:$C=$I12), 0))</f>
        <v>C. MCLAUGHLIN</v>
      </c>
      <c r="U12" s="655">
        <f t="array" ref="U12">IF(LARGE(IF(($F:$F=T$2)*($C:$C=$I12), $E:$E), $H12)=0,"N/A",LARGE(IF(($F:$F=T$2)*($C:$C=$I12), $E:$E), $H12))</f>
        <v>21</v>
      </c>
      <c r="V12" s="658" t="str">
        <f t="array" ref="V12">INDEX($B:$B, MATCH(1, ($F:$F=T$2)*($E:$E=U12)*($C:$C=$I12), 0))</f>
        <v>METAMOOKDAWGS</v>
      </c>
      <c r="W12" s="823" t="str">
        <f t="array" ref="W12">INDEX($D:$D, MATCH(1, ($F:$F=W$2)*($E:$E=X12)*($C:$C=$I12), 0))</f>
        <v>C. MCLAUGHLIN</v>
      </c>
      <c r="X12" s="655">
        <f t="array" ref="X12">IF(LARGE(IF(($F:$F=W$2)*($C:$C=$I12), $E:$E), $H12)=0,"N/A",LARGE(IF(($F:$F=W$2)*($C:$C=$I12), $E:$E), $H12))</f>
        <v>12</v>
      </c>
      <c r="Y12" s="658" t="str">
        <f t="array" ref="Y12">INDEX($B:$B, MATCH(1, ($F:$F=W$2)*($E:$E=X12)*($C:$C=$I12), 0))</f>
        <v>METAMOOKDAWGS</v>
      </c>
      <c r="Z12" s="823" t="str">
        <f t="array" ref="Z12">INDEX($D:$D, MATCH(1, ($F:$F=Z$2)*($E:$E=AA12)*($C:$C=$I12), 0))</f>
        <v>C. DICKER</v>
      </c>
      <c r="AA12" s="655">
        <f t="array" ref="AA12">IF(LARGE(IF(($F:$F=Z$2)*($C:$C=$I12), $E:$E), $H12)=0,"N/A",LARGE(IF(($F:$F=Z$2)*($C:$C=$I12), $E:$E), $H12))</f>
        <v>17</v>
      </c>
      <c r="AB12" s="658" t="str">
        <f t="array" ref="AB12">INDEX($B:$B, MATCH(1, ($F:$F=Z$2)*($E:$E=AA12)*($C:$C=$I12), 0))</f>
        <v>CHAMPS</v>
      </c>
      <c r="AC12" s="823" t="str">
        <f t="array" ref="AC12">INDEX($D:$D, MATCH(1, ($F:$F=AC$2)*($E:$E=AD12)*($C:$C=$I12), 0))</f>
        <v>B. AUBREY</v>
      </c>
      <c r="AD12" s="655">
        <f t="array" ref="AD12">IF(LARGE(IF(($F:$F=AC$2)*($C:$C=$I12), $E:$E), $H12)=0,"N/A",LARGE(IF(($F:$F=AC$2)*($C:$C=$I12), $E:$E), $H12))</f>
        <v>21</v>
      </c>
      <c r="AE12" s="658" t="str">
        <f t="array" ref="AE12">INDEX($B:$B, MATCH(1, ($F:$F=AC$2)*($E:$E=AD12)*($C:$C=$I12), 0))</f>
        <v>MUTTS</v>
      </c>
      <c r="AF12" s="823" t="str">
        <f t="array" ref="AF12">INDEX($D:$D, MATCH(1, ($F:$F=AF$2)*($E:$E=AG12)*($C:$C=$I12), 0))</f>
        <v>C. BOSWELL</v>
      </c>
      <c r="AG12" s="655">
        <f t="array" ref="AG12">IF(LARGE(IF(($F:$F=AF$2)*($C:$C=$I12), $E:$E), $H12)=0,"N/A",LARGE(IF(($F:$F=AF$2)*($C:$C=$I12), $E:$E), $H12))</f>
        <v>23</v>
      </c>
      <c r="AH12" s="658" t="str">
        <f t="array" ref="AH12">INDEX($B:$B, MATCH(1, ($F:$F=AF$2)*($E:$E=AG12)*($C:$C=$I12), 0))</f>
        <v>YARDIES</v>
      </c>
      <c r="AI12" s="823" t="str">
        <f t="array" ref="AI12">INDEX($D:$D, MATCH(1, ($F:$F=AI$2)*($E:$E=AJ12)*($C:$C=$I12), 0))</f>
        <v>K. FAIRBAIRN</v>
      </c>
      <c r="AJ12" s="655">
        <f t="array" ref="AJ12">IF(LARGE(IF(($F:$F=AI$2)*($C:$C=$I12), $E:$E), $H12)=0,"N/A",LARGE(IF(($F:$F=AI$2)*($C:$C=$I12), $E:$E), $H12))</f>
        <v>17</v>
      </c>
      <c r="AK12" s="658" t="str">
        <f t="array" ref="AK12">INDEX($B:$B, MATCH(1, ($F:$F=AI$2)*($E:$E=AJ12)*($C:$C=$I12), 0))</f>
        <v>DECOUPES</v>
      </c>
      <c r="AL12" s="823" t="str">
        <f t="array" ref="AL12">INDEX($D:$D, MATCH(1, ($F:$F=AL$2)*($E:$E=AM12)*($C:$C=$I12), 0))</f>
        <v>J. MYERS</v>
      </c>
      <c r="AM12" s="655">
        <f t="array" ref="AM12">IF(LARGE(IF(($F:$F=AL$2)*($C:$C=$I12), $E:$E), $H12)=0,"N/A",LARGE(IF(($F:$F=AL$2)*($C:$C=$I12), $E:$E), $H12))</f>
        <v>15</v>
      </c>
      <c r="AN12" s="658" t="str">
        <f t="array" ref="AN12">INDEX($B:$B, MATCH(1, ($F:$F=AL$2)*($E:$E=AM12)*($C:$C=$I12), 0))</f>
        <v>KINGS</v>
      </c>
      <c r="AO12" s="823" t="str">
        <f t="array" ref="AO12">INDEX($D:$D, MATCH(1, ($F:$F=AO$2)*($E:$E=AP12)*($C:$C=$I12), 0))</f>
        <v>W. LUTZ</v>
      </c>
      <c r="AP12" s="655">
        <f t="array" ref="AP12">IF(LARGE(IF(($F:$F=AO$2)*($C:$C=$I12), $E:$E), $H12)=0,"N/A",LARGE(IF(($F:$F=AO$2)*($C:$C=$I12), $E:$E), $H12))</f>
        <v>19</v>
      </c>
      <c r="AQ12" s="658" t="str">
        <f t="array" ref="AQ12">INDEX($B:$B, MATCH(1, ($F:$F=AO$2)*($E:$E=AP12)*($C:$C=$I12), 0))</f>
        <v>EAGLES</v>
      </c>
      <c r="AR12" s="823" t="str">
        <f t="array" ref="AR12">INDEX($D:$D, MATCH(1, ($F:$F=AR$2)*($E:$E=AS12)*($C:$C=$I12), 0))</f>
        <v>A. BORREGALES</v>
      </c>
      <c r="AS12" s="655">
        <f t="array" ref="AS12">IF(LARGE(IF(($F:$F=AR$2)*($C:$C=$I12), $E:$E), $H12)=0,"N/A",LARGE(IF(($F:$F=AR$2)*($C:$C=$I12), $E:$E), $H12))</f>
        <v>19</v>
      </c>
      <c r="AT12" s="658" t="str">
        <f t="array" ref="AT12">INDEX($B:$B, MATCH(1, ($F:$F=AR$2)*($E:$E=AS12)*($C:$C=$I12), 0))</f>
        <v>GREEN</v>
      </c>
      <c r="AU12" s="823" t="str">
        <f t="array" ref="AU12">INDEX($D:$D, MATCH(1, ($F:$F=AU$2)*($E:$E=AV12)*($C:$C=$I12), 0))</f>
        <v>J. MYERS</v>
      </c>
      <c r="AV12" s="655">
        <f t="array" ref="AV12">IF(LARGE(IF(($F:$F=AU$2)*($C:$C=$I12), $E:$E), $H12)=0,"N/A",LARGE(IF(($F:$F=AU$2)*($C:$C=$I12), $E:$E), $H12))</f>
        <v>21</v>
      </c>
      <c r="AW12" s="658" t="str">
        <f t="array" ref="AW12">INDEX($B:$B, MATCH(1, ($F:$F=AU$2)*($E:$E=AV12)*($C:$C=$I12), 0))</f>
        <v>KINGS</v>
      </c>
      <c r="AX12" s="823" t="str">
        <f t="array" ref="AX12">INDEX($D:$D, MATCH(1, ($F:$F=AX$2)*($E:$E=AY12)*($C:$C=$I12), 0))</f>
        <v>B. AUBREY</v>
      </c>
      <c r="AY12" s="655">
        <f t="array" ref="AY12">IF(LARGE(IF(($F:$F=AX$2)*($C:$C=$I12), $E:$E), $H12)=0,"N/A",LARGE(IF(($F:$F=AX$2)*($C:$C=$I12), $E:$E), $H12))</f>
        <v>29</v>
      </c>
      <c r="AZ12" s="658" t="str">
        <f t="array" ref="AZ12">INDEX($B:$B, MATCH(1, ($F:$F=AX$2)*($E:$E=AY12)*($C:$C=$I12), 0))</f>
        <v>MUTTS</v>
      </c>
      <c r="BB12" s="640">
        <f t="shared" si="1"/>
        <v>3</v>
      </c>
      <c r="BC12" s="831" t="str">
        <f>Settings!A12</f>
        <v>KINGS</v>
      </c>
      <c r="BD12" s="832">
        <f t="shared" si="2"/>
        <v>16</v>
      </c>
      <c r="BE12" s="13">
        <f>'League Standings'!A6</f>
        <v>8</v>
      </c>
      <c r="BF12" s="18">
        <v>0.0</v>
      </c>
      <c r="BG12" s="13">
        <f t="shared" si="3"/>
        <v>16</v>
      </c>
      <c r="BI12" s="735" t="s">
        <v>132</v>
      </c>
      <c r="BJ12" s="736">
        <v>1.0</v>
      </c>
      <c r="BK12" s="736" t="s">
        <v>540</v>
      </c>
      <c r="BL12" s="736" t="str">
        <f t="array" ref="BL12">INDEX(B:B, MATCH(LARGE(_xlws.FILTER(E:E, C:C=BI12), BJ12), E:E, 0))</f>
        <v>#NAME?</v>
      </c>
      <c r="BM12" s="736" t="str">
        <f t="array" ref="BM12">INDEX(D:D, MATCH(LARGE(_xlws.FILTER(E:E, C:C=BI12), BJ12), E:E, 0))</f>
        <v>#NAME?</v>
      </c>
      <c r="BN12" s="737" t="str">
        <f t="array" ref="BN12">LARGE(_xlws.FILTER(E:E, C:C=BI12), BJ12)</f>
        <v>#NAME?</v>
      </c>
      <c r="BO12" s="738" t="str">
        <f t="array" ref="BO12">INDEX(F:F, MATCH(LARGE(_xlws.FILTER(E:E, C:C=BI12), BJ12), E:E, 0))</f>
        <v>#NAME?</v>
      </c>
      <c r="BP12" s="13" t="str">
        <f t="array" ref="BP12">INDEX(A:A, MATCH(LARGE(_xlws.FILTER(E:E, C:C=BI12), BJ12), E:E, 0))</f>
        <v>#NAME?</v>
      </c>
    </row>
    <row r="13" ht="15.75" customHeight="1">
      <c r="A13" s="585">
        <v>12.0</v>
      </c>
      <c r="B13" s="586" t="str">
        <f>Settings!$A$3</f>
        <v>DECOUPES</v>
      </c>
      <c r="C13" s="833" t="s">
        <v>146</v>
      </c>
      <c r="D13" s="13" t="str">
        <f>'Entry Sheet'!B16</f>
        <v>J. ELLIOTT</v>
      </c>
      <c r="E13" s="230">
        <f>'Entry Sheet'!C16</f>
        <v>9</v>
      </c>
      <c r="F13" s="589" t="s">
        <v>512</v>
      </c>
      <c r="H13" s="13">
        <v>1.0</v>
      </c>
      <c r="I13" s="13" t="s">
        <v>162</v>
      </c>
      <c r="J13" s="585" t="s">
        <v>162</v>
      </c>
      <c r="K13" s="834" t="str">
        <f t="array" ref="K13">INDEX($D:$D, MATCH(1, ($F:$F=K$2)*($E:$E=L13)*($C:$C=$I13), 0))</f>
        <v>WSH HC</v>
      </c>
      <c r="L13" s="835">
        <f t="array" ref="L13">IF(LARGE(IF(($F:$F=K$2)*($C:$C=$I13), $E:$E), $H13)=0,"N/A",LARGE(IF(($F:$F=K$2)*($C:$C=$I13), $E:$E), $H13))</f>
        <v>12.3</v>
      </c>
      <c r="M13" s="836" t="str">
        <f t="array" ref="M13">INDEX($B:$B, MATCH(1, ($F:$F=K$2)*($E:$E=L13)*($C:$C=$I13), 0))</f>
        <v>KINGS</v>
      </c>
      <c r="N13" s="834" t="str">
        <f t="array" ref="N13">INDEX($D:$D, MATCH(1, ($F:$F=N$2)*($E:$E=O13)*($C:$C=$I13), 0))</f>
        <v>DET HC</v>
      </c>
      <c r="O13" s="835">
        <f t="array" ref="O13">IF(LARGE(IF(($F:$F=N$2)*($C:$C=$I13), $E:$E), $H13)=0,"N/A",LARGE(IF(($F:$F=N$2)*($C:$C=$I13), $E:$E), $H13))</f>
        <v>27.6</v>
      </c>
      <c r="P13" s="836" t="str">
        <f t="array" ref="P13">INDEX($B:$B, MATCH(1, ($F:$F=N$2)*($E:$E=O13)*($C:$C=$I13), 0))</f>
        <v>YARDIES</v>
      </c>
      <c r="Q13" s="834" t="str">
        <f t="array" ref="Q13">INDEX($D:$D, MATCH(1, ($F:$F=Q$2)*($E:$E=R13)*($C:$C=$I13), 0))</f>
        <v>SEA HC</v>
      </c>
      <c r="R13" s="835">
        <f t="array" ref="R13">IF(LARGE(IF(($F:$F=Q$2)*($C:$C=$I13), $E:$E), $H13)=0,"N/A",LARGE(IF(($F:$F=Q$2)*($C:$C=$I13), $E:$E), $H13))</f>
        <v>25.2</v>
      </c>
      <c r="S13" s="836" t="str">
        <f t="array" ref="S13">INDEX($B:$B, MATCH(1, ($F:$F=Q$2)*($E:$E=R13)*($C:$C=$I13), 0))</f>
        <v>POPEYES</v>
      </c>
      <c r="T13" s="834" t="str">
        <f t="array" ref="T13">INDEX($D:$D, MATCH(1, ($F:$F=T$2)*($E:$E=U13)*($C:$C=$I13), 0))</f>
        <v>DEN HC</v>
      </c>
      <c r="U13" s="835">
        <f t="array" ref="U13">IF(LARGE(IF(($F:$F=T$2)*($C:$C=$I13), $E:$E), $H13)=0,"N/A",LARGE(IF(($F:$F=T$2)*($C:$C=$I13), $E:$E), $H13))</f>
        <v>20.4</v>
      </c>
      <c r="V13" s="836" t="str">
        <f t="array" ref="V13">INDEX($B:$B, MATCH(1, ($F:$F=T$2)*($E:$E=U13)*($C:$C=$I13), 0))</f>
        <v>METAMOOKDAWGS</v>
      </c>
      <c r="W13" s="834" t="str">
        <f t="array" ref="W13">INDEX($D:$D, MATCH(1, ($F:$F=W$2)*($E:$E=X13)*($C:$C=$I13), 0))</f>
        <v>IND HC</v>
      </c>
      <c r="X13" s="835">
        <f t="array" ref="X13">IF(LARGE(IF(($F:$F=W$2)*($C:$C=$I13), $E:$E), $H13)=0,"N/A",LARGE(IF(($F:$F=W$2)*($C:$C=$I13), $E:$E), $H13))</f>
        <v>24</v>
      </c>
      <c r="Y13" s="836" t="str">
        <f t="array" ref="Y13">INDEX($B:$B, MATCH(1, ($F:$F=W$2)*($E:$E=X13)*($C:$C=$I13), 0))</f>
        <v>KINGS</v>
      </c>
      <c r="Z13" s="834" t="str">
        <f t="array" ref="Z13">INDEX($D:$D, MATCH(1, ($F:$F=Z$2)*($E:$E=AA13)*($C:$C=$I13), 0))</f>
        <v>KC HC</v>
      </c>
      <c r="AA13" s="835">
        <f t="array" ref="AA13">IF(LARGE(IF(($F:$F=Z$2)*($C:$C=$I13), $E:$E), $H13)=0,"N/A",LARGE(IF(($F:$F=Z$2)*($C:$C=$I13), $E:$E), $H13))</f>
        <v>13</v>
      </c>
      <c r="AB13" s="836" t="str">
        <f t="array" ref="AB13">INDEX($B:$B, MATCH(1, ($F:$F=Z$2)*($E:$E=AA13)*($C:$C=$I13), 0))</f>
        <v>EAGLES</v>
      </c>
      <c r="AC13" s="834" t="str">
        <f t="array" ref="AC13">INDEX($D:$D, MATCH(1, ($F:$F=AC$2)*($E:$E=AD13)*($C:$C=$I13), 0))</f>
        <v>LAR HC</v>
      </c>
      <c r="AD13" s="835">
        <f t="array" ref="AD13">IF(LARGE(IF(($F:$F=AC$2)*($C:$C=$I13), $E:$E), $H13)=0,"N/A",LARGE(IF(($F:$F=AC$2)*($C:$C=$I13), $E:$E), $H13))</f>
        <v>22.5</v>
      </c>
      <c r="AE13" s="836" t="str">
        <f t="array" ref="AE13">INDEX($B:$B, MATCH(1, ($F:$F=AC$2)*($E:$E=AD13)*($C:$C=$I13), 0))</f>
        <v>GREEN</v>
      </c>
      <c r="AF13" s="834" t="str">
        <f t="array" ref="AF13">INDEX($D:$D, MATCH(1, ($F:$F=AF$2)*($E:$E=AG13)*($C:$C=$I13), 0))</f>
        <v>BUF HC</v>
      </c>
      <c r="AG13" s="835">
        <f t="array" ref="AG13">IF(LARGE(IF(($F:$F=AF$2)*($C:$C=$I13), $E:$E), $H13)=0,"N/A",LARGE(IF(($F:$F=AF$2)*($C:$C=$I13), $E:$E), $H13))</f>
        <v>24</v>
      </c>
      <c r="AH13" s="836" t="str">
        <f t="array" ref="AH13">INDEX($B:$B, MATCH(1, ($F:$F=AF$2)*($E:$E=AG13)*($C:$C=$I13), 0))</f>
        <v>MUTTS</v>
      </c>
      <c r="AI13" s="834" t="str">
        <f t="array" ref="AI13">INDEX($D:$D, MATCH(1, ($F:$F=AI$2)*($E:$E=AJ13)*($C:$C=$I13), 0))</f>
        <v>LAR HC</v>
      </c>
      <c r="AJ13" s="835">
        <f t="array" ref="AJ13">IF(LARGE(IF(($F:$F=AI$2)*($C:$C=$I13), $E:$E), $H13)=0,"N/A",LARGE(IF(($F:$F=AI$2)*($C:$C=$I13), $E:$E), $H13))</f>
        <v>18.2</v>
      </c>
      <c r="AK13" s="836" t="str">
        <f t="array" ref="AK13">INDEX($B:$B, MATCH(1, ($F:$F=AI$2)*($E:$E=AJ13)*($C:$C=$I13), 0))</f>
        <v>GREEN</v>
      </c>
      <c r="AL13" s="834" t="str">
        <f t="array" ref="AL13">INDEX($D:$D, MATCH(1, ($F:$F=AL$2)*($E:$E=AM13)*($C:$C=$I13), 0))</f>
        <v>SEA HC</v>
      </c>
      <c r="AM13" s="835">
        <f t="array" ref="AM13">IF(LARGE(IF(($F:$F=AL$2)*($C:$C=$I13), $E:$E), $H13)=0,"N/A",LARGE(IF(($F:$F=AL$2)*($C:$C=$I13), $E:$E), $H13))</f>
        <v>21.2</v>
      </c>
      <c r="AN13" s="836" t="str">
        <f t="array" ref="AN13">INDEX($B:$B, MATCH(1, ($F:$F=AL$2)*($E:$E=AM13)*($C:$C=$I13), 0))</f>
        <v>DECOUPES</v>
      </c>
      <c r="AO13" s="834" t="str">
        <f t="array" ref="AO13">INDEX($D:$D, MATCH(1, ($F:$F=AO$2)*($E:$E=AP13)*($C:$C=$I13), 0))</f>
        <v>PIT HC</v>
      </c>
      <c r="AP13" s="835">
        <f t="array" ref="AP13">IF(LARGE(IF(($F:$F=AO$2)*($C:$C=$I13), $E:$E), $H13)=0,"N/A",LARGE(IF(($F:$F=AO$2)*($C:$C=$I13), $E:$E), $H13))</f>
        <v>18.2</v>
      </c>
      <c r="AQ13" s="836" t="str">
        <f t="array" ref="AQ13">INDEX($B:$B, MATCH(1, ($F:$F=AO$2)*($E:$E=AP13)*($C:$C=$I13), 0))</f>
        <v>CHAMPS</v>
      </c>
      <c r="AR13" s="834" t="str">
        <f t="array" ref="AR13">INDEX($D:$D, MATCH(1, ($F:$F=AR$2)*($E:$E=AS13)*($C:$C=$I13), 0))</f>
        <v>LAR HC</v>
      </c>
      <c r="AS13" s="835">
        <f t="array" ref="AS13">IF(LARGE(IF(($F:$F=AR$2)*($C:$C=$I13), $E:$E), $H13)=0,"N/A",LARGE(IF(($F:$F=AR$2)*($C:$C=$I13), $E:$E), $H13))</f>
        <v>22.2</v>
      </c>
      <c r="AT13" s="836" t="str">
        <f t="array" ref="AT13">INDEX($B:$B, MATCH(1, ($F:$F=AR$2)*($E:$E=AS13)*($C:$C=$I13), 0))</f>
        <v>GREEN</v>
      </c>
      <c r="AU13" s="834" t="str">
        <f t="array" ref="AU13">INDEX($D:$D, MATCH(1, ($F:$F=AU$2)*($E:$E=AV13)*($C:$C=$I13), 0))</f>
        <v>SEA HC</v>
      </c>
      <c r="AV13" s="835">
        <f t="array" ref="AV13">IF(LARGE(IF(($F:$F=AU$2)*($C:$C=$I13), $E:$E), $H13)=0,"N/A",LARGE(IF(($F:$F=AU$2)*($C:$C=$I13), $E:$E), $H13))</f>
        <v>19.8</v>
      </c>
      <c r="AW13" s="836" t="str">
        <f t="array" ref="AW13">INDEX($B:$B, MATCH(1, ($F:$F=AU$2)*($E:$E=AV13)*($C:$C=$I13), 0))</f>
        <v>DECOUPES</v>
      </c>
      <c r="AX13" s="834" t="str">
        <f t="array" ref="AX13">INDEX($D:$D, MATCH(1, ($F:$F=AX$2)*($E:$E=AY13)*($C:$C=$I13), 0))</f>
        <v>LAR HC</v>
      </c>
      <c r="AY13" s="835">
        <f t="array" ref="AY13">IF(LARGE(IF(($F:$F=AX$2)*($C:$C=$I13), $E:$E), $H13)=0,"N/A",LARGE(IF(($F:$F=AX$2)*($C:$C=$I13), $E:$E), $H13))</f>
        <v>25.5</v>
      </c>
      <c r="AZ13" s="836" t="str">
        <f t="array" ref="AZ13">INDEX($B:$B, MATCH(1, ($F:$F=AX$2)*($E:$E=AY13)*($C:$C=$I13), 0))</f>
        <v>GREEN</v>
      </c>
      <c r="BB13" s="314"/>
      <c r="BI13" s="744" t="s">
        <v>132</v>
      </c>
      <c r="BJ13" s="365">
        <v>2.0</v>
      </c>
      <c r="BK13" s="365" t="s">
        <v>549</v>
      </c>
      <c r="BL13" s="365" t="str">
        <f t="array" ref="BL13">INDEX(B:B, MATCH(LARGE(_xlws.FILTER(E:E, C:C=BI13), BJ13), E:E, 0))</f>
        <v>#NAME?</v>
      </c>
      <c r="BM13" s="365" t="str">
        <f t="array" ref="BM13">INDEX(D:D, MATCH(LARGE(_xlws.FILTER(E:E, C:C=BI13), BJ13), E:E, 0))</f>
        <v>#NAME?</v>
      </c>
      <c r="BN13" s="745" t="str">
        <f t="array" ref="BN13">LARGE(_xlws.FILTER(E:E, C:C=BI13), BJ13)</f>
        <v>#NAME?</v>
      </c>
      <c r="BO13" s="746" t="str">
        <f t="array" ref="BO13">INDEX(F:F, MATCH(LARGE(_xlws.FILTER(E:E, C:C=BI13), BJ13), E:E, 0))</f>
        <v>#NAME?</v>
      </c>
      <c r="BP13" s="13" t="str">
        <f t="array" ref="BP13">INDEX(A:A, MATCH(LARGE(_xlws.FILTER(E:E, C:C=BI13), BJ13), E:E, 0))</f>
        <v>#NAME?</v>
      </c>
    </row>
    <row r="14" ht="15.75" customHeight="1">
      <c r="A14" s="585">
        <v>13.0</v>
      </c>
      <c r="B14" s="586" t="str">
        <f>Settings!$A$3</f>
        <v>DECOUPES</v>
      </c>
      <c r="C14" s="842" t="s">
        <v>162</v>
      </c>
      <c r="D14" s="13" t="str">
        <f>'Entry Sheet'!B17</f>
        <v>PHI HC</v>
      </c>
      <c r="E14" s="230">
        <f>'Entry Sheet'!C17</f>
        <v>9.2</v>
      </c>
      <c r="F14" s="589" t="s">
        <v>512</v>
      </c>
      <c r="J14" s="585" t="s">
        <v>625</v>
      </c>
      <c r="K14" s="590"/>
      <c r="L14" s="843">
        <f>SUM(L3:L13)</f>
        <v>288.42</v>
      </c>
      <c r="M14" s="592"/>
      <c r="N14" s="590"/>
      <c r="O14" s="843">
        <f>SUM(O3:O13)</f>
        <v>344.25</v>
      </c>
      <c r="P14" s="592"/>
      <c r="Q14" s="590"/>
      <c r="R14" s="843">
        <f>SUM(R3:R13)</f>
        <v>339.08</v>
      </c>
      <c r="S14" s="592"/>
      <c r="T14" s="590"/>
      <c r="U14" s="843">
        <f>SUM(U3:U13)</f>
        <v>321.03</v>
      </c>
      <c r="V14" s="592"/>
      <c r="W14" s="590"/>
      <c r="X14" s="843">
        <f>SUM(X3:X13)</f>
        <v>317.66</v>
      </c>
      <c r="Y14" s="592"/>
      <c r="Z14" s="590"/>
      <c r="AA14" s="843">
        <f>SUM(AA3:AA13)</f>
        <v>325.16</v>
      </c>
      <c r="AB14" s="592"/>
      <c r="AC14" s="590"/>
      <c r="AD14" s="843">
        <f>SUM(AD3:AD13)</f>
        <v>359.81</v>
      </c>
      <c r="AE14" s="592"/>
      <c r="AF14" s="590"/>
      <c r="AG14" s="843">
        <f>SUM(AG3:AG13)</f>
        <v>316.15</v>
      </c>
      <c r="AH14" s="592"/>
      <c r="AI14" s="590"/>
      <c r="AJ14" s="843">
        <f>SUM(AJ3:AJ13)</f>
        <v>326.58</v>
      </c>
      <c r="AK14" s="592"/>
      <c r="AL14" s="590"/>
      <c r="AM14" s="843">
        <f>SUM(AM3:AM13)</f>
        <v>323.45</v>
      </c>
      <c r="AN14" s="592"/>
      <c r="AO14" s="590"/>
      <c r="AP14" s="843">
        <f>SUM(AP3:AP13)</f>
        <v>325.11</v>
      </c>
      <c r="AQ14" s="592"/>
      <c r="AR14" s="590"/>
      <c r="AS14" s="843">
        <f>SUM(AS3:AS13)</f>
        <v>350.49</v>
      </c>
      <c r="AT14" s="592"/>
      <c r="AU14" s="590"/>
      <c r="AV14" s="843">
        <f>SUM(AV3:AV13)</f>
        <v>306.91</v>
      </c>
      <c r="AW14" s="592"/>
      <c r="AX14" s="590"/>
      <c r="AY14" s="843">
        <f>SUM(AY3:AY13)</f>
        <v>345.01</v>
      </c>
      <c r="AZ14" s="592"/>
      <c r="BB14" s="844">
        <f t="array" ref="BB14:BE23">SORT(BB3:BE12, BB3:BB12, TRUE, BE3:BE12, TRUE)</f>
        <v>1</v>
      </c>
      <c r="BC14" s="845" t="s">
        <v>495</v>
      </c>
      <c r="BD14" s="845">
        <v>23.0</v>
      </c>
      <c r="BE14" s="845">
        <v>1.0</v>
      </c>
      <c r="BI14" s="754" t="s">
        <v>132</v>
      </c>
      <c r="BJ14" s="755">
        <v>3.0</v>
      </c>
      <c r="BK14" s="755" t="s">
        <v>551</v>
      </c>
      <c r="BL14" s="755" t="str">
        <f t="array" ref="BL14">INDEX(B:B, MATCH(LARGE(_xlws.FILTER(E:E, C:C=BI14), BJ14), E:E, 0))</f>
        <v>#NAME?</v>
      </c>
      <c r="BM14" s="755" t="str">
        <f t="array" ref="BM14">INDEX(D:D, MATCH(LARGE(_xlws.FILTER(E:E, C:C=BI14), BJ14), E:E, 0))</f>
        <v>#NAME?</v>
      </c>
      <c r="BN14" s="756" t="str">
        <f t="array" ref="BN14">LARGE(_xlws.FILTER(E:E, C:C=BI14), BJ14)</f>
        <v>#NAME?</v>
      </c>
      <c r="BO14" s="757" t="str">
        <f t="array" ref="BO14">INDEX(F:F, MATCH(LARGE(_xlws.FILTER(E:E, C:C=BI14), BJ14), E:E, 0))</f>
        <v>#NAME?</v>
      </c>
      <c r="BP14" s="13" t="str">
        <f t="array" ref="BP14">INDEX(A:A, MATCH(LARGE(_xlws.FILTER(E:E, C:C=BI14), BJ14), E:E, 0))</f>
        <v>#NAME?</v>
      </c>
    </row>
    <row r="15" ht="15.75" customHeight="1">
      <c r="A15" s="585">
        <v>14.0</v>
      </c>
      <c r="B15" s="586" t="str">
        <f>Settings!$A$3</f>
        <v>DECOUPES</v>
      </c>
      <c r="C15" s="587" t="s">
        <v>100</v>
      </c>
      <c r="D15" s="13" t="str">
        <f>'Entry Sheet'!D5</f>
        <v>J. DANIELS</v>
      </c>
      <c r="E15" s="230">
        <f>'Entry Sheet'!E5</f>
        <v>25.6</v>
      </c>
      <c r="F15" s="846" t="s">
        <v>513</v>
      </c>
      <c r="BB15" s="847">
        <v>2.0</v>
      </c>
      <c r="BC15" s="848" t="s">
        <v>537</v>
      </c>
      <c r="BD15" s="848">
        <v>17.0</v>
      </c>
      <c r="BE15" s="848">
        <v>2.0</v>
      </c>
      <c r="BI15" s="703" t="s">
        <v>136</v>
      </c>
      <c r="BJ15" s="471">
        <v>1.0</v>
      </c>
      <c r="BK15" s="471" t="s">
        <v>540</v>
      </c>
      <c r="BL15" s="471" t="str">
        <f t="array" ref="BL15">INDEX(B:B, MATCH(LARGE(_xlws.FILTER(E:E, C:C=BI15), BJ15), E:E, 0))</f>
        <v>#NAME?</v>
      </c>
      <c r="BM15" s="471" t="str">
        <f t="array" ref="BM15">INDEX(D:D, MATCH(LARGE(_xlws.FILTER(E:E, C:C=BI15), BJ15), E:E, 0))</f>
        <v>#NAME?</v>
      </c>
      <c r="BN15" s="704" t="str">
        <f t="array" ref="BN15">LARGE(_xlws.FILTER(E:E, C:C=BI15), BJ15)</f>
        <v>#NAME?</v>
      </c>
      <c r="BO15" s="705" t="str">
        <f t="array" ref="BO15">INDEX(F:F, MATCH(LARGE(_xlws.FILTER(E:E, C:C=BI15), BJ15), E:E, 0))</f>
        <v>#NAME?</v>
      </c>
      <c r="BP15" s="13" t="str">
        <f t="array" ref="BP15">INDEX(A:A, MATCH(LARGE(_xlws.FILTER(E:E, C:C=BI15), BJ15), E:E, 0))</f>
        <v>#NAME?</v>
      </c>
    </row>
    <row r="16" ht="15.75" customHeight="1">
      <c r="A16" s="585">
        <v>15.0</v>
      </c>
      <c r="B16" s="586" t="str">
        <f>Settings!$A$3</f>
        <v>DECOUPES</v>
      </c>
      <c r="C16" s="596" t="s">
        <v>106</v>
      </c>
      <c r="D16" s="13" t="str">
        <f>'Entry Sheet'!D6</f>
        <v>C. BROWN</v>
      </c>
      <c r="E16" s="230">
        <f>'Entry Sheet'!E6</f>
        <v>10.1</v>
      </c>
      <c r="F16" s="846" t="s">
        <v>513</v>
      </c>
      <c r="BB16" s="849">
        <v>3.0</v>
      </c>
      <c r="BC16" s="850" t="s">
        <v>477</v>
      </c>
      <c r="BD16" s="850">
        <v>16.0</v>
      </c>
      <c r="BE16" s="850">
        <v>8.0</v>
      </c>
      <c r="BI16" s="703" t="s">
        <v>136</v>
      </c>
      <c r="BJ16" s="471">
        <v>2.0</v>
      </c>
      <c r="BK16" s="471" t="s">
        <v>549</v>
      </c>
      <c r="BL16" s="471" t="str">
        <f t="array" ref="BL16">INDEX(B:B, MATCH(LARGE(_xlws.FILTER(E:E, C:C=BI16), BJ16), E:E, 0))</f>
        <v>#NAME?</v>
      </c>
      <c r="BM16" s="471" t="str">
        <f t="array" ref="BM16">INDEX(D:D, MATCH(LARGE(_xlws.FILTER(E:E, C:C=BI16), BJ16), E:E, 0))</f>
        <v>#NAME?</v>
      </c>
      <c r="BN16" s="704" t="str">
        <f t="array" ref="BN16">LARGE(_xlws.FILTER(E:E, C:C=BI16), BJ16)</f>
        <v>#NAME?</v>
      </c>
      <c r="BO16" s="705" t="str">
        <f t="array" ref="BO16">INDEX(F:F, MATCH(LARGE(_xlws.FILTER(E:E, C:C=BI16), BJ16), E:E, 0))</f>
        <v>#NAME?</v>
      </c>
      <c r="BP16" s="13" t="str">
        <f t="array" ref="BP16">INDEX(A:A, MATCH(LARGE(_xlws.FILTER(E:E, C:C=BI16), BJ16), E:E, 0))</f>
        <v>#NAME?</v>
      </c>
    </row>
    <row r="17" ht="15.75" customHeight="1">
      <c r="A17" s="585">
        <v>16.0</v>
      </c>
      <c r="B17" s="586" t="str">
        <f>Settings!$A$3</f>
        <v>DECOUPES</v>
      </c>
      <c r="C17" s="596" t="s">
        <v>106</v>
      </c>
      <c r="D17" s="13" t="str">
        <f>'Entry Sheet'!D7</f>
        <v>B. IRVING</v>
      </c>
      <c r="E17" s="230">
        <f>'Entry Sheet'!E7</f>
        <v>19.8</v>
      </c>
      <c r="F17" s="846" t="s">
        <v>513</v>
      </c>
      <c r="BB17" s="851">
        <v>3.0</v>
      </c>
      <c r="BC17" s="13" t="s">
        <v>497</v>
      </c>
      <c r="BD17" s="13">
        <v>16.0</v>
      </c>
      <c r="BE17" s="13">
        <v>9.0</v>
      </c>
      <c r="BI17" s="708" t="s">
        <v>136</v>
      </c>
      <c r="BJ17" s="709">
        <v>3.0</v>
      </c>
      <c r="BK17" s="709" t="s">
        <v>551</v>
      </c>
      <c r="BL17" s="709" t="str">
        <f t="array" ref="BL17">INDEX(B:B, MATCH(LARGE(_xlws.FILTER(E:E, C:C=BI17), BJ17), E:E, 0))</f>
        <v>#NAME?</v>
      </c>
      <c r="BM17" s="709" t="str">
        <f t="array" ref="BM17">INDEX(D:D, MATCH(LARGE(_xlws.FILTER(E:E, C:C=BI17), BJ17), E:E, 0))</f>
        <v>#NAME?</v>
      </c>
      <c r="BN17" s="710" t="str">
        <f t="array" ref="BN17">LARGE(_xlws.FILTER(E:E, C:C=BI17), BJ17)</f>
        <v>#NAME?</v>
      </c>
      <c r="BO17" s="711" t="str">
        <f t="array" ref="BO17">INDEX(F:F, MATCH(LARGE(_xlws.FILTER(E:E, C:C=BI17), BJ17), E:E, 0))</f>
        <v>#NAME?</v>
      </c>
      <c r="BP17" s="13" t="str">
        <f t="array" ref="BP17">INDEX(A:A, MATCH(LARGE(_xlws.FILTER(E:E, C:C=BI17), BJ17), E:E, 0))</f>
        <v>#NAME?</v>
      </c>
    </row>
    <row r="18" ht="15.75" customHeight="1">
      <c r="A18" s="585">
        <v>17.0</v>
      </c>
      <c r="B18" s="586" t="str">
        <f>Settings!$A$3</f>
        <v>DECOUPES</v>
      </c>
      <c r="C18" s="596" t="s">
        <v>106</v>
      </c>
      <c r="D18" s="13" t="str">
        <f>'Entry Sheet'!D8</f>
        <v/>
      </c>
      <c r="E18" s="230" t="str">
        <f>'Entry Sheet'!E8</f>
        <v/>
      </c>
      <c r="F18" s="846" t="s">
        <v>513</v>
      </c>
      <c r="BB18" s="851">
        <v>3.0</v>
      </c>
      <c r="BC18" s="13" t="s">
        <v>578</v>
      </c>
      <c r="BD18" s="13">
        <v>16.0</v>
      </c>
      <c r="BE18" s="13">
        <v>10.0</v>
      </c>
      <c r="BI18" s="735" t="s">
        <v>139</v>
      </c>
      <c r="BJ18" s="736">
        <v>1.0</v>
      </c>
      <c r="BK18" s="736" t="s">
        <v>540</v>
      </c>
      <c r="BL18" s="736" t="str">
        <f t="array" ref="BL18">INDEX(B:B, MATCH(LARGE(_xlws.FILTER(E:E, C:C=BI18), BJ18), E:E, 0))</f>
        <v>#NAME?</v>
      </c>
      <c r="BM18" s="736" t="str">
        <f t="array" ref="BM18">INDEX(D:D, MATCH(LARGE(_xlws.FILTER(E:E, C:C=BI18), BJ18), E:E, 0))</f>
        <v>#NAME?</v>
      </c>
      <c r="BN18" s="737" t="str">
        <f t="array" ref="BN18">LARGE(_xlws.FILTER(E:E, C:C=BI18), BJ18)</f>
        <v>#NAME?</v>
      </c>
      <c r="BO18" s="738" t="str">
        <f t="array" ref="BO18">INDEX(F:F, MATCH(LARGE(_xlws.FILTER(E:E, C:C=BI18), BJ18), E:E, 0))</f>
        <v>#NAME?</v>
      </c>
      <c r="BP18" s="13" t="str">
        <f t="array" ref="BP18">INDEX(A:A, MATCH(LARGE(_xlws.FILTER(E:E, C:C=BI18), BJ18), E:E, 0))</f>
        <v>#NAME?</v>
      </c>
    </row>
    <row r="19" ht="15.75" customHeight="1">
      <c r="A19" s="585">
        <v>18.0</v>
      </c>
      <c r="B19" s="586" t="str">
        <f>Settings!$A$3</f>
        <v>DECOUPES</v>
      </c>
      <c r="C19" s="712" t="s">
        <v>117</v>
      </c>
      <c r="D19" s="13" t="str">
        <f>'Entry Sheet'!D9</f>
        <v>C. LAMB</v>
      </c>
      <c r="E19" s="230">
        <f>'Entry Sheet'!E9</f>
        <v>21.2</v>
      </c>
      <c r="F19" s="846" t="s">
        <v>513</v>
      </c>
      <c r="BB19" s="851">
        <v>6.0</v>
      </c>
      <c r="BC19" s="13" t="s">
        <v>538</v>
      </c>
      <c r="BD19" s="13">
        <v>15.0</v>
      </c>
      <c r="BE19" s="13">
        <v>4.0</v>
      </c>
      <c r="BI19" s="744" t="s">
        <v>139</v>
      </c>
      <c r="BJ19" s="365">
        <v>2.0</v>
      </c>
      <c r="BK19" s="365" t="s">
        <v>549</v>
      </c>
      <c r="BL19" s="365" t="str">
        <f t="array" ref="BL19">INDEX(B:B, MATCH(LARGE(_xlws.FILTER(E:E, C:C=BI19), BJ19), E:E, 0))</f>
        <v>#NAME?</v>
      </c>
      <c r="BM19" s="365" t="str">
        <f t="array" ref="BM19">INDEX(D:D, MATCH(LARGE(_xlws.FILTER(E:E, C:C=BI19), BJ19), E:E, 0))</f>
        <v>#NAME?</v>
      </c>
      <c r="BN19" s="745" t="str">
        <f t="array" ref="BN19">LARGE(_xlws.FILTER(E:E, C:C=BI19), BJ19)</f>
        <v>#NAME?</v>
      </c>
      <c r="BO19" s="746" t="str">
        <f t="array" ref="BO19">INDEX(F:F, MATCH(LARGE(_xlws.FILTER(E:E, C:C=BI19), BJ19), E:E, 0))</f>
        <v>#NAME?</v>
      </c>
      <c r="BP19" s="13" t="str">
        <f t="array" ref="BP19">INDEX(A:A, MATCH(LARGE(_xlws.FILTER(E:E, C:C=BI19), BJ19), E:E, 0))</f>
        <v>#NAME?</v>
      </c>
    </row>
    <row r="20" ht="15.75" customHeight="1">
      <c r="A20" s="585">
        <v>19.0</v>
      </c>
      <c r="B20" s="586" t="str">
        <f>Settings!$A$3</f>
        <v>DECOUPES</v>
      </c>
      <c r="C20" s="712" t="s">
        <v>117</v>
      </c>
      <c r="D20" s="13" t="str">
        <f>'Entry Sheet'!D10</f>
        <v>J. MEYERS</v>
      </c>
      <c r="E20" s="230">
        <f>'Entry Sheet'!E10</f>
        <v>12.8</v>
      </c>
      <c r="F20" s="846" t="s">
        <v>513</v>
      </c>
      <c r="AL20" s="13" t="str">
        <f>'Entry Sheet'!AD89</f>
        <v/>
      </c>
      <c r="AM20" s="13" t="str">
        <f>'Entry Sheet'!AE89</f>
        <v/>
      </c>
      <c r="BB20" s="851">
        <v>6.0</v>
      </c>
      <c r="BC20" s="13" t="s">
        <v>494</v>
      </c>
      <c r="BD20" s="13">
        <v>15.0</v>
      </c>
      <c r="BE20" s="13">
        <v>5.0</v>
      </c>
      <c r="BI20" s="754" t="s">
        <v>139</v>
      </c>
      <c r="BJ20" s="755">
        <v>3.0</v>
      </c>
      <c r="BK20" s="755" t="s">
        <v>551</v>
      </c>
      <c r="BL20" s="755" t="str">
        <f t="array" ref="BL20">INDEX(B:B, MATCH(LARGE(_xlws.FILTER(E:E, C:C=BI20), BJ20), E:E, 0))</f>
        <v>#NAME?</v>
      </c>
      <c r="BM20" s="755" t="str">
        <f t="array" ref="BM20">INDEX(D:D, MATCH(LARGE(_xlws.FILTER(E:E, C:C=BI20), BJ20), E:E, 0))</f>
        <v>#NAME?</v>
      </c>
      <c r="BN20" s="756" t="str">
        <f t="array" ref="BN20">LARGE(_xlws.FILTER(E:E, C:C=BI20), BJ20)</f>
        <v>#NAME?</v>
      </c>
      <c r="BO20" s="757" t="str">
        <f t="array" ref="BO20">INDEX(F:F, MATCH(LARGE(_xlws.FILTER(E:E, C:C=BI20), BJ20), E:E, 0))</f>
        <v>#NAME?</v>
      </c>
      <c r="BP20" s="13" t="str">
        <f t="array" ref="BP20">INDEX(A:A, MATCH(LARGE(_xlws.FILTER(E:E, C:C=BI20), BJ20), E:E, 0))</f>
        <v>#NAME?</v>
      </c>
    </row>
    <row r="21" ht="15.75" customHeight="1">
      <c r="A21" s="585">
        <v>20.0</v>
      </c>
      <c r="B21" s="586" t="str">
        <f>Settings!$A$3</f>
        <v>DECOUPES</v>
      </c>
      <c r="C21" s="712" t="s">
        <v>117</v>
      </c>
      <c r="D21" s="13" t="str">
        <f>'Entry Sheet'!D11</f>
        <v>T. MCLAURIN</v>
      </c>
      <c r="E21" s="230">
        <f>'Entry Sheet'!E11</f>
        <v>9.8</v>
      </c>
      <c r="F21" s="846" t="s">
        <v>513</v>
      </c>
      <c r="AL21" s="13" t="str">
        <f>'Entry Sheet'!AD90</f>
        <v/>
      </c>
      <c r="AM21" s="13" t="str">
        <f>'Entry Sheet'!AE90</f>
        <v/>
      </c>
      <c r="BB21" s="851">
        <v>8.0</v>
      </c>
      <c r="BC21" s="13" t="s">
        <v>536</v>
      </c>
      <c r="BD21" s="13">
        <v>13.0</v>
      </c>
      <c r="BE21" s="13">
        <v>6.0</v>
      </c>
      <c r="BI21" s="703" t="s">
        <v>146</v>
      </c>
      <c r="BJ21" s="471">
        <v>1.0</v>
      </c>
      <c r="BK21" s="471" t="s">
        <v>540</v>
      </c>
      <c r="BL21" s="471" t="str">
        <f t="array" ref="BL21">INDEX(B:B, MATCH(LARGE(_xlws.FILTER(E:E, C:C=BI21), BJ21), E:E, 0))</f>
        <v>#NAME?</v>
      </c>
      <c r="BM21" s="471" t="str">
        <f t="array" ref="BM21">INDEX(D:D, MATCH(LARGE(_xlws.FILTER(E:E, C:C=BI21), BJ21), E:E, 0))</f>
        <v>#NAME?</v>
      </c>
      <c r="BN21" s="704" t="str">
        <f t="array" ref="BN21">LARGE(_xlws.FILTER(E:E, C:C=BI21), BJ21)</f>
        <v>#NAME?</v>
      </c>
      <c r="BO21" s="705" t="str">
        <f t="array" ref="BO21">INDEX(F:F, MATCH(LARGE(_xlws.FILTER(E:E, C:C=BI21), BJ21), E:E, 0))</f>
        <v>#NAME?</v>
      </c>
      <c r="BP21" s="13" t="str">
        <f t="array" ref="BP21">INDEX(A:A, MATCH(LARGE(_xlws.FILTER(E:E, C:C=BI21), BJ21), E:E, 0))</f>
        <v>#NAME?</v>
      </c>
    </row>
    <row r="22" ht="15.75" customHeight="1">
      <c r="A22" s="585">
        <v>21.0</v>
      </c>
      <c r="B22" s="586" t="str">
        <f>Settings!$A$3</f>
        <v>DECOUPES</v>
      </c>
      <c r="C22" s="712" t="s">
        <v>117</v>
      </c>
      <c r="D22" s="13" t="str">
        <f>'Entry Sheet'!D12</f>
        <v/>
      </c>
      <c r="E22" s="230" t="str">
        <f>'Entry Sheet'!E12</f>
        <v/>
      </c>
      <c r="F22" s="846" t="s">
        <v>513</v>
      </c>
      <c r="AL22" s="13" t="str">
        <f>'Entry Sheet'!AD91</f>
        <v/>
      </c>
      <c r="AM22" s="13" t="str">
        <f>'Entry Sheet'!AE91</f>
        <v/>
      </c>
      <c r="BB22" s="851">
        <v>8.0</v>
      </c>
      <c r="BC22" s="13" t="s">
        <v>478</v>
      </c>
      <c r="BD22" s="13">
        <v>13.0</v>
      </c>
      <c r="BE22" s="13">
        <v>7.0</v>
      </c>
      <c r="BI22" s="703" t="s">
        <v>146</v>
      </c>
      <c r="BJ22" s="471">
        <v>2.0</v>
      </c>
      <c r="BK22" s="471" t="s">
        <v>549</v>
      </c>
      <c r="BL22" s="471" t="str">
        <f t="array" ref="BL22">INDEX(B:B, MATCH(LARGE(_xlws.FILTER(E:E, C:C=BI22), BJ22), E:E, 0))</f>
        <v>#NAME?</v>
      </c>
      <c r="BM22" s="471" t="str">
        <f t="array" ref="BM22">INDEX(D:D, MATCH(LARGE(_xlws.FILTER(E:E, C:C=BI22), BJ22), E:E, 0))</f>
        <v>#NAME?</v>
      </c>
      <c r="BN22" s="704" t="str">
        <f t="array" ref="BN22">LARGE(_xlws.FILTER(E:E, C:C=BI22), BJ22)</f>
        <v>#NAME?</v>
      </c>
      <c r="BO22" s="705" t="str">
        <f t="array" ref="BO22">INDEX(F:F, MATCH(LARGE(_xlws.FILTER(E:E, C:C=BI22), BJ22), E:E, 0))</f>
        <v>#NAME?</v>
      </c>
      <c r="BP22" s="13" t="str">
        <f t="array" ref="BP22">INDEX(A:A, MATCH(LARGE(_xlws.FILTER(E:E, C:C=BI22), BJ22), E:E, 0))</f>
        <v>#NAME?</v>
      </c>
    </row>
    <row r="23" ht="15.75" customHeight="1">
      <c r="A23" s="585">
        <v>22.0</v>
      </c>
      <c r="B23" s="586" t="str">
        <f>Settings!$A$3</f>
        <v>DECOUPES</v>
      </c>
      <c r="C23" s="764" t="s">
        <v>132</v>
      </c>
      <c r="D23" s="13" t="str">
        <f>'Entry Sheet'!D13</f>
        <v>T. KELCE</v>
      </c>
      <c r="E23" s="230">
        <f>'Entry Sheet'!E13</f>
        <v>10.1</v>
      </c>
      <c r="F23" s="846" t="s">
        <v>513</v>
      </c>
      <c r="AL23" s="13" t="str">
        <f>'Entry Sheet'!AD92</f>
        <v/>
      </c>
      <c r="AM23" s="13" t="str">
        <f>'Entry Sheet'!AE92</f>
        <v/>
      </c>
      <c r="BB23" s="851">
        <v>10.0</v>
      </c>
      <c r="BC23" s="13" t="s">
        <v>493</v>
      </c>
      <c r="BD23" s="13">
        <v>11.0</v>
      </c>
      <c r="BE23" s="13">
        <v>3.0</v>
      </c>
      <c r="BI23" s="708" t="s">
        <v>146</v>
      </c>
      <c r="BJ23" s="709">
        <v>3.0</v>
      </c>
      <c r="BK23" s="709" t="s">
        <v>551</v>
      </c>
      <c r="BL23" s="709" t="str">
        <f t="array" ref="BL23">INDEX(B:B, MATCH(LARGE(_xlws.FILTER(E:E, C:C=BI23), BJ23), E:E, 0))</f>
        <v>#NAME?</v>
      </c>
      <c r="BM23" s="709" t="str">
        <f t="array" ref="BM23">INDEX(D:D, MATCH(LARGE(_xlws.FILTER(E:E, C:C=BI23), BJ23), E:E, 0))</f>
        <v>#NAME?</v>
      </c>
      <c r="BN23" s="710" t="str">
        <f t="array" ref="BN23">LARGE(_xlws.FILTER(E:E, C:C=BI23), BJ23)</f>
        <v>#NAME?</v>
      </c>
      <c r="BO23" s="711" t="str">
        <f t="array" ref="BO23">INDEX(F:F, MATCH(LARGE(_xlws.FILTER(E:E, C:C=BI23), BJ23), E:E, 0))</f>
        <v>#NAME?</v>
      </c>
      <c r="BP23" s="13" t="str">
        <f t="array" ref="BP23">INDEX(A:A, MATCH(LARGE(_xlws.FILTER(E:E, C:C=BI23), BJ23), E:E, 0))</f>
        <v>#NAME?</v>
      </c>
    </row>
    <row r="24" ht="15.75" customHeight="1">
      <c r="A24" s="585">
        <v>23.0</v>
      </c>
      <c r="B24" s="586" t="str">
        <f>Settings!$A$3</f>
        <v>DECOUPES</v>
      </c>
      <c r="C24" s="795" t="s">
        <v>136</v>
      </c>
      <c r="D24" s="13" t="str">
        <f>'Entry Sheet'!D14</f>
        <v>S. DIGGS</v>
      </c>
      <c r="E24" s="230">
        <f>'Entry Sheet'!E14</f>
        <v>7.2</v>
      </c>
      <c r="F24" s="846" t="s">
        <v>513</v>
      </c>
      <c r="AL24" s="13" t="str">
        <f>'Entry Sheet'!AD93</f>
        <v/>
      </c>
      <c r="AM24" s="13" t="str">
        <f>'Entry Sheet'!AE93</f>
        <v/>
      </c>
      <c r="BB24" s="314"/>
      <c r="BI24" s="735" t="s">
        <v>162</v>
      </c>
      <c r="BJ24" s="736">
        <v>1.0</v>
      </c>
      <c r="BK24" s="736" t="s">
        <v>540</v>
      </c>
      <c r="BL24" s="736" t="str">
        <f t="array" ref="BL24">INDEX(B:B, MATCH(LARGE(_xlws.FILTER(E:E, C:C=BI24), BJ24), E:E, 0))</f>
        <v>#NAME?</v>
      </c>
      <c r="BM24" s="736" t="str">
        <f t="array" ref="BM24">INDEX(D:D, MATCH(LARGE(_xlws.FILTER(E:E, C:C=BI24), BJ24), E:E, 0))</f>
        <v>#NAME?</v>
      </c>
      <c r="BN24" s="737" t="str">
        <f t="array" ref="BN24">LARGE(_xlws.FILTER(E:E, C:C=BI24), BJ24)</f>
        <v>#NAME?</v>
      </c>
      <c r="BO24" s="738" t="str">
        <f t="array" ref="BO24">INDEX(F:F, MATCH(LARGE(_xlws.FILTER(E:E, C:C=BI24), BJ24), E:E, 0))</f>
        <v>#NAME?</v>
      </c>
      <c r="BP24" s="13" t="str">
        <f t="array" ref="BP24">INDEX(A:A, MATCH(LARGE(_xlws.FILTER(E:E, C:C=BI24), BJ24), E:E, 0))</f>
        <v>#NAME?</v>
      </c>
    </row>
    <row r="25" ht="15.75" customHeight="1">
      <c r="A25" s="585">
        <v>24.0</v>
      </c>
      <c r="B25" s="586" t="str">
        <f>Settings!$A$3</f>
        <v>DECOUPES</v>
      </c>
      <c r="C25" s="818" t="s">
        <v>139</v>
      </c>
      <c r="D25" s="13" t="str">
        <f>'Entry Sheet'!D15</f>
        <v>BUF D/ST</v>
      </c>
      <c r="E25" s="230">
        <f>'Entry Sheet'!E15</f>
        <v>25.11</v>
      </c>
      <c r="F25" s="846" t="s">
        <v>513</v>
      </c>
      <c r="AL25" s="13" t="str">
        <f>'Entry Sheet'!AD94</f>
        <v/>
      </c>
      <c r="AM25" s="13" t="str">
        <f>'Entry Sheet'!AE94</f>
        <v/>
      </c>
      <c r="BB25" s="314"/>
      <c r="BI25" s="744" t="s">
        <v>162</v>
      </c>
      <c r="BJ25" s="365">
        <v>2.0</v>
      </c>
      <c r="BK25" s="365" t="s">
        <v>549</v>
      </c>
      <c r="BL25" s="365" t="str">
        <f t="array" ref="BL25">INDEX(B:B, MATCH(LARGE(_xlws.FILTER(E:E, C:C=BI25), BJ25), E:E, 0))</f>
        <v>#NAME?</v>
      </c>
      <c r="BM25" s="365" t="str">
        <f t="array" ref="BM25">INDEX(D:D, MATCH(LARGE(_xlws.FILTER(E:E, C:C=BI25), BJ25), E:E, 0))</f>
        <v>#NAME?</v>
      </c>
      <c r="BN25" s="745" t="str">
        <f t="array" ref="BN25">LARGE(_xlws.FILTER(E:E, C:C=BI25), BJ25)</f>
        <v>#NAME?</v>
      </c>
      <c r="BO25" s="746" t="str">
        <f t="array" ref="BO25">INDEX(F:F, MATCH(LARGE(_xlws.FILTER(E:E, C:C=BI25), BJ25), E:E, 0))</f>
        <v>#NAME?</v>
      </c>
      <c r="BP25" s="13" t="str">
        <f t="array" ref="BP25">INDEX(A:A, MATCH(LARGE(_xlws.FILTER(E:E, C:C=BI25), BJ25), E:E, 0))</f>
        <v>#NAME?</v>
      </c>
    </row>
    <row r="26" ht="15.75" customHeight="1">
      <c r="A26" s="585">
        <v>25.0</v>
      </c>
      <c r="B26" s="586" t="str">
        <f>Settings!$A$3</f>
        <v>DECOUPES</v>
      </c>
      <c r="C26" s="833" t="s">
        <v>146</v>
      </c>
      <c r="D26" s="13" t="str">
        <f>'Entry Sheet'!D16</f>
        <v>J. ELLIOTT</v>
      </c>
      <c r="E26" s="230">
        <f>'Entry Sheet'!E16</f>
        <v>14</v>
      </c>
      <c r="F26" s="846" t="s">
        <v>513</v>
      </c>
      <c r="AL26" s="13" t="str">
        <f>'Entry Sheet'!AD95</f>
        <v/>
      </c>
      <c r="AM26" s="13" t="str">
        <f>'Entry Sheet'!AE95</f>
        <v/>
      </c>
      <c r="BB26" s="314"/>
      <c r="BI26" s="754" t="s">
        <v>162</v>
      </c>
      <c r="BJ26" s="755">
        <v>3.0</v>
      </c>
      <c r="BK26" s="755" t="s">
        <v>551</v>
      </c>
      <c r="BL26" s="755" t="str">
        <f t="array" ref="BL26">INDEX(B:B, MATCH(LARGE(_xlws.FILTER(E:E, C:C=BI26), BJ26), E:E, 0))</f>
        <v>#NAME?</v>
      </c>
      <c r="BM26" s="755" t="str">
        <f t="array" ref="BM26">INDEX(D:D, MATCH(LARGE(_xlws.FILTER(E:E, C:C=BI26), BJ26), E:E, 0))</f>
        <v>#NAME?</v>
      </c>
      <c r="BN26" s="756" t="str">
        <f t="array" ref="BN26">LARGE(_xlws.FILTER(E:E, C:C=BI26), BJ26)</f>
        <v>#NAME?</v>
      </c>
      <c r="BO26" s="757" t="str">
        <f t="array" ref="BO26">INDEX(F:F, MATCH(LARGE(_xlws.FILTER(E:E, C:C=BI26), BJ26), E:E, 0))</f>
        <v>#NAME?</v>
      </c>
      <c r="BP26" s="13" t="str">
        <f t="array" ref="BP26">INDEX(A:A, MATCH(LARGE(_xlws.FILTER(E:E, C:C=BI26), BJ26), E:E, 0))</f>
        <v>#NAME?</v>
      </c>
    </row>
    <row r="27" ht="15.75" customHeight="1">
      <c r="A27" s="585">
        <v>26.0</v>
      </c>
      <c r="B27" s="586" t="str">
        <f>Settings!$A$3</f>
        <v>DECOUPES</v>
      </c>
      <c r="C27" s="842" t="s">
        <v>162</v>
      </c>
      <c r="D27" s="13" t="str">
        <f>'Entry Sheet'!D17</f>
        <v>LAC HC</v>
      </c>
      <c r="E27" s="230">
        <f>'Entry Sheet'!E17</f>
        <v>10</v>
      </c>
      <c r="F27" s="846" t="s">
        <v>513</v>
      </c>
      <c r="AL27" s="13" t="str">
        <f>'Entry Sheet'!AD96</f>
        <v/>
      </c>
      <c r="AM27" s="13" t="str">
        <f>'Entry Sheet'!AE96</f>
        <v/>
      </c>
      <c r="BB27" s="314"/>
    </row>
    <row r="28" ht="15.75" customHeight="1">
      <c r="A28" s="585">
        <v>27.0</v>
      </c>
      <c r="B28" s="586" t="str">
        <f>Settings!$A$3</f>
        <v>DECOUPES</v>
      </c>
      <c r="C28" s="587" t="s">
        <v>100</v>
      </c>
      <c r="D28" s="13" t="str">
        <f>'Entry Sheet'!F5</f>
        <v>D. JONES</v>
      </c>
      <c r="E28" s="13">
        <f>'Entry Sheet'!G5</f>
        <v>20.42</v>
      </c>
      <c r="F28" s="589" t="s">
        <v>514</v>
      </c>
      <c r="AL28" s="13" t="str">
        <f>'Entry Sheet'!AD97</f>
        <v/>
      </c>
      <c r="AM28" s="13" t="str">
        <f>'Entry Sheet'!AE97</f>
        <v/>
      </c>
      <c r="BB28" s="314"/>
    </row>
    <row r="29" ht="15.75" customHeight="1">
      <c r="A29" s="585">
        <v>28.0</v>
      </c>
      <c r="B29" s="586" t="str">
        <f>Settings!$A$3</f>
        <v>DECOUPES</v>
      </c>
      <c r="C29" s="596" t="s">
        <v>106</v>
      </c>
      <c r="D29" s="13" t="str">
        <f>'Entry Sheet'!F6</f>
        <v>C. BROWN</v>
      </c>
      <c r="E29" s="13">
        <f>'Entry Sheet'!G6</f>
        <v>7</v>
      </c>
      <c r="F29" s="589" t="s">
        <v>514</v>
      </c>
      <c r="AL29" s="13" t="str">
        <f>'Entry Sheet'!AD98</f>
        <v/>
      </c>
      <c r="AM29" s="13" t="str">
        <f>'Entry Sheet'!AE98</f>
        <v/>
      </c>
      <c r="BB29" s="314"/>
    </row>
    <row r="30" ht="15.75" customHeight="1">
      <c r="A30" s="585">
        <v>29.0</v>
      </c>
      <c r="B30" s="586" t="str">
        <f>Settings!$A$3</f>
        <v>DECOUPES</v>
      </c>
      <c r="C30" s="596" t="s">
        <v>106</v>
      </c>
      <c r="D30" s="13" t="str">
        <f>'Entry Sheet'!F7</f>
        <v>B. IRVING</v>
      </c>
      <c r="E30" s="13">
        <f>'Entry Sheet'!G7</f>
        <v>16.4</v>
      </c>
      <c r="F30" s="589" t="s">
        <v>514</v>
      </c>
      <c r="AL30" s="13" t="str">
        <f>'Entry Sheet'!AD99</f>
        <v/>
      </c>
      <c r="AM30" s="13" t="str">
        <f>'Entry Sheet'!AE99</f>
        <v/>
      </c>
      <c r="BB30" s="314"/>
    </row>
    <row r="31" ht="15.75" customHeight="1">
      <c r="A31" s="585">
        <v>30.0</v>
      </c>
      <c r="B31" s="586" t="str">
        <f>Settings!$A$3</f>
        <v>DECOUPES</v>
      </c>
      <c r="C31" s="596" t="s">
        <v>106</v>
      </c>
      <c r="D31" s="13" t="str">
        <f>'Entry Sheet'!F8</f>
        <v/>
      </c>
      <c r="E31" s="13" t="str">
        <f>'Entry Sheet'!G8</f>
        <v/>
      </c>
      <c r="F31" s="589" t="s">
        <v>514</v>
      </c>
      <c r="AL31" s="13" t="str">
        <f>'Entry Sheet'!AD100</f>
        <v/>
      </c>
      <c r="AM31" s="13" t="str">
        <f>'Entry Sheet'!AE100</f>
        <v/>
      </c>
      <c r="BB31" s="314"/>
    </row>
    <row r="32" ht="15.75" customHeight="1">
      <c r="A32" s="585">
        <v>31.0</v>
      </c>
      <c r="B32" s="586" t="str">
        <f>Settings!$A$3</f>
        <v>DECOUPES</v>
      </c>
      <c r="C32" s="712" t="s">
        <v>117</v>
      </c>
      <c r="D32" s="13" t="str">
        <f>'Entry Sheet'!F9</f>
        <v>C. LAMB</v>
      </c>
      <c r="E32" s="13">
        <f>'Entry Sheet'!G9</f>
        <v>0</v>
      </c>
      <c r="F32" s="589" t="s">
        <v>514</v>
      </c>
      <c r="BB32" s="314"/>
    </row>
    <row r="33" ht="15.75" customHeight="1">
      <c r="A33" s="585">
        <v>32.0</v>
      </c>
      <c r="B33" s="586" t="str">
        <f>Settings!$A$3</f>
        <v>DECOUPES</v>
      </c>
      <c r="C33" s="712" t="s">
        <v>117</v>
      </c>
      <c r="D33" s="13" t="str">
        <f>'Entry Sheet'!F10</f>
        <v>J. MEYERS</v>
      </c>
      <c r="E33" s="13">
        <f>'Entry Sheet'!G10</f>
        <v>9.3</v>
      </c>
      <c r="F33" s="589" t="s">
        <v>514</v>
      </c>
      <c r="BB33" s="314"/>
    </row>
    <row r="34" ht="15.75" customHeight="1">
      <c r="A34" s="585">
        <v>33.0</v>
      </c>
      <c r="B34" s="586" t="str">
        <f>Settings!$A$3</f>
        <v>DECOUPES</v>
      </c>
      <c r="C34" s="712" t="s">
        <v>117</v>
      </c>
      <c r="D34" s="13" t="str">
        <f>'Entry Sheet'!F11</f>
        <v>W. ROBINSON</v>
      </c>
      <c r="E34" s="13">
        <f>'Entry Sheet'!G11</f>
        <v>3.6</v>
      </c>
      <c r="F34" s="589" t="s">
        <v>514</v>
      </c>
      <c r="BB34" s="314"/>
    </row>
    <row r="35" ht="15.75" customHeight="1">
      <c r="A35" s="585">
        <v>34.0</v>
      </c>
      <c r="B35" s="586" t="str">
        <f>Settings!$A$3</f>
        <v>DECOUPES</v>
      </c>
      <c r="C35" s="712" t="s">
        <v>117</v>
      </c>
      <c r="D35" s="13" t="str">
        <f>'Entry Sheet'!F12</f>
        <v/>
      </c>
      <c r="E35" s="13" t="str">
        <f>'Entry Sheet'!G12</f>
        <v/>
      </c>
      <c r="F35" s="589" t="s">
        <v>514</v>
      </c>
      <c r="BB35" s="314"/>
    </row>
    <row r="36" ht="15.75" customHeight="1">
      <c r="A36" s="585">
        <v>35.0</v>
      </c>
      <c r="B36" s="586" t="str">
        <f>Settings!$A$3</f>
        <v>DECOUPES</v>
      </c>
      <c r="C36" s="764" t="s">
        <v>132</v>
      </c>
      <c r="D36" s="13" t="str">
        <f>'Entry Sheet'!F13</f>
        <v>T. KELCE</v>
      </c>
      <c r="E36" s="13">
        <f>'Entry Sheet'!G13</f>
        <v>6.6</v>
      </c>
      <c r="F36" s="589" t="s">
        <v>514</v>
      </c>
      <c r="BB36" s="314"/>
    </row>
    <row r="37" ht="15.75" customHeight="1">
      <c r="A37" s="585">
        <v>36.0</v>
      </c>
      <c r="B37" s="586" t="str">
        <f>Settings!$A$3</f>
        <v>DECOUPES</v>
      </c>
      <c r="C37" s="795" t="s">
        <v>136</v>
      </c>
      <c r="D37" s="13" t="str">
        <f>'Entry Sheet'!F14</f>
        <v>T. KRAFT</v>
      </c>
      <c r="E37" s="13">
        <f>'Entry Sheet'!G14</f>
        <v>5.9</v>
      </c>
      <c r="F37" s="589" t="s">
        <v>514</v>
      </c>
      <c r="BB37" s="314"/>
    </row>
    <row r="38" ht="15.75" customHeight="1">
      <c r="A38" s="585">
        <v>37.0</v>
      </c>
      <c r="B38" s="586" t="str">
        <f>Settings!$A$3</f>
        <v>DECOUPES</v>
      </c>
      <c r="C38" s="818" t="s">
        <v>139</v>
      </c>
      <c r="D38" s="13" t="str">
        <f>'Entry Sheet'!F15</f>
        <v>BUF D/ST</v>
      </c>
      <c r="E38" s="13">
        <f>'Entry Sheet'!G15</f>
        <v>10.95</v>
      </c>
      <c r="F38" s="589" t="s">
        <v>514</v>
      </c>
      <c r="BB38" s="314"/>
    </row>
    <row r="39" ht="15.75" customHeight="1">
      <c r="A39" s="585">
        <v>38.0</v>
      </c>
      <c r="B39" s="586" t="str">
        <f>Settings!$A$3</f>
        <v>DECOUPES</v>
      </c>
      <c r="C39" s="833" t="s">
        <v>146</v>
      </c>
      <c r="D39" s="13" t="str">
        <f>'Entry Sheet'!F16</f>
        <v>J. ELLIOTT</v>
      </c>
      <c r="E39" s="13">
        <f>'Entry Sheet'!G16</f>
        <v>3</v>
      </c>
      <c r="F39" s="589" t="s">
        <v>514</v>
      </c>
      <c r="BB39" s="314"/>
    </row>
    <row r="40" ht="15.75" customHeight="1">
      <c r="A40" s="585">
        <v>39.0</v>
      </c>
      <c r="B40" s="586" t="str">
        <f>Settings!$A$3</f>
        <v>DECOUPES</v>
      </c>
      <c r="C40" s="842" t="s">
        <v>162</v>
      </c>
      <c r="D40" s="13" t="str">
        <f>'Entry Sheet'!F17</f>
        <v>PHI HC</v>
      </c>
      <c r="E40" s="13">
        <f>'Entry Sheet'!G17</f>
        <v>12.9</v>
      </c>
      <c r="F40" s="589" t="s">
        <v>514</v>
      </c>
      <c r="BB40" s="314"/>
    </row>
    <row r="41" ht="15.75" customHeight="1">
      <c r="A41" s="585">
        <v>40.0</v>
      </c>
      <c r="B41" s="586" t="str">
        <f>Settings!$A$3</f>
        <v>DECOUPES</v>
      </c>
      <c r="C41" s="587" t="s">
        <v>100</v>
      </c>
      <c r="D41" s="13" t="str">
        <f>'Entry Sheet'!H5</f>
        <v>J. FIELDS</v>
      </c>
      <c r="E41" s="13">
        <f>'Entry Sheet'!I5</f>
        <v>32.44</v>
      </c>
      <c r="F41" s="846" t="s">
        <v>515</v>
      </c>
      <c r="BB41" s="314"/>
    </row>
    <row r="42" ht="15.75" customHeight="1">
      <c r="A42" s="585">
        <v>41.0</v>
      </c>
      <c r="B42" s="586" t="str">
        <f>Settings!$A$3</f>
        <v>DECOUPES</v>
      </c>
      <c r="C42" s="596" t="s">
        <v>106</v>
      </c>
      <c r="D42" s="13" t="str">
        <f>'Entry Sheet'!H6</f>
        <v>B. IRVING</v>
      </c>
      <c r="E42" s="13">
        <f>'Entry Sheet'!I6</f>
        <v>28</v>
      </c>
      <c r="F42" s="846" t="s">
        <v>515</v>
      </c>
      <c r="BB42" s="314"/>
    </row>
    <row r="43" ht="15.75" customHeight="1">
      <c r="A43" s="585">
        <v>42.0</v>
      </c>
      <c r="B43" s="586" t="str">
        <f>Settings!$A$3</f>
        <v>DECOUPES</v>
      </c>
      <c r="C43" s="596" t="s">
        <v>106</v>
      </c>
      <c r="D43" s="13" t="str">
        <f>'Entry Sheet'!H7</f>
        <v>T. BENSON</v>
      </c>
      <c r="E43" s="13">
        <f>'Entry Sheet'!I7</f>
        <v>11.2</v>
      </c>
      <c r="F43" s="846" t="s">
        <v>515</v>
      </c>
      <c r="BB43" s="314"/>
    </row>
    <row r="44" ht="15.75" customHeight="1">
      <c r="A44" s="585">
        <v>43.0</v>
      </c>
      <c r="B44" s="586" t="str">
        <f>Settings!$A$3</f>
        <v>DECOUPES</v>
      </c>
      <c r="C44" s="596" t="s">
        <v>106</v>
      </c>
      <c r="D44" s="13" t="str">
        <f>'Entry Sheet'!H8</f>
        <v/>
      </c>
      <c r="E44" s="13" t="str">
        <f>'Entry Sheet'!I8</f>
        <v/>
      </c>
      <c r="F44" s="846" t="s">
        <v>515</v>
      </c>
      <c r="BB44" s="314"/>
    </row>
    <row r="45" ht="15.75" customHeight="1">
      <c r="A45" s="585">
        <v>44.0</v>
      </c>
      <c r="B45" s="586" t="str">
        <f>Settings!$A$3</f>
        <v>DECOUPES</v>
      </c>
      <c r="C45" s="712" t="s">
        <v>117</v>
      </c>
      <c r="D45" s="13" t="str">
        <f>'Entry Sheet'!H9</f>
        <v>J. MEYERS</v>
      </c>
      <c r="E45" s="13">
        <f>'Entry Sheet'!I9</f>
        <v>7</v>
      </c>
      <c r="F45" s="846" t="s">
        <v>515</v>
      </c>
      <c r="BB45" s="314"/>
    </row>
    <row r="46" ht="15.75" customHeight="1">
      <c r="A46" s="585">
        <v>45.0</v>
      </c>
      <c r="B46" s="586" t="str">
        <f>Settings!$A$3</f>
        <v>DECOUPES</v>
      </c>
      <c r="C46" s="712" t="s">
        <v>117</v>
      </c>
      <c r="D46" s="13" t="str">
        <f>'Entry Sheet'!H10</f>
        <v>C. GODWIN JR.</v>
      </c>
      <c r="E46" s="13">
        <f>'Entry Sheet'!I10</f>
        <v>5.6</v>
      </c>
      <c r="F46" s="846" t="s">
        <v>515</v>
      </c>
      <c r="BB46" s="314"/>
    </row>
    <row r="47" ht="15.75" customHeight="1">
      <c r="A47" s="585">
        <v>46.0</v>
      </c>
      <c r="B47" s="586" t="str">
        <f>Settings!$A$3</f>
        <v>DECOUPES</v>
      </c>
      <c r="C47" s="712" t="s">
        <v>117</v>
      </c>
      <c r="D47" s="13" t="str">
        <f>'Entry Sheet'!H11</f>
        <v>D. MOONEY</v>
      </c>
      <c r="E47" s="13">
        <f>'Entry Sheet'!I11</f>
        <v>2.5</v>
      </c>
      <c r="F47" s="846" t="s">
        <v>515</v>
      </c>
      <c r="BB47" s="314"/>
    </row>
    <row r="48" ht="18.0" customHeight="1">
      <c r="A48" s="585">
        <v>47.0</v>
      </c>
      <c r="B48" s="586" t="str">
        <f>Settings!$A$3</f>
        <v>DECOUPES</v>
      </c>
      <c r="C48" s="712" t="s">
        <v>117</v>
      </c>
      <c r="D48" s="13" t="str">
        <f>'Entry Sheet'!H12</f>
        <v/>
      </c>
      <c r="E48" s="13" t="str">
        <f>'Entry Sheet'!I12</f>
        <v/>
      </c>
      <c r="F48" s="846" t="s">
        <v>515</v>
      </c>
      <c r="BB48" s="314"/>
    </row>
    <row r="49" ht="15.75" customHeight="1">
      <c r="A49" s="585">
        <v>48.0</v>
      </c>
      <c r="B49" s="586" t="str">
        <f>Settings!$A$3</f>
        <v>DECOUPES</v>
      </c>
      <c r="C49" s="764" t="s">
        <v>132</v>
      </c>
      <c r="D49" s="13" t="str">
        <f>'Entry Sheet'!H13</f>
        <v>T. KRAFT</v>
      </c>
      <c r="E49" s="13">
        <f>'Entry Sheet'!I13</f>
        <v>10.6</v>
      </c>
      <c r="F49" s="846" t="s">
        <v>515</v>
      </c>
      <c r="BB49" s="314"/>
    </row>
    <row r="50" ht="15.75" customHeight="1">
      <c r="A50" s="585">
        <v>49.0</v>
      </c>
      <c r="B50" s="586" t="str">
        <f>Settings!$A$3</f>
        <v>DECOUPES</v>
      </c>
      <c r="C50" s="795" t="s">
        <v>136</v>
      </c>
      <c r="D50" s="13" t="str">
        <f>'Entry Sheet'!H14</f>
        <v>C. BROWN</v>
      </c>
      <c r="E50" s="13">
        <f>'Entry Sheet'!I14</f>
        <v>11.1</v>
      </c>
      <c r="F50" s="846" t="s">
        <v>515</v>
      </c>
      <c r="BB50" s="314"/>
    </row>
    <row r="51" ht="15.75" customHeight="1">
      <c r="A51" s="585">
        <v>50.0</v>
      </c>
      <c r="B51" s="586" t="str">
        <f>Settings!$A$3</f>
        <v>DECOUPES</v>
      </c>
      <c r="C51" s="818" t="s">
        <v>139</v>
      </c>
      <c r="D51" s="13" t="str">
        <f>'Entry Sheet'!H15</f>
        <v>BUF D/ST</v>
      </c>
      <c r="E51" s="13">
        <f>'Entry Sheet'!I15</f>
        <v>18.23</v>
      </c>
      <c r="F51" s="846" t="s">
        <v>515</v>
      </c>
      <c r="BB51" s="314"/>
    </row>
    <row r="52" ht="15.75" customHeight="1">
      <c r="A52" s="585">
        <v>51.0</v>
      </c>
      <c r="B52" s="586" t="str">
        <f>Settings!$A$3</f>
        <v>DECOUPES</v>
      </c>
      <c r="C52" s="833" t="s">
        <v>146</v>
      </c>
      <c r="D52" s="13" t="str">
        <f>'Entry Sheet'!H16</f>
        <v>J. ELLIOTT</v>
      </c>
      <c r="E52" s="13">
        <f>'Entry Sheet'!I16</f>
        <v>7</v>
      </c>
      <c r="F52" s="846" t="s">
        <v>515</v>
      </c>
      <c r="BB52" s="314"/>
    </row>
    <row r="53" ht="15.75" customHeight="1">
      <c r="A53" s="585">
        <v>52.0</v>
      </c>
      <c r="B53" s="586" t="str">
        <f>Settings!$A$3</f>
        <v>DECOUPES</v>
      </c>
      <c r="C53" s="842" t="s">
        <v>162</v>
      </c>
      <c r="D53" s="13" t="str">
        <f>'Entry Sheet'!H17</f>
        <v>LAC HC</v>
      </c>
      <c r="E53" s="13">
        <f>'Entry Sheet'!I17</f>
        <v>3.4</v>
      </c>
      <c r="F53" s="846" t="s">
        <v>515</v>
      </c>
      <c r="BB53" s="314"/>
    </row>
    <row r="54" ht="15.75" customHeight="1">
      <c r="A54" s="585">
        <v>53.0</v>
      </c>
      <c r="B54" s="586" t="str">
        <f>Settings!$A$3</f>
        <v>DECOUPES</v>
      </c>
      <c r="C54" s="587" t="s">
        <v>100</v>
      </c>
      <c r="D54" s="13" t="str">
        <f>'Entry Sheet'!J5</f>
        <v>J. FIELDS</v>
      </c>
      <c r="E54" s="13">
        <f>'Entry Sheet'!K5</f>
        <v>34.22</v>
      </c>
      <c r="F54" s="589" t="s">
        <v>516</v>
      </c>
      <c r="BB54" s="314"/>
    </row>
    <row r="55" ht="15.75" customHeight="1">
      <c r="A55" s="585">
        <v>54.0</v>
      </c>
      <c r="B55" s="586" t="str">
        <f>Settings!$A$3</f>
        <v>DECOUPES</v>
      </c>
      <c r="C55" s="596" t="s">
        <v>106</v>
      </c>
      <c r="D55" s="13" t="str">
        <f>'Entry Sheet'!J6</f>
        <v>W. MARKS</v>
      </c>
      <c r="E55" s="13">
        <f>'Entry Sheet'!K6</f>
        <v>3.1</v>
      </c>
      <c r="F55" s="589" t="s">
        <v>516</v>
      </c>
      <c r="BB55" s="314"/>
    </row>
    <row r="56" ht="15.75" customHeight="1">
      <c r="A56" s="585">
        <v>55.0</v>
      </c>
      <c r="B56" s="586" t="str">
        <f>Settings!$A$3</f>
        <v>DECOUPES</v>
      </c>
      <c r="C56" s="596" t="s">
        <v>106</v>
      </c>
      <c r="D56" s="13" t="str">
        <f>'Entry Sheet'!J7</f>
        <v>R. WHITE</v>
      </c>
      <c r="E56" s="13">
        <f>'Entry Sheet'!K7</f>
        <v>24.5</v>
      </c>
      <c r="F56" s="589" t="s">
        <v>516</v>
      </c>
      <c r="BB56" s="314"/>
    </row>
    <row r="57" ht="15.75" customHeight="1">
      <c r="A57" s="585">
        <v>56.0</v>
      </c>
      <c r="B57" s="586" t="str">
        <f>Settings!$A$3</f>
        <v>DECOUPES</v>
      </c>
      <c r="C57" s="596" t="s">
        <v>106</v>
      </c>
      <c r="D57" s="13" t="str">
        <f>'Entry Sheet'!J8</f>
        <v/>
      </c>
      <c r="E57" s="13" t="str">
        <f>'Entry Sheet'!K8</f>
        <v/>
      </c>
      <c r="F57" s="589" t="s">
        <v>516</v>
      </c>
      <c r="BB57" s="314"/>
    </row>
    <row r="58" ht="15.75" customHeight="1">
      <c r="A58" s="585">
        <v>57.0</v>
      </c>
      <c r="B58" s="586" t="str">
        <f>Settings!$A$3</f>
        <v>DECOUPES</v>
      </c>
      <c r="C58" s="712" t="s">
        <v>117</v>
      </c>
      <c r="D58" s="13" t="str">
        <f>'Entry Sheet'!J9</f>
        <v>J. MEYERS</v>
      </c>
      <c r="E58" s="13">
        <f>'Entry Sheet'!K9</f>
        <v>7.2</v>
      </c>
      <c r="F58" s="589" t="s">
        <v>516</v>
      </c>
      <c r="AR58" s="13" t="str">
        <f>'Entry Sheet'!AD131</f>
        <v/>
      </c>
      <c r="AS58" s="13" t="str">
        <f>'Entry Sheet'!AE131</f>
        <v/>
      </c>
      <c r="BB58" s="314"/>
    </row>
    <row r="59" ht="15.75" customHeight="1">
      <c r="A59" s="585">
        <v>58.0</v>
      </c>
      <c r="B59" s="586" t="str">
        <f>Settings!$A$3</f>
        <v>DECOUPES</v>
      </c>
      <c r="C59" s="712" t="s">
        <v>117</v>
      </c>
      <c r="D59" s="13" t="str">
        <f>'Entry Sheet'!J10</f>
        <v>C. GODWIN JR.</v>
      </c>
      <c r="E59" s="13">
        <f>'Entry Sheet'!K10</f>
        <v>5.6</v>
      </c>
      <c r="F59" s="589" t="s">
        <v>516</v>
      </c>
      <c r="AR59" s="13" t="str">
        <f>'Entry Sheet'!AD132</f>
        <v/>
      </c>
      <c r="AS59" s="13" t="str">
        <f>'Entry Sheet'!AE132</f>
        <v/>
      </c>
      <c r="BB59" s="314"/>
    </row>
    <row r="60" ht="15.75" customHeight="1">
      <c r="A60" s="585">
        <v>59.0</v>
      </c>
      <c r="B60" s="586" t="str">
        <f>Settings!$A$3</f>
        <v>DECOUPES</v>
      </c>
      <c r="C60" s="712" t="s">
        <v>117</v>
      </c>
      <c r="D60" s="13" t="str">
        <f>'Entry Sheet'!J11</f>
        <v>J. TOLBERT</v>
      </c>
      <c r="E60" s="13">
        <f>'Entry Sheet'!K11</f>
        <v>0</v>
      </c>
      <c r="F60" s="589" t="s">
        <v>516</v>
      </c>
      <c r="AR60" s="13" t="str">
        <f>'Entry Sheet'!AD133</f>
        <v/>
      </c>
      <c r="AS60" s="13" t="str">
        <f>'Entry Sheet'!AE133</f>
        <v/>
      </c>
      <c r="BB60" s="314"/>
    </row>
    <row r="61" ht="15.75" customHeight="1">
      <c r="A61" s="585">
        <v>60.0</v>
      </c>
      <c r="B61" s="586" t="str">
        <f>Settings!$A$3</f>
        <v>DECOUPES</v>
      </c>
      <c r="C61" s="712" t="s">
        <v>117</v>
      </c>
      <c r="D61" s="13" t="str">
        <f>'Entry Sheet'!J12</f>
        <v/>
      </c>
      <c r="E61" s="13" t="str">
        <f>'Entry Sheet'!K12</f>
        <v/>
      </c>
      <c r="F61" s="589" t="s">
        <v>516</v>
      </c>
      <c r="AR61" s="13" t="str">
        <f>'Entry Sheet'!AD134</f>
        <v/>
      </c>
      <c r="AS61" s="13" t="str">
        <f>'Entry Sheet'!AE134</f>
        <v/>
      </c>
      <c r="BB61" s="314"/>
    </row>
    <row r="62" ht="15.75" customHeight="1">
      <c r="A62" s="585">
        <v>61.0</v>
      </c>
      <c r="B62" s="586" t="str">
        <f>Settings!$A$3</f>
        <v>DECOUPES</v>
      </c>
      <c r="C62" s="764" t="s">
        <v>132</v>
      </c>
      <c r="D62" s="13" t="str">
        <f>'Entry Sheet'!J13</f>
        <v>T. KELCE</v>
      </c>
      <c r="E62" s="13">
        <f>'Entry Sheet'!K13</f>
        <v>19.1</v>
      </c>
      <c r="F62" s="589" t="s">
        <v>516</v>
      </c>
      <c r="AR62" s="13" t="str">
        <f>'Entry Sheet'!AD135</f>
        <v/>
      </c>
      <c r="AS62" s="13" t="str">
        <f>'Entry Sheet'!AE135</f>
        <v/>
      </c>
      <c r="BB62" s="314"/>
    </row>
    <row r="63" ht="15.75" customHeight="1">
      <c r="A63" s="585">
        <v>62.0</v>
      </c>
      <c r="B63" s="586" t="str">
        <f>Settings!$A$3</f>
        <v>DECOUPES</v>
      </c>
      <c r="C63" s="795" t="s">
        <v>136</v>
      </c>
      <c r="D63" s="13" t="str">
        <f>'Entry Sheet'!J14</f>
        <v>C. BROWN</v>
      </c>
      <c r="E63" s="13">
        <f>'Entry Sheet'!K14</f>
        <v>12.6</v>
      </c>
      <c r="F63" s="589" t="s">
        <v>516</v>
      </c>
      <c r="AR63" s="13" t="str">
        <f>'Entry Sheet'!AD136</f>
        <v/>
      </c>
      <c r="AS63" s="13" t="str">
        <f>'Entry Sheet'!AE136</f>
        <v/>
      </c>
      <c r="BB63" s="314"/>
    </row>
    <row r="64" ht="15.75" customHeight="1">
      <c r="A64" s="585">
        <v>63.0</v>
      </c>
      <c r="B64" s="586" t="str">
        <f>Settings!$A$3</f>
        <v>DECOUPES</v>
      </c>
      <c r="C64" s="818" t="s">
        <v>139</v>
      </c>
      <c r="D64" s="13" t="str">
        <f>'Entry Sheet'!J15</f>
        <v>LAR D/ST</v>
      </c>
      <c r="E64" s="13">
        <f>'Entry Sheet'!K15</f>
        <v>4.78</v>
      </c>
      <c r="F64" s="589" t="s">
        <v>516</v>
      </c>
      <c r="AR64" s="13" t="str">
        <f>'Entry Sheet'!AD137</f>
        <v/>
      </c>
      <c r="AS64" s="13" t="str">
        <f>'Entry Sheet'!AE137</f>
        <v/>
      </c>
      <c r="BB64" s="314"/>
    </row>
    <row r="65" ht="15.75" customHeight="1">
      <c r="A65" s="585">
        <v>64.0</v>
      </c>
      <c r="B65" s="586" t="str">
        <f>Settings!$A$3</f>
        <v>DECOUPES</v>
      </c>
      <c r="C65" s="833" t="s">
        <v>146</v>
      </c>
      <c r="D65" s="13" t="str">
        <f>'Entry Sheet'!J16</f>
        <v>S. SHRADER</v>
      </c>
      <c r="E65" s="13">
        <f>'Entry Sheet'!K16</f>
        <v>2</v>
      </c>
      <c r="F65" s="589" t="s">
        <v>516</v>
      </c>
      <c r="AR65" s="13" t="str">
        <f>'Entry Sheet'!AD138</f>
        <v/>
      </c>
      <c r="AS65" s="13" t="str">
        <f>'Entry Sheet'!AE138</f>
        <v/>
      </c>
      <c r="BB65" s="314"/>
    </row>
    <row r="66" ht="15.75" customHeight="1">
      <c r="A66" s="585">
        <v>65.0</v>
      </c>
      <c r="B66" s="586" t="str">
        <f>Settings!$A$3</f>
        <v>DECOUPES</v>
      </c>
      <c r="C66" s="842" t="s">
        <v>162</v>
      </c>
      <c r="D66" s="13" t="str">
        <f>'Entry Sheet'!J17</f>
        <v>PHI HC</v>
      </c>
      <c r="E66" s="13">
        <f>'Entry Sheet'!K17</f>
        <v>3.1</v>
      </c>
      <c r="F66" s="589" t="s">
        <v>516</v>
      </c>
      <c r="AR66" s="13" t="str">
        <f>'Entry Sheet'!AD139</f>
        <v/>
      </c>
      <c r="AS66" s="13" t="str">
        <f>'Entry Sheet'!AE139</f>
        <v/>
      </c>
      <c r="BB66" s="314"/>
    </row>
    <row r="67" ht="15.75" customHeight="1">
      <c r="A67" s="585">
        <v>66.0</v>
      </c>
      <c r="B67" s="586" t="str">
        <f>Settings!$A$3</f>
        <v>DECOUPES</v>
      </c>
      <c r="C67" s="587" t="s">
        <v>100</v>
      </c>
      <c r="D67" s="13" t="str">
        <f>'Entry Sheet'!L5</f>
        <v>D. PRESCOTT</v>
      </c>
      <c r="E67" s="13">
        <f>'Entry Sheet'!M5</f>
        <v>31.74</v>
      </c>
      <c r="F67" s="846" t="s">
        <v>517</v>
      </c>
      <c r="AR67" s="13" t="str">
        <f>'Entry Sheet'!AD140</f>
        <v/>
      </c>
      <c r="AS67" s="13" t="str">
        <f>'Entry Sheet'!AE140</f>
        <v/>
      </c>
      <c r="BB67" s="314"/>
    </row>
    <row r="68" ht="15.75" customHeight="1">
      <c r="A68" s="585">
        <v>67.0</v>
      </c>
      <c r="B68" s="586" t="str">
        <f>Settings!$A$3</f>
        <v>DECOUPES</v>
      </c>
      <c r="C68" s="596" t="s">
        <v>106</v>
      </c>
      <c r="D68" s="13" t="str">
        <f>'Entry Sheet'!L6</f>
        <v>R. WHITE</v>
      </c>
      <c r="E68" s="13">
        <f>'Entry Sheet'!M6</f>
        <v>19.3</v>
      </c>
      <c r="F68" s="846" t="s">
        <v>517</v>
      </c>
      <c r="AR68" s="13" t="str">
        <f>'Entry Sheet'!AD141</f>
        <v/>
      </c>
      <c r="AS68" s="13" t="str">
        <f>'Entry Sheet'!AE141</f>
        <v/>
      </c>
      <c r="BB68" s="314"/>
    </row>
    <row r="69" ht="15.75" customHeight="1">
      <c r="A69" s="585">
        <v>68.0</v>
      </c>
      <c r="B69" s="586" t="str">
        <f>Settings!$A$3</f>
        <v>DECOUPES</v>
      </c>
      <c r="C69" s="596" t="s">
        <v>106</v>
      </c>
      <c r="D69" s="13" t="str">
        <f>'Entry Sheet'!L7</f>
        <v>J. WARREN</v>
      </c>
      <c r="E69" s="13">
        <f>'Entry Sheet'!M7</f>
        <v>9.4</v>
      </c>
      <c r="F69" s="846" t="s">
        <v>517</v>
      </c>
      <c r="AR69" s="13" t="str">
        <f>'Entry Sheet'!AD142</f>
        <v/>
      </c>
      <c r="AS69" s="13" t="str">
        <f>'Entry Sheet'!AE142</f>
        <v/>
      </c>
      <c r="BB69" s="314"/>
    </row>
    <row r="70" ht="15.75" customHeight="1">
      <c r="A70" s="585">
        <v>69.0</v>
      </c>
      <c r="B70" s="586" t="str">
        <f>Settings!$A$3</f>
        <v>DECOUPES</v>
      </c>
      <c r="C70" s="596" t="s">
        <v>106</v>
      </c>
      <c r="D70" s="13" t="str">
        <f>'Entry Sheet'!L8</f>
        <v/>
      </c>
      <c r="E70" s="13" t="str">
        <f>'Entry Sheet'!M8</f>
        <v/>
      </c>
      <c r="F70" s="846" t="s">
        <v>517</v>
      </c>
      <c r="BB70" s="314"/>
    </row>
    <row r="71" ht="15.75" customHeight="1">
      <c r="A71" s="585">
        <v>70.0</v>
      </c>
      <c r="B71" s="586" t="str">
        <f>Settings!$A$3</f>
        <v>DECOUPES</v>
      </c>
      <c r="C71" s="712" t="s">
        <v>117</v>
      </c>
      <c r="D71" s="13" t="str">
        <f>'Entry Sheet'!L9</f>
        <v>J. MEYERS</v>
      </c>
      <c r="E71" s="13">
        <f>'Entry Sheet'!M9</f>
        <v>7.9</v>
      </c>
      <c r="F71" s="846" t="s">
        <v>517</v>
      </c>
      <c r="BB71" s="314"/>
    </row>
    <row r="72" ht="15.75" customHeight="1">
      <c r="A72" s="585">
        <v>71.0</v>
      </c>
      <c r="B72" s="586" t="str">
        <f>Settings!$A$3</f>
        <v>DECOUPES</v>
      </c>
      <c r="C72" s="712" t="s">
        <v>117</v>
      </c>
      <c r="D72" s="13" t="str">
        <f>'Entry Sheet'!L10</f>
        <v>R. SHAHEED</v>
      </c>
      <c r="E72" s="13">
        <f>'Entry Sheet'!M10</f>
        <v>7.85</v>
      </c>
      <c r="F72" s="846" t="s">
        <v>517</v>
      </c>
      <c r="BB72" s="314"/>
    </row>
    <row r="73" ht="15.75" customHeight="1">
      <c r="A73" s="585">
        <v>72.0</v>
      </c>
      <c r="B73" s="586" t="str">
        <f>Settings!$A$3</f>
        <v>DECOUPES</v>
      </c>
      <c r="C73" s="712" t="s">
        <v>117</v>
      </c>
      <c r="D73" s="13" t="str">
        <f>'Entry Sheet'!L11</f>
        <v>L. MCCAFFREY</v>
      </c>
      <c r="E73" s="13">
        <f>'Entry Sheet'!M11</f>
        <v>16.65</v>
      </c>
      <c r="F73" s="846" t="s">
        <v>517</v>
      </c>
      <c r="BB73" s="314"/>
    </row>
    <row r="74" ht="15.75" customHeight="1">
      <c r="A74" s="585">
        <v>73.0</v>
      </c>
      <c r="B74" s="586" t="str">
        <f>Settings!$A$3</f>
        <v>DECOUPES</v>
      </c>
      <c r="C74" s="712" t="s">
        <v>117</v>
      </c>
      <c r="D74" s="13" t="str">
        <f>'Entry Sheet'!L12</f>
        <v/>
      </c>
      <c r="E74" s="13" t="str">
        <f>'Entry Sheet'!M12</f>
        <v/>
      </c>
      <c r="F74" s="846" t="s">
        <v>517</v>
      </c>
      <c r="BB74" s="314"/>
    </row>
    <row r="75" ht="15.75" customHeight="1">
      <c r="A75" s="585">
        <v>74.0</v>
      </c>
      <c r="B75" s="586" t="str">
        <f>Settings!$A$3</f>
        <v>DECOUPES</v>
      </c>
      <c r="C75" s="764" t="s">
        <v>132</v>
      </c>
      <c r="D75" s="13" t="str">
        <f>'Entry Sheet'!L13</f>
        <v>T. KELCE</v>
      </c>
      <c r="E75" s="13">
        <f>'Entry Sheet'!M13</f>
        <v>13.8</v>
      </c>
      <c r="F75" s="846" t="s">
        <v>517</v>
      </c>
      <c r="BB75" s="314"/>
    </row>
    <row r="76" ht="15.75" customHeight="1">
      <c r="A76" s="585">
        <v>75.0</v>
      </c>
      <c r="B76" s="586" t="str">
        <f>Settings!$A$3</f>
        <v>DECOUPES</v>
      </c>
      <c r="C76" s="795" t="s">
        <v>136</v>
      </c>
      <c r="D76" s="13" t="str">
        <f>'Entry Sheet'!L14</f>
        <v>J. GIBBS</v>
      </c>
      <c r="E76" s="13">
        <f>'Entry Sheet'!M14</f>
        <v>9.2</v>
      </c>
      <c r="F76" s="846" t="s">
        <v>517</v>
      </c>
      <c r="BB76" s="314"/>
    </row>
    <row r="77" ht="15.75" customHeight="1">
      <c r="A77" s="585">
        <v>76.0</v>
      </c>
      <c r="B77" s="586" t="str">
        <f>Settings!$A$3</f>
        <v>DECOUPES</v>
      </c>
      <c r="C77" s="818" t="s">
        <v>139</v>
      </c>
      <c r="D77" s="13" t="str">
        <f>'Entry Sheet'!L15</f>
        <v>LAR D/ST</v>
      </c>
      <c r="E77" s="13">
        <f>'Entry Sheet'!M15</f>
        <v>24.25</v>
      </c>
      <c r="F77" s="846" t="s">
        <v>517</v>
      </c>
      <c r="BB77" s="314"/>
    </row>
    <row r="78" ht="15.75" customHeight="1">
      <c r="A78" s="585">
        <v>77.0</v>
      </c>
      <c r="B78" s="586" t="str">
        <f>Settings!$A$3</f>
        <v>DECOUPES</v>
      </c>
      <c r="C78" s="833" t="s">
        <v>146</v>
      </c>
      <c r="D78" s="13" t="str">
        <f>'Entry Sheet'!L16</f>
        <v>M. PRATER</v>
      </c>
      <c r="E78" s="13">
        <f>'Entry Sheet'!M16</f>
        <v>2</v>
      </c>
      <c r="F78" s="846" t="s">
        <v>517</v>
      </c>
      <c r="BB78" s="314"/>
    </row>
    <row r="79" ht="15.75" customHeight="1">
      <c r="A79" s="585">
        <v>78.0</v>
      </c>
      <c r="B79" s="586" t="str">
        <f>Settings!$A$3</f>
        <v>DECOUPES</v>
      </c>
      <c r="C79" s="842" t="s">
        <v>162</v>
      </c>
      <c r="D79" s="13" t="str">
        <f>'Entry Sheet'!L17</f>
        <v>PHI HC</v>
      </c>
      <c r="E79" s="13">
        <f>'Entry Sheet'!M17</f>
        <v>-0.9</v>
      </c>
      <c r="F79" s="846" t="s">
        <v>517</v>
      </c>
      <c r="BB79" s="314"/>
    </row>
    <row r="80" ht="15.75" customHeight="1">
      <c r="A80" s="585">
        <v>79.0</v>
      </c>
      <c r="B80" s="586" t="str">
        <f>Settings!$A$3</f>
        <v>DECOUPES</v>
      </c>
      <c r="C80" s="587" t="s">
        <v>100</v>
      </c>
      <c r="D80" s="13" t="str">
        <f>'Entry Sheet'!N5</f>
        <v>D. PRESCOTT</v>
      </c>
      <c r="E80" s="13">
        <f>'Entry Sheet'!O5</f>
        <v>32.16</v>
      </c>
      <c r="F80" s="589" t="s">
        <v>518</v>
      </c>
      <c r="BB80" s="314"/>
    </row>
    <row r="81" ht="15.75" customHeight="1">
      <c r="A81" s="585">
        <v>80.0</v>
      </c>
      <c r="B81" s="586" t="str">
        <f>Settings!$A$3</f>
        <v>DECOUPES</v>
      </c>
      <c r="C81" s="596" t="s">
        <v>106</v>
      </c>
      <c r="D81" s="13" t="str">
        <f>'Entry Sheet'!N6</f>
        <v>J. GIBBS</v>
      </c>
      <c r="E81" s="13">
        <f>'Entry Sheet'!O6</f>
        <v>39.5</v>
      </c>
      <c r="F81" s="589" t="s">
        <v>518</v>
      </c>
      <c r="BB81" s="314"/>
    </row>
    <row r="82" ht="15.75" customHeight="1">
      <c r="A82" s="585">
        <v>81.0</v>
      </c>
      <c r="B82" s="586" t="str">
        <f>Settings!$A$3</f>
        <v>DECOUPES</v>
      </c>
      <c r="C82" s="596" t="s">
        <v>106</v>
      </c>
      <c r="D82" s="13" t="str">
        <f>'Entry Sheet'!N7</f>
        <v>J. WARREN</v>
      </c>
      <c r="E82" s="13">
        <f>'Entry Sheet'!O7</f>
        <v>22.4</v>
      </c>
      <c r="F82" s="589" t="s">
        <v>518</v>
      </c>
      <c r="BB82" s="314"/>
    </row>
    <row r="83" ht="15.75" customHeight="1">
      <c r="A83" s="585">
        <v>82.0</v>
      </c>
      <c r="B83" s="586" t="str">
        <f>Settings!$A$3</f>
        <v>DECOUPES</v>
      </c>
      <c r="C83" s="596" t="s">
        <v>106</v>
      </c>
      <c r="D83" s="13" t="str">
        <f>'Entry Sheet'!N8</f>
        <v/>
      </c>
      <c r="E83" s="13" t="str">
        <f>'Entry Sheet'!O8</f>
        <v/>
      </c>
      <c r="F83" s="589" t="s">
        <v>518</v>
      </c>
      <c r="BB83" s="314"/>
    </row>
    <row r="84" ht="15.75" customHeight="1">
      <c r="A84" s="585">
        <v>83.0</v>
      </c>
      <c r="B84" s="586" t="str">
        <f>Settings!$A$3</f>
        <v>DECOUPES</v>
      </c>
      <c r="C84" s="712" t="s">
        <v>117</v>
      </c>
      <c r="D84" s="13" t="str">
        <f>'Entry Sheet'!N9</f>
        <v>C. LAMB</v>
      </c>
      <c r="E84" s="13">
        <f>'Entry Sheet'!O9</f>
        <v>23</v>
      </c>
      <c r="F84" s="589" t="s">
        <v>518</v>
      </c>
      <c r="BB84" s="314"/>
    </row>
    <row r="85" ht="15.75" customHeight="1">
      <c r="A85" s="585">
        <v>84.0</v>
      </c>
      <c r="B85" s="586" t="str">
        <f>Settings!$A$3</f>
        <v>DECOUPES</v>
      </c>
      <c r="C85" s="712" t="s">
        <v>117</v>
      </c>
      <c r="D85" s="13" t="str">
        <f>'Entry Sheet'!N10</f>
        <v>R. RICE</v>
      </c>
      <c r="E85" s="13">
        <f>'Entry Sheet'!O10</f>
        <v>23.2</v>
      </c>
      <c r="F85" s="589" t="s">
        <v>518</v>
      </c>
      <c r="BB85" s="314"/>
    </row>
    <row r="86" ht="15.75" customHeight="1">
      <c r="A86" s="585">
        <v>85.0</v>
      </c>
      <c r="B86" s="586" t="str">
        <f>Settings!$A$3</f>
        <v>DECOUPES</v>
      </c>
      <c r="C86" s="712" t="s">
        <v>117</v>
      </c>
      <c r="D86" s="13" t="str">
        <f>'Entry Sheet'!N11</f>
        <v>L. MCCAFFREY</v>
      </c>
      <c r="E86" s="13">
        <f>'Entry Sheet'!O11</f>
        <v>10.45</v>
      </c>
      <c r="F86" s="589" t="s">
        <v>518</v>
      </c>
      <c r="BB86" s="314"/>
    </row>
    <row r="87" ht="15.75" customHeight="1">
      <c r="A87" s="585">
        <v>86.0</v>
      </c>
      <c r="B87" s="586" t="str">
        <f>Settings!$A$3</f>
        <v>DECOUPES</v>
      </c>
      <c r="C87" s="712" t="s">
        <v>117</v>
      </c>
      <c r="D87" s="13" t="str">
        <f>'Entry Sheet'!N12</f>
        <v/>
      </c>
      <c r="E87" s="13" t="str">
        <f>'Entry Sheet'!O12</f>
        <v/>
      </c>
      <c r="F87" s="589" t="s">
        <v>518</v>
      </c>
      <c r="BB87" s="314"/>
    </row>
    <row r="88" ht="15.75" customHeight="1">
      <c r="A88" s="585">
        <v>87.0</v>
      </c>
      <c r="B88" s="586" t="str">
        <f>Settings!$A$3</f>
        <v>DECOUPES</v>
      </c>
      <c r="C88" s="764" t="s">
        <v>132</v>
      </c>
      <c r="D88" s="13" t="str">
        <f>'Entry Sheet'!N13</f>
        <v>T. KRAFT</v>
      </c>
      <c r="E88" s="13">
        <f>'Entry Sheet'!O13</f>
        <v>16.8</v>
      </c>
      <c r="F88" s="589" t="s">
        <v>518</v>
      </c>
      <c r="BB88" s="314"/>
    </row>
    <row r="89" ht="15.75" customHeight="1">
      <c r="A89" s="585">
        <v>88.0</v>
      </c>
      <c r="B89" s="586" t="str">
        <f>Settings!$A$3</f>
        <v>DECOUPES</v>
      </c>
      <c r="C89" s="795" t="s">
        <v>136</v>
      </c>
      <c r="D89" s="13" t="str">
        <f>'Entry Sheet'!N14</f>
        <v>R. WHITE</v>
      </c>
      <c r="E89" s="13">
        <f>'Entry Sheet'!O14</f>
        <v>9.4</v>
      </c>
      <c r="F89" s="589" t="s">
        <v>518</v>
      </c>
      <c r="BB89" s="314"/>
    </row>
    <row r="90" ht="15.75" customHeight="1">
      <c r="A90" s="585">
        <v>89.0</v>
      </c>
      <c r="B90" s="586" t="str">
        <f>Settings!$A$3</f>
        <v>DECOUPES</v>
      </c>
      <c r="C90" s="818" t="s">
        <v>139</v>
      </c>
      <c r="D90" s="13" t="str">
        <f>'Entry Sheet'!N15</f>
        <v>KC D/ST</v>
      </c>
      <c r="E90" s="13">
        <f>'Entry Sheet'!O15</f>
        <v>15.2</v>
      </c>
      <c r="F90" s="589" t="s">
        <v>518</v>
      </c>
      <c r="BB90" s="314"/>
    </row>
    <row r="91" ht="15.75" customHeight="1">
      <c r="A91" s="585">
        <v>90.0</v>
      </c>
      <c r="B91" s="586" t="str">
        <f>Settings!$A$3</f>
        <v>DECOUPES</v>
      </c>
      <c r="C91" s="833" t="s">
        <v>146</v>
      </c>
      <c r="D91" s="13" t="str">
        <f>'Entry Sheet'!N16</f>
        <v>K. FAIRBURN</v>
      </c>
      <c r="E91" s="13">
        <f>'Entry Sheet'!O16</f>
        <v>8</v>
      </c>
      <c r="F91" s="589" t="s">
        <v>518</v>
      </c>
      <c r="BB91" s="314"/>
    </row>
    <row r="92" ht="15.75" customHeight="1">
      <c r="A92" s="585">
        <v>91.0</v>
      </c>
      <c r="B92" s="586" t="str">
        <f>Settings!$A$3</f>
        <v>DECOUPES</v>
      </c>
      <c r="C92" s="842" t="s">
        <v>162</v>
      </c>
      <c r="D92" s="13" t="str">
        <f>'Entry Sheet'!N17</f>
        <v>NE HC</v>
      </c>
      <c r="E92" s="13">
        <f>'Entry Sheet'!O17</f>
        <v>15.3</v>
      </c>
      <c r="F92" s="589" t="s">
        <v>518</v>
      </c>
      <c r="BB92" s="314"/>
    </row>
    <row r="93" ht="15.75" customHeight="1">
      <c r="A93" s="585">
        <v>92.0</v>
      </c>
      <c r="B93" s="586" t="str">
        <f>Settings!$A$3</f>
        <v>DECOUPES</v>
      </c>
      <c r="C93" s="587" t="s">
        <v>100</v>
      </c>
      <c r="D93" s="13" t="str">
        <f>'Entry Sheet'!P5</f>
        <v>D. PRESCOTT</v>
      </c>
      <c r="E93" s="13">
        <f>'Entry Sheet'!Q5</f>
        <v>7.02</v>
      </c>
      <c r="F93" s="846" t="s">
        <v>519</v>
      </c>
      <c r="BB93" s="314"/>
    </row>
    <row r="94" ht="15.75" customHeight="1">
      <c r="A94" s="585">
        <v>93.0</v>
      </c>
      <c r="B94" s="586" t="str">
        <f>Settings!$A$3</f>
        <v>DECOUPES</v>
      </c>
      <c r="C94" s="596" t="s">
        <v>106</v>
      </c>
      <c r="D94" s="13" t="str">
        <f>'Entry Sheet'!P6</f>
        <v>R. WHITE</v>
      </c>
      <c r="E94" s="13">
        <f>'Entry Sheet'!Q6</f>
        <v>9.4</v>
      </c>
      <c r="F94" s="846" t="s">
        <v>519</v>
      </c>
      <c r="BB94" s="314"/>
    </row>
    <row r="95" ht="15.75" customHeight="1">
      <c r="A95" s="585">
        <v>94.0</v>
      </c>
      <c r="B95" s="586" t="str">
        <f>Settings!$A$3</f>
        <v>DECOUPES</v>
      </c>
      <c r="C95" s="596" t="s">
        <v>106</v>
      </c>
      <c r="D95" s="13" t="str">
        <f>'Entry Sheet'!P7</f>
        <v>J. WARREN</v>
      </c>
      <c r="E95" s="13">
        <f>'Entry Sheet'!Q7</f>
        <v>10.6</v>
      </c>
      <c r="F95" s="846" t="s">
        <v>519</v>
      </c>
      <c r="BB95" s="314"/>
    </row>
    <row r="96" ht="15.75" customHeight="1">
      <c r="A96" s="585">
        <v>95.0</v>
      </c>
      <c r="B96" s="586" t="str">
        <f>Settings!$A$3</f>
        <v>DECOUPES</v>
      </c>
      <c r="C96" s="596" t="s">
        <v>106</v>
      </c>
      <c r="D96" s="13" t="str">
        <f>'Entry Sheet'!P8</f>
        <v/>
      </c>
      <c r="E96" s="13" t="str">
        <f>'Entry Sheet'!Q8</f>
        <v/>
      </c>
      <c r="F96" s="846" t="s">
        <v>519</v>
      </c>
      <c r="BB96" s="314"/>
    </row>
    <row r="97" ht="15.75" customHeight="1">
      <c r="A97" s="585">
        <v>96.0</v>
      </c>
      <c r="B97" s="586" t="str">
        <f>Settings!$A$3</f>
        <v>DECOUPES</v>
      </c>
      <c r="C97" s="712" t="s">
        <v>117</v>
      </c>
      <c r="D97" s="13" t="str">
        <f>'Entry Sheet'!P9</f>
        <v>C. LAMB</v>
      </c>
      <c r="E97" s="13">
        <f>'Entry Sheet'!Q9</f>
        <v>14.7</v>
      </c>
      <c r="F97" s="846" t="s">
        <v>519</v>
      </c>
      <c r="BB97" s="314"/>
    </row>
    <row r="98" ht="15.75" customHeight="1">
      <c r="A98" s="585">
        <v>97.0</v>
      </c>
      <c r="B98" s="586" t="str">
        <f>Settings!$A$3</f>
        <v>DECOUPES</v>
      </c>
      <c r="C98" s="712" t="s">
        <v>117</v>
      </c>
      <c r="D98" s="13" t="str">
        <f>'Entry Sheet'!P10</f>
        <v>R. RICE</v>
      </c>
      <c r="E98" s="13">
        <f>'Entry Sheet'!Q10</f>
        <v>25.7</v>
      </c>
      <c r="F98" s="846" t="s">
        <v>519</v>
      </c>
      <c r="BB98" s="314"/>
    </row>
    <row r="99" ht="15.75" customHeight="1">
      <c r="A99" s="585">
        <v>98.0</v>
      </c>
      <c r="B99" s="586" t="str">
        <f>Settings!$A$3</f>
        <v>DECOUPES</v>
      </c>
      <c r="C99" s="712" t="s">
        <v>117</v>
      </c>
      <c r="D99" s="13" t="str">
        <f>'Entry Sheet'!P11</f>
        <v>D. MOONEY</v>
      </c>
      <c r="E99" s="13">
        <f>'Entry Sheet'!Q11</f>
        <v>2.1</v>
      </c>
      <c r="F99" s="846" t="s">
        <v>519</v>
      </c>
      <c r="BB99" s="314"/>
    </row>
    <row r="100" ht="15.75" customHeight="1">
      <c r="A100" s="585">
        <v>99.0</v>
      </c>
      <c r="B100" s="586" t="str">
        <f>Settings!$A$3</f>
        <v>DECOUPES</v>
      </c>
      <c r="C100" s="712" t="s">
        <v>117</v>
      </c>
      <c r="D100" s="13" t="str">
        <f>'Entry Sheet'!P12</f>
        <v/>
      </c>
      <c r="E100" s="13" t="str">
        <f>'Entry Sheet'!Q12</f>
        <v/>
      </c>
      <c r="F100" s="846" t="s">
        <v>519</v>
      </c>
      <c r="BB100" s="314"/>
    </row>
    <row r="101" ht="15.75" customHeight="1">
      <c r="A101" s="585">
        <v>100.0</v>
      </c>
      <c r="B101" s="586" t="str">
        <f>Settings!$A$3</f>
        <v>DECOUPES</v>
      </c>
      <c r="C101" s="764" t="s">
        <v>132</v>
      </c>
      <c r="D101" s="13" t="str">
        <f>'Entry Sheet'!P13</f>
        <v>T. KRAFT</v>
      </c>
      <c r="E101" s="13">
        <f>'Entry Sheet'!Q13</f>
        <v>34.3</v>
      </c>
      <c r="F101" s="846" t="s">
        <v>519</v>
      </c>
      <c r="BB101" s="314"/>
    </row>
    <row r="102" ht="15.75" customHeight="1">
      <c r="A102" s="585">
        <v>101.0</v>
      </c>
      <c r="B102" s="586" t="str">
        <f>Settings!$A$3</f>
        <v>DECOUPES</v>
      </c>
      <c r="C102" s="795" t="s">
        <v>136</v>
      </c>
      <c r="D102" s="13" t="str">
        <f>'Entry Sheet'!P14</f>
        <v>A. KAMARA</v>
      </c>
      <c r="E102" s="13">
        <f>'Entry Sheet'!Q14</f>
        <v>7.1</v>
      </c>
      <c r="F102" s="846" t="s">
        <v>519</v>
      </c>
      <c r="BB102" s="314"/>
    </row>
    <row r="103" ht="15.75" customHeight="1">
      <c r="A103" s="585">
        <v>102.0</v>
      </c>
      <c r="B103" s="586" t="str">
        <f>Settings!$A$3</f>
        <v>DECOUPES</v>
      </c>
      <c r="C103" s="818" t="s">
        <v>139</v>
      </c>
      <c r="D103" s="13" t="str">
        <f>'Entry Sheet'!P15</f>
        <v>KC D/ST</v>
      </c>
      <c r="E103" s="13">
        <f>'Entry Sheet'!Q15</f>
        <v>20.34</v>
      </c>
      <c r="F103" s="846" t="s">
        <v>519</v>
      </c>
      <c r="BB103" s="314"/>
    </row>
    <row r="104" ht="15.75" customHeight="1">
      <c r="A104" s="585">
        <v>103.0</v>
      </c>
      <c r="B104" s="586" t="str">
        <f>Settings!$A$3</f>
        <v>DECOUPES</v>
      </c>
      <c r="C104" s="833" t="s">
        <v>146</v>
      </c>
      <c r="D104" s="13" t="str">
        <f>'Entry Sheet'!P16</f>
        <v>K. FAIRBAIRN</v>
      </c>
      <c r="E104" s="13">
        <f>'Entry Sheet'!Q16</f>
        <v>14</v>
      </c>
      <c r="F104" s="846" t="s">
        <v>519</v>
      </c>
      <c r="BB104" s="314"/>
    </row>
    <row r="105" ht="15.75" customHeight="1">
      <c r="A105" s="585">
        <v>104.0</v>
      </c>
      <c r="B105" s="586" t="str">
        <f>Settings!$A$3</f>
        <v>DECOUPES</v>
      </c>
      <c r="C105" s="842" t="s">
        <v>162</v>
      </c>
      <c r="D105" s="13" t="str">
        <f>'Entry Sheet'!P17</f>
        <v>NE HC</v>
      </c>
      <c r="E105" s="13">
        <f>'Entry Sheet'!Q17</f>
        <v>15.6</v>
      </c>
      <c r="F105" s="846" t="s">
        <v>519</v>
      </c>
      <c r="BB105" s="314"/>
    </row>
    <row r="106" ht="15.75" customHeight="1">
      <c r="A106" s="585">
        <v>105.0</v>
      </c>
      <c r="B106" s="586" t="str">
        <f>Settings!$A$3</f>
        <v>DECOUPES</v>
      </c>
      <c r="C106" s="587" t="s">
        <v>100</v>
      </c>
      <c r="D106" s="13" t="str">
        <f>'Entry Sheet'!R5</f>
        <v>D. PRESCOTT</v>
      </c>
      <c r="E106" s="13">
        <f>'Entry Sheet'!S5</f>
        <v>18.8</v>
      </c>
      <c r="F106" s="589" t="s">
        <v>520</v>
      </c>
      <c r="BB106" s="314"/>
    </row>
    <row r="107" ht="15.75" customHeight="1">
      <c r="A107" s="585">
        <v>106.0</v>
      </c>
      <c r="B107" s="586" t="str">
        <f>Settings!$A$3</f>
        <v>DECOUPES</v>
      </c>
      <c r="C107" s="596" t="s">
        <v>106</v>
      </c>
      <c r="D107" s="13" t="str">
        <f>'Entry Sheet'!R6</f>
        <v>J. GIBBS</v>
      </c>
      <c r="E107" s="13">
        <f>'Entry Sheet'!S6</f>
        <v>6.7</v>
      </c>
      <c r="F107" s="589" t="s">
        <v>520</v>
      </c>
      <c r="BB107" s="314"/>
    </row>
    <row r="108" ht="15.75" customHeight="1">
      <c r="A108" s="585">
        <v>107.0</v>
      </c>
      <c r="B108" s="586" t="str">
        <f>Settings!$A$3</f>
        <v>DECOUPES</v>
      </c>
      <c r="C108" s="596" t="s">
        <v>106</v>
      </c>
      <c r="D108" s="13" t="str">
        <f>'Entry Sheet'!R7</f>
        <v>J. WARREN</v>
      </c>
      <c r="E108" s="13">
        <f>'Entry Sheet'!S7</f>
        <v>18.5</v>
      </c>
      <c r="F108" s="589" t="s">
        <v>520</v>
      </c>
      <c r="BB108" s="314"/>
    </row>
    <row r="109" ht="15.75" customHeight="1">
      <c r="A109" s="585">
        <v>108.0</v>
      </c>
      <c r="B109" s="586" t="str">
        <f>Settings!$A$3</f>
        <v>DECOUPES</v>
      </c>
      <c r="C109" s="596" t="s">
        <v>106</v>
      </c>
      <c r="D109" s="13" t="str">
        <f>'Entry Sheet'!R8</f>
        <v/>
      </c>
      <c r="E109" s="13" t="str">
        <f>'Entry Sheet'!S8</f>
        <v/>
      </c>
      <c r="F109" s="589" t="s">
        <v>520</v>
      </c>
      <c r="BB109" s="314"/>
    </row>
    <row r="110" ht="15.75" customHeight="1">
      <c r="A110" s="585">
        <v>109.0</v>
      </c>
      <c r="B110" s="586" t="str">
        <f>Settings!$A$3</f>
        <v>DECOUPES</v>
      </c>
      <c r="C110" s="712" t="s">
        <v>117</v>
      </c>
      <c r="D110" s="13" t="str">
        <f>'Entry Sheet'!R9</f>
        <v>C. LAMB</v>
      </c>
      <c r="E110" s="13">
        <f>'Entry Sheet'!S9</f>
        <v>15.5</v>
      </c>
      <c r="F110" s="589" t="s">
        <v>520</v>
      </c>
      <c r="BB110" s="314"/>
    </row>
    <row r="111" ht="15.75" customHeight="1">
      <c r="A111" s="585">
        <v>110.0</v>
      </c>
      <c r="B111" s="586" t="str">
        <f>Settings!$A$3</f>
        <v>DECOUPES</v>
      </c>
      <c r="C111" s="712" t="s">
        <v>117</v>
      </c>
      <c r="D111" s="13" t="str">
        <f>'Entry Sheet'!R10</f>
        <v>R. RICE</v>
      </c>
      <c r="E111" s="13">
        <f>'Entry Sheet'!S10</f>
        <v>18.8</v>
      </c>
      <c r="F111" s="589" t="s">
        <v>520</v>
      </c>
      <c r="BB111" s="314"/>
    </row>
    <row r="112" ht="15.75" customHeight="1">
      <c r="A112" s="585">
        <v>111.0</v>
      </c>
      <c r="B112" s="586" t="str">
        <f>Settings!$A$3</f>
        <v>DECOUPES</v>
      </c>
      <c r="C112" s="712" t="s">
        <v>117</v>
      </c>
      <c r="D112" s="13" t="str">
        <f>'Entry Sheet'!R11</f>
        <v>K. BOUTTE</v>
      </c>
      <c r="E112" s="13">
        <f>'Entry Sheet'!S11</f>
        <v>0</v>
      </c>
      <c r="F112" s="589" t="s">
        <v>520</v>
      </c>
      <c r="BB112" s="314"/>
    </row>
    <row r="113" ht="15.75" customHeight="1">
      <c r="A113" s="585">
        <v>112.0</v>
      </c>
      <c r="B113" s="586" t="str">
        <f>Settings!$A$3</f>
        <v>DECOUPES</v>
      </c>
      <c r="C113" s="712" t="s">
        <v>117</v>
      </c>
      <c r="D113" s="13" t="str">
        <f>'Entry Sheet'!R12</f>
        <v/>
      </c>
      <c r="E113" s="13" t="str">
        <f>'Entry Sheet'!S12</f>
        <v/>
      </c>
      <c r="F113" s="589" t="s">
        <v>520</v>
      </c>
      <c r="BB113" s="314"/>
    </row>
    <row r="114" ht="15.75" customHeight="1">
      <c r="A114" s="585">
        <v>113.0</v>
      </c>
      <c r="B114" s="586" t="str">
        <f>Settings!$A$3</f>
        <v>DECOUPES</v>
      </c>
      <c r="C114" s="764" t="s">
        <v>132</v>
      </c>
      <c r="D114" s="13" t="str">
        <f>'Entry Sheet'!R13</f>
        <v>T. KRAFT</v>
      </c>
      <c r="E114" s="13">
        <f>'Entry Sheet'!S13</f>
        <v>4</v>
      </c>
      <c r="F114" s="589" t="s">
        <v>520</v>
      </c>
      <c r="BB114" s="314"/>
    </row>
    <row r="115" ht="15.75" customHeight="1">
      <c r="A115" s="585">
        <v>114.0</v>
      </c>
      <c r="B115" s="586" t="str">
        <f>Settings!$A$3</f>
        <v>DECOUPES</v>
      </c>
      <c r="C115" s="795" t="s">
        <v>136</v>
      </c>
      <c r="D115" s="13" t="str">
        <f>'Entry Sheet'!R14</f>
        <v>T. TRACY</v>
      </c>
      <c r="E115" s="13">
        <f>'Entry Sheet'!S14</f>
        <v>7.2</v>
      </c>
      <c r="F115" s="589" t="s">
        <v>520</v>
      </c>
      <c r="BB115" s="314"/>
    </row>
    <row r="116" ht="15.75" customHeight="1">
      <c r="A116" s="585">
        <v>115.0</v>
      </c>
      <c r="B116" s="586" t="str">
        <f>Settings!$A$3</f>
        <v>DECOUPES</v>
      </c>
      <c r="C116" s="818" t="s">
        <v>139</v>
      </c>
      <c r="D116" s="13" t="str">
        <f>'Entry Sheet'!R15</f>
        <v>LAR D/ST</v>
      </c>
      <c r="E116" s="13">
        <f>'Entry Sheet'!S15</f>
        <v>13.88</v>
      </c>
      <c r="F116" s="589" t="s">
        <v>520</v>
      </c>
      <c r="BB116" s="314"/>
    </row>
    <row r="117" ht="15.75" customHeight="1">
      <c r="A117" s="585">
        <v>116.0</v>
      </c>
      <c r="B117" s="586" t="str">
        <f>Settings!$A$3</f>
        <v>DECOUPES</v>
      </c>
      <c r="C117" s="833" t="s">
        <v>146</v>
      </c>
      <c r="D117" s="13" t="str">
        <f>'Entry Sheet'!R16</f>
        <v>K. FAIRBAIRN</v>
      </c>
      <c r="E117" s="13">
        <f>'Entry Sheet'!S16</f>
        <v>17</v>
      </c>
      <c r="F117" s="589" t="s">
        <v>520</v>
      </c>
      <c r="BB117" s="314"/>
    </row>
    <row r="118" ht="15.75" customHeight="1">
      <c r="A118" s="585">
        <v>117.0</v>
      </c>
      <c r="B118" s="586" t="str">
        <f>Settings!$A$3</f>
        <v>DECOUPES</v>
      </c>
      <c r="C118" s="842" t="s">
        <v>162</v>
      </c>
      <c r="D118" s="13" t="str">
        <f>'Entry Sheet'!R17</f>
        <v>LAC HC</v>
      </c>
      <c r="E118" s="13">
        <f>'Entry Sheet'!S17</f>
        <v>11.1</v>
      </c>
      <c r="F118" s="589" t="s">
        <v>520</v>
      </c>
      <c r="BB118" s="314"/>
    </row>
    <row r="119" ht="15.75" customHeight="1">
      <c r="A119" s="585">
        <v>118.0</v>
      </c>
      <c r="B119" s="586" t="str">
        <f>Settings!$A$3</f>
        <v>DECOUPES</v>
      </c>
      <c r="C119" s="587" t="s">
        <v>100</v>
      </c>
      <c r="D119" s="13" t="str">
        <f>'Entry Sheet'!T5</f>
        <v>J. DART</v>
      </c>
      <c r="E119" s="13">
        <f>'Entry Sheet'!U5</f>
        <v>28.68</v>
      </c>
      <c r="F119" s="846" t="s">
        <v>521</v>
      </c>
      <c r="BB119" s="314"/>
    </row>
    <row r="120" ht="15.75" customHeight="1">
      <c r="A120" s="585">
        <v>119.0</v>
      </c>
      <c r="B120" s="586" t="str">
        <f>Settings!$A$3</f>
        <v>DECOUPES</v>
      </c>
      <c r="C120" s="596" t="s">
        <v>106</v>
      </c>
      <c r="D120" s="13" t="str">
        <f>'Entry Sheet'!T6</f>
        <v>J. GIBBS</v>
      </c>
      <c r="E120" s="13">
        <f>'Entry Sheet'!U6</f>
        <v>40.7</v>
      </c>
      <c r="F120" s="846" t="s">
        <v>521</v>
      </c>
      <c r="BB120" s="314"/>
    </row>
    <row r="121" ht="15.75" customHeight="1">
      <c r="A121" s="585">
        <v>120.0</v>
      </c>
      <c r="B121" s="586" t="str">
        <f>Settings!$A$3</f>
        <v>DECOUPES</v>
      </c>
      <c r="C121" s="596" t="s">
        <v>106</v>
      </c>
      <c r="D121" s="13" t="str">
        <f>'Entry Sheet'!T7</f>
        <v>T. TRACY</v>
      </c>
      <c r="E121" s="13">
        <f>'Entry Sheet'!U7</f>
        <v>9.5</v>
      </c>
      <c r="F121" s="846" t="s">
        <v>521</v>
      </c>
      <c r="BB121" s="314"/>
    </row>
    <row r="122" ht="15.75" customHeight="1">
      <c r="A122" s="585">
        <v>121.0</v>
      </c>
      <c r="B122" s="586" t="str">
        <f>Settings!$A$3</f>
        <v>DECOUPES</v>
      </c>
      <c r="C122" s="596" t="s">
        <v>106</v>
      </c>
      <c r="D122" s="13" t="str">
        <f>'Entry Sheet'!T8</f>
        <v/>
      </c>
      <c r="E122" s="13" t="str">
        <f>'Entry Sheet'!U8</f>
        <v/>
      </c>
      <c r="F122" s="846" t="s">
        <v>521</v>
      </c>
      <c r="BB122" s="314"/>
    </row>
    <row r="123" ht="15.75" customHeight="1">
      <c r="A123" s="585">
        <v>122.0</v>
      </c>
      <c r="B123" s="586" t="str">
        <f>Settings!$A$3</f>
        <v>DECOUPES</v>
      </c>
      <c r="C123" s="712" t="s">
        <v>117</v>
      </c>
      <c r="D123" s="13" t="str">
        <f>'Entry Sheet'!T9</f>
        <v>W. ROBINSON</v>
      </c>
      <c r="E123" s="13">
        <f>'Entry Sheet'!U9</f>
        <v>12.2</v>
      </c>
      <c r="F123" s="846" t="s">
        <v>521</v>
      </c>
      <c r="BB123" s="314"/>
    </row>
    <row r="124" ht="15.75" customHeight="1">
      <c r="A124" s="585">
        <v>123.0</v>
      </c>
      <c r="B124" s="586" t="str">
        <f>Settings!$A$3</f>
        <v>DECOUPES</v>
      </c>
      <c r="C124" s="712" t="s">
        <v>117</v>
      </c>
      <c r="D124" s="13" t="str">
        <f>'Entry Sheet'!T10</f>
        <v>G. WILSON</v>
      </c>
      <c r="E124" s="13">
        <f>'Entry Sheet'!U10</f>
        <v>0</v>
      </c>
      <c r="F124" s="846" t="s">
        <v>521</v>
      </c>
      <c r="BB124" s="314"/>
    </row>
    <row r="125" ht="15.75" customHeight="1">
      <c r="A125" s="585">
        <v>124.0</v>
      </c>
      <c r="B125" s="586" t="str">
        <f>Settings!$A$3</f>
        <v>DECOUPES</v>
      </c>
      <c r="C125" s="712" t="s">
        <v>117</v>
      </c>
      <c r="D125" s="13" t="str">
        <f>'Entry Sheet'!T11</f>
        <v>R. DOUBS</v>
      </c>
      <c r="E125" s="13">
        <f>'Entry Sheet'!U11</f>
        <v>2.6</v>
      </c>
      <c r="F125" s="846" t="s">
        <v>521</v>
      </c>
      <c r="BB125" s="314"/>
    </row>
    <row r="126" ht="15.75" customHeight="1">
      <c r="A126" s="585">
        <v>125.0</v>
      </c>
      <c r="B126" s="586" t="str">
        <f>Settings!$A$3</f>
        <v>DECOUPES</v>
      </c>
      <c r="C126" s="712" t="s">
        <v>117</v>
      </c>
      <c r="D126" s="13" t="str">
        <f>'Entry Sheet'!T12</f>
        <v/>
      </c>
      <c r="E126" s="13" t="str">
        <f>'Entry Sheet'!U12</f>
        <v/>
      </c>
      <c r="F126" s="846" t="s">
        <v>521</v>
      </c>
      <c r="BB126" s="314"/>
    </row>
    <row r="127" ht="15.75" customHeight="1">
      <c r="A127" s="585">
        <v>126.0</v>
      </c>
      <c r="B127" s="586" t="str">
        <f>Settings!$A$3</f>
        <v>DECOUPES</v>
      </c>
      <c r="C127" s="764" t="s">
        <v>132</v>
      </c>
      <c r="D127" s="13" t="str">
        <f>'Entry Sheet'!T13</f>
        <v>D. KINCAID</v>
      </c>
      <c r="E127" s="13">
        <f>'Entry Sheet'!U13</f>
        <v>5.7</v>
      </c>
      <c r="F127" s="846" t="s">
        <v>521</v>
      </c>
      <c r="BB127" s="314"/>
    </row>
    <row r="128" ht="15.75" customHeight="1">
      <c r="A128" s="585">
        <v>127.0</v>
      </c>
      <c r="B128" s="586" t="str">
        <f>Settings!$A$3</f>
        <v>DECOUPES</v>
      </c>
      <c r="C128" s="795" t="s">
        <v>136</v>
      </c>
      <c r="D128" s="13" t="str">
        <f>'Entry Sheet'!T14</f>
        <v>J. WARREN</v>
      </c>
      <c r="E128" s="13">
        <f>'Entry Sheet'!U14</f>
        <v>12.5</v>
      </c>
      <c r="F128" s="846" t="s">
        <v>521</v>
      </c>
      <c r="BB128" s="314"/>
    </row>
    <row r="129" ht="15.75" customHeight="1">
      <c r="A129" s="585">
        <v>128.0</v>
      </c>
      <c r="B129" s="586" t="str">
        <f>Settings!$A$3</f>
        <v>DECOUPES</v>
      </c>
      <c r="C129" s="818" t="s">
        <v>139</v>
      </c>
      <c r="D129" s="13" t="str">
        <f>'Entry Sheet'!T15</f>
        <v>CLE D/ST</v>
      </c>
      <c r="E129" s="13">
        <f>'Entry Sheet'!U15</f>
        <v>18.5</v>
      </c>
      <c r="F129" s="846" t="s">
        <v>521</v>
      </c>
      <c r="BB129" s="314"/>
    </row>
    <row r="130" ht="15.75" customHeight="1">
      <c r="A130" s="585">
        <v>129.0</v>
      </c>
      <c r="B130" s="586" t="str">
        <f>Settings!$A$3</f>
        <v>DECOUPES</v>
      </c>
      <c r="C130" s="833" t="s">
        <v>146</v>
      </c>
      <c r="D130" s="13" t="str">
        <f>'Entry Sheet'!T16</f>
        <v>W. REICHARD</v>
      </c>
      <c r="E130" s="13">
        <f>'Entry Sheet'!U16</f>
        <v>9</v>
      </c>
      <c r="F130" s="846" t="s">
        <v>521</v>
      </c>
      <c r="BB130" s="314"/>
    </row>
    <row r="131" ht="15.75" customHeight="1">
      <c r="A131" s="585">
        <v>130.0</v>
      </c>
      <c r="B131" s="586" t="str">
        <f>Settings!$A$3</f>
        <v>DECOUPES</v>
      </c>
      <c r="C131" s="842" t="s">
        <v>162</v>
      </c>
      <c r="D131" s="13" t="str">
        <f>'Entry Sheet'!T17</f>
        <v>SEA HC</v>
      </c>
      <c r="E131" s="13">
        <f>'Entry Sheet'!U17</f>
        <v>21.2</v>
      </c>
      <c r="F131" s="846" t="s">
        <v>521</v>
      </c>
      <c r="BB131" s="314"/>
    </row>
    <row r="132" ht="15.75" hidden="1" customHeight="1">
      <c r="A132" s="585">
        <v>131.0</v>
      </c>
      <c r="B132" s="586" t="str">
        <f>Settings!$A$3</f>
        <v>DECOUPES</v>
      </c>
      <c r="C132" s="587" t="s">
        <v>100</v>
      </c>
      <c r="D132" s="13" t="str">
        <f>'Entry Sheet'!V5</f>
        <v>D. PRESCOTT</v>
      </c>
      <c r="E132" s="13">
        <f>'Entry Sheet'!W5</f>
        <v>36.12</v>
      </c>
      <c r="F132" s="589" t="s">
        <v>522</v>
      </c>
      <c r="BB132" s="314"/>
    </row>
    <row r="133" ht="15.75" hidden="1" customHeight="1">
      <c r="A133" s="585">
        <v>132.0</v>
      </c>
      <c r="B133" s="586" t="str">
        <f>Settings!$A$3</f>
        <v>DECOUPES</v>
      </c>
      <c r="C133" s="596" t="s">
        <v>106</v>
      </c>
      <c r="D133" s="13" t="str">
        <f>'Entry Sheet'!V6</f>
        <v>J. WARREN</v>
      </c>
      <c r="E133" s="13">
        <f>'Entry Sheet'!W6</f>
        <v>9.7</v>
      </c>
      <c r="F133" s="589" t="s">
        <v>522</v>
      </c>
      <c r="BB133" s="314"/>
    </row>
    <row r="134" ht="15.75" hidden="1" customHeight="1">
      <c r="A134" s="585">
        <v>133.0</v>
      </c>
      <c r="B134" s="586" t="str">
        <f>Settings!$A$3</f>
        <v>DECOUPES</v>
      </c>
      <c r="C134" s="596" t="s">
        <v>106</v>
      </c>
      <c r="D134" s="13" t="str">
        <f>'Entry Sheet'!V7</f>
        <v>R. WHITE</v>
      </c>
      <c r="E134" s="13">
        <f>'Entry Sheet'!W7</f>
        <v>9.2</v>
      </c>
      <c r="F134" s="589" t="s">
        <v>522</v>
      </c>
      <c r="BB134" s="314"/>
    </row>
    <row r="135" ht="15.75" hidden="1" customHeight="1">
      <c r="A135" s="585">
        <v>134.0</v>
      </c>
      <c r="B135" s="586" t="str">
        <f>Settings!$A$3</f>
        <v>DECOUPES</v>
      </c>
      <c r="C135" s="596" t="s">
        <v>106</v>
      </c>
      <c r="D135" s="13" t="str">
        <f>'Entry Sheet'!V8</f>
        <v/>
      </c>
      <c r="E135" s="13" t="str">
        <f>'Entry Sheet'!W8</f>
        <v/>
      </c>
      <c r="F135" s="589" t="s">
        <v>522</v>
      </c>
      <c r="BB135" s="314"/>
    </row>
    <row r="136" ht="15.75" hidden="1" customHeight="1">
      <c r="A136" s="585">
        <v>135.0</v>
      </c>
      <c r="B136" s="586" t="str">
        <f>Settings!$A$3</f>
        <v>DECOUPES</v>
      </c>
      <c r="C136" s="712" t="s">
        <v>117</v>
      </c>
      <c r="D136" s="13" t="str">
        <f>'Entry Sheet'!V9</f>
        <v>C. LAMB</v>
      </c>
      <c r="E136" s="13">
        <f>'Entry Sheet'!W9</f>
        <v>17.6</v>
      </c>
      <c r="F136" s="589" t="s">
        <v>522</v>
      </c>
      <c r="BB136" s="314"/>
    </row>
    <row r="137" ht="15.75" hidden="1" customHeight="1">
      <c r="A137" s="585">
        <v>136.0</v>
      </c>
      <c r="B137" s="586" t="str">
        <f>Settings!$A$3</f>
        <v>DECOUPES</v>
      </c>
      <c r="C137" s="712" t="s">
        <v>117</v>
      </c>
      <c r="D137" s="13" t="str">
        <f>'Entry Sheet'!V10</f>
        <v>R. RICE</v>
      </c>
      <c r="E137" s="13">
        <f>'Entry Sheet'!W10</f>
        <v>9.8</v>
      </c>
      <c r="F137" s="589" t="s">
        <v>522</v>
      </c>
      <c r="BB137" s="314"/>
    </row>
    <row r="138" ht="15.75" hidden="1" customHeight="1">
      <c r="A138" s="585">
        <v>137.0</v>
      </c>
      <c r="B138" s="586" t="str">
        <f>Settings!$A$3</f>
        <v>DECOUPES</v>
      </c>
      <c r="C138" s="712" t="s">
        <v>117</v>
      </c>
      <c r="D138" s="13" t="str">
        <f>'Entry Sheet'!V11</f>
        <v>W. ROBINSON</v>
      </c>
      <c r="E138" s="13">
        <f>'Entry Sheet'!W11</f>
        <v>7.6</v>
      </c>
      <c r="F138" s="589" t="s">
        <v>522</v>
      </c>
      <c r="BB138" s="314"/>
    </row>
    <row r="139" ht="15.75" hidden="1" customHeight="1">
      <c r="A139" s="585">
        <v>138.0</v>
      </c>
      <c r="B139" s="586" t="str">
        <f>Settings!$A$3</f>
        <v>DECOUPES</v>
      </c>
      <c r="C139" s="712" t="s">
        <v>117</v>
      </c>
      <c r="D139" s="13" t="str">
        <f>'Entry Sheet'!V12</f>
        <v/>
      </c>
      <c r="E139" s="13" t="str">
        <f>'Entry Sheet'!W12</f>
        <v/>
      </c>
      <c r="F139" s="589" t="s">
        <v>522</v>
      </c>
      <c r="BB139" s="314"/>
    </row>
    <row r="140" ht="15.75" hidden="1" customHeight="1">
      <c r="A140" s="585">
        <v>139.0</v>
      </c>
      <c r="B140" s="586" t="str">
        <f>Settings!$A$3</f>
        <v>DECOUPES</v>
      </c>
      <c r="C140" s="764" t="s">
        <v>132</v>
      </c>
      <c r="D140" s="13" t="str">
        <f>'Entry Sheet'!V13</f>
        <v>T. KELCE</v>
      </c>
      <c r="E140" s="13">
        <f>'Entry Sheet'!W13</f>
        <v>24.1</v>
      </c>
      <c r="F140" s="589" t="s">
        <v>522</v>
      </c>
      <c r="BB140" s="314"/>
    </row>
    <row r="141" ht="15.75" hidden="1" customHeight="1">
      <c r="A141" s="585">
        <v>140.0</v>
      </c>
      <c r="B141" s="586" t="str">
        <f>Settings!$A$3</f>
        <v>DECOUPES</v>
      </c>
      <c r="C141" s="795" t="s">
        <v>136</v>
      </c>
      <c r="D141" s="13" t="str">
        <f>'Entry Sheet'!V14</f>
        <v>J. GIBBS</v>
      </c>
      <c r="E141" s="13">
        <f>'Entry Sheet'!W14</f>
        <v>21.8</v>
      </c>
      <c r="F141" s="589" t="s">
        <v>522</v>
      </c>
      <c r="BB141" s="314"/>
    </row>
    <row r="142" ht="15.75" hidden="1" customHeight="1">
      <c r="A142" s="585">
        <v>141.0</v>
      </c>
      <c r="B142" s="586" t="str">
        <f>Settings!$A$3</f>
        <v>DECOUPES</v>
      </c>
      <c r="C142" s="818" t="s">
        <v>139</v>
      </c>
      <c r="D142" s="13" t="str">
        <f>'Entry Sheet'!V15</f>
        <v>MIA D/ST</v>
      </c>
      <c r="E142" s="13">
        <f>'Entry Sheet'!W15</f>
        <v>8.29</v>
      </c>
      <c r="F142" s="589" t="s">
        <v>522</v>
      </c>
      <c r="BB142" s="314"/>
    </row>
    <row r="143" ht="15.75" hidden="1" customHeight="1">
      <c r="A143" s="585">
        <v>142.0</v>
      </c>
      <c r="B143" s="586" t="str">
        <f>Settings!$A$3</f>
        <v>DECOUPES</v>
      </c>
      <c r="C143" s="833" t="s">
        <v>146</v>
      </c>
      <c r="D143" s="13" t="str">
        <f>'Entry Sheet'!V16</f>
        <v>Z. GONZALEZ</v>
      </c>
      <c r="E143" s="13">
        <f>'Entry Sheet'!W16</f>
        <v>13</v>
      </c>
      <c r="F143" s="589" t="s">
        <v>522</v>
      </c>
      <c r="BB143" s="314"/>
    </row>
    <row r="144" ht="15.75" hidden="1" customHeight="1">
      <c r="A144" s="585">
        <v>143.0</v>
      </c>
      <c r="B144" s="586" t="str">
        <f>Settings!$A$3</f>
        <v>DECOUPES</v>
      </c>
      <c r="C144" s="842" t="s">
        <v>162</v>
      </c>
      <c r="D144" s="13" t="str">
        <f>'Entry Sheet'!V17</f>
        <v>NE HC</v>
      </c>
      <c r="E144" s="13">
        <f>'Entry Sheet'!W17</f>
        <v>12.1</v>
      </c>
      <c r="F144" s="589" t="s">
        <v>522</v>
      </c>
      <c r="BB144" s="314"/>
    </row>
    <row r="145" ht="15.75" customHeight="1">
      <c r="A145" s="585">
        <v>144.0</v>
      </c>
      <c r="B145" s="586" t="str">
        <f>Settings!$A$3</f>
        <v>DECOUPES</v>
      </c>
      <c r="C145" s="587" t="s">
        <v>100</v>
      </c>
      <c r="D145" s="13" t="str">
        <f>'Entry Sheet'!X5</f>
        <v>D. PRESCOTT</v>
      </c>
      <c r="E145" s="13">
        <f>'Entry Sheet'!Y5</f>
        <v>33.76</v>
      </c>
      <c r="F145" s="846" t="s">
        <v>523</v>
      </c>
      <c r="BB145" s="314"/>
    </row>
    <row r="146" ht="15.75" customHeight="1">
      <c r="A146" s="585">
        <v>145.0</v>
      </c>
      <c r="B146" s="586" t="str">
        <f>Settings!$A$3</f>
        <v>DECOUPES</v>
      </c>
      <c r="C146" s="596" t="s">
        <v>106</v>
      </c>
      <c r="D146" s="13" t="str">
        <f>'Entry Sheet'!X6</f>
        <v>J. GIBBS</v>
      </c>
      <c r="E146" s="13">
        <f>'Entry Sheet'!Y6</f>
        <v>58.9</v>
      </c>
      <c r="F146" s="846" t="s">
        <v>523</v>
      </c>
      <c r="BB146" s="314"/>
    </row>
    <row r="147" ht="15.75" customHeight="1">
      <c r="A147" s="585">
        <v>146.0</v>
      </c>
      <c r="B147" s="586" t="str">
        <f>Settings!$A$3</f>
        <v>DECOUPES</v>
      </c>
      <c r="C147" s="596" t="s">
        <v>106</v>
      </c>
      <c r="D147" s="13" t="str">
        <f>'Entry Sheet'!X7</f>
        <v>J. WARREN</v>
      </c>
      <c r="E147" s="13">
        <f>'Entry Sheet'!Y7</f>
        <v>14.6</v>
      </c>
      <c r="F147" s="846" t="s">
        <v>523</v>
      </c>
      <c r="BB147" s="314"/>
    </row>
    <row r="148" ht="15.75" customHeight="1">
      <c r="A148" s="585">
        <v>147.0</v>
      </c>
      <c r="B148" s="586" t="str">
        <f>Settings!$A$3</f>
        <v>DECOUPES</v>
      </c>
      <c r="C148" s="596" t="s">
        <v>106</v>
      </c>
      <c r="D148" s="13" t="str">
        <f>'Entry Sheet'!X8</f>
        <v/>
      </c>
      <c r="E148" s="13" t="str">
        <f>'Entry Sheet'!Y8</f>
        <v/>
      </c>
      <c r="F148" s="846" t="s">
        <v>523</v>
      </c>
      <c r="BB148" s="314"/>
    </row>
    <row r="149" ht="15.75" customHeight="1">
      <c r="A149" s="585">
        <v>148.0</v>
      </c>
      <c r="B149" s="586" t="str">
        <f>Settings!$A$3</f>
        <v>DECOUPES</v>
      </c>
      <c r="C149" s="712" t="s">
        <v>117</v>
      </c>
      <c r="D149" s="13" t="str">
        <f>'Entry Sheet'!X9</f>
        <v>C. LAMB</v>
      </c>
      <c r="E149" s="13">
        <f>'Entry Sheet'!Y9</f>
        <v>11.5</v>
      </c>
      <c r="F149" s="846" t="s">
        <v>523</v>
      </c>
      <c r="BB149" s="314"/>
    </row>
    <row r="150" ht="15.75" customHeight="1">
      <c r="A150" s="585">
        <v>149.0</v>
      </c>
      <c r="B150" s="586" t="str">
        <f>Settings!$A$3</f>
        <v>DECOUPES</v>
      </c>
      <c r="C150" s="712" t="s">
        <v>117</v>
      </c>
      <c r="D150" s="13" t="str">
        <f>'Entry Sheet'!X10</f>
        <v>R. RICE</v>
      </c>
      <c r="E150" s="13">
        <f>'Entry Sheet'!Y10</f>
        <v>25.1</v>
      </c>
      <c r="F150" s="846" t="s">
        <v>523</v>
      </c>
      <c r="BB150" s="314"/>
    </row>
    <row r="151" ht="15.75" customHeight="1">
      <c r="A151" s="585">
        <v>150.0</v>
      </c>
      <c r="B151" s="586" t="str">
        <f>Settings!$A$3</f>
        <v>DECOUPES</v>
      </c>
      <c r="C151" s="712" t="s">
        <v>117</v>
      </c>
      <c r="D151" s="13" t="str">
        <f>'Entry Sheet'!X11</f>
        <v>W. ROBINSON</v>
      </c>
      <c r="E151" s="13">
        <f>'Entry Sheet'!Y11</f>
        <v>31.7</v>
      </c>
      <c r="F151" s="846" t="s">
        <v>523</v>
      </c>
      <c r="BB151" s="314"/>
    </row>
    <row r="152" ht="15.75" customHeight="1">
      <c r="A152" s="585">
        <v>151.0</v>
      </c>
      <c r="B152" s="586" t="str">
        <f>Settings!$A$3</f>
        <v>DECOUPES</v>
      </c>
      <c r="C152" s="712" t="s">
        <v>117</v>
      </c>
      <c r="D152" s="13" t="str">
        <f>'Entry Sheet'!X12</f>
        <v/>
      </c>
      <c r="E152" s="13" t="str">
        <f>'Entry Sheet'!Y12</f>
        <v/>
      </c>
      <c r="F152" s="846" t="s">
        <v>523</v>
      </c>
      <c r="BB152" s="314"/>
    </row>
    <row r="153" ht="15.75" customHeight="1">
      <c r="A153" s="585">
        <v>152.0</v>
      </c>
      <c r="B153" s="586" t="str">
        <f>Settings!$A$3</f>
        <v>DECOUPES</v>
      </c>
      <c r="C153" s="764" t="s">
        <v>132</v>
      </c>
      <c r="D153" s="13" t="str">
        <f>'Entry Sheet'!X13</f>
        <v>T. KELCE</v>
      </c>
      <c r="E153" s="13">
        <f>'Entry Sheet'!Y13</f>
        <v>8.5</v>
      </c>
      <c r="F153" s="846" t="s">
        <v>523</v>
      </c>
      <c r="BB153" s="314"/>
    </row>
    <row r="154" ht="15.75" customHeight="1">
      <c r="A154" s="585">
        <v>153.0</v>
      </c>
      <c r="B154" s="586" t="str">
        <f>Settings!$A$3</f>
        <v>DECOUPES</v>
      </c>
      <c r="C154" s="795" t="s">
        <v>136</v>
      </c>
      <c r="D154" s="13" t="str">
        <f>'Entry Sheet'!X14</f>
        <v>J. MEYERS</v>
      </c>
      <c r="E154" s="13">
        <f>'Entry Sheet'!Y14</f>
        <v>15</v>
      </c>
      <c r="F154" s="846" t="s">
        <v>523</v>
      </c>
      <c r="BB154" s="314"/>
    </row>
    <row r="155" ht="15.75" customHeight="1">
      <c r="A155" s="585">
        <v>154.0</v>
      </c>
      <c r="B155" s="586" t="str">
        <f>Settings!$A$3</f>
        <v>DECOUPES</v>
      </c>
      <c r="C155" s="818" t="s">
        <v>139</v>
      </c>
      <c r="D155" s="13" t="str">
        <f>'Entry Sheet'!X15</f>
        <v>JAX D/ST</v>
      </c>
      <c r="E155" s="13">
        <f>'Entry Sheet'!Y15</f>
        <v>19.39</v>
      </c>
      <c r="F155" s="846" t="s">
        <v>523</v>
      </c>
      <c r="BB155" s="314"/>
    </row>
    <row r="156" ht="15.75" customHeight="1">
      <c r="A156" s="585">
        <v>155.0</v>
      </c>
      <c r="B156" s="586" t="str">
        <f>Settings!$A$3</f>
        <v>DECOUPES</v>
      </c>
      <c r="C156" s="833" t="s">
        <v>146</v>
      </c>
      <c r="D156" s="13" t="str">
        <f>'Entry Sheet'!X16</f>
        <v>Z. GONZALEZ</v>
      </c>
      <c r="E156" s="13">
        <f>'Entry Sheet'!Y16</f>
        <v>17</v>
      </c>
      <c r="F156" s="846" t="s">
        <v>523</v>
      </c>
      <c r="BB156" s="314"/>
    </row>
    <row r="157" ht="15.75" customHeight="1">
      <c r="A157" s="585">
        <v>156.0</v>
      </c>
      <c r="B157" s="586" t="str">
        <f>Settings!$A$3</f>
        <v>DECOUPES</v>
      </c>
      <c r="C157" s="842" t="s">
        <v>162</v>
      </c>
      <c r="D157" s="13" t="str">
        <f>'Entry Sheet'!X17</f>
        <v>SEA HC</v>
      </c>
      <c r="E157" s="13">
        <f>'Entry Sheet'!Y17</f>
        <v>12</v>
      </c>
      <c r="F157" s="846" t="s">
        <v>523</v>
      </c>
      <c r="BB157" s="314"/>
    </row>
    <row r="158" ht="15.75" customHeight="1">
      <c r="A158" s="585">
        <v>157.0</v>
      </c>
      <c r="B158" s="586" t="str">
        <f>Settings!$A$3</f>
        <v>DECOUPES</v>
      </c>
      <c r="C158" s="587" t="s">
        <v>100</v>
      </c>
      <c r="D158" s="13" t="str">
        <f>'Entry Sheet'!Z5</f>
        <v>D. PRESCOTT</v>
      </c>
      <c r="E158" s="13">
        <f>'Entry Sheet'!AA5</f>
        <v>28.1</v>
      </c>
      <c r="F158" s="589" t="s">
        <v>524</v>
      </c>
      <c r="BB158" s="314"/>
    </row>
    <row r="159" ht="15.75" customHeight="1">
      <c r="A159" s="585">
        <v>158.0</v>
      </c>
      <c r="B159" s="586" t="str">
        <f>Settings!$A$3</f>
        <v>DECOUPES</v>
      </c>
      <c r="C159" s="596" t="s">
        <v>106</v>
      </c>
      <c r="D159" s="13" t="str">
        <f>'Entry Sheet'!Z6</f>
        <v>J. GIBBS</v>
      </c>
      <c r="E159" s="13">
        <f>'Entry Sheet'!AA6</f>
        <v>13.6</v>
      </c>
      <c r="F159" s="589" t="s">
        <v>524</v>
      </c>
      <c r="BB159" s="314"/>
    </row>
    <row r="160" ht="15.75" customHeight="1">
      <c r="A160" s="585">
        <v>159.0</v>
      </c>
      <c r="B160" s="586" t="str">
        <f>Settings!$A$3</f>
        <v>DECOUPES</v>
      </c>
      <c r="C160" s="596" t="s">
        <v>106</v>
      </c>
      <c r="D160" s="13" t="str">
        <f>'Entry Sheet'!Z7</f>
        <v>J. WARREN</v>
      </c>
      <c r="E160" s="13">
        <f>'Entry Sheet'!AA7</f>
        <v>13.4</v>
      </c>
      <c r="F160" s="589" t="s">
        <v>524</v>
      </c>
      <c r="BB160" s="314"/>
    </row>
    <row r="161" ht="15.75" customHeight="1">
      <c r="A161" s="585">
        <v>160.0</v>
      </c>
      <c r="B161" s="586" t="str">
        <f>Settings!$A$3</f>
        <v>DECOUPES</v>
      </c>
      <c r="C161" s="596" t="s">
        <v>106</v>
      </c>
      <c r="D161" s="13" t="str">
        <f>'Entry Sheet'!Z8</f>
        <v/>
      </c>
      <c r="E161" s="13" t="str">
        <f>'Entry Sheet'!AA8</f>
        <v/>
      </c>
      <c r="F161" s="589" t="s">
        <v>524</v>
      </c>
      <c r="BB161" s="314"/>
    </row>
    <row r="162" ht="15.75" customHeight="1">
      <c r="A162" s="585">
        <v>161.0</v>
      </c>
      <c r="B162" s="586" t="str">
        <f>Settings!$A$3</f>
        <v>DECOUPES</v>
      </c>
      <c r="C162" s="712" t="s">
        <v>117</v>
      </c>
      <c r="D162" s="13" t="str">
        <f>'Entry Sheet'!Z9</f>
        <v>C. LAMB</v>
      </c>
      <c r="E162" s="13">
        <f>'Entry Sheet'!AA9</f>
        <v>25.2</v>
      </c>
      <c r="F162" s="589" t="s">
        <v>524</v>
      </c>
      <c r="BB162" s="314"/>
    </row>
    <row r="163" ht="15.75" customHeight="1">
      <c r="A163" s="585">
        <v>162.0</v>
      </c>
      <c r="B163" s="586" t="str">
        <f>Settings!$A$3</f>
        <v>DECOUPES</v>
      </c>
      <c r="C163" s="712" t="s">
        <v>117</v>
      </c>
      <c r="D163" s="13" t="str">
        <f>'Entry Sheet'!Z10</f>
        <v>R. RICE</v>
      </c>
      <c r="E163" s="13">
        <f>'Entry Sheet'!AA10</f>
        <v>29.5</v>
      </c>
      <c r="F163" s="589" t="s">
        <v>524</v>
      </c>
      <c r="BB163" s="314"/>
    </row>
    <row r="164" ht="15.75" customHeight="1">
      <c r="A164" s="585">
        <v>163.0</v>
      </c>
      <c r="B164" s="586" t="str">
        <f>Settings!$A$3</f>
        <v>DECOUPES</v>
      </c>
      <c r="C164" s="712" t="s">
        <v>117</v>
      </c>
      <c r="D164" s="13" t="str">
        <f>'Entry Sheet'!Z11</f>
        <v>W. ROBINSON</v>
      </c>
      <c r="E164" s="13">
        <f>'Entry Sheet'!AA11</f>
        <v>10.4</v>
      </c>
      <c r="F164" s="589" t="s">
        <v>524</v>
      </c>
      <c r="BB164" s="314"/>
    </row>
    <row r="165" ht="15.75" customHeight="1">
      <c r="A165" s="585">
        <v>164.0</v>
      </c>
      <c r="B165" s="586" t="str">
        <f>Settings!$A$3</f>
        <v>DECOUPES</v>
      </c>
      <c r="C165" s="712" t="s">
        <v>117</v>
      </c>
      <c r="D165" s="13" t="str">
        <f>'Entry Sheet'!Z12</f>
        <v/>
      </c>
      <c r="E165" s="13" t="str">
        <f>'Entry Sheet'!AA12</f>
        <v/>
      </c>
      <c r="F165" s="589" t="s">
        <v>524</v>
      </c>
      <c r="BB165" s="314"/>
    </row>
    <row r="166" ht="15.75" customHeight="1">
      <c r="A166" s="585">
        <v>165.0</v>
      </c>
      <c r="B166" s="586" t="str">
        <f>Settings!$A$3</f>
        <v>DECOUPES</v>
      </c>
      <c r="C166" s="764" t="s">
        <v>132</v>
      </c>
      <c r="D166" s="13" t="str">
        <f>'Entry Sheet'!Z13</f>
        <v>T. KELCE</v>
      </c>
      <c r="E166" s="13">
        <f>'Entry Sheet'!AA13</f>
        <v>15.5</v>
      </c>
      <c r="F166" s="589" t="s">
        <v>524</v>
      </c>
      <c r="BB166" s="314"/>
    </row>
    <row r="167" ht="15.75" customHeight="1">
      <c r="A167" s="585">
        <v>166.0</v>
      </c>
      <c r="B167" s="586" t="str">
        <f>Settings!$A$3</f>
        <v>DECOUPES</v>
      </c>
      <c r="C167" s="795" t="s">
        <v>136</v>
      </c>
      <c r="D167" s="13" t="str">
        <f>'Entry Sheet'!Z14</f>
        <v>J. MEYERS</v>
      </c>
      <c r="E167" s="13">
        <f>'Entry Sheet'!AA14</f>
        <v>21.4</v>
      </c>
      <c r="F167" s="589" t="s">
        <v>524</v>
      </c>
      <c r="BB167" s="314"/>
    </row>
    <row r="168" ht="15.75" customHeight="1">
      <c r="A168" s="585">
        <v>167.0</v>
      </c>
      <c r="B168" s="586" t="str">
        <f>Settings!$A$3</f>
        <v>DECOUPES</v>
      </c>
      <c r="C168" s="818" t="s">
        <v>139</v>
      </c>
      <c r="D168" s="13" t="str">
        <f>'Entry Sheet'!Z15</f>
        <v>JAX D/ST</v>
      </c>
      <c r="E168" s="13">
        <f>'Entry Sheet'!AA15</f>
        <v>25.02</v>
      </c>
      <c r="F168" s="589" t="s">
        <v>524</v>
      </c>
      <c r="BB168" s="314"/>
    </row>
    <row r="169" ht="15.75" customHeight="1">
      <c r="A169" s="585">
        <v>168.0</v>
      </c>
      <c r="B169" s="586" t="str">
        <f>Settings!$A$3</f>
        <v>DECOUPES</v>
      </c>
      <c r="C169" s="833" t="s">
        <v>146</v>
      </c>
      <c r="D169" s="13" t="str">
        <f>'Entry Sheet'!Z16</f>
        <v>Z. GONZALEZ</v>
      </c>
      <c r="E169" s="13">
        <f>'Entry Sheet'!AA16</f>
        <v>8</v>
      </c>
      <c r="F169" s="589" t="s">
        <v>524</v>
      </c>
      <c r="BB169" s="314"/>
    </row>
    <row r="170" ht="15.75" customHeight="1">
      <c r="A170" s="585">
        <v>169.0</v>
      </c>
      <c r="B170" s="586" t="str">
        <f>Settings!$A$3</f>
        <v>DECOUPES</v>
      </c>
      <c r="C170" s="842" t="s">
        <v>162</v>
      </c>
      <c r="D170" s="13" t="str">
        <f>'Entry Sheet'!Z17</f>
        <v>SEA HC</v>
      </c>
      <c r="E170" s="13">
        <f>'Entry Sheet'!AA17</f>
        <v>19.8</v>
      </c>
      <c r="F170" s="589" t="s">
        <v>524</v>
      </c>
      <c r="BB170" s="314"/>
    </row>
    <row r="171" ht="15.75" customHeight="1">
      <c r="A171" s="585">
        <v>170.0</v>
      </c>
      <c r="B171" s="586" t="str">
        <f>Settings!$A$3</f>
        <v>DECOUPES</v>
      </c>
      <c r="C171" s="587" t="s">
        <v>100</v>
      </c>
      <c r="D171" s="13" t="str">
        <f>'Entry Sheet'!AB5</f>
        <v>D. PRESCOTT</v>
      </c>
      <c r="E171" s="13">
        <f>'Entry Sheet'!AC5</f>
        <v>23.14</v>
      </c>
      <c r="F171" s="846" t="s">
        <v>525</v>
      </c>
      <c r="BB171" s="314"/>
    </row>
    <row r="172" ht="15.75" customHeight="1">
      <c r="A172" s="585">
        <v>171.0</v>
      </c>
      <c r="B172" s="586" t="str">
        <f>Settings!$A$3</f>
        <v>DECOUPES</v>
      </c>
      <c r="C172" s="596" t="s">
        <v>106</v>
      </c>
      <c r="D172" s="13" t="str">
        <f>'Entry Sheet'!AB6</f>
        <v>B. IRVING</v>
      </c>
      <c r="E172" s="13">
        <f>'Entry Sheet'!AC6</f>
        <v>17.6</v>
      </c>
      <c r="F172" s="846" t="s">
        <v>525</v>
      </c>
      <c r="BB172" s="314"/>
    </row>
    <row r="173" ht="15.75" customHeight="1">
      <c r="A173" s="585">
        <v>172.0</v>
      </c>
      <c r="B173" s="586" t="str">
        <f>Settings!$A$3</f>
        <v>DECOUPES</v>
      </c>
      <c r="C173" s="596" t="s">
        <v>106</v>
      </c>
      <c r="D173" s="13" t="str">
        <f>'Entry Sheet'!AB7</f>
        <v>J. GIBBS</v>
      </c>
      <c r="E173" s="13">
        <f>'Entry Sheet'!AC7</f>
        <v>38.2</v>
      </c>
      <c r="F173" s="846" t="s">
        <v>525</v>
      </c>
      <c r="BB173" s="314"/>
    </row>
    <row r="174" ht="15.75" customHeight="1">
      <c r="A174" s="585">
        <v>173.0</v>
      </c>
      <c r="B174" s="586" t="str">
        <f>Settings!$A$3</f>
        <v>DECOUPES</v>
      </c>
      <c r="C174" s="596" t="s">
        <v>106</v>
      </c>
      <c r="D174" s="13" t="str">
        <f>'Entry Sheet'!AB8</f>
        <v/>
      </c>
      <c r="E174" s="13" t="str">
        <f>'Entry Sheet'!AC8</f>
        <v/>
      </c>
      <c r="F174" s="846" t="s">
        <v>525</v>
      </c>
      <c r="BB174" s="314"/>
    </row>
    <row r="175" ht="15.75" customHeight="1">
      <c r="A175" s="585">
        <v>174.0</v>
      </c>
      <c r="B175" s="586" t="str">
        <f>Settings!$A$3</f>
        <v>DECOUPES</v>
      </c>
      <c r="C175" s="712" t="s">
        <v>117</v>
      </c>
      <c r="D175" s="13" t="str">
        <f>'Entry Sheet'!AB9</f>
        <v>C. LAMB</v>
      </c>
      <c r="E175" s="13">
        <f>'Entry Sheet'!AC9</f>
        <v>19.1</v>
      </c>
      <c r="F175" s="846" t="s">
        <v>525</v>
      </c>
      <c r="BB175" s="314"/>
    </row>
    <row r="176" ht="15.75" customHeight="1">
      <c r="A176" s="585">
        <v>175.0</v>
      </c>
      <c r="B176" s="586" t="str">
        <f>Settings!$A$3</f>
        <v>DECOUPES</v>
      </c>
      <c r="C176" s="712" t="s">
        <v>117</v>
      </c>
      <c r="D176" s="13" t="str">
        <f>'Entry Sheet'!AB10</f>
        <v>R. RICE</v>
      </c>
      <c r="E176" s="13">
        <f>'Entry Sheet'!AC10</f>
        <v>7.4</v>
      </c>
      <c r="F176" s="846" t="s">
        <v>525</v>
      </c>
      <c r="BB176" s="314"/>
    </row>
    <row r="177" ht="15.75" customHeight="1">
      <c r="A177" s="585">
        <v>176.0</v>
      </c>
      <c r="B177" s="586" t="str">
        <f>Settings!$A$3</f>
        <v>DECOUPES</v>
      </c>
      <c r="C177" s="712" t="s">
        <v>117</v>
      </c>
      <c r="D177" s="13" t="str">
        <f>'Entry Sheet'!AB11</f>
        <v>J. MEYERS</v>
      </c>
      <c r="E177" s="13">
        <f>'Entry Sheet'!AC11</f>
        <v>15.1</v>
      </c>
      <c r="F177" s="846" t="s">
        <v>525</v>
      </c>
      <c r="BB177" s="314"/>
    </row>
    <row r="178" ht="15.75" customHeight="1">
      <c r="A178" s="585">
        <v>177.0</v>
      </c>
      <c r="B178" s="586" t="str">
        <f>Settings!$A$3</f>
        <v>DECOUPES</v>
      </c>
      <c r="C178" s="712" t="s">
        <v>117</v>
      </c>
      <c r="D178" s="13" t="str">
        <f>'Entry Sheet'!AB12</f>
        <v/>
      </c>
      <c r="E178" s="13" t="str">
        <f>'Entry Sheet'!AC12</f>
        <v/>
      </c>
      <c r="F178" s="846" t="s">
        <v>525</v>
      </c>
      <c r="BB178" s="314"/>
    </row>
    <row r="179" ht="15.75" customHeight="1">
      <c r="A179" s="585">
        <v>178.0</v>
      </c>
      <c r="B179" s="586" t="str">
        <f>Settings!$A$3</f>
        <v>DECOUPES</v>
      </c>
      <c r="C179" s="764" t="s">
        <v>132</v>
      </c>
      <c r="D179" s="13" t="str">
        <f>'Entry Sheet'!AB13</f>
        <v>T. KELCE</v>
      </c>
      <c r="E179" s="13">
        <f>'Entry Sheet'!AC13</f>
        <v>1.8</v>
      </c>
      <c r="F179" s="846" t="s">
        <v>525</v>
      </c>
      <c r="BB179" s="314"/>
    </row>
    <row r="180" ht="15.75" customHeight="1">
      <c r="A180" s="585">
        <v>179.0</v>
      </c>
      <c r="B180" s="586" t="str">
        <f>Settings!$A$3</f>
        <v>DECOUPES</v>
      </c>
      <c r="C180" s="795" t="s">
        <v>136</v>
      </c>
      <c r="D180" s="13" t="str">
        <f>'Entry Sheet'!AB14</f>
        <v>J. WARREN</v>
      </c>
      <c r="E180" s="13">
        <f>'Entry Sheet'!AC14</f>
        <v>16.95</v>
      </c>
      <c r="F180" s="846" t="s">
        <v>525</v>
      </c>
      <c r="BB180" s="314"/>
    </row>
    <row r="181" ht="15.75" customHeight="1">
      <c r="A181" s="585">
        <v>180.0</v>
      </c>
      <c r="B181" s="586" t="str">
        <f>Settings!$A$3</f>
        <v>DECOUPES</v>
      </c>
      <c r="C181" s="818" t="s">
        <v>139</v>
      </c>
      <c r="D181" s="13" t="str">
        <f>'Entry Sheet'!AB15</f>
        <v>LAR D/ST</v>
      </c>
      <c r="E181" s="13">
        <f>'Entry Sheet'!AC15</f>
        <v>17.88</v>
      </c>
      <c r="F181" s="846" t="s">
        <v>525</v>
      </c>
      <c r="BB181" s="314"/>
    </row>
    <row r="182" ht="15.75" customHeight="1">
      <c r="A182" s="585">
        <v>181.0</v>
      </c>
      <c r="B182" s="586" t="str">
        <f>Settings!$A$3</f>
        <v>DECOUPES</v>
      </c>
      <c r="C182" s="833" t="s">
        <v>146</v>
      </c>
      <c r="D182" s="13" t="str">
        <f>'Entry Sheet'!AB16</f>
        <v>Z. GONZALEZ</v>
      </c>
      <c r="E182" s="13">
        <f>'Entry Sheet'!AC16</f>
        <v>9</v>
      </c>
      <c r="F182" s="846" t="s">
        <v>525</v>
      </c>
      <c r="BB182" s="314"/>
    </row>
    <row r="183" ht="15.75" customHeight="1">
      <c r="A183" s="585">
        <v>182.0</v>
      </c>
      <c r="B183" s="586" t="str">
        <f>Settings!$A$3</f>
        <v>DECOUPES</v>
      </c>
      <c r="C183" s="842" t="s">
        <v>162</v>
      </c>
      <c r="D183" s="13" t="str">
        <f>'Entry Sheet'!AB17</f>
        <v>SEA HC</v>
      </c>
      <c r="E183" s="13">
        <f>'Entry Sheet'!AC17</f>
        <v>23.1</v>
      </c>
      <c r="F183" s="846" t="s">
        <v>525</v>
      </c>
      <c r="BB183" s="314"/>
    </row>
    <row r="184" ht="15.75" customHeight="1">
      <c r="A184" s="585">
        <v>183.0</v>
      </c>
      <c r="B184" s="857" t="str">
        <f>Settings!$A$4</f>
        <v>POPEYES</v>
      </c>
      <c r="C184" s="587" t="s">
        <v>100</v>
      </c>
      <c r="D184" s="13" t="str">
        <f>'Entry Sheet'!B26</f>
        <v>B. MAYFIELD</v>
      </c>
      <c r="E184" s="13">
        <f>'Entry Sheet'!C26</f>
        <v>29.48</v>
      </c>
      <c r="F184" s="589" t="s">
        <v>512</v>
      </c>
      <c r="BB184" s="314"/>
    </row>
    <row r="185" ht="15.75" customHeight="1">
      <c r="A185" s="585">
        <v>184.0</v>
      </c>
      <c r="B185" s="857" t="str">
        <f>Settings!$A$4</f>
        <v>POPEYES</v>
      </c>
      <c r="C185" s="596" t="s">
        <v>106</v>
      </c>
      <c r="D185" s="13" t="str">
        <f>'Entry Sheet'!B27</f>
        <v>D. ACHANE</v>
      </c>
      <c r="E185" s="13">
        <f>'Entry Sheet'!C27</f>
        <v>17.2</v>
      </c>
      <c r="F185" s="589" t="s">
        <v>512</v>
      </c>
      <c r="BB185" s="314"/>
    </row>
    <row r="186" ht="15.75" customHeight="1">
      <c r="A186" s="585">
        <v>185.0</v>
      </c>
      <c r="B186" s="857" t="str">
        <f>Settings!$A$4</f>
        <v>POPEYES</v>
      </c>
      <c r="C186" s="596" t="s">
        <v>106</v>
      </c>
      <c r="D186" s="13" t="str">
        <f>'Entry Sheet'!B28</f>
        <v>T. HENDERSON</v>
      </c>
      <c r="E186" s="13">
        <f>'Entry Sheet'!C28</f>
        <v>13.75</v>
      </c>
      <c r="F186" s="589" t="s">
        <v>512</v>
      </c>
      <c r="BB186" s="314"/>
    </row>
    <row r="187" ht="15.75" customHeight="1">
      <c r="A187" s="585">
        <v>186.0</v>
      </c>
      <c r="B187" s="857" t="str">
        <f>Settings!$A$4</f>
        <v>POPEYES</v>
      </c>
      <c r="C187" s="596" t="s">
        <v>106</v>
      </c>
      <c r="D187" s="13" t="str">
        <f>'Entry Sheet'!B29</f>
        <v/>
      </c>
      <c r="E187" s="13" t="str">
        <f>'Entry Sheet'!C29</f>
        <v/>
      </c>
      <c r="F187" s="589" t="s">
        <v>512</v>
      </c>
      <c r="BB187" s="314"/>
    </row>
    <row r="188" ht="15.75" customHeight="1">
      <c r="A188" s="585">
        <v>187.0</v>
      </c>
      <c r="B188" s="857" t="str">
        <f>Settings!$A$4</f>
        <v>POPEYES</v>
      </c>
      <c r="C188" s="712" t="s">
        <v>117</v>
      </c>
      <c r="D188" s="13" t="str">
        <f>'Entry Sheet'!B30</f>
        <v>J. JEFFERSON</v>
      </c>
      <c r="E188" s="13">
        <f>'Entry Sheet'!C30</f>
        <v>14.9</v>
      </c>
      <c r="F188" s="589" t="s">
        <v>512</v>
      </c>
      <c r="BB188" s="314"/>
    </row>
    <row r="189" ht="15.75" customHeight="1">
      <c r="A189" s="585">
        <v>188.0</v>
      </c>
      <c r="B189" s="857" t="str">
        <f>Settings!$A$4</f>
        <v>POPEYES</v>
      </c>
      <c r="C189" s="712" t="s">
        <v>117</v>
      </c>
      <c r="D189" s="13" t="str">
        <f>'Entry Sheet'!B31</f>
        <v>P. NACUA</v>
      </c>
      <c r="E189" s="13">
        <f>'Entry Sheet'!C31</f>
        <v>24.2</v>
      </c>
      <c r="F189" s="589" t="s">
        <v>512</v>
      </c>
      <c r="BB189" s="314"/>
    </row>
    <row r="190" ht="15.75" customHeight="1">
      <c r="A190" s="585">
        <v>189.0</v>
      </c>
      <c r="B190" s="857" t="str">
        <f>Settings!$A$4</f>
        <v>POPEYES</v>
      </c>
      <c r="C190" s="712" t="s">
        <v>117</v>
      </c>
      <c r="D190" s="13" t="str">
        <f>'Entry Sheet'!B32</f>
        <v>B. THOMAS JR</v>
      </c>
      <c r="E190" s="13">
        <f>'Entry Sheet'!C32</f>
        <v>9.1</v>
      </c>
      <c r="F190" s="589" t="s">
        <v>512</v>
      </c>
      <c r="BB190" s="314"/>
    </row>
    <row r="191" ht="15.75" customHeight="1">
      <c r="A191" s="585">
        <v>190.0</v>
      </c>
      <c r="B191" s="857" t="str">
        <f>Settings!$A$4</f>
        <v>POPEYES</v>
      </c>
      <c r="C191" s="712" t="s">
        <v>117</v>
      </c>
      <c r="D191" s="13" t="str">
        <f>'Entry Sheet'!B33</f>
        <v/>
      </c>
      <c r="E191" s="13" t="str">
        <f>'Entry Sheet'!C33</f>
        <v/>
      </c>
      <c r="F191" s="589" t="s">
        <v>512</v>
      </c>
      <c r="BB191" s="314"/>
    </row>
    <row r="192" ht="15.75" customHeight="1">
      <c r="A192" s="585">
        <v>191.0</v>
      </c>
      <c r="B192" s="857" t="str">
        <f>Settings!$A$4</f>
        <v>POPEYES</v>
      </c>
      <c r="C192" s="764" t="s">
        <v>132</v>
      </c>
      <c r="D192" s="13" t="str">
        <f>'Entry Sheet'!B34</f>
        <v>T. HOCKENSON</v>
      </c>
      <c r="E192" s="13">
        <f>'Entry Sheet'!C34</f>
        <v>4.5</v>
      </c>
      <c r="F192" s="589" t="s">
        <v>512</v>
      </c>
      <c r="BB192" s="314"/>
    </row>
    <row r="193" ht="15.75" customHeight="1">
      <c r="A193" s="585">
        <v>192.0</v>
      </c>
      <c r="B193" s="857" t="str">
        <f>Settings!$A$4</f>
        <v>POPEYES</v>
      </c>
      <c r="C193" s="795" t="s">
        <v>136</v>
      </c>
      <c r="D193" s="13" t="str">
        <f>'Entry Sheet'!B35</f>
        <v>K. WALKER III</v>
      </c>
      <c r="E193" s="13">
        <f>'Entry Sheet'!C35</f>
        <v>6.4</v>
      </c>
      <c r="F193" s="589" t="s">
        <v>512</v>
      </c>
      <c r="BB193" s="314"/>
    </row>
    <row r="194" ht="15.75" customHeight="1">
      <c r="A194" s="585">
        <v>193.0</v>
      </c>
      <c r="B194" s="857" t="str">
        <f>Settings!$A$4</f>
        <v>POPEYES</v>
      </c>
      <c r="C194" s="818" t="s">
        <v>139</v>
      </c>
      <c r="D194" s="13" t="str">
        <f>'Entry Sheet'!B36</f>
        <v>NE D/ST</v>
      </c>
      <c r="E194" s="13">
        <f>'Entry Sheet'!C36</f>
        <v>15.83</v>
      </c>
      <c r="F194" s="589" t="s">
        <v>512</v>
      </c>
      <c r="BB194" s="314"/>
    </row>
    <row r="195" ht="15.75" customHeight="1">
      <c r="A195" s="585">
        <v>194.0</v>
      </c>
      <c r="B195" s="857" t="str">
        <f>Settings!$A$4</f>
        <v>POPEYES</v>
      </c>
      <c r="C195" s="833" t="s">
        <v>146</v>
      </c>
      <c r="D195" s="13" t="str">
        <f>'Entry Sheet'!B37</f>
        <v>T. LOOP</v>
      </c>
      <c r="E195" s="13">
        <f>'Entry Sheet'!C37</f>
        <v>14</v>
      </c>
      <c r="F195" s="589" t="s">
        <v>512</v>
      </c>
      <c r="BB195" s="314"/>
    </row>
    <row r="196" ht="15.75" customHeight="1">
      <c r="A196" s="585">
        <v>195.0</v>
      </c>
      <c r="B196" s="857" t="str">
        <f>Settings!$A$4</f>
        <v>POPEYES</v>
      </c>
      <c r="C196" s="842" t="s">
        <v>162</v>
      </c>
      <c r="D196" s="13" t="str">
        <f>'Entry Sheet'!B38</f>
        <v>LAR HC</v>
      </c>
      <c r="E196" s="13">
        <f>'Entry Sheet'!C38</f>
        <v>7.2</v>
      </c>
      <c r="F196" s="589" t="s">
        <v>512</v>
      </c>
      <c r="BB196" s="314"/>
    </row>
    <row r="197" ht="15.75" customHeight="1">
      <c r="A197" s="585">
        <v>196.0</v>
      </c>
      <c r="B197" s="857" t="str">
        <f>Settings!$A$4</f>
        <v>POPEYES</v>
      </c>
      <c r="C197" s="587" t="s">
        <v>100</v>
      </c>
      <c r="D197" s="13" t="str">
        <f>'Entry Sheet'!D26</f>
        <v>B. MAYFIELD</v>
      </c>
      <c r="E197" s="13">
        <f>'Entry Sheet'!E26</f>
        <v>26.6</v>
      </c>
      <c r="F197" s="846" t="s">
        <v>513</v>
      </c>
      <c r="BB197" s="314"/>
    </row>
    <row r="198" ht="15.75" customHeight="1">
      <c r="A198" s="585">
        <v>197.0</v>
      </c>
      <c r="B198" s="857" t="str">
        <f>Settings!$A$4</f>
        <v>POPEYES</v>
      </c>
      <c r="C198" s="596" t="s">
        <v>106</v>
      </c>
      <c r="D198" s="13" t="str">
        <f>'Entry Sheet'!D27</f>
        <v>D. ACHANE</v>
      </c>
      <c r="E198" s="13">
        <f>'Entry Sheet'!E27</f>
        <v>27.3</v>
      </c>
      <c r="F198" s="846" t="s">
        <v>513</v>
      </c>
      <c r="BB198" s="314"/>
    </row>
    <row r="199" ht="15.75" customHeight="1">
      <c r="A199" s="585">
        <v>198.0</v>
      </c>
      <c r="B199" s="857" t="str">
        <f>Settings!$A$4</f>
        <v>POPEYES</v>
      </c>
      <c r="C199" s="596" t="s">
        <v>106</v>
      </c>
      <c r="D199" s="13" t="str">
        <f>'Entry Sheet'!D28</f>
        <v>T. HENDERSON</v>
      </c>
      <c r="E199" s="13">
        <f>'Entry Sheet'!E28</f>
        <v>6.3</v>
      </c>
      <c r="F199" s="846" t="s">
        <v>513</v>
      </c>
      <c r="BB199" s="314"/>
    </row>
    <row r="200" ht="15.75" customHeight="1">
      <c r="A200" s="585">
        <v>199.0</v>
      </c>
      <c r="B200" s="857" t="str">
        <f>Settings!$A$4</f>
        <v>POPEYES</v>
      </c>
      <c r="C200" s="596" t="s">
        <v>106</v>
      </c>
      <c r="D200" s="13" t="str">
        <f>'Entry Sheet'!D29</f>
        <v/>
      </c>
      <c r="E200" s="13" t="str">
        <f>'Entry Sheet'!E29</f>
        <v/>
      </c>
      <c r="F200" s="846" t="s">
        <v>513</v>
      </c>
      <c r="BB200" s="314"/>
    </row>
    <row r="201" ht="15.75" customHeight="1">
      <c r="A201" s="585">
        <v>200.0</v>
      </c>
      <c r="B201" s="857" t="str">
        <f>Settings!$A$4</f>
        <v>POPEYES</v>
      </c>
      <c r="C201" s="712" t="s">
        <v>117</v>
      </c>
      <c r="D201" s="13" t="str">
        <f>'Entry Sheet'!D30</f>
        <v>J. JEFFERSON</v>
      </c>
      <c r="E201" s="13">
        <f>'Entry Sheet'!E30</f>
        <v>11.1</v>
      </c>
      <c r="F201" s="846" t="s">
        <v>513</v>
      </c>
      <c r="BB201" s="314"/>
    </row>
    <row r="202" ht="15.75" customHeight="1">
      <c r="A202" s="585">
        <v>201.0</v>
      </c>
      <c r="B202" s="857" t="str">
        <f>Settings!$A$4</f>
        <v>POPEYES</v>
      </c>
      <c r="C202" s="712" t="s">
        <v>117</v>
      </c>
      <c r="D202" s="13" t="str">
        <f>'Entry Sheet'!D31</f>
        <v>P. NACUA</v>
      </c>
      <c r="E202" s="13">
        <f>'Entry Sheet'!E31</f>
        <v>27.7</v>
      </c>
      <c r="F202" s="846" t="s">
        <v>513</v>
      </c>
      <c r="BB202" s="314"/>
    </row>
    <row r="203" ht="15.75" customHeight="1">
      <c r="A203" s="585">
        <v>202.0</v>
      </c>
      <c r="B203" s="857" t="str">
        <f>Settings!$A$4</f>
        <v>POPEYES</v>
      </c>
      <c r="C203" s="712" t="s">
        <v>117</v>
      </c>
      <c r="D203" s="13" t="str">
        <f>'Entry Sheet'!D32</f>
        <v>B. THOMAS JR</v>
      </c>
      <c r="E203" s="13">
        <f>'Entry Sheet'!E32</f>
        <v>8.9</v>
      </c>
      <c r="F203" s="846" t="s">
        <v>513</v>
      </c>
      <c r="BB203" s="314"/>
    </row>
    <row r="204" ht="15.75" customHeight="1">
      <c r="A204" s="585">
        <v>203.0</v>
      </c>
      <c r="B204" s="857" t="str">
        <f>Settings!$A$4</f>
        <v>POPEYES</v>
      </c>
      <c r="C204" s="712" t="s">
        <v>117</v>
      </c>
      <c r="D204" s="13" t="str">
        <f>'Entry Sheet'!D33</f>
        <v/>
      </c>
      <c r="E204" s="13" t="str">
        <f>'Entry Sheet'!E33</f>
        <v/>
      </c>
      <c r="F204" s="846" t="s">
        <v>513</v>
      </c>
      <c r="BB204" s="314"/>
    </row>
    <row r="205" ht="15.75" customHeight="1">
      <c r="A205" s="585">
        <v>204.0</v>
      </c>
      <c r="B205" s="857" t="str">
        <f>Settings!$A$4</f>
        <v>POPEYES</v>
      </c>
      <c r="C205" s="764" t="s">
        <v>132</v>
      </c>
      <c r="D205" s="13" t="str">
        <f>'Entry Sheet'!D34</f>
        <v>T. HOCKENSON</v>
      </c>
      <c r="E205" s="13">
        <f>'Entry Sheet'!E34</f>
        <v>2.2</v>
      </c>
      <c r="F205" s="846" t="s">
        <v>513</v>
      </c>
      <c r="BB205" s="314"/>
    </row>
    <row r="206" ht="15.75" customHeight="1">
      <c r="A206" s="585">
        <v>205.0</v>
      </c>
      <c r="B206" s="857" t="str">
        <f>Settings!$A$4</f>
        <v>POPEYES</v>
      </c>
      <c r="C206" s="795" t="s">
        <v>136</v>
      </c>
      <c r="D206" s="13" t="str">
        <f>'Entry Sheet'!D35</f>
        <v>E. EGBUKA</v>
      </c>
      <c r="E206" s="13">
        <f>'Entry Sheet'!E35</f>
        <v>12.9</v>
      </c>
      <c r="F206" s="846" t="s">
        <v>513</v>
      </c>
      <c r="BB206" s="314"/>
    </row>
    <row r="207" ht="15.75" customHeight="1">
      <c r="A207" s="585">
        <v>206.0</v>
      </c>
      <c r="B207" s="857" t="str">
        <f>Settings!$A$4</f>
        <v>POPEYES</v>
      </c>
      <c r="C207" s="818" t="s">
        <v>139</v>
      </c>
      <c r="D207" s="13" t="str">
        <f>'Entry Sheet'!D36</f>
        <v>IND D/ST</v>
      </c>
      <c r="E207" s="13">
        <f>'Entry Sheet'!E36</f>
        <v>7.32</v>
      </c>
      <c r="F207" s="846" t="s">
        <v>513</v>
      </c>
      <c r="BB207" s="314"/>
    </row>
    <row r="208" ht="15.75" customHeight="1">
      <c r="A208" s="585">
        <v>207.0</v>
      </c>
      <c r="B208" s="857" t="str">
        <f>Settings!$A$4</f>
        <v>POPEYES</v>
      </c>
      <c r="C208" s="833" t="s">
        <v>146</v>
      </c>
      <c r="D208" s="13" t="str">
        <f>'Entry Sheet'!D37</f>
        <v>T. LOOP</v>
      </c>
      <c r="E208" s="13">
        <f>'Entry Sheet'!E37</f>
        <v>12</v>
      </c>
      <c r="F208" s="846" t="s">
        <v>513</v>
      </c>
      <c r="BB208" s="314"/>
    </row>
    <row r="209" ht="15.75" customHeight="1">
      <c r="A209" s="585">
        <v>208.0</v>
      </c>
      <c r="B209" s="857" t="str">
        <f>Settings!$A$4</f>
        <v>POPEYES</v>
      </c>
      <c r="C209" s="842" t="s">
        <v>162</v>
      </c>
      <c r="D209" s="13" t="str">
        <f>'Entry Sheet'!D38</f>
        <v>LAR HC</v>
      </c>
      <c r="E209" s="13">
        <f>'Entry Sheet'!E38</f>
        <v>13.9</v>
      </c>
      <c r="F209" s="846" t="s">
        <v>513</v>
      </c>
      <c r="BB209" s="314"/>
    </row>
    <row r="210" ht="15.75" customHeight="1">
      <c r="A210" s="585">
        <v>209.0</v>
      </c>
      <c r="B210" s="857" t="str">
        <f>Settings!$A$4</f>
        <v>POPEYES</v>
      </c>
      <c r="C210" s="587" t="s">
        <v>100</v>
      </c>
      <c r="D210" s="13" t="str">
        <f>'Entry Sheet'!F26</f>
        <v>B. MAYFIELD</v>
      </c>
      <c r="E210" s="13">
        <f>'Entry Sheet'!G26</f>
        <v>21.92</v>
      </c>
      <c r="F210" s="589" t="s">
        <v>514</v>
      </c>
      <c r="BB210" s="314"/>
    </row>
    <row r="211" ht="15.75" customHeight="1">
      <c r="A211" s="585">
        <v>210.0</v>
      </c>
      <c r="B211" s="857" t="str">
        <f>Settings!$A$4</f>
        <v>POPEYES</v>
      </c>
      <c r="C211" s="596" t="s">
        <v>106</v>
      </c>
      <c r="D211" s="13" t="str">
        <f>'Entry Sheet'!F27</f>
        <v>D. ACHANE</v>
      </c>
      <c r="E211" s="13">
        <f>'Entry Sheet'!G27</f>
        <v>17.3</v>
      </c>
      <c r="F211" s="589" t="s">
        <v>514</v>
      </c>
      <c r="BB211" s="314"/>
    </row>
    <row r="212" ht="15.75" customHeight="1">
      <c r="A212" s="585">
        <v>211.0</v>
      </c>
      <c r="B212" s="857" t="str">
        <f>Settings!$A$4</f>
        <v>POPEYES</v>
      </c>
      <c r="C212" s="596" t="s">
        <v>106</v>
      </c>
      <c r="D212" s="13" t="str">
        <f>'Entry Sheet'!F28</f>
        <v>K. WALKER III</v>
      </c>
      <c r="E212" s="13">
        <f>'Entry Sheet'!G28</f>
        <v>19.6</v>
      </c>
      <c r="F212" s="589" t="s">
        <v>514</v>
      </c>
      <c r="BB212" s="314"/>
    </row>
    <row r="213" ht="15.75" customHeight="1">
      <c r="A213" s="585">
        <v>212.0</v>
      </c>
      <c r="B213" s="857" t="str">
        <f>Settings!$A$4</f>
        <v>POPEYES</v>
      </c>
      <c r="C213" s="596" t="s">
        <v>106</v>
      </c>
      <c r="D213" s="13" t="str">
        <f>'Entry Sheet'!F29</f>
        <v/>
      </c>
      <c r="E213" s="13" t="str">
        <f>'Entry Sheet'!G29</f>
        <v/>
      </c>
      <c r="F213" s="589" t="s">
        <v>514</v>
      </c>
      <c r="BB213" s="314"/>
    </row>
    <row r="214" ht="15.75" customHeight="1">
      <c r="A214" s="585">
        <v>213.0</v>
      </c>
      <c r="B214" s="857" t="str">
        <f>Settings!$A$4</f>
        <v>POPEYES</v>
      </c>
      <c r="C214" s="712" t="s">
        <v>117</v>
      </c>
      <c r="D214" s="13" t="str">
        <f>'Entry Sheet'!F30</f>
        <v>J. JEFFERSON</v>
      </c>
      <c r="E214" s="13">
        <f>'Entry Sheet'!G30</f>
        <v>12.5</v>
      </c>
      <c r="F214" s="589" t="s">
        <v>514</v>
      </c>
      <c r="BB214" s="314"/>
    </row>
    <row r="215" ht="15.75" customHeight="1">
      <c r="A215" s="585">
        <v>214.0</v>
      </c>
      <c r="B215" s="857" t="str">
        <f>Settings!$A$4</f>
        <v>POPEYES</v>
      </c>
      <c r="C215" s="712" t="s">
        <v>117</v>
      </c>
      <c r="D215" s="13" t="str">
        <f>'Entry Sheet'!F31</f>
        <v>P. NACUA</v>
      </c>
      <c r="E215" s="13">
        <f>'Entry Sheet'!G31</f>
        <v>23.9</v>
      </c>
      <c r="F215" s="589" t="s">
        <v>514</v>
      </c>
      <c r="BB215" s="314"/>
    </row>
    <row r="216" ht="15.75" customHeight="1">
      <c r="A216" s="585">
        <v>215.0</v>
      </c>
      <c r="B216" s="857" t="str">
        <f>Settings!$A$4</f>
        <v>POPEYES</v>
      </c>
      <c r="C216" s="712" t="s">
        <v>117</v>
      </c>
      <c r="D216" s="13" t="str">
        <f>'Entry Sheet'!F32</f>
        <v>B. THOMAS JR</v>
      </c>
      <c r="E216" s="13">
        <f>'Entry Sheet'!G32</f>
        <v>7.5</v>
      </c>
      <c r="F216" s="589" t="s">
        <v>514</v>
      </c>
      <c r="BB216" s="314"/>
    </row>
    <row r="217" ht="15.75" customHeight="1">
      <c r="A217" s="585">
        <v>216.0</v>
      </c>
      <c r="B217" s="857" t="str">
        <f>Settings!$A$4</f>
        <v>POPEYES</v>
      </c>
      <c r="C217" s="712" t="s">
        <v>117</v>
      </c>
      <c r="D217" s="13" t="str">
        <f>'Entry Sheet'!F33</f>
        <v/>
      </c>
      <c r="E217" s="13" t="str">
        <f>'Entry Sheet'!G33</f>
        <v/>
      </c>
      <c r="F217" s="589" t="s">
        <v>514</v>
      </c>
      <c r="BB217" s="314"/>
    </row>
    <row r="218" ht="15.75" customHeight="1">
      <c r="A218" s="585">
        <v>217.0</v>
      </c>
      <c r="B218" s="857" t="str">
        <f>Settings!$A$4</f>
        <v>POPEYES</v>
      </c>
      <c r="C218" s="764" t="s">
        <v>132</v>
      </c>
      <c r="D218" s="13" t="str">
        <f>'Entry Sheet'!F34</f>
        <v>K. PITTS SR</v>
      </c>
      <c r="E218" s="13">
        <f>'Entry Sheet'!G34</f>
        <v>7.9</v>
      </c>
      <c r="F218" s="589" t="s">
        <v>514</v>
      </c>
      <c r="BB218" s="314"/>
    </row>
    <row r="219" ht="15.75" customHeight="1">
      <c r="A219" s="585">
        <v>218.0</v>
      </c>
      <c r="B219" s="857" t="str">
        <f>Settings!$A$4</f>
        <v>POPEYES</v>
      </c>
      <c r="C219" s="795" t="s">
        <v>136</v>
      </c>
      <c r="D219" s="13" t="str">
        <f>'Entry Sheet'!F35</f>
        <v>J. MASON</v>
      </c>
      <c r="E219" s="13">
        <f>'Entry Sheet'!G35</f>
        <v>26.2</v>
      </c>
      <c r="F219" s="589" t="s">
        <v>514</v>
      </c>
      <c r="BB219" s="314"/>
    </row>
    <row r="220" ht="15.75" customHeight="1">
      <c r="A220" s="585">
        <v>219.0</v>
      </c>
      <c r="B220" s="857" t="str">
        <f>Settings!$A$4</f>
        <v>POPEYES</v>
      </c>
      <c r="C220" s="818" t="s">
        <v>139</v>
      </c>
      <c r="D220" s="13" t="str">
        <f>'Entry Sheet'!F36</f>
        <v>IND D/ST</v>
      </c>
      <c r="E220" s="13">
        <f>'Entry Sheet'!G36</f>
        <v>27.2</v>
      </c>
      <c r="F220" s="589" t="s">
        <v>514</v>
      </c>
      <c r="BB220" s="314"/>
    </row>
    <row r="221" ht="15.75" customHeight="1">
      <c r="A221" s="585">
        <v>220.0</v>
      </c>
      <c r="B221" s="857" t="str">
        <f>Settings!$A$4</f>
        <v>POPEYES</v>
      </c>
      <c r="C221" s="833" t="s">
        <v>146</v>
      </c>
      <c r="D221" s="13" t="str">
        <f>'Entry Sheet'!F37</f>
        <v>T. LOOP</v>
      </c>
      <c r="E221" s="13">
        <f>'Entry Sheet'!G37</f>
        <v>7</v>
      </c>
      <c r="F221" s="589" t="s">
        <v>514</v>
      </c>
      <c r="BB221" s="314"/>
    </row>
    <row r="222" ht="15.75" customHeight="1">
      <c r="A222" s="585">
        <v>221.0</v>
      </c>
      <c r="B222" s="857" t="str">
        <f>Settings!$A$4</f>
        <v>POPEYES</v>
      </c>
      <c r="C222" s="842" t="s">
        <v>162</v>
      </c>
      <c r="D222" s="13" t="str">
        <f>'Entry Sheet'!F38</f>
        <v>SEA HC</v>
      </c>
      <c r="E222" s="13">
        <f>'Entry Sheet'!G38</f>
        <v>25.2</v>
      </c>
      <c r="F222" s="589" t="s">
        <v>514</v>
      </c>
      <c r="BB222" s="314"/>
    </row>
    <row r="223" ht="15.75" customHeight="1">
      <c r="A223" s="585">
        <v>222.0</v>
      </c>
      <c r="B223" s="857" t="str">
        <f>Settings!$A$4</f>
        <v>POPEYES</v>
      </c>
      <c r="C223" s="587" t="s">
        <v>100</v>
      </c>
      <c r="D223" s="13" t="str">
        <f>'Entry Sheet'!H26</f>
        <v>M. STAFFORD</v>
      </c>
      <c r="E223" s="13">
        <f>'Entry Sheet'!I26</f>
        <v>38.2</v>
      </c>
      <c r="F223" s="846" t="s">
        <v>515</v>
      </c>
      <c r="BB223" s="314"/>
    </row>
    <row r="224" ht="15.75" customHeight="1">
      <c r="A224" s="585">
        <v>223.0</v>
      </c>
      <c r="B224" s="857" t="str">
        <f>Settings!$A$4</f>
        <v>POPEYES</v>
      </c>
      <c r="C224" s="596" t="s">
        <v>106</v>
      </c>
      <c r="D224" s="13" t="str">
        <f>'Entry Sheet'!H27</f>
        <v>D. ACHANE</v>
      </c>
      <c r="E224" s="13">
        <f>'Entry Sheet'!I27</f>
        <v>19.1</v>
      </c>
      <c r="F224" s="846" t="s">
        <v>515</v>
      </c>
      <c r="BB224" s="314"/>
    </row>
    <row r="225" ht="15.75" customHeight="1">
      <c r="A225" s="585">
        <v>224.0</v>
      </c>
      <c r="B225" s="857" t="str">
        <f>Settings!$A$4</f>
        <v>POPEYES</v>
      </c>
      <c r="C225" s="596" t="s">
        <v>106</v>
      </c>
      <c r="D225" s="13" t="str">
        <f>'Entry Sheet'!H28</f>
        <v>J. MASON</v>
      </c>
      <c r="E225" s="13">
        <f>'Entry Sheet'!I28</f>
        <v>11.8</v>
      </c>
      <c r="F225" s="846" t="s">
        <v>515</v>
      </c>
      <c r="BB225" s="314"/>
    </row>
    <row r="226" ht="15.75" customHeight="1">
      <c r="A226" s="585">
        <v>225.0</v>
      </c>
      <c r="B226" s="857" t="str">
        <f>Settings!$A$4</f>
        <v>POPEYES</v>
      </c>
      <c r="C226" s="596" t="s">
        <v>106</v>
      </c>
      <c r="D226" s="13" t="str">
        <f>'Entry Sheet'!H29</f>
        <v/>
      </c>
      <c r="E226" s="13" t="str">
        <f>'Entry Sheet'!I29</f>
        <v/>
      </c>
      <c r="F226" s="846" t="s">
        <v>515</v>
      </c>
      <c r="BB226" s="314"/>
    </row>
    <row r="227" ht="15.75" customHeight="1">
      <c r="A227" s="585">
        <v>226.0</v>
      </c>
      <c r="B227" s="857" t="str">
        <f>Settings!$A$4</f>
        <v>POPEYES</v>
      </c>
      <c r="C227" s="712" t="s">
        <v>117</v>
      </c>
      <c r="D227" s="13" t="str">
        <f>'Entry Sheet'!H30</f>
        <v>J. JEFFERSON</v>
      </c>
      <c r="E227" s="13">
        <f>'Entry Sheet'!I30</f>
        <v>23.6</v>
      </c>
      <c r="F227" s="846" t="s">
        <v>515</v>
      </c>
      <c r="BB227" s="314"/>
    </row>
    <row r="228" ht="15.75" customHeight="1">
      <c r="A228" s="585">
        <v>227.0</v>
      </c>
      <c r="B228" s="857" t="str">
        <f>Settings!$A$4</f>
        <v>POPEYES</v>
      </c>
      <c r="C228" s="712" t="s">
        <v>117</v>
      </c>
      <c r="D228" s="13" t="str">
        <f>'Entry Sheet'!H31</f>
        <v>P. NACUA</v>
      </c>
      <c r="E228" s="13">
        <f>'Entry Sheet'!I31</f>
        <v>37</v>
      </c>
      <c r="F228" s="846" t="s">
        <v>515</v>
      </c>
      <c r="BB228" s="314"/>
    </row>
    <row r="229" ht="15.75" customHeight="1">
      <c r="A229" s="585">
        <v>228.0</v>
      </c>
      <c r="B229" s="857" t="str">
        <f>Settings!$A$4</f>
        <v>POPEYES</v>
      </c>
      <c r="C229" s="712" t="s">
        <v>117</v>
      </c>
      <c r="D229" s="13" t="str">
        <f>'Entry Sheet'!H32</f>
        <v>E. EGBUKA</v>
      </c>
      <c r="E229" s="13">
        <f>'Entry Sheet'!I32</f>
        <v>21.2</v>
      </c>
      <c r="F229" s="846" t="s">
        <v>515</v>
      </c>
      <c r="BB229" s="314"/>
    </row>
    <row r="230" ht="15.75" customHeight="1">
      <c r="A230" s="585">
        <v>229.0</v>
      </c>
      <c r="B230" s="857" t="str">
        <f>Settings!$A$4</f>
        <v>POPEYES</v>
      </c>
      <c r="C230" s="712" t="s">
        <v>117</v>
      </c>
      <c r="D230" s="13" t="str">
        <f>'Entry Sheet'!H33</f>
        <v/>
      </c>
      <c r="E230" s="13" t="str">
        <f>'Entry Sheet'!I33</f>
        <v/>
      </c>
      <c r="F230" s="846" t="s">
        <v>515</v>
      </c>
      <c r="BB230" s="314"/>
    </row>
    <row r="231" ht="15.75" customHeight="1">
      <c r="A231" s="585">
        <v>230.0</v>
      </c>
      <c r="B231" s="857" t="str">
        <f>Settings!$A$4</f>
        <v>POPEYES</v>
      </c>
      <c r="C231" s="764" t="s">
        <v>132</v>
      </c>
      <c r="D231" s="13" t="str">
        <f>'Entry Sheet'!H34</f>
        <v>T. HOCKENSON</v>
      </c>
      <c r="E231" s="13">
        <f>'Entry Sheet'!I34</f>
        <v>7.9</v>
      </c>
      <c r="F231" s="846" t="s">
        <v>515</v>
      </c>
      <c r="BB231" s="314"/>
    </row>
    <row r="232" ht="15.75" customHeight="1">
      <c r="A232" s="585">
        <v>231.0</v>
      </c>
      <c r="B232" s="857" t="str">
        <f>Settings!$A$4</f>
        <v>POPEYES</v>
      </c>
      <c r="C232" s="795" t="s">
        <v>136</v>
      </c>
      <c r="D232" s="13" t="str">
        <f>'Entry Sheet'!H35</f>
        <v>K. WALKER III</v>
      </c>
      <c r="E232" s="13">
        <f>'Entry Sheet'!I35</f>
        <v>13.9</v>
      </c>
      <c r="F232" s="846" t="s">
        <v>515</v>
      </c>
      <c r="BB232" s="314"/>
    </row>
    <row r="233" ht="15.75" customHeight="1">
      <c r="A233" s="585">
        <v>232.0</v>
      </c>
      <c r="B233" s="857" t="str">
        <f>Settings!$A$4</f>
        <v>POPEYES</v>
      </c>
      <c r="C233" s="818" t="s">
        <v>139</v>
      </c>
      <c r="D233" s="13" t="str">
        <f>'Entry Sheet'!H36</f>
        <v>NE D/ST</v>
      </c>
      <c r="E233" s="13">
        <f>'Entry Sheet'!I36</f>
        <v>28.76</v>
      </c>
      <c r="F233" s="846" t="s">
        <v>515</v>
      </c>
      <c r="BB233" s="314"/>
    </row>
    <row r="234" ht="15.75" customHeight="1">
      <c r="A234" s="585">
        <v>233.0</v>
      </c>
      <c r="B234" s="857" t="str">
        <f>Settings!$A$4</f>
        <v>POPEYES</v>
      </c>
      <c r="C234" s="833" t="s">
        <v>146</v>
      </c>
      <c r="D234" s="13" t="str">
        <f>'Entry Sheet'!H37</f>
        <v>T. LOOP</v>
      </c>
      <c r="E234" s="13">
        <f>'Entry Sheet'!I37</f>
        <v>9</v>
      </c>
      <c r="F234" s="846" t="s">
        <v>515</v>
      </c>
      <c r="BB234" s="314"/>
    </row>
    <row r="235" ht="15.75" customHeight="1">
      <c r="A235" s="585">
        <v>234.0</v>
      </c>
      <c r="B235" s="857" t="str">
        <f>Settings!$A$4</f>
        <v>POPEYES</v>
      </c>
      <c r="C235" s="842" t="s">
        <v>162</v>
      </c>
      <c r="D235" s="13" t="str">
        <f>'Entry Sheet'!H38</f>
        <v>SEA HC</v>
      </c>
      <c r="E235" s="13">
        <f>'Entry Sheet'!I38</f>
        <v>8.9</v>
      </c>
      <c r="F235" s="846" t="s">
        <v>515</v>
      </c>
      <c r="BB235" s="314"/>
    </row>
    <row r="236" ht="15.75" customHeight="1">
      <c r="A236" s="585">
        <v>235.0</v>
      </c>
      <c r="B236" s="857" t="str">
        <f>Settings!$A$4</f>
        <v>POPEYES</v>
      </c>
      <c r="C236" s="587" t="s">
        <v>100</v>
      </c>
      <c r="D236" s="13" t="str">
        <f>'Entry Sheet'!J26</f>
        <v>M. STAFFORD</v>
      </c>
      <c r="E236" s="13">
        <f>'Entry Sheet'!K26</f>
        <v>35.26</v>
      </c>
      <c r="F236" s="589" t="s">
        <v>516</v>
      </c>
      <c r="BB236" s="314"/>
    </row>
    <row r="237" ht="15.75" customHeight="1">
      <c r="A237" s="585">
        <v>236.0</v>
      </c>
      <c r="B237" s="857" t="str">
        <f>Settings!$A$4</f>
        <v>POPEYES</v>
      </c>
      <c r="C237" s="596" t="s">
        <v>106</v>
      </c>
      <c r="D237" s="13" t="str">
        <f>'Entry Sheet'!J27</f>
        <v>D. ACHANE</v>
      </c>
      <c r="E237" s="13">
        <f>'Entry Sheet'!K27</f>
        <v>17.6</v>
      </c>
      <c r="F237" s="589" t="s">
        <v>516</v>
      </c>
      <c r="BB237" s="314"/>
    </row>
    <row r="238" ht="15.75" customHeight="1">
      <c r="A238" s="585">
        <v>237.0</v>
      </c>
      <c r="B238" s="857" t="str">
        <f>Settings!$A$4</f>
        <v>POPEYES</v>
      </c>
      <c r="C238" s="596" t="s">
        <v>106</v>
      </c>
      <c r="D238" s="13" t="str">
        <f>'Entry Sheet'!J28</f>
        <v>J. MASON</v>
      </c>
      <c r="E238" s="13">
        <f>'Entry Sheet'!K28</f>
        <v>13.9</v>
      </c>
      <c r="F238" s="589" t="s">
        <v>516</v>
      </c>
      <c r="BB238" s="314"/>
    </row>
    <row r="239" ht="15.75" customHeight="1">
      <c r="A239" s="585">
        <v>238.0</v>
      </c>
      <c r="B239" s="857" t="str">
        <f>Settings!$A$4</f>
        <v>POPEYES</v>
      </c>
      <c r="C239" s="596" t="s">
        <v>106</v>
      </c>
      <c r="D239" s="13" t="str">
        <f>'Entry Sheet'!J29</f>
        <v/>
      </c>
      <c r="E239" s="13" t="str">
        <f>'Entry Sheet'!K29</f>
        <v/>
      </c>
      <c r="F239" s="589" t="s">
        <v>516</v>
      </c>
      <c r="BB239" s="314"/>
    </row>
    <row r="240" ht="15.75" customHeight="1">
      <c r="A240" s="585">
        <v>239.0</v>
      </c>
      <c r="B240" s="857" t="str">
        <f>Settings!$A$4</f>
        <v>POPEYES</v>
      </c>
      <c r="C240" s="712" t="s">
        <v>117</v>
      </c>
      <c r="D240" s="13" t="str">
        <f>'Entry Sheet'!J30</f>
        <v>J. JEFFERSON</v>
      </c>
      <c r="E240" s="13">
        <f>'Entry Sheet'!K30</f>
        <v>20.3</v>
      </c>
      <c r="F240" s="589" t="s">
        <v>516</v>
      </c>
      <c r="BB240" s="314"/>
    </row>
    <row r="241" ht="15.75" customHeight="1">
      <c r="A241" s="585">
        <v>240.0</v>
      </c>
      <c r="B241" s="857" t="str">
        <f>Settings!$A$4</f>
        <v>POPEYES</v>
      </c>
      <c r="C241" s="712" t="s">
        <v>117</v>
      </c>
      <c r="D241" s="13" t="str">
        <f>'Entry Sheet'!J31</f>
        <v>P. NACUA</v>
      </c>
      <c r="E241" s="13">
        <f>'Entry Sheet'!K31</f>
        <v>24.5</v>
      </c>
      <c r="F241" s="589" t="s">
        <v>516</v>
      </c>
      <c r="BB241" s="314"/>
    </row>
    <row r="242" ht="15.75" customHeight="1">
      <c r="A242" s="585">
        <v>241.0</v>
      </c>
      <c r="B242" s="857" t="str">
        <f>Settings!$A$4</f>
        <v>POPEYES</v>
      </c>
      <c r="C242" s="712" t="s">
        <v>117</v>
      </c>
      <c r="D242" s="13" t="str">
        <f>'Entry Sheet'!J32</f>
        <v>E. EGBUKA</v>
      </c>
      <c r="E242" s="13">
        <f>'Entry Sheet'!K32</f>
        <v>32.3</v>
      </c>
      <c r="F242" s="589" t="s">
        <v>516</v>
      </c>
      <c r="BB242" s="314"/>
    </row>
    <row r="243" ht="15.75" customHeight="1">
      <c r="A243" s="585">
        <v>242.0</v>
      </c>
      <c r="B243" s="857" t="str">
        <f>Settings!$A$4</f>
        <v>POPEYES</v>
      </c>
      <c r="C243" s="712" t="s">
        <v>117</v>
      </c>
      <c r="D243" s="13" t="str">
        <f>'Entry Sheet'!J33</f>
        <v/>
      </c>
      <c r="E243" s="13" t="str">
        <f>'Entry Sheet'!K33</f>
        <v/>
      </c>
      <c r="F243" s="589" t="s">
        <v>516</v>
      </c>
      <c r="BB243" s="314"/>
    </row>
    <row r="244" ht="15.75" customHeight="1">
      <c r="A244" s="585">
        <v>243.0</v>
      </c>
      <c r="B244" s="857" t="str">
        <f>Settings!$A$4</f>
        <v>POPEYES</v>
      </c>
      <c r="C244" s="764" t="s">
        <v>132</v>
      </c>
      <c r="D244" s="13" t="str">
        <f>'Entry Sheet'!J34</f>
        <v>T. HOCKENSON</v>
      </c>
      <c r="E244" s="13">
        <f>'Entry Sheet'!K34</f>
        <v>9.8</v>
      </c>
      <c r="F244" s="589" t="s">
        <v>516</v>
      </c>
      <c r="BB244" s="314"/>
    </row>
    <row r="245" ht="15.75" customHeight="1">
      <c r="A245" s="585">
        <v>244.0</v>
      </c>
      <c r="B245" s="857" t="str">
        <f>Settings!$A$4</f>
        <v>POPEYES</v>
      </c>
      <c r="C245" s="795" t="s">
        <v>136</v>
      </c>
      <c r="D245" s="13" t="str">
        <f>'Entry Sheet'!J35</f>
        <v>K. WALKER III</v>
      </c>
      <c r="E245" s="13">
        <f>'Entry Sheet'!K35</f>
        <v>10.6</v>
      </c>
      <c r="F245" s="589" t="s">
        <v>516</v>
      </c>
      <c r="BB245" s="314"/>
    </row>
    <row r="246" ht="15.75" customHeight="1">
      <c r="A246" s="585">
        <v>245.0</v>
      </c>
      <c r="B246" s="857" t="str">
        <f>Settings!$A$4</f>
        <v>POPEYES</v>
      </c>
      <c r="C246" s="818" t="s">
        <v>139</v>
      </c>
      <c r="D246" s="13" t="str">
        <f>'Entry Sheet'!J36</f>
        <v>IND D/ST</v>
      </c>
      <c r="E246" s="13">
        <f>'Entry Sheet'!K36</f>
        <v>26.7</v>
      </c>
      <c r="F246" s="589" t="s">
        <v>516</v>
      </c>
      <c r="BB246" s="314"/>
    </row>
    <row r="247" ht="15.75" customHeight="1">
      <c r="A247" s="585">
        <v>246.0</v>
      </c>
      <c r="B247" s="857" t="str">
        <f>Settings!$A$4</f>
        <v>POPEYES</v>
      </c>
      <c r="C247" s="833" t="s">
        <v>146</v>
      </c>
      <c r="D247" s="13" t="str">
        <f>'Entry Sheet'!J37</f>
        <v>T. LOOP</v>
      </c>
      <c r="E247" s="13">
        <f>'Entry Sheet'!K37</f>
        <v>3</v>
      </c>
      <c r="F247" s="589" t="s">
        <v>516</v>
      </c>
      <c r="BB247" s="314"/>
    </row>
    <row r="248" ht="15.75" customHeight="1">
      <c r="A248" s="585">
        <v>247.0</v>
      </c>
      <c r="B248" s="857" t="str">
        <f>Settings!$A$4</f>
        <v>POPEYES</v>
      </c>
      <c r="C248" s="842" t="s">
        <v>162</v>
      </c>
      <c r="D248" s="13" t="str">
        <f>'Entry Sheet'!J38</f>
        <v>SEA HC</v>
      </c>
      <c r="E248" s="13">
        <f>'Entry Sheet'!K38</f>
        <v>8.5</v>
      </c>
      <c r="F248" s="589" t="s">
        <v>516</v>
      </c>
      <c r="BB248" s="314"/>
    </row>
    <row r="249" ht="15.75" customHeight="1">
      <c r="A249" s="585">
        <v>248.0</v>
      </c>
      <c r="B249" s="857" t="str">
        <f>Settings!$A$4</f>
        <v>POPEYES</v>
      </c>
      <c r="C249" s="587" t="s">
        <v>100</v>
      </c>
      <c r="D249" s="13" t="str">
        <f>'Entry Sheet'!L26</f>
        <v>M. STAFFORD</v>
      </c>
      <c r="E249" s="13">
        <f>'Entry Sheet'!M26</f>
        <v>13.34</v>
      </c>
      <c r="F249" s="846" t="s">
        <v>517</v>
      </c>
      <c r="BB249" s="314"/>
    </row>
    <row r="250" ht="15.75" customHeight="1">
      <c r="A250" s="585">
        <v>249.0</v>
      </c>
      <c r="B250" s="857" t="str">
        <f>Settings!$A$4</f>
        <v>POPEYES</v>
      </c>
      <c r="C250" s="596" t="s">
        <v>106</v>
      </c>
      <c r="D250" s="13" t="str">
        <f>'Entry Sheet'!L27</f>
        <v>D. ACHANE</v>
      </c>
      <c r="E250" s="13">
        <f>'Entry Sheet'!M27</f>
        <v>33.6</v>
      </c>
      <c r="F250" s="846" t="s">
        <v>517</v>
      </c>
      <c r="BB250" s="314"/>
    </row>
    <row r="251" ht="15.75" customHeight="1">
      <c r="A251" s="585">
        <v>250.0</v>
      </c>
      <c r="B251" s="857" t="str">
        <f>Settings!$A$4</f>
        <v>POPEYES</v>
      </c>
      <c r="C251" s="596" t="s">
        <v>106</v>
      </c>
      <c r="D251" s="13" t="str">
        <f>'Entry Sheet'!L28</f>
        <v>T. HENDERSON</v>
      </c>
      <c r="E251" s="13">
        <f>'Entry Sheet'!M28</f>
        <v>5.5</v>
      </c>
      <c r="F251" s="846" t="s">
        <v>517</v>
      </c>
      <c r="BB251" s="314"/>
    </row>
    <row r="252" ht="15.75" customHeight="1">
      <c r="A252" s="585">
        <v>251.0</v>
      </c>
      <c r="B252" s="857" t="str">
        <f>Settings!$A$4</f>
        <v>POPEYES</v>
      </c>
      <c r="C252" s="596" t="s">
        <v>106</v>
      </c>
      <c r="D252" s="13" t="str">
        <f>'Entry Sheet'!L29</f>
        <v/>
      </c>
      <c r="E252" s="13" t="str">
        <f>'Entry Sheet'!M29</f>
        <v/>
      </c>
      <c r="F252" s="846" t="s">
        <v>517</v>
      </c>
      <c r="BB252" s="314"/>
    </row>
    <row r="253" ht="15.75" customHeight="1">
      <c r="A253" s="585">
        <v>252.0</v>
      </c>
      <c r="B253" s="857" t="str">
        <f>Settings!$A$4</f>
        <v>POPEYES</v>
      </c>
      <c r="C253" s="712" t="s">
        <v>117</v>
      </c>
      <c r="D253" s="13" t="str">
        <f>'Entry Sheet'!L30</f>
        <v>P. NACUA</v>
      </c>
      <c r="E253" s="13">
        <f>'Entry Sheet'!M30</f>
        <v>4.8</v>
      </c>
      <c r="F253" s="846" t="s">
        <v>517</v>
      </c>
      <c r="BB253" s="314"/>
    </row>
    <row r="254" ht="15.75" customHeight="1">
      <c r="A254" s="585">
        <v>253.0</v>
      </c>
      <c r="B254" s="857" t="str">
        <f>Settings!$A$4</f>
        <v>POPEYES</v>
      </c>
      <c r="C254" s="712" t="s">
        <v>117</v>
      </c>
      <c r="D254" s="13" t="str">
        <f>'Entry Sheet'!L31</f>
        <v>E. EGBUKA</v>
      </c>
      <c r="E254" s="13">
        <f>'Entry Sheet'!M31</f>
        <v>4.4</v>
      </c>
      <c r="F254" s="846" t="s">
        <v>517</v>
      </c>
      <c r="BB254" s="314"/>
    </row>
    <row r="255" ht="15.75" customHeight="1">
      <c r="A255" s="585">
        <v>254.0</v>
      </c>
      <c r="B255" s="857" t="str">
        <f>Settings!$A$4</f>
        <v>POPEYES</v>
      </c>
      <c r="C255" s="712" t="s">
        <v>117</v>
      </c>
      <c r="D255" s="13" t="str">
        <f>'Entry Sheet'!L32</f>
        <v>D. SMITH</v>
      </c>
      <c r="E255" s="13">
        <f>'Entry Sheet'!M32</f>
        <v>8.9</v>
      </c>
      <c r="F255" s="846" t="s">
        <v>517</v>
      </c>
      <c r="BB255" s="314"/>
    </row>
    <row r="256" ht="15.75" customHeight="1">
      <c r="A256" s="585">
        <v>255.0</v>
      </c>
      <c r="B256" s="857" t="str">
        <f>Settings!$A$4</f>
        <v>POPEYES</v>
      </c>
      <c r="C256" s="712" t="s">
        <v>117</v>
      </c>
      <c r="D256" s="13" t="str">
        <f>'Entry Sheet'!L33</f>
        <v/>
      </c>
      <c r="E256" s="13" t="str">
        <f>'Entry Sheet'!M33</f>
        <v/>
      </c>
      <c r="F256" s="846" t="s">
        <v>517</v>
      </c>
      <c r="BB256" s="314"/>
    </row>
    <row r="257" ht="15.75" customHeight="1">
      <c r="A257" s="585">
        <v>256.0</v>
      </c>
      <c r="B257" s="857" t="str">
        <f>Settings!$A$4</f>
        <v>POPEYES</v>
      </c>
      <c r="C257" s="764" t="s">
        <v>132</v>
      </c>
      <c r="D257" s="13" t="str">
        <f>'Entry Sheet'!L34</f>
        <v>D. WALLER</v>
      </c>
      <c r="E257" s="13">
        <f>'Entry Sheet'!M34</f>
        <v>9.2</v>
      </c>
      <c r="F257" s="846" t="s">
        <v>517</v>
      </c>
      <c r="BB257" s="314"/>
    </row>
    <row r="258" ht="15.75" customHeight="1">
      <c r="A258" s="585">
        <v>257.0</v>
      </c>
      <c r="B258" s="857" t="str">
        <f>Settings!$A$4</f>
        <v>POPEYES</v>
      </c>
      <c r="C258" s="795" t="s">
        <v>136</v>
      </c>
      <c r="D258" s="13" t="str">
        <f>'Entry Sheet'!L35</f>
        <v>K. WALKER III</v>
      </c>
      <c r="E258" s="13">
        <f>'Entry Sheet'!M35</f>
        <v>5.7</v>
      </c>
      <c r="F258" s="846" t="s">
        <v>517</v>
      </c>
      <c r="BB258" s="314"/>
    </row>
    <row r="259" ht="15.75" customHeight="1">
      <c r="A259" s="585">
        <v>258.0</v>
      </c>
      <c r="B259" s="857" t="str">
        <f>Settings!$A$4</f>
        <v>POPEYES</v>
      </c>
      <c r="C259" s="818" t="s">
        <v>139</v>
      </c>
      <c r="D259" s="13" t="str">
        <f>'Entry Sheet'!L36</f>
        <v>IND D/ST</v>
      </c>
      <c r="E259" s="13">
        <f>'Entry Sheet'!M36</f>
        <v>8.75</v>
      </c>
      <c r="F259" s="846" t="s">
        <v>517</v>
      </c>
      <c r="BB259" s="314"/>
    </row>
    <row r="260" ht="15.75" customHeight="1">
      <c r="A260" s="585">
        <v>259.0</v>
      </c>
      <c r="B260" s="857" t="str">
        <f>Settings!$A$4</f>
        <v>POPEYES</v>
      </c>
      <c r="C260" s="833" t="s">
        <v>146</v>
      </c>
      <c r="D260" s="13" t="str">
        <f>'Entry Sheet'!L37</f>
        <v>J. ELLIOTT</v>
      </c>
      <c r="E260" s="13">
        <f>'Entry Sheet'!M37</f>
        <v>6</v>
      </c>
      <c r="F260" s="846" t="s">
        <v>517</v>
      </c>
      <c r="BB260" s="314"/>
    </row>
    <row r="261" ht="15.75" customHeight="1">
      <c r="A261" s="585">
        <v>260.0</v>
      </c>
      <c r="B261" s="857" t="str">
        <f>Settings!$A$4</f>
        <v>POPEYES</v>
      </c>
      <c r="C261" s="842" t="s">
        <v>162</v>
      </c>
      <c r="D261" s="13" t="str">
        <f>'Entry Sheet'!L38</f>
        <v>LAC HC</v>
      </c>
      <c r="E261" s="13">
        <f>'Entry Sheet'!M38</f>
        <v>10.7</v>
      </c>
      <c r="F261" s="846" t="s">
        <v>517</v>
      </c>
      <c r="BB261" s="314"/>
    </row>
    <row r="262" ht="15.75" customHeight="1">
      <c r="A262" s="585">
        <v>261.0</v>
      </c>
      <c r="B262" s="857" t="str">
        <f>Settings!$A$4</f>
        <v>POPEYES</v>
      </c>
      <c r="C262" s="587" t="s">
        <v>100</v>
      </c>
      <c r="D262" s="13" t="str">
        <f>'Entry Sheet'!N26</f>
        <v>B. MAYFIELD</v>
      </c>
      <c r="E262" s="13">
        <f>'Entry Sheet'!O26</f>
        <v>13.52</v>
      </c>
      <c r="F262" s="589" t="s">
        <v>518</v>
      </c>
      <c r="BB262" s="314"/>
    </row>
    <row r="263" ht="15.75" customHeight="1">
      <c r="A263" s="585">
        <v>262.0</v>
      </c>
      <c r="B263" s="857" t="str">
        <f>Settings!$A$4</f>
        <v>POPEYES</v>
      </c>
      <c r="C263" s="596" t="s">
        <v>106</v>
      </c>
      <c r="D263" s="13" t="str">
        <f>'Entry Sheet'!N27</f>
        <v>D. ACHANE</v>
      </c>
      <c r="E263" s="13">
        <f>'Entry Sheet'!O27</f>
        <v>14.1</v>
      </c>
      <c r="F263" s="589" t="s">
        <v>518</v>
      </c>
      <c r="BB263" s="314"/>
    </row>
    <row r="264" ht="15.75" customHeight="1">
      <c r="A264" s="585">
        <v>263.0</v>
      </c>
      <c r="B264" s="857" t="str">
        <f>Settings!$A$4</f>
        <v>POPEYES</v>
      </c>
      <c r="C264" s="596" t="s">
        <v>106</v>
      </c>
      <c r="D264" s="13" t="str">
        <f>'Entry Sheet'!N28</f>
        <v>J. MASON</v>
      </c>
      <c r="E264" s="13">
        <f>'Entry Sheet'!O28</f>
        <v>13.2</v>
      </c>
      <c r="F264" s="589" t="s">
        <v>518</v>
      </c>
      <c r="BB264" s="314"/>
    </row>
    <row r="265" ht="15.75" customHeight="1">
      <c r="A265" s="585">
        <v>264.0</v>
      </c>
      <c r="B265" s="857" t="str">
        <f>Settings!$A$4</f>
        <v>POPEYES</v>
      </c>
      <c r="C265" s="596" t="s">
        <v>106</v>
      </c>
      <c r="D265" s="13" t="str">
        <f>'Entry Sheet'!N29</f>
        <v/>
      </c>
      <c r="E265" s="13" t="str">
        <f>'Entry Sheet'!O29</f>
        <v/>
      </c>
      <c r="F265" s="589" t="s">
        <v>518</v>
      </c>
      <c r="BB265" s="314"/>
    </row>
    <row r="266" ht="15.75" customHeight="1">
      <c r="A266" s="585">
        <v>265.0</v>
      </c>
      <c r="B266" s="857" t="str">
        <f>Settings!$A$4</f>
        <v>POPEYES</v>
      </c>
      <c r="C266" s="712" t="s">
        <v>117</v>
      </c>
      <c r="D266" s="13" t="str">
        <f>'Entry Sheet'!N30</f>
        <v>J. JEFFERSON</v>
      </c>
      <c r="E266" s="13">
        <f>'Entry Sheet'!O30</f>
        <v>12.9</v>
      </c>
      <c r="F266" s="589" t="s">
        <v>518</v>
      </c>
      <c r="BB266" s="314"/>
    </row>
    <row r="267" ht="15.75" customHeight="1">
      <c r="A267" s="585">
        <v>266.0</v>
      </c>
      <c r="B267" s="857" t="str">
        <f>Settings!$A$4</f>
        <v>POPEYES</v>
      </c>
      <c r="C267" s="712" t="s">
        <v>117</v>
      </c>
      <c r="D267" s="13" t="str">
        <f>'Entry Sheet'!N31</f>
        <v>B. THOMAS JR.</v>
      </c>
      <c r="E267" s="13">
        <f>'Entry Sheet'!O31</f>
        <v>6.1</v>
      </c>
      <c r="F267" s="589" t="s">
        <v>518</v>
      </c>
      <c r="BB267" s="314"/>
    </row>
    <row r="268" ht="15.75" customHeight="1">
      <c r="A268" s="585">
        <v>267.0</v>
      </c>
      <c r="B268" s="857" t="str">
        <f>Settings!$A$4</f>
        <v>POPEYES</v>
      </c>
      <c r="C268" s="712" t="s">
        <v>117</v>
      </c>
      <c r="D268" s="13" t="str">
        <f>'Entry Sheet'!N32</f>
        <v>D. SMITH</v>
      </c>
      <c r="E268" s="13">
        <f>'Entry Sheet'!O32</f>
        <v>34.3</v>
      </c>
      <c r="F268" s="589" t="s">
        <v>518</v>
      </c>
      <c r="BB268" s="314"/>
    </row>
    <row r="269" ht="15.75" customHeight="1">
      <c r="A269" s="585">
        <v>268.0</v>
      </c>
      <c r="B269" s="857" t="str">
        <f>Settings!$A$4</f>
        <v>POPEYES</v>
      </c>
      <c r="C269" s="712" t="s">
        <v>117</v>
      </c>
      <c r="D269" s="13" t="str">
        <f>'Entry Sheet'!N33</f>
        <v/>
      </c>
      <c r="E269" s="13" t="str">
        <f>'Entry Sheet'!O33</f>
        <v/>
      </c>
      <c r="F269" s="589" t="s">
        <v>518</v>
      </c>
      <c r="BB269" s="314"/>
    </row>
    <row r="270" ht="15.75" customHeight="1">
      <c r="A270" s="585">
        <v>269.0</v>
      </c>
      <c r="B270" s="857" t="str">
        <f>Settings!$A$4</f>
        <v>POPEYES</v>
      </c>
      <c r="C270" s="764" t="s">
        <v>132</v>
      </c>
      <c r="D270" s="13" t="str">
        <f>'Entry Sheet'!N34</f>
        <v>K. PITTS SR.</v>
      </c>
      <c r="E270" s="13">
        <f>'Entry Sheet'!O34</f>
        <v>13.2</v>
      </c>
      <c r="F270" s="589" t="s">
        <v>518</v>
      </c>
      <c r="BB270" s="314"/>
    </row>
    <row r="271" ht="15.75" customHeight="1">
      <c r="A271" s="585">
        <v>270.0</v>
      </c>
      <c r="B271" s="857" t="str">
        <f>Settings!$A$4</f>
        <v>POPEYES</v>
      </c>
      <c r="C271" s="795" t="s">
        <v>136</v>
      </c>
      <c r="D271" s="13" t="str">
        <f>'Entry Sheet'!N35</f>
        <v>K. WALKER III</v>
      </c>
      <c r="E271" s="13">
        <f>'Entry Sheet'!O35</f>
        <v>8.3</v>
      </c>
      <c r="F271" s="589" t="s">
        <v>518</v>
      </c>
      <c r="BB271" s="314"/>
    </row>
    <row r="272" ht="15.75" customHeight="1">
      <c r="A272" s="585">
        <v>271.0</v>
      </c>
      <c r="B272" s="857" t="str">
        <f>Settings!$A$4</f>
        <v>POPEYES</v>
      </c>
      <c r="C272" s="818" t="s">
        <v>139</v>
      </c>
      <c r="D272" s="13" t="str">
        <f>'Entry Sheet'!N36</f>
        <v>NE D/ST</v>
      </c>
      <c r="E272" s="13">
        <f>'Entry Sheet'!O36</f>
        <v>27</v>
      </c>
      <c r="F272" s="589" t="s">
        <v>518</v>
      </c>
      <c r="BB272" s="314"/>
    </row>
    <row r="273" ht="15.75" customHeight="1">
      <c r="A273" s="585">
        <v>272.0</v>
      </c>
      <c r="B273" s="857" t="str">
        <f>Settings!$A$4</f>
        <v>POPEYES</v>
      </c>
      <c r="C273" s="833" t="s">
        <v>146</v>
      </c>
      <c r="D273" s="13" t="str">
        <f>'Entry Sheet'!N37</f>
        <v>J. ELLIOTT</v>
      </c>
      <c r="E273" s="13">
        <f>'Entry Sheet'!O37</f>
        <v>2.5</v>
      </c>
      <c r="F273" s="589" t="s">
        <v>518</v>
      </c>
      <c r="BB273" s="314"/>
    </row>
    <row r="274" ht="15.75" customHeight="1">
      <c r="A274" s="585">
        <v>273.0</v>
      </c>
      <c r="B274" s="857" t="str">
        <f>Settings!$A$4</f>
        <v>POPEYES</v>
      </c>
      <c r="C274" s="842" t="s">
        <v>162</v>
      </c>
      <c r="D274" s="13" t="str">
        <f>'Entry Sheet'!N38</f>
        <v>CHI HC</v>
      </c>
      <c r="E274" s="13">
        <f>'Entry Sheet'!O38</f>
        <v>11.8</v>
      </c>
      <c r="F274" s="589" t="s">
        <v>518</v>
      </c>
      <c r="BB274" s="314"/>
    </row>
    <row r="275" ht="15.75" customHeight="1">
      <c r="A275" s="585">
        <v>274.0</v>
      </c>
      <c r="B275" s="857" t="str">
        <f>Settings!$A$4</f>
        <v>POPEYES</v>
      </c>
      <c r="C275" s="587" t="s">
        <v>100</v>
      </c>
      <c r="D275" s="13" t="str">
        <f>'Entry Sheet'!P26</f>
        <v>B. MAYFIELD</v>
      </c>
      <c r="E275" s="13">
        <f>'Entry Sheet'!Q26</f>
        <v>5.28</v>
      </c>
      <c r="F275" s="846" t="s">
        <v>519</v>
      </c>
      <c r="BB275" s="314"/>
    </row>
    <row r="276" ht="15.75" customHeight="1">
      <c r="A276" s="585">
        <v>275.0</v>
      </c>
      <c r="B276" s="857" t="str">
        <f>Settings!$A$4</f>
        <v>POPEYES</v>
      </c>
      <c r="C276" s="596" t="s">
        <v>106</v>
      </c>
      <c r="D276" s="13" t="str">
        <f>'Entry Sheet'!P27</f>
        <v>D. ACHANE</v>
      </c>
      <c r="E276" s="13">
        <f>'Entry Sheet'!Q27</f>
        <v>21.9</v>
      </c>
      <c r="F276" s="846" t="s">
        <v>519</v>
      </c>
      <c r="BB276" s="314"/>
    </row>
    <row r="277" ht="15.75" customHeight="1">
      <c r="A277" s="585">
        <v>276.0</v>
      </c>
      <c r="B277" s="857" t="str">
        <f>Settings!$A$4</f>
        <v>POPEYES</v>
      </c>
      <c r="C277" s="596" t="s">
        <v>106</v>
      </c>
      <c r="D277" s="13" t="str">
        <f>'Entry Sheet'!P28</f>
        <v>J. MASON</v>
      </c>
      <c r="E277" s="13">
        <f>'Entry Sheet'!Q28</f>
        <v>2</v>
      </c>
      <c r="F277" s="846" t="s">
        <v>519</v>
      </c>
      <c r="BB277" s="314"/>
    </row>
    <row r="278" ht="15.75" customHeight="1">
      <c r="A278" s="585">
        <v>277.0</v>
      </c>
      <c r="B278" s="857" t="str">
        <f>Settings!$A$4</f>
        <v>POPEYES</v>
      </c>
      <c r="C278" s="596" t="s">
        <v>106</v>
      </c>
      <c r="D278" s="13" t="str">
        <f>'Entry Sheet'!P29</f>
        <v/>
      </c>
      <c r="E278" s="13" t="str">
        <f>'Entry Sheet'!Q29</f>
        <v/>
      </c>
      <c r="F278" s="846" t="s">
        <v>519</v>
      </c>
      <c r="BB278" s="314"/>
    </row>
    <row r="279" ht="15.75" customHeight="1">
      <c r="A279" s="585">
        <v>278.0</v>
      </c>
      <c r="B279" s="857" t="str">
        <f>Settings!$A$4</f>
        <v>POPEYES</v>
      </c>
      <c r="C279" s="712" t="s">
        <v>117</v>
      </c>
      <c r="D279" s="13" t="str">
        <f>'Entry Sheet'!P30</f>
        <v>J. JEFFERSON</v>
      </c>
      <c r="E279" s="13">
        <f>'Entry Sheet'!Q30</f>
        <v>14.4</v>
      </c>
      <c r="F279" s="846" t="s">
        <v>519</v>
      </c>
      <c r="BB279" s="314"/>
    </row>
    <row r="280" ht="15.75" customHeight="1">
      <c r="A280" s="585">
        <v>279.0</v>
      </c>
      <c r="B280" s="857" t="str">
        <f>Settings!$A$4</f>
        <v>POPEYES</v>
      </c>
      <c r="C280" s="712" t="s">
        <v>117</v>
      </c>
      <c r="D280" s="13" t="str">
        <f>'Entry Sheet'!P31</f>
        <v>E. EGBUKA</v>
      </c>
      <c r="E280" s="13">
        <f>'Entry Sheet'!Q31</f>
        <v>6.5</v>
      </c>
      <c r="F280" s="846" t="s">
        <v>519</v>
      </c>
      <c r="BB280" s="314"/>
    </row>
    <row r="281" ht="15.75" customHeight="1">
      <c r="A281" s="585">
        <v>280.0</v>
      </c>
      <c r="B281" s="857" t="str">
        <f>Settings!$A$4</f>
        <v>POPEYES</v>
      </c>
      <c r="C281" s="712" t="s">
        <v>117</v>
      </c>
      <c r="D281" s="13" t="str">
        <f>'Entry Sheet'!P32</f>
        <v>D. SMITH</v>
      </c>
      <c r="E281" s="13">
        <f>'Entry Sheet'!Q32</f>
        <v>14.4</v>
      </c>
      <c r="F281" s="846" t="s">
        <v>519</v>
      </c>
      <c r="BB281" s="314"/>
    </row>
    <row r="282" ht="15.75" customHeight="1">
      <c r="A282" s="585">
        <v>281.0</v>
      </c>
      <c r="B282" s="857" t="str">
        <f>Settings!$A$4</f>
        <v>POPEYES</v>
      </c>
      <c r="C282" s="712" t="s">
        <v>117</v>
      </c>
      <c r="D282" s="13" t="str">
        <f>'Entry Sheet'!P33</f>
        <v/>
      </c>
      <c r="E282" s="13" t="str">
        <f>'Entry Sheet'!Q33</f>
        <v/>
      </c>
      <c r="F282" s="846" t="s">
        <v>519</v>
      </c>
      <c r="BB282" s="314"/>
    </row>
    <row r="283" ht="15.75" customHeight="1">
      <c r="A283" s="585">
        <v>282.0</v>
      </c>
      <c r="B283" s="857" t="str">
        <f>Settings!$A$4</f>
        <v>POPEYES</v>
      </c>
      <c r="C283" s="764" t="s">
        <v>132</v>
      </c>
      <c r="D283" s="13" t="str">
        <f>'Entry Sheet'!P34</f>
        <v>K. PITTS SR.</v>
      </c>
      <c r="E283" s="13">
        <f>'Entry Sheet'!Q34</f>
        <v>14.9</v>
      </c>
      <c r="F283" s="846" t="s">
        <v>519</v>
      </c>
      <c r="BB283" s="314"/>
    </row>
    <row r="284" ht="15.75" customHeight="1">
      <c r="A284" s="585">
        <v>283.0</v>
      </c>
      <c r="B284" s="857" t="str">
        <f>Settings!$A$4</f>
        <v>POPEYES</v>
      </c>
      <c r="C284" s="795" t="s">
        <v>136</v>
      </c>
      <c r="D284" s="13" t="str">
        <f>'Entry Sheet'!P35</f>
        <v>T.J. HOCKENSON</v>
      </c>
      <c r="E284" s="13">
        <f>'Entry Sheet'!Q35</f>
        <v>4.6</v>
      </c>
      <c r="F284" s="846" t="s">
        <v>519</v>
      </c>
      <c r="BB284" s="314"/>
    </row>
    <row r="285" ht="15.75" customHeight="1">
      <c r="A285" s="585">
        <v>284.0</v>
      </c>
      <c r="B285" s="857" t="str">
        <f>Settings!$A$4</f>
        <v>POPEYES</v>
      </c>
      <c r="C285" s="818" t="s">
        <v>139</v>
      </c>
      <c r="D285" s="13" t="str">
        <f>'Entry Sheet'!P36</f>
        <v>IND D/ST</v>
      </c>
      <c r="E285" s="13">
        <f>'Entry Sheet'!Q36</f>
        <v>16.74</v>
      </c>
      <c r="F285" s="846" t="s">
        <v>519</v>
      </c>
      <c r="BB285" s="314"/>
    </row>
    <row r="286" ht="15.75" customHeight="1">
      <c r="A286" s="585">
        <v>285.0</v>
      </c>
      <c r="B286" s="857" t="str">
        <f>Settings!$A$4</f>
        <v>POPEYES</v>
      </c>
      <c r="C286" s="833" t="s">
        <v>146</v>
      </c>
      <c r="D286" s="13" t="str">
        <f>'Entry Sheet'!P37</f>
        <v>T. LOOP</v>
      </c>
      <c r="E286" s="13">
        <f>'Entry Sheet'!Q37</f>
        <v>13</v>
      </c>
      <c r="F286" s="846" t="s">
        <v>519</v>
      </c>
      <c r="BB286" s="314"/>
    </row>
    <row r="287" ht="15.75" customHeight="1">
      <c r="A287" s="585">
        <v>286.0</v>
      </c>
      <c r="B287" s="857" t="str">
        <f>Settings!$A$4</f>
        <v>POPEYES</v>
      </c>
      <c r="C287" s="842" t="s">
        <v>162</v>
      </c>
      <c r="D287" s="13" t="str">
        <f>'Entry Sheet'!P38</f>
        <v>CHI HC</v>
      </c>
      <c r="E287" s="13">
        <f>'Entry Sheet'!Q38</f>
        <v>0.8</v>
      </c>
      <c r="F287" s="846" t="s">
        <v>519</v>
      </c>
      <c r="BB287" s="314"/>
    </row>
    <row r="288" ht="15.75" customHeight="1">
      <c r="A288" s="585">
        <v>287.0</v>
      </c>
      <c r="B288" s="857" t="str">
        <f>Settings!$A$4</f>
        <v>POPEYES</v>
      </c>
      <c r="C288" s="587" t="s">
        <v>100</v>
      </c>
      <c r="D288" s="13" t="str">
        <f>'Entry Sheet'!R26</f>
        <v>S. DARNOLD</v>
      </c>
      <c r="E288" s="13">
        <f>'Entry Sheet'!S26</f>
        <v>39</v>
      </c>
      <c r="F288" s="589" t="s">
        <v>520</v>
      </c>
      <c r="BB288" s="314"/>
    </row>
    <row r="289" ht="15.75" customHeight="1">
      <c r="A289" s="585">
        <v>288.0</v>
      </c>
      <c r="B289" s="857" t="str">
        <f>Settings!$A$4</f>
        <v>POPEYES</v>
      </c>
      <c r="C289" s="596" t="s">
        <v>106</v>
      </c>
      <c r="D289" s="13" t="str">
        <f>'Entry Sheet'!R27</f>
        <v>D. ACHANE</v>
      </c>
      <c r="E289" s="13">
        <f>'Entry Sheet'!S27</f>
        <v>18</v>
      </c>
      <c r="F289" s="589" t="s">
        <v>520</v>
      </c>
      <c r="BB289" s="314"/>
    </row>
    <row r="290" ht="15.75" customHeight="1">
      <c r="A290" s="585">
        <v>289.0</v>
      </c>
      <c r="B290" s="857" t="str">
        <f>Settings!$A$4</f>
        <v>POPEYES</v>
      </c>
      <c r="C290" s="596" t="s">
        <v>106</v>
      </c>
      <c r="D290" s="13" t="str">
        <f>'Entry Sheet'!R28</f>
        <v>B. KNIGHT</v>
      </c>
      <c r="E290" s="13">
        <f>'Entry Sheet'!S28</f>
        <v>7.6</v>
      </c>
      <c r="F290" s="589" t="s">
        <v>520</v>
      </c>
      <c r="BB290" s="314"/>
    </row>
    <row r="291" ht="15.75" customHeight="1">
      <c r="A291" s="585">
        <v>290.0</v>
      </c>
      <c r="B291" s="857" t="str">
        <f>Settings!$A$4</f>
        <v>POPEYES</v>
      </c>
      <c r="C291" s="596" t="s">
        <v>106</v>
      </c>
      <c r="D291" s="13" t="str">
        <f>'Entry Sheet'!R29</f>
        <v/>
      </c>
      <c r="E291" s="13" t="str">
        <f>'Entry Sheet'!S29</f>
        <v/>
      </c>
      <c r="F291" s="589" t="s">
        <v>520</v>
      </c>
      <c r="BB291" s="314"/>
    </row>
    <row r="292" ht="15.75" customHeight="1">
      <c r="A292" s="585">
        <v>291.0</v>
      </c>
      <c r="B292" s="857" t="str">
        <f>Settings!$A$4</f>
        <v>POPEYES</v>
      </c>
      <c r="C292" s="712" t="s">
        <v>117</v>
      </c>
      <c r="D292" s="13" t="str">
        <f>'Entry Sheet'!R30</f>
        <v>J. JEFFERSON</v>
      </c>
      <c r="E292" s="13">
        <f>'Entry Sheet'!S30</f>
        <v>16.7</v>
      </c>
      <c r="F292" s="589" t="s">
        <v>520</v>
      </c>
      <c r="BB292" s="314"/>
    </row>
    <row r="293" ht="15.75" customHeight="1">
      <c r="A293" s="585">
        <v>292.0</v>
      </c>
      <c r="B293" s="857" t="str">
        <f>Settings!$A$4</f>
        <v>POPEYES</v>
      </c>
      <c r="C293" s="712" t="s">
        <v>117</v>
      </c>
      <c r="D293" s="13" t="str">
        <f>'Entry Sheet'!R31</f>
        <v>P. NACUA</v>
      </c>
      <c r="E293" s="13">
        <f>'Entry Sheet'!S31</f>
        <v>22.9</v>
      </c>
      <c r="F293" s="589" t="s">
        <v>520</v>
      </c>
      <c r="BB293" s="314"/>
    </row>
    <row r="294" ht="15.75" customHeight="1">
      <c r="A294" s="585">
        <v>293.0</v>
      </c>
      <c r="B294" s="857" t="str">
        <f>Settings!$A$4</f>
        <v>POPEYES</v>
      </c>
      <c r="C294" s="712" t="s">
        <v>117</v>
      </c>
      <c r="D294" s="13" t="str">
        <f>'Entry Sheet'!R32</f>
        <v>B. THOMAS</v>
      </c>
      <c r="E294" s="13">
        <f>'Entry Sheet'!S32</f>
        <v>8.5</v>
      </c>
      <c r="F294" s="589" t="s">
        <v>520</v>
      </c>
      <c r="BB294" s="314"/>
    </row>
    <row r="295" ht="15.75" customHeight="1">
      <c r="A295" s="585">
        <v>294.0</v>
      </c>
      <c r="B295" s="857" t="str">
        <f>Settings!$A$4</f>
        <v>POPEYES</v>
      </c>
      <c r="C295" s="712" t="s">
        <v>117</v>
      </c>
      <c r="D295" s="13" t="str">
        <f>'Entry Sheet'!R33</f>
        <v/>
      </c>
      <c r="E295" s="13" t="str">
        <f>'Entry Sheet'!S33</f>
        <v/>
      </c>
      <c r="F295" s="589" t="s">
        <v>520</v>
      </c>
      <c r="BB295" s="314"/>
    </row>
    <row r="296" ht="15.75" customHeight="1">
      <c r="A296" s="585">
        <v>295.0</v>
      </c>
      <c r="B296" s="857" t="str">
        <f>Settings!$A$4</f>
        <v>POPEYES</v>
      </c>
      <c r="C296" s="764" t="s">
        <v>132</v>
      </c>
      <c r="D296" s="13" t="str">
        <f>'Entry Sheet'!R34</f>
        <v>K. PITTS</v>
      </c>
      <c r="E296" s="13">
        <f>'Entry Sheet'!S34</f>
        <v>7.8</v>
      </c>
      <c r="F296" s="589" t="s">
        <v>520</v>
      </c>
      <c r="BB296" s="314"/>
    </row>
    <row r="297" ht="15.75" customHeight="1">
      <c r="A297" s="585">
        <v>296.0</v>
      </c>
      <c r="B297" s="857" t="str">
        <f>Settings!$A$4</f>
        <v>POPEYES</v>
      </c>
      <c r="C297" s="795" t="s">
        <v>136</v>
      </c>
      <c r="D297" s="13" t="str">
        <f>'Entry Sheet'!R35</f>
        <v>K. WALKER</v>
      </c>
      <c r="E297" s="13">
        <f>'Entry Sheet'!S35</f>
        <v>9.2</v>
      </c>
      <c r="F297" s="589" t="s">
        <v>520</v>
      </c>
      <c r="BB297" s="314"/>
    </row>
    <row r="298" ht="15.75" customHeight="1">
      <c r="A298" s="585">
        <v>297.0</v>
      </c>
      <c r="B298" s="857" t="str">
        <f>Settings!$A$4</f>
        <v>POPEYES</v>
      </c>
      <c r="C298" s="818" t="s">
        <v>139</v>
      </c>
      <c r="D298" s="13" t="str">
        <f>'Entry Sheet'!R36</f>
        <v>JAX D/ST</v>
      </c>
      <c r="E298" s="13">
        <f>'Entry Sheet'!S36</f>
        <v>12.07</v>
      </c>
      <c r="F298" s="589" t="s">
        <v>520</v>
      </c>
      <c r="BB298" s="314"/>
    </row>
    <row r="299" ht="15.75" customHeight="1">
      <c r="A299" s="585">
        <v>298.0</v>
      </c>
      <c r="B299" s="857" t="str">
        <f>Settings!$A$4</f>
        <v>POPEYES</v>
      </c>
      <c r="C299" s="833" t="s">
        <v>146</v>
      </c>
      <c r="D299" s="13" t="str">
        <f>'Entry Sheet'!R37</f>
        <v>T. LOOP</v>
      </c>
      <c r="E299" s="13">
        <f>'Entry Sheet'!S37</f>
        <v>4</v>
      </c>
      <c r="F299" s="589" t="s">
        <v>520</v>
      </c>
      <c r="BB299" s="314"/>
    </row>
    <row r="300" ht="15.75" customHeight="1">
      <c r="A300" s="585">
        <v>299.0</v>
      </c>
      <c r="B300" s="857" t="str">
        <f>Settings!$A$4</f>
        <v>POPEYES</v>
      </c>
      <c r="C300" s="842" t="s">
        <v>162</v>
      </c>
      <c r="D300" s="13" t="str">
        <f>'Entry Sheet'!R38</f>
        <v>CHI HC</v>
      </c>
      <c r="E300" s="13">
        <f>'Entry Sheet'!S38</f>
        <v>17.1</v>
      </c>
      <c r="F300" s="589" t="s">
        <v>520</v>
      </c>
      <c r="BB300" s="314"/>
    </row>
    <row r="301" ht="15.75" customHeight="1">
      <c r="A301" s="585">
        <v>300.0</v>
      </c>
      <c r="B301" s="857" t="str">
        <f>Settings!$A$4</f>
        <v>POPEYES</v>
      </c>
      <c r="C301" s="587" t="s">
        <v>100</v>
      </c>
      <c r="D301" s="13" t="str">
        <f>'Entry Sheet'!T26</f>
        <v>B. MAYFIELD</v>
      </c>
      <c r="E301" s="13">
        <f>'Entry Sheet'!U26</f>
        <v>31.52</v>
      </c>
      <c r="F301" s="846" t="s">
        <v>521</v>
      </c>
      <c r="BB301" s="314"/>
    </row>
    <row r="302" ht="15.75" customHeight="1">
      <c r="A302" s="585">
        <v>301.0</v>
      </c>
      <c r="B302" s="857" t="str">
        <f>Settings!$A$4</f>
        <v>POPEYES</v>
      </c>
      <c r="C302" s="596" t="s">
        <v>106</v>
      </c>
      <c r="D302" s="13" t="str">
        <f>'Entry Sheet'!T27</f>
        <v>D. ACHANE</v>
      </c>
      <c r="E302" s="13">
        <f>'Entry Sheet'!U27</f>
        <v>43.7</v>
      </c>
      <c r="F302" s="846" t="s">
        <v>521</v>
      </c>
      <c r="BB302" s="314"/>
    </row>
    <row r="303" ht="15.75" customHeight="1">
      <c r="A303" s="585">
        <v>302.0</v>
      </c>
      <c r="B303" s="857" t="str">
        <f>Settings!$A$4</f>
        <v>POPEYES</v>
      </c>
      <c r="C303" s="596" t="s">
        <v>106</v>
      </c>
      <c r="D303" s="13" t="str">
        <f>'Entry Sheet'!T28</f>
        <v>T. HENDERSON</v>
      </c>
      <c r="E303" s="13">
        <f>'Entry Sheet'!U28</f>
        <v>30.4</v>
      </c>
      <c r="F303" s="846" t="s">
        <v>521</v>
      </c>
      <c r="BB303" s="314"/>
    </row>
    <row r="304" ht="15.75" customHeight="1">
      <c r="A304" s="585">
        <v>303.0</v>
      </c>
      <c r="B304" s="857" t="str">
        <f>Settings!$A$4</f>
        <v>POPEYES</v>
      </c>
      <c r="C304" s="596" t="s">
        <v>106</v>
      </c>
      <c r="D304" s="13" t="str">
        <f>'Entry Sheet'!T29</f>
        <v/>
      </c>
      <c r="E304" s="13" t="str">
        <f>'Entry Sheet'!U29</f>
        <v/>
      </c>
      <c r="F304" s="846" t="s">
        <v>521</v>
      </c>
      <c r="BB304" s="314"/>
    </row>
    <row r="305" ht="15.75" customHeight="1">
      <c r="A305" s="585">
        <v>304.0</v>
      </c>
      <c r="B305" s="857" t="str">
        <f>Settings!$A$4</f>
        <v>POPEYES</v>
      </c>
      <c r="C305" s="712" t="s">
        <v>117</v>
      </c>
      <c r="D305" s="13" t="str">
        <f>'Entry Sheet'!T30</f>
        <v>J. JEFFERSON</v>
      </c>
      <c r="E305" s="13">
        <f>'Entry Sheet'!U30</f>
        <v>7.7</v>
      </c>
      <c r="F305" s="846" t="s">
        <v>521</v>
      </c>
      <c r="BB305" s="314"/>
    </row>
    <row r="306" ht="15.75" customHeight="1">
      <c r="A306" s="585">
        <v>305.0</v>
      </c>
      <c r="B306" s="857" t="str">
        <f>Settings!$A$4</f>
        <v>POPEYES</v>
      </c>
      <c r="C306" s="712" t="s">
        <v>117</v>
      </c>
      <c r="D306" s="13" t="str">
        <f>'Entry Sheet'!T31</f>
        <v>P. NACUA</v>
      </c>
      <c r="E306" s="13">
        <f>'Entry Sheet'!U31</f>
        <v>17.4</v>
      </c>
      <c r="F306" s="846" t="s">
        <v>521</v>
      </c>
      <c r="BB306" s="314"/>
    </row>
    <row r="307" ht="15.75" customHeight="1">
      <c r="A307" s="585">
        <v>306.0</v>
      </c>
      <c r="B307" s="857" t="str">
        <f>Settings!$A$4</f>
        <v>POPEYES</v>
      </c>
      <c r="C307" s="712" t="s">
        <v>117</v>
      </c>
      <c r="D307" s="13" t="str">
        <f>'Entry Sheet'!T32</f>
        <v>E. EGBUKA</v>
      </c>
      <c r="E307" s="13">
        <f>'Entry Sheet'!U32</f>
        <v>24.5</v>
      </c>
      <c r="F307" s="846" t="s">
        <v>521</v>
      </c>
      <c r="BB307" s="314"/>
    </row>
    <row r="308" ht="15.75" customHeight="1">
      <c r="A308" s="585">
        <v>307.0</v>
      </c>
      <c r="B308" s="857" t="str">
        <f>Settings!$A$4</f>
        <v>POPEYES</v>
      </c>
      <c r="C308" s="712" t="s">
        <v>117</v>
      </c>
      <c r="D308" s="13" t="str">
        <f>'Entry Sheet'!T33</f>
        <v/>
      </c>
      <c r="E308" s="13" t="str">
        <f>'Entry Sheet'!U33</f>
        <v/>
      </c>
      <c r="F308" s="846" t="s">
        <v>521</v>
      </c>
      <c r="BB308" s="314"/>
    </row>
    <row r="309" ht="15.75" customHeight="1">
      <c r="A309" s="585">
        <v>308.0</v>
      </c>
      <c r="B309" s="857" t="str">
        <f>Settings!$A$4</f>
        <v>POPEYES</v>
      </c>
      <c r="C309" s="764" t="s">
        <v>132</v>
      </c>
      <c r="D309" s="13" t="str">
        <f>'Entry Sheet'!T34</f>
        <v>K. PITTS</v>
      </c>
      <c r="E309" s="13">
        <f>'Entry Sheet'!U34</f>
        <v>5.8</v>
      </c>
      <c r="F309" s="846" t="s">
        <v>521</v>
      </c>
      <c r="BB309" s="314"/>
    </row>
    <row r="310" ht="15.75" customHeight="1">
      <c r="A310" s="585">
        <v>309.0</v>
      </c>
      <c r="B310" s="857" t="str">
        <f>Settings!$A$4</f>
        <v>POPEYES</v>
      </c>
      <c r="C310" s="795" t="s">
        <v>136</v>
      </c>
      <c r="D310" s="13" t="str">
        <f>'Entry Sheet'!T35</f>
        <v>D. SMITH</v>
      </c>
      <c r="E310" s="13">
        <f>'Entry Sheet'!U35</f>
        <v>16.9</v>
      </c>
      <c r="F310" s="846" t="s">
        <v>521</v>
      </c>
      <c r="BB310" s="314"/>
    </row>
    <row r="311" ht="15.75" customHeight="1">
      <c r="A311" s="585">
        <v>310.0</v>
      </c>
      <c r="B311" s="857" t="str">
        <f>Settings!$A$4</f>
        <v>POPEYES</v>
      </c>
      <c r="C311" s="818" t="s">
        <v>139</v>
      </c>
      <c r="D311" s="13" t="str">
        <f>'Entry Sheet'!T36</f>
        <v>BUF D/ST</v>
      </c>
      <c r="E311" s="13">
        <f>'Entry Sheet'!U36</f>
        <v>6.21</v>
      </c>
      <c r="F311" s="846" t="s">
        <v>521</v>
      </c>
      <c r="BB311" s="314"/>
    </row>
    <row r="312" ht="15.75" customHeight="1">
      <c r="A312" s="585">
        <v>311.0</v>
      </c>
      <c r="B312" s="857" t="str">
        <f>Settings!$A$4</f>
        <v>POPEYES</v>
      </c>
      <c r="C312" s="833" t="s">
        <v>146</v>
      </c>
      <c r="D312" s="13" t="str">
        <f>'Entry Sheet'!T37</f>
        <v>T. LOOP</v>
      </c>
      <c r="E312" s="13">
        <f>'Entry Sheet'!U37</f>
        <v>13</v>
      </c>
      <c r="F312" s="846" t="s">
        <v>521</v>
      </c>
      <c r="BB312" s="314"/>
    </row>
    <row r="313" ht="15.75" customHeight="1">
      <c r="A313" s="585">
        <v>312.0</v>
      </c>
      <c r="B313" s="857" t="str">
        <f>Settings!$A$4</f>
        <v>POPEYES</v>
      </c>
      <c r="C313" s="842" t="s">
        <v>162</v>
      </c>
      <c r="D313" s="13" t="str">
        <f>'Entry Sheet'!T38</f>
        <v>PHI HC</v>
      </c>
      <c r="E313" s="13">
        <f>'Entry Sheet'!U38</f>
        <v>5</v>
      </c>
      <c r="F313" s="846" t="s">
        <v>521</v>
      </c>
      <c r="BB313" s="314"/>
    </row>
    <row r="314" ht="15.75" hidden="1" customHeight="1">
      <c r="A314" s="585">
        <v>313.0</v>
      </c>
      <c r="B314" s="857" t="str">
        <f>Settings!$A$4</f>
        <v>POPEYES</v>
      </c>
      <c r="C314" s="587" t="s">
        <v>100</v>
      </c>
      <c r="D314" s="13" t="str">
        <f>'Entry Sheet'!V26</f>
        <v>B. MAYFIELD</v>
      </c>
      <c r="E314" s="13">
        <f>'Entry Sheet'!W26</f>
        <v>19.32</v>
      </c>
      <c r="F314" s="589" t="s">
        <v>522</v>
      </c>
      <c r="BB314" s="314"/>
    </row>
    <row r="315" ht="15.75" hidden="1" customHeight="1">
      <c r="A315" s="585">
        <v>314.0</v>
      </c>
      <c r="B315" s="857" t="str">
        <f>Settings!$A$4</f>
        <v>POPEYES</v>
      </c>
      <c r="C315" s="596" t="s">
        <v>106</v>
      </c>
      <c r="D315" s="13" t="str">
        <f>'Entry Sheet'!V27</f>
        <v>D. ACHANE</v>
      </c>
      <c r="E315" s="13">
        <f>'Entry Sheet'!W27</f>
        <v>24.6</v>
      </c>
      <c r="F315" s="589" t="s">
        <v>522</v>
      </c>
      <c r="BB315" s="314"/>
    </row>
    <row r="316" ht="15.75" hidden="1" customHeight="1">
      <c r="A316" s="585">
        <v>315.0</v>
      </c>
      <c r="B316" s="857" t="str">
        <f>Settings!$A$4</f>
        <v>POPEYES</v>
      </c>
      <c r="C316" s="596" t="s">
        <v>106</v>
      </c>
      <c r="D316" s="13" t="str">
        <f>'Entry Sheet'!V28</f>
        <v>T. HENDERSON</v>
      </c>
      <c r="E316" s="13">
        <f>'Entry Sheet'!W28</f>
        <v>34.2</v>
      </c>
      <c r="F316" s="589" t="s">
        <v>522</v>
      </c>
      <c r="BB316" s="314"/>
    </row>
    <row r="317" ht="15.75" hidden="1" customHeight="1">
      <c r="A317" s="585">
        <v>316.0</v>
      </c>
      <c r="B317" s="857" t="str">
        <f>Settings!$A$4</f>
        <v>POPEYES</v>
      </c>
      <c r="C317" s="596" t="s">
        <v>106</v>
      </c>
      <c r="D317" s="13" t="str">
        <f>'Entry Sheet'!V29</f>
        <v/>
      </c>
      <c r="E317" s="13" t="str">
        <f>'Entry Sheet'!W29</f>
        <v/>
      </c>
      <c r="F317" s="589" t="s">
        <v>522</v>
      </c>
      <c r="BB317" s="314"/>
    </row>
    <row r="318" ht="15.75" hidden="1" customHeight="1">
      <c r="A318" s="585">
        <v>317.0</v>
      </c>
      <c r="B318" s="857" t="str">
        <f>Settings!$A$4</f>
        <v>POPEYES</v>
      </c>
      <c r="C318" s="712" t="s">
        <v>117</v>
      </c>
      <c r="D318" s="13" t="str">
        <f>'Entry Sheet'!V30</f>
        <v>J. JEFFERSON</v>
      </c>
      <c r="E318" s="13">
        <f>'Entry Sheet'!W30</f>
        <v>11.1</v>
      </c>
      <c r="F318" s="589" t="s">
        <v>522</v>
      </c>
      <c r="BB318" s="314"/>
    </row>
    <row r="319" ht="15.75" hidden="1" customHeight="1">
      <c r="A319" s="585">
        <v>318.0</v>
      </c>
      <c r="B319" s="857" t="str">
        <f>Settings!$A$4</f>
        <v>POPEYES</v>
      </c>
      <c r="C319" s="712" t="s">
        <v>117</v>
      </c>
      <c r="D319" s="13" t="str">
        <f>'Entry Sheet'!V31</f>
        <v>P. NACUA</v>
      </c>
      <c r="E319" s="13">
        <f>'Entry Sheet'!W31</f>
        <v>14.5</v>
      </c>
      <c r="F319" s="589" t="s">
        <v>522</v>
      </c>
      <c r="BB319" s="314"/>
    </row>
    <row r="320" ht="15.75" hidden="1" customHeight="1">
      <c r="A320" s="585">
        <v>319.0</v>
      </c>
      <c r="B320" s="857" t="str">
        <f>Settings!$A$4</f>
        <v>POPEYES</v>
      </c>
      <c r="C320" s="712" t="s">
        <v>117</v>
      </c>
      <c r="D320" s="13" t="str">
        <f>'Entry Sheet'!V32</f>
        <v>E. EGBUKA</v>
      </c>
      <c r="E320" s="13">
        <f>'Entry Sheet'!W32</f>
        <v>9</v>
      </c>
      <c r="F320" s="589" t="s">
        <v>522</v>
      </c>
      <c r="BB320" s="314"/>
    </row>
    <row r="321" ht="15.75" hidden="1" customHeight="1">
      <c r="A321" s="585">
        <v>320.0</v>
      </c>
      <c r="B321" s="857" t="str">
        <f>Settings!$A$4</f>
        <v>POPEYES</v>
      </c>
      <c r="C321" s="712" t="s">
        <v>117</v>
      </c>
      <c r="D321" s="13" t="str">
        <f>'Entry Sheet'!V33</f>
        <v/>
      </c>
      <c r="E321" s="13" t="str">
        <f>'Entry Sheet'!W33</f>
        <v/>
      </c>
      <c r="F321" s="589" t="s">
        <v>522</v>
      </c>
      <c r="BB321" s="314"/>
    </row>
    <row r="322" ht="15.75" hidden="1" customHeight="1">
      <c r="A322" s="585">
        <v>321.0</v>
      </c>
      <c r="B322" s="857" t="str">
        <f>Settings!$A$4</f>
        <v>POPEYES</v>
      </c>
      <c r="C322" s="764" t="s">
        <v>132</v>
      </c>
      <c r="D322" s="13" t="str">
        <f>'Entry Sheet'!V34</f>
        <v>D. SCHULTZ</v>
      </c>
      <c r="E322" s="13">
        <f>'Entry Sheet'!W34</f>
        <v>11.1</v>
      </c>
      <c r="F322" s="589" t="s">
        <v>522</v>
      </c>
      <c r="BB322" s="314"/>
    </row>
    <row r="323" ht="15.75" hidden="1" customHeight="1">
      <c r="A323" s="585">
        <v>322.0</v>
      </c>
      <c r="B323" s="857" t="str">
        <f>Settings!$A$4</f>
        <v>POPEYES</v>
      </c>
      <c r="C323" s="795" t="s">
        <v>136</v>
      </c>
      <c r="D323" s="13" t="str">
        <f>'Entry Sheet'!V35</f>
        <v>D. SMITH</v>
      </c>
      <c r="E323" s="13">
        <f>'Entry Sheet'!W35</f>
        <v>1.8</v>
      </c>
      <c r="F323" s="589" t="s">
        <v>522</v>
      </c>
      <c r="BB323" s="314"/>
    </row>
    <row r="324" ht="15.75" hidden="1" customHeight="1">
      <c r="A324" s="585">
        <v>323.0</v>
      </c>
      <c r="B324" s="857" t="str">
        <f>Settings!$A$4</f>
        <v>POPEYES</v>
      </c>
      <c r="C324" s="818" t="s">
        <v>139</v>
      </c>
      <c r="D324" s="13" t="str">
        <f>'Entry Sheet'!V36</f>
        <v>DAL D/ST</v>
      </c>
      <c r="E324" s="13">
        <f>'Entry Sheet'!W36</f>
        <v>23.67</v>
      </c>
      <c r="F324" s="589" t="s">
        <v>522</v>
      </c>
      <c r="BB324" s="314"/>
    </row>
    <row r="325" ht="15.75" hidden="1" customHeight="1">
      <c r="A325" s="585">
        <v>324.0</v>
      </c>
      <c r="B325" s="857" t="str">
        <f>Settings!$A$4</f>
        <v>POPEYES</v>
      </c>
      <c r="C325" s="833" t="s">
        <v>146</v>
      </c>
      <c r="D325" s="13" t="str">
        <f>'Entry Sheet'!V37</f>
        <v>T. LOOP</v>
      </c>
      <c r="E325" s="13">
        <f>'Entry Sheet'!W37</f>
        <v>12</v>
      </c>
      <c r="F325" s="589" t="s">
        <v>522</v>
      </c>
      <c r="BB325" s="314"/>
    </row>
    <row r="326" ht="15.75" hidden="1" customHeight="1">
      <c r="A326" s="585">
        <v>325.0</v>
      </c>
      <c r="B326" s="857" t="str">
        <f>Settings!$A$4</f>
        <v>POPEYES</v>
      </c>
      <c r="C326" s="842" t="s">
        <v>162</v>
      </c>
      <c r="D326" s="13" t="str">
        <f>'Entry Sheet'!V38</f>
        <v>PHI HC</v>
      </c>
      <c r="E326" s="13">
        <f>'Entry Sheet'!W38</f>
        <v>7.8</v>
      </c>
      <c r="F326" s="589" t="s">
        <v>522</v>
      </c>
      <c r="BB326" s="314"/>
    </row>
    <row r="327" ht="15.75" customHeight="1">
      <c r="A327" s="585">
        <v>326.0</v>
      </c>
      <c r="B327" s="857" t="str">
        <f>Settings!$A$4</f>
        <v>POPEYES</v>
      </c>
      <c r="C327" s="587" t="s">
        <v>100</v>
      </c>
      <c r="D327" s="13" t="str">
        <f>'Entry Sheet'!X26</f>
        <v>S. DARNOLD</v>
      </c>
      <c r="E327" s="13">
        <f>'Entry Sheet'!Y26</f>
        <v>22.96</v>
      </c>
      <c r="F327" s="846" t="s">
        <v>523</v>
      </c>
      <c r="BB327" s="314"/>
    </row>
    <row r="328" ht="15.75" customHeight="1">
      <c r="A328" s="585">
        <v>327.0</v>
      </c>
      <c r="B328" s="857" t="str">
        <f>Settings!$A$4</f>
        <v>POPEYES</v>
      </c>
      <c r="C328" s="596" t="s">
        <v>106</v>
      </c>
      <c r="D328" s="13" t="str">
        <f>'Entry Sheet'!X27</f>
        <v>K. WALKER</v>
      </c>
      <c r="E328" s="13">
        <f>'Entry Sheet'!Y27</f>
        <v>14.2</v>
      </c>
      <c r="F328" s="846" t="s">
        <v>523</v>
      </c>
      <c r="BB328" s="314"/>
    </row>
    <row r="329" ht="15.75" customHeight="1">
      <c r="A329" s="585">
        <v>328.0</v>
      </c>
      <c r="B329" s="857" t="str">
        <f>Settings!$A$4</f>
        <v>POPEYES</v>
      </c>
      <c r="C329" s="596" t="s">
        <v>106</v>
      </c>
      <c r="D329" s="13" t="str">
        <f>'Entry Sheet'!X28</f>
        <v>T. HENDERSON</v>
      </c>
      <c r="E329" s="13">
        <f>'Entry Sheet'!Y28</f>
        <v>12.9</v>
      </c>
      <c r="F329" s="846" t="s">
        <v>523</v>
      </c>
      <c r="BB329" s="314"/>
    </row>
    <row r="330" ht="15.75" customHeight="1">
      <c r="A330" s="585">
        <v>329.0</v>
      </c>
      <c r="B330" s="857" t="str">
        <f>Settings!$A$4</f>
        <v>POPEYES</v>
      </c>
      <c r="C330" s="596" t="s">
        <v>106</v>
      </c>
      <c r="D330" s="13" t="str">
        <f>'Entry Sheet'!X29</f>
        <v/>
      </c>
      <c r="E330" s="13" t="str">
        <f>'Entry Sheet'!Y29</f>
        <v/>
      </c>
      <c r="F330" s="846" t="s">
        <v>523</v>
      </c>
      <c r="BB330" s="314"/>
    </row>
    <row r="331" ht="15.75" customHeight="1">
      <c r="A331" s="585">
        <v>330.0</v>
      </c>
      <c r="B331" s="857" t="str">
        <f>Settings!$A$4</f>
        <v>POPEYES</v>
      </c>
      <c r="C331" s="712" t="s">
        <v>117</v>
      </c>
      <c r="D331" s="13" t="str">
        <f>'Entry Sheet'!X30</f>
        <v>J. JEFFERSON</v>
      </c>
      <c r="E331" s="13">
        <f>'Entry Sheet'!Y30</f>
        <v>8.8</v>
      </c>
      <c r="F331" s="846" t="s">
        <v>523</v>
      </c>
      <c r="BB331" s="314"/>
    </row>
    <row r="332" ht="15.75" customHeight="1">
      <c r="A332" s="585">
        <v>331.0</v>
      </c>
      <c r="B332" s="857" t="str">
        <f>Settings!$A$4</f>
        <v>POPEYES</v>
      </c>
      <c r="C332" s="712" t="s">
        <v>117</v>
      </c>
      <c r="D332" s="13" t="str">
        <f>'Entry Sheet'!X31</f>
        <v>P. NACUA</v>
      </c>
      <c r="E332" s="13">
        <f>'Entry Sheet'!Y31</f>
        <v>16.7</v>
      </c>
      <c r="F332" s="846" t="s">
        <v>523</v>
      </c>
      <c r="BB332" s="314"/>
    </row>
    <row r="333" ht="15.75" customHeight="1">
      <c r="A333" s="585">
        <v>332.0</v>
      </c>
      <c r="B333" s="857" t="str">
        <f>Settings!$A$4</f>
        <v>POPEYES</v>
      </c>
      <c r="C333" s="712" t="s">
        <v>117</v>
      </c>
      <c r="D333" s="13" t="str">
        <f>'Entry Sheet'!X32</f>
        <v>E. EGBUKA</v>
      </c>
      <c r="E333" s="13">
        <f>'Entry Sheet'!Y32</f>
        <v>6.2</v>
      </c>
      <c r="F333" s="846" t="s">
        <v>523</v>
      </c>
      <c r="BB333" s="314"/>
    </row>
    <row r="334" ht="15.75" customHeight="1">
      <c r="A334" s="585">
        <v>333.0</v>
      </c>
      <c r="B334" s="857" t="str">
        <f>Settings!$A$4</f>
        <v>POPEYES</v>
      </c>
      <c r="C334" s="712" t="s">
        <v>117</v>
      </c>
      <c r="D334" s="13" t="str">
        <f>'Entry Sheet'!X33</f>
        <v/>
      </c>
      <c r="E334" s="13" t="str">
        <f>'Entry Sheet'!Y33</f>
        <v/>
      </c>
      <c r="F334" s="846" t="s">
        <v>523</v>
      </c>
      <c r="BB334" s="314"/>
    </row>
    <row r="335" ht="15.75" customHeight="1">
      <c r="A335" s="585">
        <v>334.0</v>
      </c>
      <c r="B335" s="857" t="str">
        <f>Settings!$A$4</f>
        <v>POPEYES</v>
      </c>
      <c r="C335" s="764" t="s">
        <v>132</v>
      </c>
      <c r="D335" s="13" t="str">
        <f>'Entry Sheet'!X34</f>
        <v>K. PITTS</v>
      </c>
      <c r="E335" s="13">
        <f>'Entry Sheet'!Y34</f>
        <v>4.5</v>
      </c>
      <c r="F335" s="846" t="s">
        <v>523</v>
      </c>
      <c r="BB335" s="314"/>
    </row>
    <row r="336" ht="15.75" customHeight="1">
      <c r="A336" s="585">
        <v>335.0</v>
      </c>
      <c r="B336" s="857" t="str">
        <f>Settings!$A$4</f>
        <v>POPEYES</v>
      </c>
      <c r="C336" s="795" t="s">
        <v>136</v>
      </c>
      <c r="D336" s="13" t="str">
        <f>'Entry Sheet'!X35</f>
        <v>D. SMITH</v>
      </c>
      <c r="E336" s="13">
        <f>'Entry Sheet'!Y35</f>
        <v>14.9</v>
      </c>
      <c r="F336" s="846" t="s">
        <v>523</v>
      </c>
      <c r="BB336" s="314"/>
    </row>
    <row r="337" ht="15.75" customHeight="1">
      <c r="A337" s="585">
        <v>336.0</v>
      </c>
      <c r="B337" s="857" t="str">
        <f>Settings!$A$4</f>
        <v>POPEYES</v>
      </c>
      <c r="C337" s="818" t="s">
        <v>139</v>
      </c>
      <c r="D337" s="13" t="str">
        <f>'Entry Sheet'!X36</f>
        <v>CLE D/ST</v>
      </c>
      <c r="E337" s="13">
        <f>'Entry Sheet'!Y36</f>
        <v>39.18</v>
      </c>
      <c r="F337" s="846" t="s">
        <v>523</v>
      </c>
      <c r="BB337" s="314"/>
    </row>
    <row r="338" ht="15.75" customHeight="1">
      <c r="A338" s="585">
        <v>337.0</v>
      </c>
      <c r="B338" s="857" t="str">
        <f>Settings!$A$4</f>
        <v>POPEYES</v>
      </c>
      <c r="C338" s="833" t="s">
        <v>146</v>
      </c>
      <c r="D338" s="13" t="str">
        <f>'Entry Sheet'!X37</f>
        <v>T. LOOP</v>
      </c>
      <c r="E338" s="13">
        <f>'Entry Sheet'!Y37</f>
        <v>11</v>
      </c>
      <c r="F338" s="846" t="s">
        <v>523</v>
      </c>
      <c r="BB338" s="314"/>
    </row>
    <row r="339" ht="15.75" customHeight="1">
      <c r="A339" s="585">
        <v>338.0</v>
      </c>
      <c r="B339" s="857" t="str">
        <f>Settings!$A$4</f>
        <v>POPEYES</v>
      </c>
      <c r="C339" s="842" t="s">
        <v>162</v>
      </c>
      <c r="D339" s="13" t="str">
        <f>'Entry Sheet'!X38</f>
        <v>PHI HC</v>
      </c>
      <c r="E339" s="13">
        <f>'Entry Sheet'!Y38</f>
        <v>4.3</v>
      </c>
      <c r="F339" s="846" t="s">
        <v>523</v>
      </c>
      <c r="BB339" s="314"/>
    </row>
    <row r="340" ht="15.75" customHeight="1">
      <c r="A340" s="585">
        <v>339.0</v>
      </c>
      <c r="B340" s="857" t="str">
        <f>Settings!$A$4</f>
        <v>POPEYES</v>
      </c>
      <c r="C340" s="587" t="s">
        <v>100</v>
      </c>
      <c r="D340" s="13" t="str">
        <f>'Entry Sheet'!Z26</f>
        <v>S. DARNOLD</v>
      </c>
      <c r="E340" s="13">
        <f>'Entry Sheet'!AA26</f>
        <v>3.52</v>
      </c>
      <c r="F340" s="589" t="s">
        <v>524</v>
      </c>
      <c r="BB340" s="314"/>
    </row>
    <row r="341" ht="15.75" customHeight="1">
      <c r="A341" s="585">
        <v>340.0</v>
      </c>
      <c r="B341" s="857" t="str">
        <f>Settings!$A$4</f>
        <v>POPEYES</v>
      </c>
      <c r="C341" s="596" t="s">
        <v>106</v>
      </c>
      <c r="D341" s="13" t="str">
        <f>'Entry Sheet'!Z27</f>
        <v>D. ACHANE</v>
      </c>
      <c r="E341" s="13">
        <f>'Entry Sheet'!AA27</f>
        <v>22.6</v>
      </c>
      <c r="F341" s="589" t="s">
        <v>524</v>
      </c>
      <c r="BB341" s="314"/>
    </row>
    <row r="342" ht="15.75" customHeight="1">
      <c r="A342" s="585">
        <v>341.0</v>
      </c>
      <c r="B342" s="857" t="str">
        <f>Settings!$A$4</f>
        <v>POPEYES</v>
      </c>
      <c r="C342" s="596" t="s">
        <v>106</v>
      </c>
      <c r="D342" s="13" t="str">
        <f>'Entry Sheet'!Z28</f>
        <v>T. HENDERSON</v>
      </c>
      <c r="E342" s="13">
        <f>'Entry Sheet'!AA28</f>
        <v>12.7</v>
      </c>
      <c r="F342" s="589" t="s">
        <v>524</v>
      </c>
      <c r="BB342" s="314"/>
    </row>
    <row r="343" ht="15.75" customHeight="1">
      <c r="A343" s="585">
        <v>342.0</v>
      </c>
      <c r="B343" s="857" t="str">
        <f>Settings!$A$4</f>
        <v>POPEYES</v>
      </c>
      <c r="C343" s="596" t="s">
        <v>106</v>
      </c>
      <c r="D343" s="13" t="str">
        <f>'Entry Sheet'!Z29</f>
        <v/>
      </c>
      <c r="E343" s="13" t="str">
        <f>'Entry Sheet'!AA29</f>
        <v/>
      </c>
      <c r="F343" s="589" t="s">
        <v>524</v>
      </c>
      <c r="BB343" s="314"/>
    </row>
    <row r="344" ht="15.75" customHeight="1">
      <c r="A344" s="585">
        <v>343.0</v>
      </c>
      <c r="B344" s="857" t="str">
        <f>Settings!$A$4</f>
        <v>POPEYES</v>
      </c>
      <c r="C344" s="712" t="s">
        <v>117</v>
      </c>
      <c r="D344" s="13" t="str">
        <f>'Entry Sheet'!Z30</f>
        <v>J. JEFFERSON</v>
      </c>
      <c r="E344" s="13">
        <f>'Entry Sheet'!AA30</f>
        <v>2.4</v>
      </c>
      <c r="F344" s="589" t="s">
        <v>524</v>
      </c>
      <c r="BB344" s="314"/>
    </row>
    <row r="345" ht="15.75" customHeight="1">
      <c r="A345" s="585">
        <v>344.0</v>
      </c>
      <c r="B345" s="857" t="str">
        <f>Settings!$A$4</f>
        <v>POPEYES</v>
      </c>
      <c r="C345" s="712" t="s">
        <v>117</v>
      </c>
      <c r="D345" s="13" t="str">
        <f>'Entry Sheet'!Z31</f>
        <v>P. NACUA</v>
      </c>
      <c r="E345" s="13">
        <f>'Entry Sheet'!AA31</f>
        <v>13.2</v>
      </c>
      <c r="F345" s="589" t="s">
        <v>524</v>
      </c>
      <c r="BB345" s="314"/>
    </row>
    <row r="346" ht="15.75" customHeight="1">
      <c r="A346" s="585">
        <v>345.0</v>
      </c>
      <c r="B346" s="857" t="str">
        <f>Settings!$A$4</f>
        <v>POPEYES</v>
      </c>
      <c r="C346" s="712" t="s">
        <v>117</v>
      </c>
      <c r="D346" s="13" t="str">
        <f>'Entry Sheet'!Z32</f>
        <v>E. EGBUKA</v>
      </c>
      <c r="E346" s="13">
        <f>'Entry Sheet'!AA32</f>
        <v>8.2</v>
      </c>
      <c r="F346" s="589" t="s">
        <v>524</v>
      </c>
      <c r="BB346" s="314"/>
    </row>
    <row r="347" ht="15.75" customHeight="1">
      <c r="A347" s="585">
        <v>346.0</v>
      </c>
      <c r="B347" s="857" t="str">
        <f>Settings!$A$4</f>
        <v>POPEYES</v>
      </c>
      <c r="C347" s="712" t="s">
        <v>117</v>
      </c>
      <c r="D347" s="13" t="str">
        <f>'Entry Sheet'!Z33</f>
        <v/>
      </c>
      <c r="E347" s="13" t="str">
        <f>'Entry Sheet'!AA33</f>
        <v/>
      </c>
      <c r="F347" s="589" t="s">
        <v>524</v>
      </c>
      <c r="BB347" s="314"/>
    </row>
    <row r="348" ht="15.75" customHeight="1">
      <c r="A348" s="585">
        <v>347.0</v>
      </c>
      <c r="B348" s="857" t="str">
        <f>Settings!$A$4</f>
        <v>POPEYES</v>
      </c>
      <c r="C348" s="764" t="s">
        <v>132</v>
      </c>
      <c r="D348" s="13" t="str">
        <f>'Entry Sheet'!Z34</f>
        <v>K. PITTS</v>
      </c>
      <c r="E348" s="13">
        <f>'Entry Sheet'!AA34</f>
        <v>15.2</v>
      </c>
      <c r="F348" s="589" t="s">
        <v>524</v>
      </c>
      <c r="BB348" s="314"/>
    </row>
    <row r="349" ht="15.75" customHeight="1">
      <c r="A349" s="585">
        <v>348.0</v>
      </c>
      <c r="B349" s="857" t="str">
        <f>Settings!$A$4</f>
        <v>POPEYES</v>
      </c>
      <c r="C349" s="795" t="s">
        <v>136</v>
      </c>
      <c r="D349" s="13" t="str">
        <f>'Entry Sheet'!Z35</f>
        <v>D. SMITH</v>
      </c>
      <c r="E349" s="13">
        <f>'Entry Sheet'!AA35</f>
        <v>9.8</v>
      </c>
      <c r="F349" s="589" t="s">
        <v>524</v>
      </c>
      <c r="BB349" s="314"/>
    </row>
    <row r="350" ht="15.75" customHeight="1">
      <c r="A350" s="585">
        <v>349.0</v>
      </c>
      <c r="B350" s="857" t="str">
        <f>Settings!$A$4</f>
        <v>POPEYES</v>
      </c>
      <c r="C350" s="818" t="s">
        <v>139</v>
      </c>
      <c r="D350" s="13" t="str">
        <f>'Entry Sheet'!Z36</f>
        <v>IND D/ST</v>
      </c>
      <c r="E350" s="13">
        <f>'Entry Sheet'!AA36</f>
        <v>11.37</v>
      </c>
      <c r="F350" s="589" t="s">
        <v>524</v>
      </c>
      <c r="BB350" s="314"/>
    </row>
    <row r="351" ht="15.75" customHeight="1">
      <c r="A351" s="585">
        <v>350.0</v>
      </c>
      <c r="B351" s="857" t="str">
        <f>Settings!$A$4</f>
        <v>POPEYES</v>
      </c>
      <c r="C351" s="833" t="s">
        <v>146</v>
      </c>
      <c r="D351" s="13" t="str">
        <f>'Entry Sheet'!Z37</f>
        <v>T. LOOP</v>
      </c>
      <c r="E351" s="13">
        <f>'Entry Sheet'!AA37</f>
        <v>2</v>
      </c>
      <c r="F351" s="589" t="s">
        <v>524</v>
      </c>
      <c r="BB351" s="314"/>
    </row>
    <row r="352" ht="15.75" customHeight="1">
      <c r="A352" s="585">
        <v>351.0</v>
      </c>
      <c r="B352" s="857" t="str">
        <f>Settings!$A$4</f>
        <v>POPEYES</v>
      </c>
      <c r="C352" s="842" t="s">
        <v>162</v>
      </c>
      <c r="D352" s="13" t="str">
        <f>'Entry Sheet'!Z38</f>
        <v>PHI HC</v>
      </c>
      <c r="E352" s="13">
        <f>'Entry Sheet'!AA38</f>
        <v>1.5</v>
      </c>
      <c r="F352" s="589" t="s">
        <v>524</v>
      </c>
      <c r="BB352" s="314"/>
    </row>
    <row r="353" ht="15.75" customHeight="1">
      <c r="A353" s="585">
        <v>352.0</v>
      </c>
      <c r="B353" s="857" t="str">
        <f>Settings!$A$4</f>
        <v>POPEYES</v>
      </c>
      <c r="C353" s="587" t="s">
        <v>100</v>
      </c>
      <c r="D353" s="13" t="str">
        <f>'Entry Sheet'!AB26</f>
        <v>B. MAYFIELD</v>
      </c>
      <c r="E353" s="13">
        <f>'Entry Sheet'!AC26</f>
        <v>12.48</v>
      </c>
      <c r="F353" s="846" t="s">
        <v>525</v>
      </c>
      <c r="BB353" s="314"/>
    </row>
    <row r="354" ht="15.75" customHeight="1">
      <c r="A354" s="585">
        <v>353.0</v>
      </c>
      <c r="B354" s="857" t="str">
        <f>Settings!$A$4</f>
        <v>POPEYES</v>
      </c>
      <c r="C354" s="596" t="s">
        <v>106</v>
      </c>
      <c r="D354" s="13" t="str">
        <f>'Entry Sheet'!AB27</f>
        <v>D. ACHANE</v>
      </c>
      <c r="E354" s="13">
        <f>'Entry Sheet'!AC27</f>
        <v>18.2</v>
      </c>
      <c r="F354" s="846" t="s">
        <v>525</v>
      </c>
      <c r="BB354" s="314"/>
    </row>
    <row r="355" ht="15.75" customHeight="1">
      <c r="A355" s="585">
        <v>354.0</v>
      </c>
      <c r="B355" s="857" t="str">
        <f>Settings!$A$4</f>
        <v>POPEYES</v>
      </c>
      <c r="C355" s="596" t="s">
        <v>106</v>
      </c>
      <c r="D355" s="13" t="str">
        <f>'Entry Sheet'!AB28</f>
        <v>K. WALKER</v>
      </c>
      <c r="E355" s="13">
        <f>'Entry Sheet'!AC28</f>
        <v>4.8</v>
      </c>
      <c r="F355" s="846" t="s">
        <v>525</v>
      </c>
      <c r="BB355" s="314"/>
    </row>
    <row r="356" ht="15.75" customHeight="1">
      <c r="A356" s="585">
        <v>355.0</v>
      </c>
      <c r="B356" s="857" t="str">
        <f>Settings!$A$4</f>
        <v>POPEYES</v>
      </c>
      <c r="C356" s="596" t="s">
        <v>106</v>
      </c>
      <c r="D356" s="13" t="str">
        <f>'Entry Sheet'!AB29</f>
        <v/>
      </c>
      <c r="E356" s="13" t="str">
        <f>'Entry Sheet'!AC29</f>
        <v/>
      </c>
      <c r="F356" s="846" t="s">
        <v>525</v>
      </c>
      <c r="BB356" s="314"/>
    </row>
    <row r="357" ht="15.75" customHeight="1">
      <c r="A357" s="585">
        <v>356.0</v>
      </c>
      <c r="B357" s="857" t="str">
        <f>Settings!$A$4</f>
        <v>POPEYES</v>
      </c>
      <c r="C357" s="712" t="s">
        <v>117</v>
      </c>
      <c r="D357" s="13" t="str">
        <f>'Entry Sheet'!AB30</f>
        <v>J. JEFFERSON</v>
      </c>
      <c r="E357" s="13">
        <f>'Entry Sheet'!AC30</f>
        <v>3.1</v>
      </c>
      <c r="F357" s="846" t="s">
        <v>525</v>
      </c>
      <c r="BB357" s="314"/>
    </row>
    <row r="358" ht="15.75" customHeight="1">
      <c r="A358" s="585">
        <v>357.0</v>
      </c>
      <c r="B358" s="857" t="str">
        <f>Settings!$A$4</f>
        <v>POPEYES</v>
      </c>
      <c r="C358" s="712" t="s">
        <v>117</v>
      </c>
      <c r="D358" s="13" t="str">
        <f>'Entry Sheet'!AB31</f>
        <v>P. NACUA</v>
      </c>
      <c r="E358" s="13">
        <f>'Entry Sheet'!AC31</f>
        <v>36.7</v>
      </c>
      <c r="F358" s="846" t="s">
        <v>525</v>
      </c>
      <c r="BB358" s="314"/>
    </row>
    <row r="359" ht="15.75" customHeight="1">
      <c r="A359" s="585">
        <v>358.0</v>
      </c>
      <c r="B359" s="857" t="str">
        <f>Settings!$A$4</f>
        <v>POPEYES</v>
      </c>
      <c r="C359" s="712" t="s">
        <v>117</v>
      </c>
      <c r="D359" s="13" t="str">
        <f>'Entry Sheet'!AB32</f>
        <v>E. EGBUKA</v>
      </c>
      <c r="E359" s="13">
        <f>'Entry Sheet'!AC32</f>
        <v>3.5</v>
      </c>
      <c r="F359" s="846" t="s">
        <v>525</v>
      </c>
      <c r="BB359" s="314"/>
    </row>
    <row r="360" ht="15.75" customHeight="1">
      <c r="A360" s="585">
        <v>359.0</v>
      </c>
      <c r="B360" s="857" t="str">
        <f>Settings!$A$4</f>
        <v>POPEYES</v>
      </c>
      <c r="C360" s="712" t="s">
        <v>117</v>
      </c>
      <c r="D360" s="13" t="str">
        <f>'Entry Sheet'!AB33</f>
        <v/>
      </c>
      <c r="E360" s="13" t="str">
        <f>'Entry Sheet'!AC33</f>
        <v/>
      </c>
      <c r="F360" s="846" t="s">
        <v>525</v>
      </c>
      <c r="BB360" s="314"/>
    </row>
    <row r="361" ht="15.75" customHeight="1">
      <c r="A361" s="585">
        <v>360.0</v>
      </c>
      <c r="B361" s="857" t="str">
        <f>Settings!$A$4</f>
        <v>POPEYES</v>
      </c>
      <c r="C361" s="764" t="s">
        <v>132</v>
      </c>
      <c r="D361" s="13" t="str">
        <f>'Entry Sheet'!AB34</f>
        <v>H. FANNIN</v>
      </c>
      <c r="E361" s="13">
        <f>'Entry Sheet'!AC34</f>
        <v>26.4</v>
      </c>
      <c r="F361" s="846" t="s">
        <v>525</v>
      </c>
      <c r="BB361" s="314"/>
    </row>
    <row r="362" ht="15.75" customHeight="1">
      <c r="A362" s="585">
        <v>361.0</v>
      </c>
      <c r="B362" s="857" t="str">
        <f>Settings!$A$4</f>
        <v>POPEYES</v>
      </c>
      <c r="C362" s="795" t="s">
        <v>136</v>
      </c>
      <c r="D362" s="13" t="str">
        <f>'Entry Sheet'!AB35</f>
        <v>D. NEAL</v>
      </c>
      <c r="E362" s="13">
        <f>'Entry Sheet'!AC35</f>
        <v>17.3</v>
      </c>
      <c r="F362" s="846" t="s">
        <v>525</v>
      </c>
      <c r="BB362" s="314"/>
    </row>
    <row r="363" ht="15.75" customHeight="1">
      <c r="A363" s="585">
        <v>362.0</v>
      </c>
      <c r="B363" s="857" t="str">
        <f>Settings!$A$4</f>
        <v>POPEYES</v>
      </c>
      <c r="C363" s="818" t="s">
        <v>139</v>
      </c>
      <c r="D363" s="13" t="str">
        <f>'Entry Sheet'!AB36</f>
        <v>CLE D/ST</v>
      </c>
      <c r="E363" s="13">
        <f>'Entry Sheet'!AC36</f>
        <v>10.93</v>
      </c>
      <c r="F363" s="846" t="s">
        <v>525</v>
      </c>
      <c r="BB363" s="314"/>
    </row>
    <row r="364" ht="15.75" customHeight="1">
      <c r="A364" s="585">
        <v>363.0</v>
      </c>
      <c r="B364" s="857" t="str">
        <f>Settings!$A$4</f>
        <v>POPEYES</v>
      </c>
      <c r="C364" s="833" t="s">
        <v>146</v>
      </c>
      <c r="D364" s="13" t="str">
        <f>'Entry Sheet'!AB37</f>
        <v>T. LOOP</v>
      </c>
      <c r="E364" s="13">
        <f>'Entry Sheet'!AC37</f>
        <v>10</v>
      </c>
      <c r="F364" s="846" t="s">
        <v>525</v>
      </c>
      <c r="BB364" s="314"/>
    </row>
    <row r="365" ht="15.75" customHeight="1">
      <c r="A365" s="585">
        <v>364.0</v>
      </c>
      <c r="B365" s="857" t="str">
        <f>Settings!$A$4</f>
        <v>POPEYES</v>
      </c>
      <c r="C365" s="842" t="s">
        <v>162</v>
      </c>
      <c r="D365" s="13" t="str">
        <f>'Entry Sheet'!AB38</f>
        <v>DEN HC</v>
      </c>
      <c r="E365" s="13">
        <f>'Entry Sheet'!AC38</f>
        <v>10.2</v>
      </c>
      <c r="F365" s="846" t="s">
        <v>525</v>
      </c>
      <c r="BB365" s="314"/>
    </row>
    <row r="366" ht="15.75" customHeight="1">
      <c r="A366" s="585">
        <v>365.0</v>
      </c>
      <c r="B366" s="859" t="str">
        <f>Settings!$A$5</f>
        <v>GREEN</v>
      </c>
      <c r="C366" s="587" t="s">
        <v>100</v>
      </c>
      <c r="D366" s="13" t="str">
        <f>'Entry Sheet'!B47</f>
        <v>B. NIX</v>
      </c>
      <c r="E366" s="13">
        <f>'Entry Sheet'!C47</f>
        <v>10.04</v>
      </c>
      <c r="F366" s="589" t="s">
        <v>512</v>
      </c>
      <c r="BB366" s="314"/>
    </row>
    <row r="367" ht="15.75" customHeight="1">
      <c r="A367" s="585">
        <v>366.0</v>
      </c>
      <c r="B367" s="859" t="str">
        <f>Settings!$A$5</f>
        <v>GREEN</v>
      </c>
      <c r="C367" s="596" t="s">
        <v>106</v>
      </c>
      <c r="D367" s="13" t="str">
        <f>'Entry Sheet'!B48</f>
        <v>B. ROBINSON</v>
      </c>
      <c r="E367" s="13">
        <f>'Entry Sheet'!C48</f>
        <v>26.6</v>
      </c>
      <c r="F367" s="589" t="s">
        <v>512</v>
      </c>
      <c r="BB367" s="314"/>
    </row>
    <row r="368" ht="15.75" customHeight="1">
      <c r="A368" s="585">
        <v>367.0</v>
      </c>
      <c r="B368" s="859" t="str">
        <f>Settings!$A$5</f>
        <v>GREEN</v>
      </c>
      <c r="C368" s="596" t="s">
        <v>106</v>
      </c>
      <c r="D368" s="13" t="str">
        <f>'Entry Sheet'!B49</f>
        <v>J. TAYLOR</v>
      </c>
      <c r="E368" s="13">
        <f>'Entry Sheet'!C49</f>
        <v>14.6</v>
      </c>
      <c r="F368" s="589" t="s">
        <v>512</v>
      </c>
      <c r="BB368" s="314"/>
    </row>
    <row r="369" ht="15.75" customHeight="1">
      <c r="A369" s="585">
        <v>368.0</v>
      </c>
      <c r="B369" s="859" t="str">
        <f>Settings!$A$5</f>
        <v>GREEN</v>
      </c>
      <c r="C369" s="596" t="s">
        <v>106</v>
      </c>
      <c r="D369" s="13" t="str">
        <f>'Entry Sheet'!B50</f>
        <v/>
      </c>
      <c r="E369" s="13" t="str">
        <f>'Entry Sheet'!C50</f>
        <v/>
      </c>
      <c r="F369" s="589" t="s">
        <v>512</v>
      </c>
      <c r="BB369" s="314"/>
    </row>
    <row r="370" ht="15.75" customHeight="1">
      <c r="A370" s="585">
        <v>369.0</v>
      </c>
      <c r="B370" s="859" t="str">
        <f>Settings!$A$5</f>
        <v>GREEN</v>
      </c>
      <c r="C370" s="712" t="s">
        <v>117</v>
      </c>
      <c r="D370" s="13" t="str">
        <f>'Entry Sheet'!B51</f>
        <v>A. BROWN</v>
      </c>
      <c r="E370" s="13">
        <f>'Entry Sheet'!C51</f>
        <v>1.8</v>
      </c>
      <c r="F370" s="589" t="s">
        <v>512</v>
      </c>
      <c r="BB370" s="314"/>
    </row>
    <row r="371" ht="15.75" customHeight="1">
      <c r="A371" s="585">
        <v>370.0</v>
      </c>
      <c r="B371" s="859" t="str">
        <f>Settings!$A$5</f>
        <v>GREEN</v>
      </c>
      <c r="C371" s="712" t="s">
        <v>117</v>
      </c>
      <c r="D371" s="13" t="str">
        <f>'Entry Sheet'!B52</f>
        <v>J. WADDLE</v>
      </c>
      <c r="E371" s="13">
        <f>'Entry Sheet'!C52</f>
        <v>7</v>
      </c>
      <c r="F371" s="589" t="s">
        <v>512</v>
      </c>
      <c r="BB371" s="314"/>
    </row>
    <row r="372" ht="15.75" customHeight="1">
      <c r="A372" s="585">
        <v>371.0</v>
      </c>
      <c r="B372" s="859" t="str">
        <f>Settings!$A$5</f>
        <v>GREEN</v>
      </c>
      <c r="C372" s="712" t="s">
        <v>117</v>
      </c>
      <c r="D372" s="13" t="str">
        <f>'Entry Sheet'!B53</f>
        <v>C. SUTTON</v>
      </c>
      <c r="E372" s="13">
        <f>'Entry Sheet'!C53</f>
        <v>18.1</v>
      </c>
      <c r="F372" s="589" t="s">
        <v>512</v>
      </c>
      <c r="BB372" s="314"/>
    </row>
    <row r="373" ht="15.75" customHeight="1">
      <c r="A373" s="585">
        <v>372.0</v>
      </c>
      <c r="B373" s="859" t="str">
        <f>Settings!$A$5</f>
        <v>GREEN</v>
      </c>
      <c r="C373" s="712" t="s">
        <v>117</v>
      </c>
      <c r="D373" s="13" t="str">
        <f>'Entry Sheet'!B54</f>
        <v/>
      </c>
      <c r="E373" s="13" t="str">
        <f>'Entry Sheet'!C54</f>
        <v/>
      </c>
      <c r="F373" s="589" t="s">
        <v>512</v>
      </c>
      <c r="BB373" s="314"/>
    </row>
    <row r="374" ht="15.75" customHeight="1">
      <c r="A374" s="585">
        <v>373.0</v>
      </c>
      <c r="B374" s="859" t="str">
        <f>Settings!$A$5</f>
        <v>GREEN</v>
      </c>
      <c r="C374" s="764" t="s">
        <v>132</v>
      </c>
      <c r="D374" s="13" t="str">
        <f>'Entry Sheet'!B55</f>
        <v>S. LAPORTA</v>
      </c>
      <c r="E374" s="13">
        <f>'Entry Sheet'!C55</f>
        <v>13.9</v>
      </c>
      <c r="F374" s="589" t="s">
        <v>512</v>
      </c>
      <c r="BB374" s="314"/>
    </row>
    <row r="375" ht="15.75" customHeight="1">
      <c r="A375" s="585">
        <v>374.0</v>
      </c>
      <c r="B375" s="859" t="str">
        <f>Settings!$A$5</f>
        <v>GREEN</v>
      </c>
      <c r="C375" s="795" t="s">
        <v>136</v>
      </c>
      <c r="D375" s="13" t="str">
        <f>'Entry Sheet'!B56</f>
        <v>J. WARREN</v>
      </c>
      <c r="E375" s="13">
        <f>'Entry Sheet'!C56</f>
        <v>15</v>
      </c>
      <c r="F375" s="589" t="s">
        <v>512</v>
      </c>
      <c r="BB375" s="314"/>
    </row>
    <row r="376" ht="15.75" customHeight="1">
      <c r="A376" s="585">
        <v>375.0</v>
      </c>
      <c r="B376" s="859" t="str">
        <f>Settings!$A$5</f>
        <v>GREEN</v>
      </c>
      <c r="C376" s="818" t="s">
        <v>139</v>
      </c>
      <c r="D376" s="13" t="str">
        <f>'Entry Sheet'!B57</f>
        <v>TB D/ST</v>
      </c>
      <c r="E376" s="13">
        <f>'Entry Sheet'!C57</f>
        <v>8.37</v>
      </c>
      <c r="F376" s="589" t="s">
        <v>512</v>
      </c>
      <c r="BB376" s="314"/>
    </row>
    <row r="377" ht="15.75" customHeight="1">
      <c r="A377" s="585">
        <v>376.0</v>
      </c>
      <c r="B377" s="859" t="str">
        <f>Settings!$A$5</f>
        <v>GREEN</v>
      </c>
      <c r="C377" s="833" t="s">
        <v>146</v>
      </c>
      <c r="D377" s="13" t="str">
        <f>'Entry Sheet'!B58</f>
        <v>J. MYERS</v>
      </c>
      <c r="E377" s="13">
        <f>'Entry Sheet'!C58</f>
        <v>8</v>
      </c>
      <c r="F377" s="589" t="s">
        <v>512</v>
      </c>
      <c r="BB377" s="314"/>
    </row>
    <row r="378" ht="15.75" customHeight="1">
      <c r="A378" s="585">
        <v>377.0</v>
      </c>
      <c r="B378" s="859" t="str">
        <f>Settings!$A$5</f>
        <v>GREEN</v>
      </c>
      <c r="C378" s="842" t="s">
        <v>162</v>
      </c>
      <c r="D378" s="13" t="str">
        <f>'Entry Sheet'!B59</f>
        <v>TB HC</v>
      </c>
      <c r="E378" s="13">
        <f>'Entry Sheet'!C59</f>
        <v>8.9</v>
      </c>
      <c r="F378" s="589" t="s">
        <v>512</v>
      </c>
      <c r="BB378" s="314"/>
    </row>
    <row r="379" ht="15.75" customHeight="1">
      <c r="A379" s="585">
        <v>378.0</v>
      </c>
      <c r="B379" s="859" t="str">
        <f>Settings!$A$5</f>
        <v>GREEN</v>
      </c>
      <c r="C379" s="587" t="s">
        <v>100</v>
      </c>
      <c r="D379" s="13" t="str">
        <f>'Entry Sheet'!D47</f>
        <v>J. MCCARTHY</v>
      </c>
      <c r="E379" s="13">
        <f>'Entry Sheet'!E47</f>
        <v>1.92</v>
      </c>
      <c r="F379" s="846" t="s">
        <v>513</v>
      </c>
      <c r="BB379" s="314"/>
    </row>
    <row r="380" ht="15.75" customHeight="1">
      <c r="A380" s="585">
        <v>379.0</v>
      </c>
      <c r="B380" s="859" t="str">
        <f>Settings!$A$5</f>
        <v>GREEN</v>
      </c>
      <c r="C380" s="596" t="s">
        <v>106</v>
      </c>
      <c r="D380" s="13" t="str">
        <f>'Entry Sheet'!D48</f>
        <v>B. ROBINSON</v>
      </c>
      <c r="E380" s="13">
        <f>'Entry Sheet'!E48</f>
        <v>23</v>
      </c>
      <c r="F380" s="846" t="s">
        <v>513</v>
      </c>
      <c r="BB380" s="314"/>
    </row>
    <row r="381" ht="15.75" customHeight="1">
      <c r="A381" s="585">
        <v>380.0</v>
      </c>
      <c r="B381" s="859" t="str">
        <f>Settings!$A$5</f>
        <v>GREEN</v>
      </c>
      <c r="C381" s="596" t="s">
        <v>106</v>
      </c>
      <c r="D381" s="13" t="str">
        <f>'Entry Sheet'!D49</f>
        <v>J. TAYLOR</v>
      </c>
      <c r="E381" s="13">
        <f>'Entry Sheet'!E49</f>
        <v>33</v>
      </c>
      <c r="F381" s="846" t="s">
        <v>513</v>
      </c>
      <c r="BB381" s="314"/>
    </row>
    <row r="382" ht="15.75" customHeight="1">
      <c r="A382" s="585">
        <v>381.0</v>
      </c>
      <c r="B382" s="859" t="str">
        <f>Settings!$A$5</f>
        <v>GREEN</v>
      </c>
      <c r="C382" s="596" t="s">
        <v>106</v>
      </c>
      <c r="D382" s="13" t="str">
        <f>'Entry Sheet'!D50</f>
        <v/>
      </c>
      <c r="E382" s="13" t="str">
        <f>'Entry Sheet'!E50</f>
        <v/>
      </c>
      <c r="F382" s="846" t="s">
        <v>513</v>
      </c>
      <c r="BB382" s="314"/>
    </row>
    <row r="383" ht="15.75" customHeight="1">
      <c r="A383" s="585">
        <v>382.0</v>
      </c>
      <c r="B383" s="859" t="str">
        <f>Settings!$A$5</f>
        <v>GREEN</v>
      </c>
      <c r="C383" s="712" t="s">
        <v>117</v>
      </c>
      <c r="D383" s="13" t="str">
        <f>'Entry Sheet'!D51</f>
        <v>A. BROWN</v>
      </c>
      <c r="E383" s="13">
        <f>'Entry Sheet'!E51</f>
        <v>7.7</v>
      </c>
      <c r="F383" s="846" t="s">
        <v>513</v>
      </c>
      <c r="BB383" s="314"/>
    </row>
    <row r="384" ht="15.75" customHeight="1">
      <c r="A384" s="585">
        <v>383.0</v>
      </c>
      <c r="B384" s="859" t="str">
        <f>Settings!$A$5</f>
        <v>GREEN</v>
      </c>
      <c r="C384" s="712" t="s">
        <v>117</v>
      </c>
      <c r="D384" s="13" t="str">
        <f>'Entry Sheet'!D52</f>
        <v>T. MCMILLAN</v>
      </c>
      <c r="E384" s="13">
        <f>'Entry Sheet'!E52</f>
        <v>17</v>
      </c>
      <c r="F384" s="846" t="s">
        <v>513</v>
      </c>
      <c r="BB384" s="314"/>
    </row>
    <row r="385" ht="15.75" customHeight="1">
      <c r="A385" s="585">
        <v>384.0</v>
      </c>
      <c r="B385" s="859" t="str">
        <f>Settings!$A$5</f>
        <v>GREEN</v>
      </c>
      <c r="C385" s="712" t="s">
        <v>117</v>
      </c>
      <c r="D385" s="13" t="str">
        <f>'Entry Sheet'!D53</f>
        <v>C. SUTTON</v>
      </c>
      <c r="E385" s="13">
        <f>'Entry Sheet'!E53</f>
        <v>1.6</v>
      </c>
      <c r="F385" s="846" t="s">
        <v>513</v>
      </c>
      <c r="BB385" s="314"/>
    </row>
    <row r="386" ht="15.75" customHeight="1">
      <c r="A386" s="585">
        <v>385.0</v>
      </c>
      <c r="B386" s="859" t="str">
        <f>Settings!$A$5</f>
        <v>GREEN</v>
      </c>
      <c r="C386" s="712" t="s">
        <v>117</v>
      </c>
      <c r="D386" s="13" t="str">
        <f>'Entry Sheet'!D54</f>
        <v/>
      </c>
      <c r="E386" s="13" t="str">
        <f>'Entry Sheet'!E54</f>
        <v/>
      </c>
      <c r="F386" s="846" t="s">
        <v>513</v>
      </c>
      <c r="BB386" s="314"/>
    </row>
    <row r="387" ht="15.75" customHeight="1">
      <c r="A387" s="585">
        <v>386.0</v>
      </c>
      <c r="B387" s="859" t="str">
        <f>Settings!$A$5</f>
        <v>GREEN</v>
      </c>
      <c r="C387" s="764" t="s">
        <v>132</v>
      </c>
      <c r="D387" s="13" t="str">
        <f>'Entry Sheet'!D55</f>
        <v>S. LAPORTA</v>
      </c>
      <c r="E387" s="13">
        <f>'Entry Sheet'!E55</f>
        <v>5.6</v>
      </c>
      <c r="F387" s="846" t="s">
        <v>513</v>
      </c>
      <c r="BB387" s="314"/>
    </row>
    <row r="388" ht="15.75" customHeight="1">
      <c r="A388" s="585">
        <v>387.0</v>
      </c>
      <c r="B388" s="859" t="str">
        <f>Settings!$A$5</f>
        <v>GREEN</v>
      </c>
      <c r="C388" s="795" t="s">
        <v>136</v>
      </c>
      <c r="D388" s="13" t="str">
        <f>'Entry Sheet'!D56</f>
        <v>J. WARREN</v>
      </c>
      <c r="E388" s="13">
        <f>'Entry Sheet'!E56</f>
        <v>18.8</v>
      </c>
      <c r="F388" s="846" t="s">
        <v>513</v>
      </c>
      <c r="BB388" s="314"/>
    </row>
    <row r="389" ht="15.75" customHeight="1">
      <c r="A389" s="585">
        <v>388.0</v>
      </c>
      <c r="B389" s="859" t="str">
        <f>Settings!$A$5</f>
        <v>GREEN</v>
      </c>
      <c r="C389" s="818" t="s">
        <v>139</v>
      </c>
      <c r="D389" s="13" t="str">
        <f>'Entry Sheet'!D57</f>
        <v>TB D/ST</v>
      </c>
      <c r="E389" s="13">
        <f>'Entry Sheet'!E57</f>
        <v>11.88</v>
      </c>
      <c r="F389" s="846" t="s">
        <v>513</v>
      </c>
      <c r="BB389" s="314"/>
    </row>
    <row r="390" ht="15.75" customHeight="1">
      <c r="A390" s="585">
        <v>389.0</v>
      </c>
      <c r="B390" s="859" t="str">
        <f>Settings!$A$5</f>
        <v>GREEN</v>
      </c>
      <c r="C390" s="833" t="s">
        <v>146</v>
      </c>
      <c r="D390" s="13" t="str">
        <f>'Entry Sheet'!D58</f>
        <v>J. MYERS</v>
      </c>
      <c r="E390" s="13">
        <f>'Entry Sheet'!E58</f>
        <v>8</v>
      </c>
      <c r="F390" s="846" t="s">
        <v>513</v>
      </c>
      <c r="BB390" s="314"/>
    </row>
    <row r="391" ht="15.75" customHeight="1">
      <c r="A391" s="585">
        <v>390.0</v>
      </c>
      <c r="B391" s="859" t="str">
        <f>Settings!$A$5</f>
        <v>GREEN</v>
      </c>
      <c r="C391" s="842" t="s">
        <v>162</v>
      </c>
      <c r="D391" s="13" t="str">
        <f>'Entry Sheet'!D59</f>
        <v>TB HC</v>
      </c>
      <c r="E391" s="13">
        <f>'Entry Sheet'!E59</f>
        <v>8</v>
      </c>
      <c r="F391" s="846" t="s">
        <v>513</v>
      </c>
      <c r="BB391" s="314"/>
    </row>
    <row r="392" ht="15.75" customHeight="1">
      <c r="A392" s="585">
        <v>391.0</v>
      </c>
      <c r="B392" s="859" t="str">
        <f>Settings!$A$5</f>
        <v>GREEN</v>
      </c>
      <c r="C392" s="587" t="s">
        <v>100</v>
      </c>
      <c r="D392" s="13" t="str">
        <f>'Entry Sheet'!F47</f>
        <v>B. NIX</v>
      </c>
      <c r="E392" s="13">
        <f>'Entry Sheet'!G47</f>
        <v>16.82</v>
      </c>
      <c r="F392" s="589" t="s">
        <v>514</v>
      </c>
      <c r="BB392" s="314"/>
    </row>
    <row r="393" ht="15.75" customHeight="1">
      <c r="A393" s="585">
        <v>392.0</v>
      </c>
      <c r="B393" s="859" t="str">
        <f>Settings!$A$5</f>
        <v>GREEN</v>
      </c>
      <c r="C393" s="596" t="s">
        <v>106</v>
      </c>
      <c r="D393" s="13" t="str">
        <f>'Entry Sheet'!F48</f>
        <v>B. ROBINSON</v>
      </c>
      <c r="E393" s="13">
        <f>'Entry Sheet'!G48</f>
        <v>17.4</v>
      </c>
      <c r="F393" s="589" t="s">
        <v>514</v>
      </c>
      <c r="BB393" s="314"/>
    </row>
    <row r="394" ht="15.75" customHeight="1">
      <c r="A394" s="585">
        <v>393.0</v>
      </c>
      <c r="B394" s="859" t="str">
        <f>Settings!$A$5</f>
        <v>GREEN</v>
      </c>
      <c r="C394" s="596" t="s">
        <v>106</v>
      </c>
      <c r="D394" s="13" t="str">
        <f>'Entry Sheet'!F49</f>
        <v>J. TAYLOR</v>
      </c>
      <c r="E394" s="13">
        <f>'Entry Sheet'!G49</f>
        <v>35.5</v>
      </c>
      <c r="F394" s="589" t="s">
        <v>514</v>
      </c>
      <c r="BB394" s="314"/>
    </row>
    <row r="395" ht="15.75" customHeight="1">
      <c r="A395" s="585">
        <v>394.0</v>
      </c>
      <c r="B395" s="859" t="str">
        <f>Settings!$A$5</f>
        <v>GREEN</v>
      </c>
      <c r="C395" s="596" t="s">
        <v>106</v>
      </c>
      <c r="D395" s="13" t="str">
        <f>'Entry Sheet'!F50</f>
        <v/>
      </c>
      <c r="E395" s="13" t="str">
        <f>'Entry Sheet'!G50</f>
        <v/>
      </c>
      <c r="F395" s="589" t="s">
        <v>514</v>
      </c>
      <c r="BB395" s="314"/>
    </row>
    <row r="396" ht="15.75" customHeight="1">
      <c r="A396" s="585">
        <v>395.0</v>
      </c>
      <c r="B396" s="859" t="str">
        <f>Settings!$A$5</f>
        <v>GREEN</v>
      </c>
      <c r="C396" s="712" t="s">
        <v>117</v>
      </c>
      <c r="D396" s="13" t="str">
        <f>'Entry Sheet'!F51</f>
        <v>A. BROWN</v>
      </c>
      <c r="E396" s="13">
        <f>'Entry Sheet'!G51</f>
        <v>23.9</v>
      </c>
      <c r="F396" s="589" t="s">
        <v>514</v>
      </c>
      <c r="BB396" s="314"/>
    </row>
    <row r="397" ht="15.75" customHeight="1">
      <c r="A397" s="585">
        <v>396.0</v>
      </c>
      <c r="B397" s="859" t="str">
        <f>Settings!$A$5</f>
        <v>GREEN</v>
      </c>
      <c r="C397" s="712" t="s">
        <v>117</v>
      </c>
      <c r="D397" s="13" t="str">
        <f>'Entry Sheet'!F52</f>
        <v>T. MCMILLAN</v>
      </c>
      <c r="E397" s="13">
        <f>'Entry Sheet'!G52</f>
        <v>7.8</v>
      </c>
      <c r="F397" s="589" t="s">
        <v>514</v>
      </c>
      <c r="BB397" s="314"/>
    </row>
    <row r="398" ht="15.75" customHeight="1">
      <c r="A398" s="585">
        <v>397.0</v>
      </c>
      <c r="B398" s="859" t="str">
        <f>Settings!$A$5</f>
        <v>GREEN</v>
      </c>
      <c r="C398" s="712" t="s">
        <v>117</v>
      </c>
      <c r="D398" s="13" t="str">
        <f>'Entry Sheet'!F53</f>
        <v>C. SUTTON</v>
      </c>
      <c r="E398" s="13">
        <f>'Entry Sheet'!G53</f>
        <v>24.8</v>
      </c>
      <c r="F398" s="589" t="s">
        <v>514</v>
      </c>
      <c r="BB398" s="314"/>
    </row>
    <row r="399" ht="15.75" customHeight="1">
      <c r="A399" s="585">
        <v>398.0</v>
      </c>
      <c r="B399" s="859" t="str">
        <f>Settings!$A$5</f>
        <v>GREEN</v>
      </c>
      <c r="C399" s="712" t="s">
        <v>117</v>
      </c>
      <c r="D399" s="13" t="str">
        <f>'Entry Sheet'!F54</f>
        <v/>
      </c>
      <c r="E399" s="13" t="str">
        <f>'Entry Sheet'!G54</f>
        <v/>
      </c>
      <c r="F399" s="589" t="s">
        <v>514</v>
      </c>
      <c r="BB399" s="314"/>
    </row>
    <row r="400" ht="15.75" customHeight="1">
      <c r="A400" s="585">
        <v>399.0</v>
      </c>
      <c r="B400" s="859" t="str">
        <f>Settings!$A$5</f>
        <v>GREEN</v>
      </c>
      <c r="C400" s="764" t="s">
        <v>132</v>
      </c>
      <c r="D400" s="13" t="str">
        <f>'Entry Sheet'!F55</f>
        <v>S. LAPORTA</v>
      </c>
      <c r="E400" s="13">
        <f>'Entry Sheet'!G55</f>
        <v>7.3</v>
      </c>
      <c r="F400" s="589" t="s">
        <v>514</v>
      </c>
      <c r="BB400" s="314"/>
    </row>
    <row r="401" ht="15.75" customHeight="1">
      <c r="A401" s="585">
        <v>400.0</v>
      </c>
      <c r="B401" s="859" t="str">
        <f>Settings!$A$5</f>
        <v>GREEN</v>
      </c>
      <c r="C401" s="795" t="s">
        <v>136</v>
      </c>
      <c r="D401" s="13" t="str">
        <f>'Entry Sheet'!F56</f>
        <v>J. WARREN</v>
      </c>
      <c r="E401" s="13">
        <f>'Entry Sheet'!G56</f>
        <v>14.9</v>
      </c>
      <c r="F401" s="589" t="s">
        <v>514</v>
      </c>
      <c r="BB401" s="314"/>
    </row>
    <row r="402" ht="15.75" customHeight="1">
      <c r="A402" s="585">
        <v>401.0</v>
      </c>
      <c r="B402" s="859" t="str">
        <f>Settings!$A$5</f>
        <v>GREEN</v>
      </c>
      <c r="C402" s="818" t="s">
        <v>139</v>
      </c>
      <c r="D402" s="13" t="str">
        <f>'Entry Sheet'!F57</f>
        <v>TB D/ST</v>
      </c>
      <c r="E402" s="13">
        <f>'Entry Sheet'!G57</f>
        <v>27.12</v>
      </c>
      <c r="F402" s="589" t="s">
        <v>514</v>
      </c>
      <c r="BB402" s="314"/>
    </row>
    <row r="403" ht="15.75" customHeight="1">
      <c r="A403" s="585">
        <v>402.0</v>
      </c>
      <c r="B403" s="859" t="str">
        <f>Settings!$A$5</f>
        <v>GREEN</v>
      </c>
      <c r="C403" s="833" t="s">
        <v>146</v>
      </c>
      <c r="D403" s="13" t="str">
        <f>'Entry Sheet'!F58</f>
        <v>J. MYERS</v>
      </c>
      <c r="E403" s="13">
        <f>'Entry Sheet'!G58</f>
        <v>18</v>
      </c>
      <c r="F403" s="589" t="s">
        <v>514</v>
      </c>
      <c r="BB403" s="314"/>
    </row>
    <row r="404" ht="15.75" customHeight="1">
      <c r="A404" s="585">
        <v>403.0</v>
      </c>
      <c r="B404" s="859" t="str">
        <f>Settings!$A$5</f>
        <v>GREEN</v>
      </c>
      <c r="C404" s="842" t="s">
        <v>162</v>
      </c>
      <c r="D404" s="13" t="str">
        <f>'Entry Sheet'!F59</f>
        <v>TB HC</v>
      </c>
      <c r="E404" s="13">
        <f>'Entry Sheet'!G59</f>
        <v>10.7</v>
      </c>
      <c r="F404" s="589" t="s">
        <v>514</v>
      </c>
      <c r="BB404" s="314"/>
    </row>
    <row r="405" ht="15.75" customHeight="1">
      <c r="A405" s="585">
        <v>404.0</v>
      </c>
      <c r="B405" s="859" t="str">
        <f>Settings!$A$5</f>
        <v>GREEN</v>
      </c>
      <c r="C405" s="587" t="s">
        <v>100</v>
      </c>
      <c r="D405" s="13" t="str">
        <f>'Entry Sheet'!H47</f>
        <v>B. NIX</v>
      </c>
      <c r="E405" s="13">
        <f>'Entry Sheet'!I47</f>
        <v>33.74</v>
      </c>
      <c r="F405" s="846" t="s">
        <v>515</v>
      </c>
      <c r="BB405" s="314"/>
    </row>
    <row r="406" ht="15.75" customHeight="1">
      <c r="A406" s="585">
        <v>405.0</v>
      </c>
      <c r="B406" s="859" t="str">
        <f>Settings!$A$5</f>
        <v>GREEN</v>
      </c>
      <c r="C406" s="596" t="s">
        <v>106</v>
      </c>
      <c r="D406" s="13" t="str">
        <f>'Entry Sheet'!H48</f>
        <v>B. ROBINSON</v>
      </c>
      <c r="E406" s="13">
        <f>'Entry Sheet'!I48</f>
        <v>30.8</v>
      </c>
      <c r="F406" s="846" t="s">
        <v>515</v>
      </c>
      <c r="BB406" s="314"/>
    </row>
    <row r="407" ht="15.75" customHeight="1">
      <c r="A407" s="585">
        <v>406.0</v>
      </c>
      <c r="B407" s="859" t="str">
        <f>Settings!$A$5</f>
        <v>GREEN</v>
      </c>
      <c r="C407" s="596" t="s">
        <v>106</v>
      </c>
      <c r="D407" s="13" t="str">
        <f>'Entry Sheet'!H49</f>
        <v>J. TAYLOR</v>
      </c>
      <c r="E407" s="13">
        <f>'Entry Sheet'!I49</f>
        <v>16.3</v>
      </c>
      <c r="F407" s="846" t="s">
        <v>515</v>
      </c>
      <c r="BB407" s="314"/>
    </row>
    <row r="408" ht="15.75" customHeight="1">
      <c r="A408" s="585">
        <v>407.0</v>
      </c>
      <c r="B408" s="859" t="str">
        <f>Settings!$A$5</f>
        <v>GREEN</v>
      </c>
      <c r="C408" s="596" t="s">
        <v>106</v>
      </c>
      <c r="D408" s="13" t="str">
        <f>'Entry Sheet'!H50</f>
        <v/>
      </c>
      <c r="E408" s="13" t="str">
        <f>'Entry Sheet'!I50</f>
        <v/>
      </c>
      <c r="F408" s="846" t="s">
        <v>515</v>
      </c>
      <c r="BB408" s="314"/>
    </row>
    <row r="409" ht="15.75" customHeight="1">
      <c r="A409" s="585">
        <v>408.0</v>
      </c>
      <c r="B409" s="859" t="str">
        <f>Settings!$A$5</f>
        <v>GREEN</v>
      </c>
      <c r="C409" s="712" t="s">
        <v>117</v>
      </c>
      <c r="D409" s="13" t="str">
        <f>'Entry Sheet'!H51</f>
        <v>A. BROWN</v>
      </c>
      <c r="E409" s="13">
        <f>'Entry Sheet'!I51</f>
        <v>2.7</v>
      </c>
      <c r="F409" s="846" t="s">
        <v>515</v>
      </c>
      <c r="BB409" s="314"/>
    </row>
    <row r="410" ht="15.75" customHeight="1">
      <c r="A410" s="585">
        <v>409.0</v>
      </c>
      <c r="B410" s="859" t="str">
        <f>Settings!$A$5</f>
        <v>GREEN</v>
      </c>
      <c r="C410" s="712" t="s">
        <v>117</v>
      </c>
      <c r="D410" s="13" t="str">
        <f>'Entry Sheet'!H52</f>
        <v>T. MCMILLIAN</v>
      </c>
      <c r="E410" s="13">
        <f>'Entry Sheet'!I52</f>
        <v>10.2</v>
      </c>
      <c r="F410" s="846" t="s">
        <v>515</v>
      </c>
      <c r="BB410" s="314"/>
    </row>
    <row r="411" ht="15.75" customHeight="1">
      <c r="A411" s="585">
        <v>410.0</v>
      </c>
      <c r="B411" s="859" t="str">
        <f>Settings!$A$5</f>
        <v>GREEN</v>
      </c>
      <c r="C411" s="712" t="s">
        <v>117</v>
      </c>
      <c r="D411" s="13" t="str">
        <f>'Entry Sheet'!H53</f>
        <v>C. SUTTON</v>
      </c>
      <c r="E411" s="13">
        <f>'Entry Sheet'!I53</f>
        <v>19.1</v>
      </c>
      <c r="F411" s="846" t="s">
        <v>515</v>
      </c>
      <c r="BB411" s="314"/>
    </row>
    <row r="412" ht="15.75" customHeight="1">
      <c r="A412" s="585">
        <v>411.0</v>
      </c>
      <c r="B412" s="859" t="str">
        <f>Settings!$A$5</f>
        <v>GREEN</v>
      </c>
      <c r="C412" s="712" t="s">
        <v>117</v>
      </c>
      <c r="D412" s="13" t="str">
        <f>'Entry Sheet'!H54</f>
        <v/>
      </c>
      <c r="E412" s="13" t="str">
        <f>'Entry Sheet'!I54</f>
        <v/>
      </c>
      <c r="F412" s="846" t="s">
        <v>515</v>
      </c>
      <c r="BB412" s="314"/>
    </row>
    <row r="413" ht="15.75" customHeight="1">
      <c r="A413" s="585">
        <v>412.0</v>
      </c>
      <c r="B413" s="859" t="str">
        <f>Settings!$A$5</f>
        <v>GREEN</v>
      </c>
      <c r="C413" s="764" t="s">
        <v>132</v>
      </c>
      <c r="D413" s="13" t="str">
        <f>'Entry Sheet'!H55</f>
        <v>T. WARREN</v>
      </c>
      <c r="E413" s="13">
        <f>'Entry Sheet'!I55</f>
        <v>18.5</v>
      </c>
      <c r="F413" s="846" t="s">
        <v>515</v>
      </c>
      <c r="BB413" s="314"/>
    </row>
    <row r="414" ht="15.75" customHeight="1">
      <c r="A414" s="585">
        <v>413.0</v>
      </c>
      <c r="B414" s="859" t="str">
        <f>Settings!$A$5</f>
        <v>GREEN</v>
      </c>
      <c r="C414" s="795" t="s">
        <v>136</v>
      </c>
      <c r="D414" s="13" t="str">
        <f>'Entry Sheet'!H56</f>
        <v>D. SWIFT</v>
      </c>
      <c r="E414" s="13">
        <f>'Entry Sheet'!I56</f>
        <v>17.4</v>
      </c>
      <c r="F414" s="846" t="s">
        <v>515</v>
      </c>
      <c r="BB414" s="314"/>
    </row>
    <row r="415" ht="15.75" customHeight="1">
      <c r="A415" s="585">
        <v>414.0</v>
      </c>
      <c r="B415" s="859" t="str">
        <f>Settings!$A$5</f>
        <v>GREEN</v>
      </c>
      <c r="C415" s="818" t="s">
        <v>139</v>
      </c>
      <c r="D415" s="13" t="str">
        <f>'Entry Sheet'!H57</f>
        <v>TB D/ST</v>
      </c>
      <c r="E415" s="13">
        <f>'Entry Sheet'!I57</f>
        <v>20.8</v>
      </c>
      <c r="F415" s="846" t="s">
        <v>515</v>
      </c>
      <c r="BB415" s="314"/>
    </row>
    <row r="416" ht="15.75" customHeight="1">
      <c r="A416" s="585">
        <v>415.0</v>
      </c>
      <c r="B416" s="859" t="str">
        <f>Settings!$A$5</f>
        <v>GREEN</v>
      </c>
      <c r="C416" s="833" t="s">
        <v>146</v>
      </c>
      <c r="D416" s="13" t="str">
        <f>'Entry Sheet'!H58</f>
        <v>J. MYERS</v>
      </c>
      <c r="E416" s="13">
        <f>'Entry Sheet'!I58</f>
        <v>14</v>
      </c>
      <c r="F416" s="846" t="s">
        <v>515</v>
      </c>
      <c r="BB416" s="314"/>
    </row>
    <row r="417" ht="15.75" customHeight="1">
      <c r="A417" s="585">
        <v>416.0</v>
      </c>
      <c r="B417" s="859" t="str">
        <f>Settings!$A$5</f>
        <v>GREEN</v>
      </c>
      <c r="C417" s="842" t="s">
        <v>162</v>
      </c>
      <c r="D417" s="13" t="str">
        <f>'Entry Sheet'!H59</f>
        <v>LAR HC</v>
      </c>
      <c r="E417" s="13">
        <f>'Entry Sheet'!I59</f>
        <v>11.1</v>
      </c>
      <c r="F417" s="846" t="s">
        <v>515</v>
      </c>
      <c r="BB417" s="314"/>
    </row>
    <row r="418" ht="15.75" customHeight="1">
      <c r="A418" s="585">
        <v>417.0</v>
      </c>
      <c r="B418" s="859" t="str">
        <f>Settings!$A$5</f>
        <v>GREEN</v>
      </c>
      <c r="C418" s="587" t="s">
        <v>100</v>
      </c>
      <c r="D418" s="13" t="str">
        <f>'Entry Sheet'!J47</f>
        <v>B. NIX</v>
      </c>
      <c r="E418" s="13">
        <f>'Entry Sheet'!K47</f>
        <v>21.98</v>
      </c>
      <c r="F418" s="589" t="s">
        <v>516</v>
      </c>
      <c r="BB418" s="314"/>
    </row>
    <row r="419" ht="15.75" customHeight="1">
      <c r="A419" s="585">
        <v>418.0</v>
      </c>
      <c r="B419" s="859" t="str">
        <f>Settings!$A$5</f>
        <v>GREEN</v>
      </c>
      <c r="C419" s="596" t="s">
        <v>106</v>
      </c>
      <c r="D419" s="13" t="str">
        <f>'Entry Sheet'!J48</f>
        <v>J. TAYLOR</v>
      </c>
      <c r="E419" s="13">
        <f>'Entry Sheet'!K48</f>
        <v>33.3</v>
      </c>
      <c r="F419" s="589" t="s">
        <v>516</v>
      </c>
      <c r="BB419" s="314"/>
    </row>
    <row r="420" ht="15.75" customHeight="1">
      <c r="A420" s="585">
        <v>419.0</v>
      </c>
      <c r="B420" s="859" t="str">
        <f>Settings!$A$5</f>
        <v>GREEN</v>
      </c>
      <c r="C420" s="596" t="s">
        <v>106</v>
      </c>
      <c r="D420" s="13" t="str">
        <f>'Entry Sheet'!J49</f>
        <v>E. DEMERCADO</v>
      </c>
      <c r="E420" s="13">
        <f>'Entry Sheet'!K49</f>
        <v>6.4</v>
      </c>
      <c r="F420" s="589" t="s">
        <v>516</v>
      </c>
      <c r="BB420" s="314"/>
    </row>
    <row r="421" ht="15.75" customHeight="1">
      <c r="A421" s="585">
        <v>420.0</v>
      </c>
      <c r="B421" s="859" t="str">
        <f>Settings!$A$5</f>
        <v>GREEN</v>
      </c>
      <c r="C421" s="596" t="s">
        <v>106</v>
      </c>
      <c r="D421" s="13" t="str">
        <f>'Entry Sheet'!J50</f>
        <v/>
      </c>
      <c r="E421" s="13" t="str">
        <f>'Entry Sheet'!K50</f>
        <v/>
      </c>
      <c r="F421" s="589" t="s">
        <v>516</v>
      </c>
      <c r="BB421" s="314"/>
    </row>
    <row r="422" ht="15.75" customHeight="1">
      <c r="A422" s="585">
        <v>421.0</v>
      </c>
      <c r="B422" s="859" t="str">
        <f>Settings!$A$5</f>
        <v>GREEN</v>
      </c>
      <c r="C422" s="712" t="s">
        <v>117</v>
      </c>
      <c r="D422" s="13" t="str">
        <f>'Entry Sheet'!J51</f>
        <v>A. BROWN</v>
      </c>
      <c r="E422" s="13">
        <f>'Entry Sheet'!K51</f>
        <v>9.3</v>
      </c>
      <c r="F422" s="589" t="s">
        <v>516</v>
      </c>
      <c r="BB422" s="314"/>
    </row>
    <row r="423" ht="15.75" customHeight="1">
      <c r="A423" s="585">
        <v>422.0</v>
      </c>
      <c r="B423" s="859" t="str">
        <f>Settings!$A$5</f>
        <v>GREEN</v>
      </c>
      <c r="C423" s="712" t="s">
        <v>117</v>
      </c>
      <c r="D423" s="13" t="str">
        <f>'Entry Sheet'!J52</f>
        <v>T. MCMILLAN</v>
      </c>
      <c r="E423" s="13">
        <f>'Entry Sheet'!K52</f>
        <v>13.3</v>
      </c>
      <c r="F423" s="589" t="s">
        <v>516</v>
      </c>
      <c r="BB423" s="314"/>
    </row>
    <row r="424" ht="15.75" customHeight="1">
      <c r="A424" s="585">
        <v>423.0</v>
      </c>
      <c r="B424" s="859" t="str">
        <f>Settings!$A$5</f>
        <v>GREEN</v>
      </c>
      <c r="C424" s="712" t="s">
        <v>117</v>
      </c>
      <c r="D424" s="13" t="str">
        <f>'Entry Sheet'!J53</f>
        <v>C. SUTTON</v>
      </c>
      <c r="E424" s="13">
        <f>'Entry Sheet'!K53</f>
        <v>17.9</v>
      </c>
      <c r="F424" s="589" t="s">
        <v>516</v>
      </c>
      <c r="BB424" s="314"/>
    </row>
    <row r="425" ht="15.75" customHeight="1">
      <c r="A425" s="585">
        <v>424.0</v>
      </c>
      <c r="B425" s="859" t="str">
        <f>Settings!$A$5</f>
        <v>GREEN</v>
      </c>
      <c r="C425" s="712" t="s">
        <v>117</v>
      </c>
      <c r="D425" s="13" t="str">
        <f>'Entry Sheet'!J54</f>
        <v/>
      </c>
      <c r="E425" s="13" t="str">
        <f>'Entry Sheet'!K54</f>
        <v/>
      </c>
      <c r="F425" s="589" t="s">
        <v>516</v>
      </c>
      <c r="BB425" s="314"/>
    </row>
    <row r="426" ht="15.75" customHeight="1">
      <c r="A426" s="585">
        <v>425.0</v>
      </c>
      <c r="B426" s="859" t="str">
        <f>Settings!$A$5</f>
        <v>GREEN</v>
      </c>
      <c r="C426" s="764" t="s">
        <v>132</v>
      </c>
      <c r="D426" s="13" t="str">
        <f>'Entry Sheet'!J55</f>
        <v>T. WARREN</v>
      </c>
      <c r="E426" s="13">
        <f>'Entry Sheet'!K55</f>
        <v>14.2</v>
      </c>
      <c r="F426" s="589" t="s">
        <v>516</v>
      </c>
      <c r="BB426" s="314"/>
    </row>
    <row r="427" ht="15.75" customHeight="1">
      <c r="A427" s="585">
        <v>426.0</v>
      </c>
      <c r="B427" s="859" t="str">
        <f>Settings!$A$5</f>
        <v>GREEN</v>
      </c>
      <c r="C427" s="795" t="s">
        <v>136</v>
      </c>
      <c r="D427" s="13" t="str">
        <f>'Entry Sheet'!J56</f>
        <v>J. WADDLE</v>
      </c>
      <c r="E427" s="13">
        <f>'Entry Sheet'!K56</f>
        <v>24</v>
      </c>
      <c r="F427" s="589" t="s">
        <v>516</v>
      </c>
      <c r="BB427" s="314"/>
    </row>
    <row r="428" ht="15.75" customHeight="1">
      <c r="A428" s="585">
        <v>427.0</v>
      </c>
      <c r="B428" s="859" t="str">
        <f>Settings!$A$5</f>
        <v>GREEN</v>
      </c>
      <c r="C428" s="818" t="s">
        <v>139</v>
      </c>
      <c r="D428" s="13" t="str">
        <f>'Entry Sheet'!J57</f>
        <v>CLE D/ST</v>
      </c>
      <c r="E428" s="13">
        <f>'Entry Sheet'!K57</f>
        <v>18.38</v>
      </c>
      <c r="F428" s="589" t="s">
        <v>516</v>
      </c>
      <c r="BB428" s="314"/>
    </row>
    <row r="429" ht="15.75" customHeight="1">
      <c r="A429" s="585">
        <v>428.0</v>
      </c>
      <c r="B429" s="859" t="str">
        <f>Settings!$A$5</f>
        <v>GREEN</v>
      </c>
      <c r="C429" s="833" t="s">
        <v>146</v>
      </c>
      <c r="D429" s="13" t="str">
        <f>'Entry Sheet'!J58</f>
        <v>J. MYERS</v>
      </c>
      <c r="E429" s="13">
        <f>'Entry Sheet'!K58</f>
        <v>3.5</v>
      </c>
      <c r="F429" s="589" t="s">
        <v>516</v>
      </c>
      <c r="BB429" s="314"/>
    </row>
    <row r="430" ht="15.75" customHeight="1">
      <c r="A430" s="585">
        <v>429.0</v>
      </c>
      <c r="B430" s="859" t="str">
        <f>Settings!$A$5</f>
        <v>GREEN</v>
      </c>
      <c r="C430" s="842" t="s">
        <v>162</v>
      </c>
      <c r="D430" s="13" t="str">
        <f>'Entry Sheet'!J59</f>
        <v>LAR HC</v>
      </c>
      <c r="E430" s="13">
        <f>'Entry Sheet'!K59</f>
        <v>4.9</v>
      </c>
      <c r="F430" s="589" t="s">
        <v>516</v>
      </c>
      <c r="BB430" s="314"/>
    </row>
    <row r="431" ht="15.75" customHeight="1">
      <c r="A431" s="585">
        <v>430.0</v>
      </c>
      <c r="B431" s="859" t="str">
        <f>Settings!$A$5</f>
        <v>GREEN</v>
      </c>
      <c r="C431" s="587" t="s">
        <v>100</v>
      </c>
      <c r="D431" s="13" t="str">
        <f>'Entry Sheet'!L47</f>
        <v>B. NIX</v>
      </c>
      <c r="E431" s="13">
        <f>'Entry Sheet'!M47</f>
        <v>17.46</v>
      </c>
      <c r="F431" s="846" t="s">
        <v>517</v>
      </c>
      <c r="BB431" s="314"/>
    </row>
    <row r="432" ht="15.75" customHeight="1">
      <c r="A432" s="585">
        <v>431.0</v>
      </c>
      <c r="B432" s="859" t="str">
        <f>Settings!$A$5</f>
        <v>GREEN</v>
      </c>
      <c r="C432" s="596" t="s">
        <v>106</v>
      </c>
      <c r="D432" s="13" t="str">
        <f>'Entry Sheet'!L48</f>
        <v>B. ROBINSON</v>
      </c>
      <c r="E432" s="13">
        <f>'Entry Sheet'!M48</f>
        <v>38.7</v>
      </c>
      <c r="F432" s="846" t="s">
        <v>517</v>
      </c>
      <c r="BB432" s="314"/>
    </row>
    <row r="433" ht="15.75" customHeight="1">
      <c r="A433" s="585">
        <v>432.0</v>
      </c>
      <c r="B433" s="859" t="str">
        <f>Settings!$A$5</f>
        <v>GREEN</v>
      </c>
      <c r="C433" s="596" t="s">
        <v>106</v>
      </c>
      <c r="D433" s="13" t="str">
        <f>'Entry Sheet'!L49</f>
        <v>J. TAYLOR</v>
      </c>
      <c r="E433" s="13">
        <f>'Entry Sheet'!M49</f>
        <v>26.8</v>
      </c>
      <c r="F433" s="846" t="s">
        <v>517</v>
      </c>
      <c r="BB433" s="314"/>
    </row>
    <row r="434" ht="15.75" customHeight="1">
      <c r="A434" s="585">
        <v>433.0</v>
      </c>
      <c r="B434" s="859" t="str">
        <f>Settings!$A$5</f>
        <v>GREEN</v>
      </c>
      <c r="C434" s="596" t="s">
        <v>106</v>
      </c>
      <c r="D434" s="13" t="str">
        <f>'Entry Sheet'!L50</f>
        <v/>
      </c>
      <c r="E434" s="13" t="str">
        <f>'Entry Sheet'!M50</f>
        <v/>
      </c>
      <c r="F434" s="846" t="s">
        <v>517</v>
      </c>
      <c r="BB434" s="314"/>
    </row>
    <row r="435" ht="15.75" customHeight="1">
      <c r="A435" s="585">
        <v>434.0</v>
      </c>
      <c r="B435" s="859" t="str">
        <f>Settings!$A$5</f>
        <v>GREEN</v>
      </c>
      <c r="C435" s="712" t="s">
        <v>117</v>
      </c>
      <c r="D435" s="13" t="str">
        <f>'Entry Sheet'!L51</f>
        <v>A. BROWN</v>
      </c>
      <c r="E435" s="13">
        <f>'Entry Sheet'!M51</f>
        <v>14</v>
      </c>
      <c r="F435" s="846" t="s">
        <v>517</v>
      </c>
      <c r="BB435" s="314"/>
    </row>
    <row r="436" ht="15.75" customHeight="1">
      <c r="A436" s="585">
        <v>435.0</v>
      </c>
      <c r="B436" s="859" t="str">
        <f>Settings!$A$5</f>
        <v>GREEN</v>
      </c>
      <c r="C436" s="712" t="s">
        <v>117</v>
      </c>
      <c r="D436" s="13" t="str">
        <f>'Entry Sheet'!L52</f>
        <v>J. WADDLE</v>
      </c>
      <c r="E436" s="13">
        <f>'Entry Sheet'!M52</f>
        <v>16.02</v>
      </c>
      <c r="F436" s="846" t="s">
        <v>517</v>
      </c>
      <c r="BB436" s="314"/>
    </row>
    <row r="437" ht="15.75" customHeight="1">
      <c r="A437" s="585">
        <v>436.0</v>
      </c>
      <c r="B437" s="859" t="str">
        <f>Settings!$A$5</f>
        <v>GREEN</v>
      </c>
      <c r="C437" s="712" t="s">
        <v>117</v>
      </c>
      <c r="D437" s="13" t="str">
        <f>'Entry Sheet'!L53</f>
        <v>C. SUTTON</v>
      </c>
      <c r="E437" s="13">
        <f>'Entry Sheet'!M53</f>
        <v>2.7</v>
      </c>
      <c r="F437" s="846" t="s">
        <v>517</v>
      </c>
      <c r="BB437" s="314"/>
    </row>
    <row r="438" ht="15.75" customHeight="1">
      <c r="A438" s="585">
        <v>437.0</v>
      </c>
      <c r="B438" s="859" t="str">
        <f>Settings!$A$5</f>
        <v>GREEN</v>
      </c>
      <c r="C438" s="712" t="s">
        <v>117</v>
      </c>
      <c r="D438" s="13" t="str">
        <f>'Entry Sheet'!L54</f>
        <v/>
      </c>
      <c r="E438" s="13" t="str">
        <f>'Entry Sheet'!M54</f>
        <v/>
      </c>
      <c r="F438" s="846" t="s">
        <v>517</v>
      </c>
      <c r="BB438" s="314"/>
    </row>
    <row r="439" ht="15.75" customHeight="1">
      <c r="A439" s="585">
        <v>438.0</v>
      </c>
      <c r="B439" s="859" t="str">
        <f>Settings!$A$5</f>
        <v>GREEN</v>
      </c>
      <c r="C439" s="764" t="s">
        <v>132</v>
      </c>
      <c r="D439" s="13" t="str">
        <f>'Entry Sheet'!L55</f>
        <v>T. WARREN</v>
      </c>
      <c r="E439" s="13">
        <f>'Entry Sheet'!M55</f>
        <v>18.3</v>
      </c>
      <c r="F439" s="846" t="s">
        <v>517</v>
      </c>
      <c r="BB439" s="314"/>
    </row>
    <row r="440" ht="15.75" customHeight="1">
      <c r="A440" s="585">
        <v>439.0</v>
      </c>
      <c r="B440" s="859" t="str">
        <f>Settings!$A$5</f>
        <v>GREEN</v>
      </c>
      <c r="C440" s="795" t="s">
        <v>136</v>
      </c>
      <c r="D440" s="13" t="str">
        <f>'Entry Sheet'!L56</f>
        <v>D. SWIFT</v>
      </c>
      <c r="E440" s="13">
        <f>'Entry Sheet'!M56</f>
        <v>27.9</v>
      </c>
      <c r="F440" s="846" t="s">
        <v>517</v>
      </c>
      <c r="BB440" s="314"/>
    </row>
    <row r="441" ht="15.75" customHeight="1">
      <c r="A441" s="585">
        <v>440.0</v>
      </c>
      <c r="B441" s="859" t="str">
        <f>Settings!$A$5</f>
        <v>GREEN</v>
      </c>
      <c r="C441" s="818" t="s">
        <v>139</v>
      </c>
      <c r="D441" s="13" t="str">
        <f>'Entry Sheet'!L57</f>
        <v>CLE D/ST</v>
      </c>
      <c r="E441" s="13">
        <f>'Entry Sheet'!M57</f>
        <v>9.02</v>
      </c>
      <c r="F441" s="846" t="s">
        <v>517</v>
      </c>
      <c r="BB441" s="314"/>
    </row>
    <row r="442" ht="15.75" customHeight="1">
      <c r="A442" s="585">
        <v>441.0</v>
      </c>
      <c r="B442" s="859" t="str">
        <f>Settings!$A$5</f>
        <v>GREEN</v>
      </c>
      <c r="C442" s="833" t="s">
        <v>146</v>
      </c>
      <c r="D442" s="13" t="str">
        <f>'Entry Sheet'!L58</f>
        <v>J. MYERS</v>
      </c>
      <c r="E442" s="13">
        <f>'Entry Sheet'!M58</f>
        <v>11</v>
      </c>
      <c r="F442" s="846" t="s">
        <v>517</v>
      </c>
      <c r="BB442" s="314"/>
    </row>
    <row r="443" ht="15.75" customHeight="1">
      <c r="A443" s="585">
        <v>442.0</v>
      </c>
      <c r="B443" s="859" t="str">
        <f>Settings!$A$5</f>
        <v>GREEN</v>
      </c>
      <c r="C443" s="842" t="s">
        <v>162</v>
      </c>
      <c r="D443" s="13" t="str">
        <f>'Entry Sheet'!L59</f>
        <v>LAR HC</v>
      </c>
      <c r="E443" s="13">
        <f>'Entry Sheet'!M59</f>
        <v>9.1</v>
      </c>
      <c r="F443" s="846" t="s">
        <v>517</v>
      </c>
      <c r="BB443" s="314"/>
    </row>
    <row r="444" ht="15.75" customHeight="1">
      <c r="A444" s="585">
        <v>443.0</v>
      </c>
      <c r="B444" s="859" t="str">
        <f>Settings!$A$5</f>
        <v>GREEN</v>
      </c>
      <c r="C444" s="587" t="s">
        <v>100</v>
      </c>
      <c r="D444" s="13" t="str">
        <f>'Entry Sheet'!N47</f>
        <v>B. NIX</v>
      </c>
      <c r="E444" s="13">
        <f>'Entry Sheet'!O47</f>
        <v>45.26</v>
      </c>
      <c r="F444" s="589" t="s">
        <v>518</v>
      </c>
      <c r="BB444" s="314"/>
    </row>
    <row r="445" ht="15.75" customHeight="1">
      <c r="A445" s="585">
        <v>444.0</v>
      </c>
      <c r="B445" s="859" t="str">
        <f>Settings!$A$5</f>
        <v>GREEN</v>
      </c>
      <c r="C445" s="596" t="s">
        <v>106</v>
      </c>
      <c r="D445" s="13" t="str">
        <f>'Entry Sheet'!N48</f>
        <v>B. ROBINSON</v>
      </c>
      <c r="E445" s="13">
        <f>'Entry Sheet'!O48</f>
        <v>22.6</v>
      </c>
      <c r="F445" s="589" t="s">
        <v>518</v>
      </c>
      <c r="BB445" s="314"/>
    </row>
    <row r="446" ht="15.75" customHeight="1">
      <c r="A446" s="585">
        <v>445.0</v>
      </c>
      <c r="B446" s="859" t="str">
        <f>Settings!$A$5</f>
        <v>GREEN</v>
      </c>
      <c r="C446" s="596" t="s">
        <v>106</v>
      </c>
      <c r="D446" s="13" t="str">
        <f>'Entry Sheet'!N49</f>
        <v>J. TAYLOR</v>
      </c>
      <c r="E446" s="13">
        <f>'Entry Sheet'!O49</f>
        <v>35.8</v>
      </c>
      <c r="F446" s="589" t="s">
        <v>518</v>
      </c>
      <c r="BB446" s="314"/>
    </row>
    <row r="447" ht="15.75" customHeight="1">
      <c r="A447" s="585">
        <v>446.0</v>
      </c>
      <c r="B447" s="859" t="str">
        <f>Settings!$A$5</f>
        <v>GREEN</v>
      </c>
      <c r="C447" s="596" t="s">
        <v>106</v>
      </c>
      <c r="D447" s="13" t="str">
        <f>'Entry Sheet'!N50</f>
        <v/>
      </c>
      <c r="E447" s="13" t="str">
        <f>'Entry Sheet'!O50</f>
        <v/>
      </c>
      <c r="F447" s="589" t="s">
        <v>518</v>
      </c>
      <c r="BB447" s="314"/>
    </row>
    <row r="448" ht="15.75" customHeight="1">
      <c r="A448" s="585">
        <v>447.0</v>
      </c>
      <c r="B448" s="859" t="str">
        <f>Settings!$A$5</f>
        <v>GREEN</v>
      </c>
      <c r="C448" s="712" t="s">
        <v>117</v>
      </c>
      <c r="D448" s="13" t="str">
        <f>'Entry Sheet'!N51</f>
        <v>A. BROWN</v>
      </c>
      <c r="E448" s="13">
        <f>'Entry Sheet'!O51</f>
        <v>29.1</v>
      </c>
      <c r="F448" s="589" t="s">
        <v>518</v>
      </c>
      <c r="BB448" s="314"/>
    </row>
    <row r="449" ht="15.75" customHeight="1">
      <c r="A449" s="585">
        <v>448.0</v>
      </c>
      <c r="B449" s="859" t="str">
        <f>Settings!$A$5</f>
        <v>GREEN</v>
      </c>
      <c r="C449" s="712" t="s">
        <v>117</v>
      </c>
      <c r="D449" s="13" t="str">
        <f>'Entry Sheet'!N52</f>
        <v>J. WADDLE</v>
      </c>
      <c r="E449" s="13">
        <f>'Entry Sheet'!O52</f>
        <v>2.5</v>
      </c>
      <c r="F449" s="589" t="s">
        <v>518</v>
      </c>
      <c r="BB449" s="314"/>
    </row>
    <row r="450" ht="15.75" customHeight="1">
      <c r="A450" s="585">
        <v>449.0</v>
      </c>
      <c r="B450" s="859" t="str">
        <f>Settings!$A$5</f>
        <v>GREEN</v>
      </c>
      <c r="C450" s="712" t="s">
        <v>117</v>
      </c>
      <c r="D450" s="13" t="str">
        <f>'Entry Sheet'!N53</f>
        <v>C. SUTTON</v>
      </c>
      <c r="E450" s="13">
        <f>'Entry Sheet'!O53</f>
        <v>16.7</v>
      </c>
      <c r="F450" s="589" t="s">
        <v>518</v>
      </c>
      <c r="BB450" s="314"/>
    </row>
    <row r="451" ht="15.75" customHeight="1">
      <c r="A451" s="585">
        <v>450.0</v>
      </c>
      <c r="B451" s="859" t="str">
        <f>Settings!$A$5</f>
        <v>GREEN</v>
      </c>
      <c r="C451" s="712" t="s">
        <v>117</v>
      </c>
      <c r="D451" s="13" t="str">
        <f>'Entry Sheet'!N54</f>
        <v/>
      </c>
      <c r="E451" s="13" t="str">
        <f>'Entry Sheet'!O54</f>
        <v/>
      </c>
      <c r="F451" s="589" t="s">
        <v>518</v>
      </c>
      <c r="BB451" s="314"/>
    </row>
    <row r="452" ht="15.75" customHeight="1">
      <c r="A452" s="585">
        <v>451.0</v>
      </c>
      <c r="B452" s="859" t="str">
        <f>Settings!$A$5</f>
        <v>GREEN</v>
      </c>
      <c r="C452" s="764" t="s">
        <v>132</v>
      </c>
      <c r="D452" s="13" t="str">
        <f>'Entry Sheet'!N55</f>
        <v>S. LAPORTA</v>
      </c>
      <c r="E452" s="13">
        <f>'Entry Sheet'!O55</f>
        <v>4.5</v>
      </c>
      <c r="F452" s="589" t="s">
        <v>518</v>
      </c>
      <c r="BB452" s="314"/>
    </row>
    <row r="453" ht="15.75" customHeight="1">
      <c r="A453" s="585">
        <v>452.0</v>
      </c>
      <c r="B453" s="859" t="str">
        <f>Settings!$A$5</f>
        <v>GREEN</v>
      </c>
      <c r="C453" s="795" t="s">
        <v>136</v>
      </c>
      <c r="D453" s="13" t="str">
        <f>'Entry Sheet'!N56</f>
        <v>T. WARREN</v>
      </c>
      <c r="E453" s="13">
        <f>'Entry Sheet'!O56</f>
        <v>16.9</v>
      </c>
      <c r="F453" s="589" t="s">
        <v>518</v>
      </c>
      <c r="BB453" s="314"/>
    </row>
    <row r="454" ht="15.75" customHeight="1">
      <c r="A454" s="585">
        <v>453.0</v>
      </c>
      <c r="B454" s="859" t="str">
        <f>Settings!$A$5</f>
        <v>GREEN</v>
      </c>
      <c r="C454" s="818" t="s">
        <v>139</v>
      </c>
      <c r="D454" s="13" t="str">
        <f>'Entry Sheet'!N57</f>
        <v>ATL D/ST</v>
      </c>
      <c r="E454" s="13">
        <f>'Entry Sheet'!O57</f>
        <v>11.74</v>
      </c>
      <c r="F454" s="589" t="s">
        <v>518</v>
      </c>
      <c r="BB454" s="314"/>
    </row>
    <row r="455" ht="15.75" customHeight="1">
      <c r="A455" s="585">
        <v>454.0</v>
      </c>
      <c r="B455" s="859" t="str">
        <f>Settings!$A$5</f>
        <v>GREEN</v>
      </c>
      <c r="C455" s="833" t="s">
        <v>146</v>
      </c>
      <c r="D455" s="13" t="str">
        <f>'Entry Sheet'!N58</f>
        <v>J. MYERS</v>
      </c>
      <c r="E455" s="13">
        <f>'Entry Sheet'!O58</f>
        <v>9</v>
      </c>
      <c r="F455" s="589" t="s">
        <v>518</v>
      </c>
      <c r="BB455" s="314"/>
    </row>
    <row r="456" ht="15.75" customHeight="1">
      <c r="A456" s="585">
        <v>455.0</v>
      </c>
      <c r="B456" s="859" t="str">
        <f>Settings!$A$5</f>
        <v>GREEN</v>
      </c>
      <c r="C456" s="842" t="s">
        <v>162</v>
      </c>
      <c r="D456" s="13" t="str">
        <f>'Entry Sheet'!N59</f>
        <v>LAR HC</v>
      </c>
      <c r="E456" s="13">
        <f>'Entry Sheet'!O59</f>
        <v>22.5</v>
      </c>
      <c r="F456" s="589" t="s">
        <v>518</v>
      </c>
      <c r="BB456" s="314"/>
    </row>
    <row r="457" ht="15.75" customHeight="1">
      <c r="A457" s="585">
        <v>456.0</v>
      </c>
      <c r="B457" s="859" t="str">
        <f>Settings!$A$5</f>
        <v>GREEN</v>
      </c>
      <c r="C457" s="587" t="s">
        <v>100</v>
      </c>
      <c r="D457" s="13" t="str">
        <f>'Entry Sheet'!P47</f>
        <v>B. NIX</v>
      </c>
      <c r="E457" s="13">
        <f>'Entry Sheet'!Q47</f>
        <v>32.88</v>
      </c>
      <c r="F457" s="846" t="s">
        <v>519</v>
      </c>
      <c r="BB457" s="314"/>
    </row>
    <row r="458" ht="15.75" customHeight="1">
      <c r="A458" s="585">
        <v>457.0</v>
      </c>
      <c r="B458" s="859" t="str">
        <f>Settings!$A$5</f>
        <v>GREEN</v>
      </c>
      <c r="C458" s="596" t="s">
        <v>106</v>
      </c>
      <c r="D458" s="13" t="str">
        <f>'Entry Sheet'!P48</f>
        <v>B. ROBINSON</v>
      </c>
      <c r="E458" s="13">
        <f>'Entry Sheet'!Q48</f>
        <v>6.7</v>
      </c>
      <c r="F458" s="846" t="s">
        <v>519</v>
      </c>
      <c r="BB458" s="314"/>
    </row>
    <row r="459" ht="15.75" customHeight="1">
      <c r="A459" s="585">
        <v>458.0</v>
      </c>
      <c r="B459" s="859" t="str">
        <f>Settings!$A$5</f>
        <v>GREEN</v>
      </c>
      <c r="C459" s="596" t="s">
        <v>106</v>
      </c>
      <c r="D459" s="13" t="str">
        <f>'Entry Sheet'!P49</f>
        <v>J. TAYLOR</v>
      </c>
      <c r="E459" s="13">
        <f>'Entry Sheet'!Q49</f>
        <v>39.6</v>
      </c>
      <c r="F459" s="846" t="s">
        <v>519</v>
      </c>
      <c r="BB459" s="314"/>
    </row>
    <row r="460" ht="15.75" customHeight="1">
      <c r="A460" s="585">
        <v>459.0</v>
      </c>
      <c r="B460" s="859" t="str">
        <f>Settings!$A$5</f>
        <v>GREEN</v>
      </c>
      <c r="C460" s="596" t="s">
        <v>106</v>
      </c>
      <c r="D460" s="13" t="str">
        <f>'Entry Sheet'!P50</f>
        <v/>
      </c>
      <c r="E460" s="13" t="str">
        <f>'Entry Sheet'!Q50</f>
        <v/>
      </c>
      <c r="F460" s="846" t="s">
        <v>519</v>
      </c>
      <c r="BB460" s="314"/>
    </row>
    <row r="461" ht="15.75" customHeight="1">
      <c r="A461" s="585">
        <v>460.0</v>
      </c>
      <c r="B461" s="859" t="str">
        <f>Settings!$A$5</f>
        <v>GREEN</v>
      </c>
      <c r="C461" s="712" t="s">
        <v>117</v>
      </c>
      <c r="D461" s="13" t="str">
        <f>'Entry Sheet'!P51</f>
        <v>J. WADDLE</v>
      </c>
      <c r="E461" s="13">
        <f>'Entry Sheet'!Q51</f>
        <v>20.9</v>
      </c>
      <c r="F461" s="846" t="s">
        <v>519</v>
      </c>
      <c r="BB461" s="314"/>
    </row>
    <row r="462" ht="15.75" customHeight="1">
      <c r="A462" s="585">
        <v>461.0</v>
      </c>
      <c r="B462" s="859" t="str">
        <f>Settings!$A$5</f>
        <v>GREEN</v>
      </c>
      <c r="C462" s="712" t="s">
        <v>117</v>
      </c>
      <c r="D462" s="13" t="str">
        <f>'Entry Sheet'!P52</f>
        <v>T. MCMILLAN</v>
      </c>
      <c r="E462" s="13">
        <f>'Entry Sheet'!Q52</f>
        <v>16.9</v>
      </c>
      <c r="F462" s="846" t="s">
        <v>519</v>
      </c>
      <c r="BB462" s="314"/>
    </row>
    <row r="463" ht="15.75" customHeight="1">
      <c r="A463" s="585">
        <v>462.0</v>
      </c>
      <c r="B463" s="859" t="str">
        <f>Settings!$A$5</f>
        <v>GREEN</v>
      </c>
      <c r="C463" s="712" t="s">
        <v>117</v>
      </c>
      <c r="D463" s="13" t="str">
        <f>'Entry Sheet'!P53</f>
        <v>C. SUTTON</v>
      </c>
      <c r="E463" s="13">
        <f>'Entry Sheet'!Q53</f>
        <v>10.7</v>
      </c>
      <c r="F463" s="846" t="s">
        <v>519</v>
      </c>
      <c r="BB463" s="314"/>
    </row>
    <row r="464" ht="15.75" customHeight="1">
      <c r="A464" s="585">
        <v>463.0</v>
      </c>
      <c r="B464" s="859" t="str">
        <f>Settings!$A$5</f>
        <v>GREEN</v>
      </c>
      <c r="C464" s="712" t="s">
        <v>117</v>
      </c>
      <c r="D464" s="13" t="str">
        <f>'Entry Sheet'!P54</f>
        <v/>
      </c>
      <c r="E464" s="13" t="str">
        <f>'Entry Sheet'!Q54</f>
        <v/>
      </c>
      <c r="F464" s="846" t="s">
        <v>519</v>
      </c>
      <c r="BB464" s="314"/>
    </row>
    <row r="465" ht="15.75" customHeight="1">
      <c r="A465" s="585">
        <v>464.0</v>
      </c>
      <c r="B465" s="859" t="str">
        <f>Settings!$A$5</f>
        <v>GREEN</v>
      </c>
      <c r="C465" s="764" t="s">
        <v>132</v>
      </c>
      <c r="D465" s="13" t="str">
        <f>'Entry Sheet'!P55</f>
        <v>T. WARREN</v>
      </c>
      <c r="E465" s="13">
        <f>'Entry Sheet'!Q55</f>
        <v>9.3</v>
      </c>
      <c r="F465" s="846" t="s">
        <v>519</v>
      </c>
      <c r="BB465" s="314"/>
    </row>
    <row r="466" ht="15.75" customHeight="1">
      <c r="A466" s="585">
        <v>465.0</v>
      </c>
      <c r="B466" s="859" t="str">
        <f>Settings!$A$5</f>
        <v>GREEN</v>
      </c>
      <c r="C466" s="795" t="s">
        <v>136</v>
      </c>
      <c r="D466" s="13" t="str">
        <f>'Entry Sheet'!P56</f>
        <v>D. SWIFT</v>
      </c>
      <c r="E466" s="13">
        <f>'Entry Sheet'!Q56</f>
        <v>16.2</v>
      </c>
      <c r="F466" s="846" t="s">
        <v>519</v>
      </c>
      <c r="BB466" s="314"/>
    </row>
    <row r="467" ht="15.75" customHeight="1">
      <c r="A467" s="585">
        <v>466.0</v>
      </c>
      <c r="B467" s="859" t="str">
        <f>Settings!$A$5</f>
        <v>GREEN</v>
      </c>
      <c r="C467" s="818" t="s">
        <v>139</v>
      </c>
      <c r="D467" s="13" t="str">
        <f>'Entry Sheet'!P57</f>
        <v>ATL D/ST</v>
      </c>
      <c r="E467" s="13">
        <f>'Entry Sheet'!Q57</f>
        <v>6.43</v>
      </c>
      <c r="F467" s="846" t="s">
        <v>519</v>
      </c>
      <c r="BB467" s="314"/>
    </row>
    <row r="468" ht="15.75" customHeight="1">
      <c r="A468" s="585">
        <v>467.0</v>
      </c>
      <c r="B468" s="859" t="str">
        <f>Settings!$A$5</f>
        <v>GREEN</v>
      </c>
      <c r="C468" s="833" t="s">
        <v>146</v>
      </c>
      <c r="D468" s="13" t="str">
        <f>'Entry Sheet'!P58</f>
        <v>M. BADGLEY</v>
      </c>
      <c r="E468" s="13">
        <f>'Entry Sheet'!Q58</f>
        <v>9</v>
      </c>
      <c r="F468" s="846" t="s">
        <v>519</v>
      </c>
      <c r="BB468" s="314"/>
    </row>
    <row r="469" ht="15.75" customHeight="1">
      <c r="A469" s="585">
        <v>468.0</v>
      </c>
      <c r="B469" s="859" t="str">
        <f>Settings!$A$5</f>
        <v>GREEN</v>
      </c>
      <c r="C469" s="842" t="s">
        <v>162</v>
      </c>
      <c r="D469" s="13" t="str">
        <f>'Entry Sheet'!P59</f>
        <v>TB HC</v>
      </c>
      <c r="E469" s="13">
        <f>'Entry Sheet'!Q59</f>
        <v>14.9</v>
      </c>
      <c r="F469" s="846" t="s">
        <v>519</v>
      </c>
      <c r="BB469" s="314"/>
    </row>
    <row r="470" ht="15.75" customHeight="1">
      <c r="A470" s="585">
        <v>469.0</v>
      </c>
      <c r="B470" s="859" t="str">
        <f>Settings!$A$5</f>
        <v>GREEN</v>
      </c>
      <c r="C470" s="587" t="s">
        <v>100</v>
      </c>
      <c r="D470" s="13" t="str">
        <f>'Entry Sheet'!R47</f>
        <v>M. STAFFORD</v>
      </c>
      <c r="E470" s="13">
        <f>'Entry Sheet'!S47</f>
        <v>38.44</v>
      </c>
      <c r="F470" s="589" t="s">
        <v>520</v>
      </c>
      <c r="BB470" s="314"/>
    </row>
    <row r="471" ht="15.75" customHeight="1">
      <c r="A471" s="585">
        <v>470.0</v>
      </c>
      <c r="B471" s="859" t="str">
        <f>Settings!$A$5</f>
        <v>GREEN</v>
      </c>
      <c r="C471" s="596" t="s">
        <v>106</v>
      </c>
      <c r="D471" s="13" t="str">
        <f>'Entry Sheet'!R48</f>
        <v>B. ROBINSON</v>
      </c>
      <c r="E471" s="13">
        <f>'Entry Sheet'!S48</f>
        <v>18.8</v>
      </c>
      <c r="F471" s="589" t="s">
        <v>520</v>
      </c>
      <c r="BB471" s="314"/>
    </row>
    <row r="472" ht="15.75" customHeight="1">
      <c r="A472" s="585">
        <v>471.0</v>
      </c>
      <c r="B472" s="859" t="str">
        <f>Settings!$A$5</f>
        <v>GREEN</v>
      </c>
      <c r="C472" s="596" t="s">
        <v>106</v>
      </c>
      <c r="D472" s="13" t="str">
        <f>'Entry Sheet'!R49</f>
        <v>J. TAYLOR</v>
      </c>
      <c r="E472" s="13">
        <f>'Entry Sheet'!S49</f>
        <v>9.1</v>
      </c>
      <c r="F472" s="589" t="s">
        <v>520</v>
      </c>
      <c r="BB472" s="314"/>
    </row>
    <row r="473" ht="15.75" customHeight="1">
      <c r="A473" s="585">
        <v>472.0</v>
      </c>
      <c r="B473" s="859" t="str">
        <f>Settings!$A$5</f>
        <v>GREEN</v>
      </c>
      <c r="C473" s="596" t="s">
        <v>106</v>
      </c>
      <c r="D473" s="13" t="str">
        <f>'Entry Sheet'!R50</f>
        <v/>
      </c>
      <c r="E473" s="13" t="str">
        <f>'Entry Sheet'!S50</f>
        <v/>
      </c>
      <c r="F473" s="589" t="s">
        <v>520</v>
      </c>
      <c r="BB473" s="314"/>
    </row>
    <row r="474" ht="15.75" customHeight="1">
      <c r="A474" s="585">
        <v>473.0</v>
      </c>
      <c r="B474" s="859" t="str">
        <f>Settings!$A$5</f>
        <v>GREEN</v>
      </c>
      <c r="C474" s="712" t="s">
        <v>117</v>
      </c>
      <c r="D474" s="13" t="str">
        <f>'Entry Sheet'!R51</f>
        <v>J. WADDLE</v>
      </c>
      <c r="E474" s="13">
        <f>'Entry Sheet'!S51</f>
        <v>14.2</v>
      </c>
      <c r="F474" s="589" t="s">
        <v>520</v>
      </c>
      <c r="BB474" s="314"/>
    </row>
    <row r="475" ht="15.75" customHeight="1">
      <c r="A475" s="585">
        <v>474.0</v>
      </c>
      <c r="B475" s="859" t="str">
        <f>Settings!$A$5</f>
        <v>GREEN</v>
      </c>
      <c r="C475" s="712" t="s">
        <v>117</v>
      </c>
      <c r="D475" s="13" t="str">
        <f>'Entry Sheet'!R52</f>
        <v>T. MCMILLAN</v>
      </c>
      <c r="E475" s="13">
        <f>'Entry Sheet'!S52</f>
        <v>8.6</v>
      </c>
      <c r="F475" s="589" t="s">
        <v>520</v>
      </c>
      <c r="BB475" s="314"/>
    </row>
    <row r="476" ht="15.75" customHeight="1">
      <c r="A476" s="585">
        <v>475.0</v>
      </c>
      <c r="B476" s="859" t="str">
        <f>Settings!$A$5</f>
        <v>GREEN</v>
      </c>
      <c r="C476" s="712" t="s">
        <v>117</v>
      </c>
      <c r="D476" s="13" t="str">
        <f>'Entry Sheet'!R53</f>
        <v>C. SUTTON</v>
      </c>
      <c r="E476" s="13">
        <f>'Entry Sheet'!S53</f>
        <v>10</v>
      </c>
      <c r="F476" s="589" t="s">
        <v>520</v>
      </c>
      <c r="BB476" s="314"/>
    </row>
    <row r="477" ht="15.75" customHeight="1">
      <c r="A477" s="585">
        <v>476.0</v>
      </c>
      <c r="B477" s="859" t="str">
        <f>Settings!$A$5</f>
        <v>GREEN</v>
      </c>
      <c r="C477" s="712" t="s">
        <v>117</v>
      </c>
      <c r="D477" s="13" t="str">
        <f>'Entry Sheet'!R54</f>
        <v/>
      </c>
      <c r="E477" s="13" t="str">
        <f>'Entry Sheet'!S54</f>
        <v/>
      </c>
      <c r="F477" s="589" t="s">
        <v>520</v>
      </c>
      <c r="BB477" s="314"/>
    </row>
    <row r="478" ht="15.75" customHeight="1">
      <c r="A478" s="585">
        <v>477.0</v>
      </c>
      <c r="B478" s="859" t="str">
        <f>Settings!$A$5</f>
        <v>GREEN</v>
      </c>
      <c r="C478" s="764" t="s">
        <v>132</v>
      </c>
      <c r="D478" s="13" t="str">
        <f>'Entry Sheet'!R55</f>
        <v>T. WARREN</v>
      </c>
      <c r="E478" s="13">
        <f>'Entry Sheet'!S55</f>
        <v>7.6</v>
      </c>
      <c r="F478" s="589" t="s">
        <v>520</v>
      </c>
      <c r="BB478" s="314"/>
    </row>
    <row r="479" ht="15.75" customHeight="1">
      <c r="A479" s="585">
        <v>478.0</v>
      </c>
      <c r="B479" s="859" t="str">
        <f>Settings!$A$5</f>
        <v>GREEN</v>
      </c>
      <c r="C479" s="795" t="s">
        <v>136</v>
      </c>
      <c r="D479" s="13" t="str">
        <f>'Entry Sheet'!R56</f>
        <v>K. MONANGAI</v>
      </c>
      <c r="E479" s="13">
        <f>'Entry Sheet'!S56</f>
        <v>26.4</v>
      </c>
      <c r="F479" s="589" t="s">
        <v>520</v>
      </c>
      <c r="BB479" s="314"/>
    </row>
    <row r="480" ht="15.75" customHeight="1">
      <c r="A480" s="585">
        <v>479.0</v>
      </c>
      <c r="B480" s="859" t="str">
        <f>Settings!$A$5</f>
        <v>GREEN</v>
      </c>
      <c r="C480" s="818" t="s">
        <v>139</v>
      </c>
      <c r="D480" s="13" t="str">
        <f>'Entry Sheet'!R57</f>
        <v>NE D/ST</v>
      </c>
      <c r="E480" s="13">
        <f>'Entry Sheet'!S57</f>
        <v>10.15</v>
      </c>
      <c r="F480" s="589" t="s">
        <v>520</v>
      </c>
      <c r="BB480" s="314"/>
    </row>
    <row r="481" ht="15.75" customHeight="1">
      <c r="A481" s="585">
        <v>480.0</v>
      </c>
      <c r="B481" s="859" t="str">
        <f>Settings!$A$5</f>
        <v>GREEN</v>
      </c>
      <c r="C481" s="833" t="s">
        <v>146</v>
      </c>
      <c r="D481" s="13" t="str">
        <f>'Entry Sheet'!R58</f>
        <v>M. BADGLEY</v>
      </c>
      <c r="E481" s="13">
        <f>'Entry Sheet'!S58</f>
        <v>14</v>
      </c>
      <c r="F481" s="589" t="s">
        <v>520</v>
      </c>
      <c r="BB481" s="314"/>
    </row>
    <row r="482" ht="15.75" customHeight="1">
      <c r="A482" s="585">
        <v>481.0</v>
      </c>
      <c r="B482" s="859" t="str">
        <f>Settings!$A$5</f>
        <v>GREEN</v>
      </c>
      <c r="C482" s="842" t="s">
        <v>162</v>
      </c>
      <c r="D482" s="13" t="str">
        <f>'Entry Sheet'!R59</f>
        <v>LAR HC</v>
      </c>
      <c r="E482" s="13">
        <f>'Entry Sheet'!S59</f>
        <v>18.2</v>
      </c>
      <c r="F482" s="589" t="s">
        <v>520</v>
      </c>
      <c r="BB482" s="314"/>
    </row>
    <row r="483" ht="15.75" customHeight="1">
      <c r="A483" s="585">
        <v>482.0</v>
      </c>
      <c r="B483" s="859" t="str">
        <f>Settings!$A$5</f>
        <v>GREEN</v>
      </c>
      <c r="C483" s="587" t="s">
        <v>100</v>
      </c>
      <c r="D483" s="13" t="str">
        <f>'Entry Sheet'!T47</f>
        <v>M. STAFFORD</v>
      </c>
      <c r="E483" s="13">
        <f>'Entry Sheet'!U47</f>
        <v>37.6</v>
      </c>
      <c r="F483" s="846" t="s">
        <v>521</v>
      </c>
      <c r="BB483" s="314"/>
    </row>
    <row r="484" ht="15.75" customHeight="1">
      <c r="A484" s="585">
        <v>483.0</v>
      </c>
      <c r="B484" s="859" t="str">
        <f>Settings!$A$5</f>
        <v>GREEN</v>
      </c>
      <c r="C484" s="596" t="s">
        <v>106</v>
      </c>
      <c r="D484" s="13" t="str">
        <f>'Entry Sheet'!T48</f>
        <v>B. ROBINSON</v>
      </c>
      <c r="E484" s="13">
        <f>'Entry Sheet'!U48</f>
        <v>12.5</v>
      </c>
      <c r="F484" s="846" t="s">
        <v>521</v>
      </c>
      <c r="BB484" s="314"/>
    </row>
    <row r="485" ht="15.75" customHeight="1">
      <c r="A485" s="585">
        <v>484.0</v>
      </c>
      <c r="B485" s="859" t="str">
        <f>Settings!$A$5</f>
        <v>GREEN</v>
      </c>
      <c r="C485" s="596" t="s">
        <v>106</v>
      </c>
      <c r="D485" s="13" t="str">
        <f>'Entry Sheet'!T49</f>
        <v>J. TAYLOR</v>
      </c>
      <c r="E485" s="13">
        <f>'Entry Sheet'!U49</f>
        <v>54.8</v>
      </c>
      <c r="F485" s="846" t="s">
        <v>521</v>
      </c>
      <c r="BB485" s="314"/>
    </row>
    <row r="486" ht="15.75" customHeight="1">
      <c r="A486" s="585">
        <v>485.0</v>
      </c>
      <c r="B486" s="859" t="str">
        <f>Settings!$A$5</f>
        <v>GREEN</v>
      </c>
      <c r="C486" s="596" t="s">
        <v>106</v>
      </c>
      <c r="D486" s="13" t="str">
        <f>'Entry Sheet'!T50</f>
        <v/>
      </c>
      <c r="E486" s="13" t="str">
        <f>'Entry Sheet'!U50</f>
        <v/>
      </c>
      <c r="F486" s="846" t="s">
        <v>521</v>
      </c>
      <c r="BB486" s="314"/>
    </row>
    <row r="487" ht="15.75" customHeight="1">
      <c r="A487" s="585">
        <v>486.0</v>
      </c>
      <c r="B487" s="859" t="str">
        <f>Settings!$A$5</f>
        <v>GREEN</v>
      </c>
      <c r="C487" s="712" t="s">
        <v>117</v>
      </c>
      <c r="D487" s="13" t="str">
        <f>'Entry Sheet'!T51</f>
        <v>A. BROWN</v>
      </c>
      <c r="E487" s="13">
        <f>'Entry Sheet'!U51</f>
        <v>3.3</v>
      </c>
      <c r="F487" s="846" t="s">
        <v>521</v>
      </c>
      <c r="BB487" s="314"/>
    </row>
    <row r="488" ht="15.75" customHeight="1">
      <c r="A488" s="585">
        <v>487.0</v>
      </c>
      <c r="B488" s="859" t="str">
        <f>Settings!$A$5</f>
        <v>GREEN</v>
      </c>
      <c r="C488" s="712" t="s">
        <v>117</v>
      </c>
      <c r="D488" s="13" t="str">
        <f>'Entry Sheet'!T52</f>
        <v>J. WADDLE</v>
      </c>
      <c r="E488" s="13">
        <f>'Entry Sheet'!U52</f>
        <v>19.4</v>
      </c>
      <c r="F488" s="846" t="s">
        <v>521</v>
      </c>
      <c r="BB488" s="314"/>
    </row>
    <row r="489" ht="15.75" customHeight="1">
      <c r="A489" s="585">
        <v>488.0</v>
      </c>
      <c r="B489" s="859" t="str">
        <f>Settings!$A$5</f>
        <v>GREEN</v>
      </c>
      <c r="C489" s="712" t="s">
        <v>117</v>
      </c>
      <c r="D489" s="13" t="str">
        <f>'Entry Sheet'!T53</f>
        <v>T. FRANKLIN</v>
      </c>
      <c r="E489" s="13">
        <f>'Entry Sheet'!U53</f>
        <v>15</v>
      </c>
      <c r="F489" s="846" t="s">
        <v>521</v>
      </c>
      <c r="BB489" s="314"/>
    </row>
    <row r="490" ht="15.75" customHeight="1">
      <c r="A490" s="585">
        <v>489.0</v>
      </c>
      <c r="B490" s="859" t="str">
        <f>Settings!$A$5</f>
        <v>GREEN</v>
      </c>
      <c r="C490" s="712" t="s">
        <v>117</v>
      </c>
      <c r="D490" s="13" t="str">
        <f>'Entry Sheet'!T54</f>
        <v/>
      </c>
      <c r="E490" s="13" t="str">
        <f>'Entry Sheet'!U54</f>
        <v/>
      </c>
      <c r="F490" s="846" t="s">
        <v>521</v>
      </c>
      <c r="BB490" s="314"/>
    </row>
    <row r="491" ht="15.75" customHeight="1">
      <c r="A491" s="585">
        <v>490.0</v>
      </c>
      <c r="B491" s="859" t="str">
        <f>Settings!$A$5</f>
        <v>GREEN</v>
      </c>
      <c r="C491" s="764" t="s">
        <v>132</v>
      </c>
      <c r="D491" s="13" t="str">
        <f>'Entry Sheet'!T55</f>
        <v>T. WARREN</v>
      </c>
      <c r="E491" s="13">
        <f>'Entry Sheet'!U55</f>
        <v>17.9</v>
      </c>
      <c r="F491" s="846" t="s">
        <v>521</v>
      </c>
      <c r="BB491" s="314"/>
    </row>
    <row r="492" ht="15.75" customHeight="1">
      <c r="A492" s="585">
        <v>491.0</v>
      </c>
      <c r="B492" s="859" t="str">
        <f>Settings!$A$5</f>
        <v>GREEN</v>
      </c>
      <c r="C492" s="795" t="s">
        <v>136</v>
      </c>
      <c r="D492" s="13" t="str">
        <f>'Entry Sheet'!T56</f>
        <v>D. SWIFT</v>
      </c>
      <c r="E492" s="13">
        <f>'Entry Sheet'!U56</f>
        <v>16.1</v>
      </c>
      <c r="F492" s="846" t="s">
        <v>521</v>
      </c>
      <c r="BB492" s="314"/>
    </row>
    <row r="493" ht="15.75" customHeight="1">
      <c r="A493" s="585">
        <v>492.0</v>
      </c>
      <c r="B493" s="859" t="str">
        <f>Settings!$A$5</f>
        <v>GREEN</v>
      </c>
      <c r="C493" s="818" t="s">
        <v>139</v>
      </c>
      <c r="D493" s="13" t="str">
        <f>'Entry Sheet'!T57</f>
        <v>TB D/ST</v>
      </c>
      <c r="E493" s="13">
        <f>'Entry Sheet'!U57</f>
        <v>1.36</v>
      </c>
      <c r="F493" s="846" t="s">
        <v>521</v>
      </c>
      <c r="BB493" s="314"/>
    </row>
    <row r="494" ht="15.75" customHeight="1">
      <c r="A494" s="585">
        <v>493.0</v>
      </c>
      <c r="B494" s="859" t="str">
        <f>Settings!$A$5</f>
        <v>GREEN</v>
      </c>
      <c r="C494" s="833" t="s">
        <v>146</v>
      </c>
      <c r="D494" s="13" t="str">
        <f>'Entry Sheet'!T58</f>
        <v>M. BADGLEY</v>
      </c>
      <c r="E494" s="13">
        <f>'Entry Sheet'!U58</f>
        <v>7</v>
      </c>
      <c r="F494" s="846" t="s">
        <v>521</v>
      </c>
      <c r="BB494" s="314"/>
    </row>
    <row r="495" ht="15.75" customHeight="1">
      <c r="A495" s="585">
        <v>494.0</v>
      </c>
      <c r="B495" s="859" t="str">
        <f>Settings!$A$5</f>
        <v>GREEN</v>
      </c>
      <c r="C495" s="842" t="s">
        <v>162</v>
      </c>
      <c r="D495" s="13" t="str">
        <f>'Entry Sheet'!T59</f>
        <v>LAR HC</v>
      </c>
      <c r="E495" s="13">
        <f>'Entry Sheet'!U59</f>
        <v>18.6</v>
      </c>
      <c r="F495" s="846" t="s">
        <v>521</v>
      </c>
      <c r="BB495" s="314"/>
    </row>
    <row r="496" ht="15.75" hidden="1" customHeight="1">
      <c r="A496" s="585">
        <v>495.0</v>
      </c>
      <c r="B496" s="859" t="str">
        <f>Settings!$A$5</f>
        <v>GREEN</v>
      </c>
      <c r="C496" s="587" t="s">
        <v>100</v>
      </c>
      <c r="D496" s="13" t="str">
        <f>'Entry Sheet'!V47</f>
        <v>M. STAFFORD</v>
      </c>
      <c r="E496" s="13">
        <f>'Entry Sheet'!W47</f>
        <v>17.6</v>
      </c>
      <c r="F496" s="589" t="s">
        <v>522</v>
      </c>
      <c r="BB496" s="314"/>
    </row>
    <row r="497" ht="15.75" hidden="1" customHeight="1">
      <c r="A497" s="585">
        <v>496.0</v>
      </c>
      <c r="B497" s="859" t="str">
        <f>Settings!$A$5</f>
        <v>GREEN</v>
      </c>
      <c r="C497" s="596" t="s">
        <v>106</v>
      </c>
      <c r="D497" s="13" t="str">
        <f>'Entry Sheet'!V48</f>
        <v>B. ROBINSON</v>
      </c>
      <c r="E497" s="13">
        <f>'Entry Sheet'!W48</f>
        <v>33.6</v>
      </c>
      <c r="F497" s="589" t="s">
        <v>522</v>
      </c>
      <c r="BB497" s="314"/>
    </row>
    <row r="498" ht="15.75" hidden="1" customHeight="1">
      <c r="A498" s="585">
        <v>497.0</v>
      </c>
      <c r="B498" s="859" t="str">
        <f>Settings!$A$5</f>
        <v>GREEN</v>
      </c>
      <c r="C498" s="596" t="s">
        <v>106</v>
      </c>
      <c r="D498" s="13" t="str">
        <f>'Entry Sheet'!V49</f>
        <v>D. SWIFT</v>
      </c>
      <c r="E498" s="13">
        <f>'Entry Sheet'!W49</f>
        <v>11.1</v>
      </c>
      <c r="F498" s="589" t="s">
        <v>522</v>
      </c>
      <c r="BB498" s="314"/>
    </row>
    <row r="499" ht="15.75" hidden="1" customHeight="1">
      <c r="A499" s="585">
        <v>498.0</v>
      </c>
      <c r="B499" s="859" t="str">
        <f>Settings!$A$5</f>
        <v>GREEN</v>
      </c>
      <c r="C499" s="596" t="s">
        <v>106</v>
      </c>
      <c r="D499" s="13" t="str">
        <f>'Entry Sheet'!V50</f>
        <v/>
      </c>
      <c r="E499" s="13" t="str">
        <f>'Entry Sheet'!W50</f>
        <v/>
      </c>
      <c r="F499" s="589" t="s">
        <v>522</v>
      </c>
      <c r="BB499" s="314"/>
    </row>
    <row r="500" ht="15.75" hidden="1" customHeight="1">
      <c r="A500" s="585">
        <v>499.0</v>
      </c>
      <c r="B500" s="859" t="str">
        <f>Settings!$A$5</f>
        <v>GREEN</v>
      </c>
      <c r="C500" s="712" t="s">
        <v>117</v>
      </c>
      <c r="D500" s="13" t="str">
        <f>'Entry Sheet'!V51</f>
        <v>A. BROWN</v>
      </c>
      <c r="E500" s="13">
        <f>'Entry Sheet'!W51</f>
        <v>11.9</v>
      </c>
      <c r="F500" s="589" t="s">
        <v>522</v>
      </c>
      <c r="BB500" s="314"/>
    </row>
    <row r="501" ht="15.75" hidden="1" customHeight="1">
      <c r="A501" s="585">
        <v>500.0</v>
      </c>
      <c r="B501" s="859" t="str">
        <f>Settings!$A$5</f>
        <v>GREEN</v>
      </c>
      <c r="C501" s="712" t="s">
        <v>117</v>
      </c>
      <c r="D501" s="13" t="str">
        <f>'Entry Sheet'!V52</f>
        <v>J. WADDLE</v>
      </c>
      <c r="E501" s="13">
        <f>'Entry Sheet'!W52</f>
        <v>8.2</v>
      </c>
      <c r="F501" s="589" t="s">
        <v>522</v>
      </c>
      <c r="BB501" s="314"/>
    </row>
    <row r="502" ht="15.75" hidden="1" customHeight="1">
      <c r="A502" s="585">
        <v>501.0</v>
      </c>
      <c r="B502" s="859" t="str">
        <f>Settings!$A$5</f>
        <v>GREEN</v>
      </c>
      <c r="C502" s="712" t="s">
        <v>117</v>
      </c>
      <c r="D502" s="13" t="str">
        <f>'Entry Sheet'!V53</f>
        <v>T. FRANKLIN</v>
      </c>
      <c r="E502" s="13">
        <f>'Entry Sheet'!W53</f>
        <v>12.4</v>
      </c>
      <c r="F502" s="589" t="s">
        <v>522</v>
      </c>
      <c r="BB502" s="314"/>
    </row>
    <row r="503" ht="15.75" hidden="1" customHeight="1">
      <c r="A503" s="585">
        <v>502.0</v>
      </c>
      <c r="B503" s="859" t="str">
        <f>Settings!$A$5</f>
        <v>GREEN</v>
      </c>
      <c r="C503" s="712" t="s">
        <v>117</v>
      </c>
      <c r="D503" s="13" t="str">
        <f>'Entry Sheet'!V54</f>
        <v/>
      </c>
      <c r="E503" s="13" t="str">
        <f>'Entry Sheet'!W54</f>
        <v/>
      </c>
      <c r="F503" s="589" t="s">
        <v>522</v>
      </c>
      <c r="BB503" s="314"/>
    </row>
    <row r="504" ht="15.75" hidden="1" customHeight="1">
      <c r="A504" s="585">
        <v>503.0</v>
      </c>
      <c r="B504" s="859" t="str">
        <f>Settings!$A$5</f>
        <v>GREEN</v>
      </c>
      <c r="C504" s="764" t="s">
        <v>132</v>
      </c>
      <c r="D504" s="13" t="str">
        <f>'Entry Sheet'!V55</f>
        <v>T. JOHNSON</v>
      </c>
      <c r="E504" s="13">
        <f>'Entry Sheet'!W55</f>
        <v>6.6</v>
      </c>
      <c r="F504" s="589" t="s">
        <v>522</v>
      </c>
      <c r="BB504" s="314"/>
    </row>
    <row r="505" ht="15.75" hidden="1" customHeight="1">
      <c r="A505" s="585">
        <v>504.0</v>
      </c>
      <c r="B505" s="859" t="str">
        <f>Settings!$A$5</f>
        <v>GREEN</v>
      </c>
      <c r="C505" s="795" t="s">
        <v>136</v>
      </c>
      <c r="D505" s="13" t="str">
        <f>'Entry Sheet'!V56</f>
        <v>T. MCMILLAN</v>
      </c>
      <c r="E505" s="13">
        <f>'Entry Sheet'!W56</f>
        <v>34</v>
      </c>
      <c r="F505" s="589" t="s">
        <v>522</v>
      </c>
      <c r="BB505" s="314"/>
    </row>
    <row r="506" ht="15.75" hidden="1" customHeight="1">
      <c r="A506" s="585">
        <v>505.0</v>
      </c>
      <c r="B506" s="859" t="str">
        <f>Settings!$A$5</f>
        <v>GREEN</v>
      </c>
      <c r="C506" s="818" t="s">
        <v>139</v>
      </c>
      <c r="D506" s="13" t="str">
        <f>'Entry Sheet'!V57</f>
        <v>TB D/ST</v>
      </c>
      <c r="E506" s="13">
        <f>'Entry Sheet'!W57</f>
        <v>12.05</v>
      </c>
      <c r="F506" s="589" t="s">
        <v>522</v>
      </c>
      <c r="BB506" s="314"/>
    </row>
    <row r="507" ht="15.75" hidden="1" customHeight="1">
      <c r="A507" s="585">
        <v>506.0</v>
      </c>
      <c r="B507" s="859" t="str">
        <f>Settings!$A$5</f>
        <v>GREEN</v>
      </c>
      <c r="C507" s="833" t="s">
        <v>146</v>
      </c>
      <c r="D507" s="13" t="str">
        <f>'Entry Sheet'!V58</f>
        <v>A. BORREGALES</v>
      </c>
      <c r="E507" s="13">
        <f>'Entry Sheet'!W58</f>
        <v>8.5</v>
      </c>
      <c r="F507" s="589" t="s">
        <v>522</v>
      </c>
      <c r="BB507" s="314"/>
    </row>
    <row r="508" ht="15.75" hidden="1" customHeight="1">
      <c r="A508" s="585">
        <v>507.0</v>
      </c>
      <c r="B508" s="859" t="str">
        <f>Settings!$A$5</f>
        <v>GREEN</v>
      </c>
      <c r="C508" s="842" t="s">
        <v>162</v>
      </c>
      <c r="D508" s="13" t="str">
        <f>'Entry Sheet'!V59</f>
        <v>LAR HC</v>
      </c>
      <c r="E508" s="13">
        <f>'Entry Sheet'!W59</f>
        <v>8.3</v>
      </c>
      <c r="F508" s="589" t="s">
        <v>522</v>
      </c>
      <c r="BB508" s="314"/>
    </row>
    <row r="509" ht="15.75" customHeight="1">
      <c r="A509" s="585">
        <v>508.0</v>
      </c>
      <c r="B509" s="859" t="str">
        <f>Settings!$A$5</f>
        <v>GREEN</v>
      </c>
      <c r="C509" s="587" t="s">
        <v>100</v>
      </c>
      <c r="D509" s="13" t="str">
        <f>'Entry Sheet'!X47</f>
        <v>M. STAFFORD</v>
      </c>
      <c r="E509" s="13">
        <f>'Entry Sheet'!Y47</f>
        <v>31.92</v>
      </c>
      <c r="F509" s="846" t="s">
        <v>523</v>
      </c>
      <c r="BB509" s="314"/>
    </row>
    <row r="510" ht="15.75" customHeight="1">
      <c r="A510" s="585">
        <v>509.0</v>
      </c>
      <c r="B510" s="859" t="str">
        <f>Settings!$A$5</f>
        <v>GREEN</v>
      </c>
      <c r="C510" s="596" t="s">
        <v>106</v>
      </c>
      <c r="D510" s="13" t="str">
        <f>'Entry Sheet'!X48</f>
        <v>B. ROBINSON</v>
      </c>
      <c r="E510" s="13">
        <f>'Entry Sheet'!Y48</f>
        <v>16.1</v>
      </c>
      <c r="F510" s="846" t="s">
        <v>523</v>
      </c>
      <c r="BB510" s="314"/>
    </row>
    <row r="511" ht="15.75" customHeight="1">
      <c r="A511" s="585">
        <v>510.0</v>
      </c>
      <c r="B511" s="859" t="str">
        <f>Settings!$A$5</f>
        <v>GREEN</v>
      </c>
      <c r="C511" s="596" t="s">
        <v>106</v>
      </c>
      <c r="D511" s="13" t="str">
        <f>'Entry Sheet'!X49</f>
        <v>J. TAYLOR</v>
      </c>
      <c r="E511" s="13">
        <f>'Entry Sheet'!Y49</f>
        <v>10.2</v>
      </c>
      <c r="F511" s="846" t="s">
        <v>523</v>
      </c>
      <c r="BB511" s="314"/>
    </row>
    <row r="512" ht="15.75" customHeight="1">
      <c r="A512" s="585">
        <v>511.0</v>
      </c>
      <c r="B512" s="859" t="str">
        <f>Settings!$A$5</f>
        <v>GREEN</v>
      </c>
      <c r="C512" s="596" t="s">
        <v>106</v>
      </c>
      <c r="D512" s="13" t="str">
        <f>'Entry Sheet'!X50</f>
        <v/>
      </c>
      <c r="E512" s="13" t="str">
        <f>'Entry Sheet'!Y50</f>
        <v/>
      </c>
      <c r="F512" s="846" t="s">
        <v>523</v>
      </c>
      <c r="BB512" s="314"/>
    </row>
    <row r="513" ht="15.75" customHeight="1">
      <c r="A513" s="585">
        <v>512.0</v>
      </c>
      <c r="B513" s="859" t="str">
        <f>Settings!$A$5</f>
        <v>GREEN</v>
      </c>
      <c r="C513" s="712" t="s">
        <v>117</v>
      </c>
      <c r="D513" s="13" t="str">
        <f>'Entry Sheet'!X51</f>
        <v>A. BROWN</v>
      </c>
      <c r="E513" s="13">
        <f>'Entry Sheet'!Y51</f>
        <v>26</v>
      </c>
      <c r="F513" s="846" t="s">
        <v>523</v>
      </c>
      <c r="BB513" s="314"/>
    </row>
    <row r="514" ht="15.75" customHeight="1">
      <c r="A514" s="585">
        <v>513.0</v>
      </c>
      <c r="B514" s="859" t="str">
        <f>Settings!$A$5</f>
        <v>GREEN</v>
      </c>
      <c r="C514" s="712" t="s">
        <v>117</v>
      </c>
      <c r="D514" s="13" t="str">
        <f>'Entry Sheet'!X52</f>
        <v>T. MCMILLAN</v>
      </c>
      <c r="E514" s="13">
        <f>'Entry Sheet'!Y52</f>
        <v>11.5</v>
      </c>
      <c r="F514" s="846" t="s">
        <v>523</v>
      </c>
      <c r="BB514" s="314"/>
    </row>
    <row r="515" ht="15.75" customHeight="1">
      <c r="A515" s="585">
        <v>514.0</v>
      </c>
      <c r="B515" s="859" t="str">
        <f>Settings!$A$5</f>
        <v>GREEN</v>
      </c>
      <c r="C515" s="712" t="s">
        <v>117</v>
      </c>
      <c r="D515" s="13" t="str">
        <f>'Entry Sheet'!X53</f>
        <v>M. WILSON</v>
      </c>
      <c r="E515" s="13">
        <f>'Entry Sheet'!Y53</f>
        <v>22.8</v>
      </c>
      <c r="F515" s="846" t="s">
        <v>523</v>
      </c>
      <c r="BB515" s="314"/>
    </row>
    <row r="516" ht="15.75" customHeight="1">
      <c r="A516" s="585">
        <v>515.0</v>
      </c>
      <c r="B516" s="859" t="str">
        <f>Settings!$A$5</f>
        <v>GREEN</v>
      </c>
      <c r="C516" s="712" t="s">
        <v>117</v>
      </c>
      <c r="D516" s="13" t="str">
        <f>'Entry Sheet'!X54</f>
        <v/>
      </c>
      <c r="E516" s="13" t="str">
        <f>'Entry Sheet'!Y54</f>
        <v/>
      </c>
      <c r="F516" s="846" t="s">
        <v>523</v>
      </c>
      <c r="BB516" s="314"/>
    </row>
    <row r="517" ht="15.75" customHeight="1">
      <c r="A517" s="585">
        <v>516.0</v>
      </c>
      <c r="B517" s="859" t="str">
        <f>Settings!$A$5</f>
        <v>GREEN</v>
      </c>
      <c r="C517" s="764" t="s">
        <v>132</v>
      </c>
      <c r="D517" s="13" t="str">
        <f>'Entry Sheet'!X55</f>
        <v>T. WARREN</v>
      </c>
      <c r="E517" s="13">
        <f>'Entry Sheet'!Y55</f>
        <v>9.5</v>
      </c>
      <c r="F517" s="846" t="s">
        <v>523</v>
      </c>
      <c r="BB517" s="314"/>
    </row>
    <row r="518" ht="15.75" customHeight="1">
      <c r="A518" s="585">
        <v>517.0</v>
      </c>
      <c r="B518" s="859" t="str">
        <f>Settings!$A$5</f>
        <v>GREEN</v>
      </c>
      <c r="C518" s="795" t="s">
        <v>136</v>
      </c>
      <c r="D518" s="13" t="str">
        <f>'Entry Sheet'!X56</f>
        <v>D. SWIFT</v>
      </c>
      <c r="E518" s="13">
        <f>'Entry Sheet'!Y56</f>
        <v>2.7</v>
      </c>
      <c r="F518" s="846" t="s">
        <v>523</v>
      </c>
      <c r="BB518" s="314"/>
    </row>
    <row r="519" ht="15.75" customHeight="1">
      <c r="A519" s="585">
        <v>518.0</v>
      </c>
      <c r="B519" s="859" t="str">
        <f>Settings!$A$5</f>
        <v>GREEN</v>
      </c>
      <c r="C519" s="818" t="s">
        <v>139</v>
      </c>
      <c r="D519" s="13" t="str">
        <f>'Entry Sheet'!X57</f>
        <v>NE D/ST</v>
      </c>
      <c r="E519" s="13">
        <f>'Entry Sheet'!Y57</f>
        <v>17.3</v>
      </c>
      <c r="F519" s="846" t="s">
        <v>523</v>
      </c>
      <c r="BB519" s="314"/>
    </row>
    <row r="520" ht="15.75" customHeight="1">
      <c r="A520" s="585">
        <v>519.0</v>
      </c>
      <c r="B520" s="859" t="str">
        <f>Settings!$A$5</f>
        <v>GREEN</v>
      </c>
      <c r="C520" s="833" t="s">
        <v>146</v>
      </c>
      <c r="D520" s="13" t="str">
        <f>'Entry Sheet'!X58</f>
        <v>A. BORREGALES</v>
      </c>
      <c r="E520" s="13">
        <f>'Entry Sheet'!Y58</f>
        <v>19</v>
      </c>
      <c r="F520" s="846" t="s">
        <v>523</v>
      </c>
      <c r="BB520" s="314"/>
    </row>
    <row r="521" ht="15.75" customHeight="1">
      <c r="A521" s="585">
        <v>520.0</v>
      </c>
      <c r="B521" s="859" t="str">
        <f>Settings!$A$5</f>
        <v>GREEN</v>
      </c>
      <c r="C521" s="842" t="s">
        <v>162</v>
      </c>
      <c r="D521" s="13" t="str">
        <f>'Entry Sheet'!X59</f>
        <v>LAR HC</v>
      </c>
      <c r="E521" s="13">
        <f>'Entry Sheet'!Y59</f>
        <v>22.2</v>
      </c>
      <c r="F521" s="846" t="s">
        <v>523</v>
      </c>
      <c r="BB521" s="314"/>
    </row>
    <row r="522" ht="15.75" customHeight="1">
      <c r="A522" s="585">
        <v>521.0</v>
      </c>
      <c r="B522" s="859" t="str">
        <f>Settings!$A$5</f>
        <v>GREEN</v>
      </c>
      <c r="C522" s="587" t="s">
        <v>100</v>
      </c>
      <c r="D522" s="13" t="str">
        <f>'Entry Sheet'!Z47</f>
        <v>M. STAFFORD</v>
      </c>
      <c r="E522" s="13">
        <f>'Entry Sheet'!AA47</f>
        <v>15.72</v>
      </c>
      <c r="F522" s="589" t="s">
        <v>524</v>
      </c>
      <c r="BB522" s="314"/>
    </row>
    <row r="523" ht="15.75" customHeight="1">
      <c r="A523" s="585">
        <v>522.0</v>
      </c>
      <c r="B523" s="859" t="str">
        <f>Settings!$A$5</f>
        <v>GREEN</v>
      </c>
      <c r="C523" s="596" t="s">
        <v>106</v>
      </c>
      <c r="D523" s="13" t="str">
        <f>'Entry Sheet'!Z48</f>
        <v>B. ROBINSON</v>
      </c>
      <c r="E523" s="13">
        <f>'Entry Sheet'!AA48</f>
        <v>33.6</v>
      </c>
      <c r="F523" s="589" t="s">
        <v>524</v>
      </c>
      <c r="BB523" s="314"/>
    </row>
    <row r="524" ht="15.75" customHeight="1">
      <c r="A524" s="585">
        <v>523.0</v>
      </c>
      <c r="B524" s="859" t="str">
        <f>Settings!$A$5</f>
        <v>GREEN</v>
      </c>
      <c r="C524" s="596" t="s">
        <v>106</v>
      </c>
      <c r="D524" s="13" t="str">
        <f>'Entry Sheet'!Z49</f>
        <v>J. TAYLOR</v>
      </c>
      <c r="E524" s="13">
        <f>'Entry Sheet'!AA49</f>
        <v>17.2</v>
      </c>
      <c r="F524" s="589" t="s">
        <v>524</v>
      </c>
      <c r="BB524" s="314"/>
    </row>
    <row r="525" ht="15.75" customHeight="1">
      <c r="A525" s="585">
        <v>524.0</v>
      </c>
      <c r="B525" s="859" t="str">
        <f>Settings!$A$5</f>
        <v>GREEN</v>
      </c>
      <c r="C525" s="596" t="s">
        <v>106</v>
      </c>
      <c r="D525" s="13" t="str">
        <f>'Entry Sheet'!Z50</f>
        <v/>
      </c>
      <c r="E525" s="13" t="str">
        <f>'Entry Sheet'!AA50</f>
        <v/>
      </c>
      <c r="F525" s="589" t="s">
        <v>524</v>
      </c>
      <c r="BB525" s="314"/>
    </row>
    <row r="526" ht="15.75" customHeight="1">
      <c r="A526" s="585">
        <v>525.0</v>
      </c>
      <c r="B526" s="859" t="str">
        <f>Settings!$A$5</f>
        <v>GREEN</v>
      </c>
      <c r="C526" s="712" t="s">
        <v>117</v>
      </c>
      <c r="D526" s="13" t="str">
        <f>'Entry Sheet'!Z51</f>
        <v>A. BROWN</v>
      </c>
      <c r="E526" s="13">
        <f>'Entry Sheet'!AA51</f>
        <v>36.2</v>
      </c>
      <c r="F526" s="589" t="s">
        <v>524</v>
      </c>
      <c r="BB526" s="314"/>
    </row>
    <row r="527" ht="15.75" customHeight="1">
      <c r="A527" s="585">
        <v>526.0</v>
      </c>
      <c r="B527" s="859" t="str">
        <f>Settings!$A$5</f>
        <v>GREEN</v>
      </c>
      <c r="C527" s="712" t="s">
        <v>117</v>
      </c>
      <c r="D527" s="13" t="str">
        <f>'Entry Sheet'!Z52</f>
        <v>T. MCMILLAN</v>
      </c>
      <c r="E527" s="13">
        <f>'Entry Sheet'!AA52</f>
        <v>11.3</v>
      </c>
      <c r="F527" s="589" t="s">
        <v>524</v>
      </c>
      <c r="BB527" s="314"/>
    </row>
    <row r="528" ht="15.75" customHeight="1">
      <c r="A528" s="585">
        <v>527.0</v>
      </c>
      <c r="B528" s="859" t="str">
        <f>Settings!$A$5</f>
        <v>GREEN</v>
      </c>
      <c r="C528" s="712" t="s">
        <v>117</v>
      </c>
      <c r="D528" s="13" t="str">
        <f>'Entry Sheet'!Z53</f>
        <v>T. FRANKLIN</v>
      </c>
      <c r="E528" s="13">
        <f>'Entry Sheet'!AA53</f>
        <v>4.1</v>
      </c>
      <c r="F528" s="589" t="s">
        <v>524</v>
      </c>
      <c r="BB528" s="314"/>
    </row>
    <row r="529" ht="15.75" customHeight="1">
      <c r="A529" s="585">
        <v>528.0</v>
      </c>
      <c r="B529" s="859" t="str">
        <f>Settings!$A$5</f>
        <v>GREEN</v>
      </c>
      <c r="C529" s="712" t="s">
        <v>117</v>
      </c>
      <c r="D529" s="13" t="str">
        <f>'Entry Sheet'!Z54</f>
        <v/>
      </c>
      <c r="E529" s="13" t="str">
        <f>'Entry Sheet'!AA54</f>
        <v/>
      </c>
      <c r="F529" s="589" t="s">
        <v>524</v>
      </c>
      <c r="BB529" s="314"/>
    </row>
    <row r="530" ht="15.75" customHeight="1">
      <c r="A530" s="585">
        <v>529.0</v>
      </c>
      <c r="B530" s="859" t="str">
        <f>Settings!$A$5</f>
        <v>GREEN</v>
      </c>
      <c r="C530" s="764" t="s">
        <v>132</v>
      </c>
      <c r="D530" s="13" t="str">
        <f>'Entry Sheet'!Z55</f>
        <v>T. WARREN</v>
      </c>
      <c r="E530" s="13">
        <f>'Entry Sheet'!AA55</f>
        <v>11.3</v>
      </c>
      <c r="F530" s="589" t="s">
        <v>524</v>
      </c>
      <c r="BB530" s="314"/>
    </row>
    <row r="531" ht="15.75" customHeight="1">
      <c r="A531" s="585">
        <v>530.0</v>
      </c>
      <c r="B531" s="859" t="str">
        <f>Settings!$A$5</f>
        <v>GREEN</v>
      </c>
      <c r="C531" s="795" t="s">
        <v>136</v>
      </c>
      <c r="D531" s="13" t="str">
        <f>'Entry Sheet'!Z56</f>
        <v>D. SWIFT</v>
      </c>
      <c r="E531" s="13">
        <f>'Entry Sheet'!AA56</f>
        <v>23.6</v>
      </c>
      <c r="F531" s="589" t="s">
        <v>524</v>
      </c>
      <c r="BB531" s="314"/>
    </row>
    <row r="532" ht="15.75" customHeight="1">
      <c r="A532" s="585">
        <v>531.0</v>
      </c>
      <c r="B532" s="859" t="str">
        <f>Settings!$A$5</f>
        <v>GREEN</v>
      </c>
      <c r="C532" s="818" t="s">
        <v>139</v>
      </c>
      <c r="D532" s="13" t="str">
        <f>'Entry Sheet'!Z57</f>
        <v>NE D/ST</v>
      </c>
      <c r="E532" s="13">
        <f>'Entry Sheet'!AA57</f>
        <v>29.87</v>
      </c>
      <c r="F532" s="589" t="s">
        <v>524</v>
      </c>
      <c r="BB532" s="314"/>
    </row>
    <row r="533" ht="15.75" customHeight="1">
      <c r="A533" s="585">
        <v>532.0</v>
      </c>
      <c r="B533" s="859" t="str">
        <f>Settings!$A$5</f>
        <v>GREEN</v>
      </c>
      <c r="C533" s="833" t="s">
        <v>146</v>
      </c>
      <c r="D533" s="13" t="str">
        <f>'Entry Sheet'!Z58</f>
        <v>A. BORRAGALES</v>
      </c>
      <c r="E533" s="13">
        <f>'Entry Sheet'!AA58</f>
        <v>13.5</v>
      </c>
      <c r="F533" s="589" t="s">
        <v>524</v>
      </c>
      <c r="BB533" s="314"/>
    </row>
    <row r="534" ht="15.75" customHeight="1">
      <c r="A534" s="585">
        <v>533.0</v>
      </c>
      <c r="B534" s="859" t="str">
        <f>Settings!$A$5</f>
        <v>GREEN</v>
      </c>
      <c r="C534" s="842" t="s">
        <v>162</v>
      </c>
      <c r="D534" s="13" t="str">
        <f>'Entry Sheet'!Z59</f>
        <v>LAR HC</v>
      </c>
      <c r="E534" s="13">
        <f>'Entry Sheet'!AA59</f>
        <v>6.4</v>
      </c>
      <c r="F534" s="589" t="s">
        <v>524</v>
      </c>
      <c r="BB534" s="314"/>
    </row>
    <row r="535" ht="15.75" customHeight="1">
      <c r="A535" s="585">
        <v>534.0</v>
      </c>
      <c r="B535" s="859" t="str">
        <f>Settings!$A$5</f>
        <v>GREEN</v>
      </c>
      <c r="C535" s="587" t="s">
        <v>100</v>
      </c>
      <c r="D535" s="13" t="str">
        <f>'Entry Sheet'!AB47</f>
        <v>M. STAFFORD</v>
      </c>
      <c r="E535" s="13">
        <f>'Entry Sheet'!AC47</f>
        <v>31.84</v>
      </c>
      <c r="F535" s="846" t="s">
        <v>525</v>
      </c>
      <c r="BB535" s="314"/>
    </row>
    <row r="536" ht="15.75" customHeight="1">
      <c r="A536" s="585">
        <v>535.0</v>
      </c>
      <c r="B536" s="859" t="str">
        <f>Settings!$A$5</f>
        <v>GREEN</v>
      </c>
      <c r="C536" s="596" t="s">
        <v>106</v>
      </c>
      <c r="D536" s="13" t="str">
        <f>'Entry Sheet'!AB48</f>
        <v>B. ROBINSON</v>
      </c>
      <c r="E536" s="13">
        <f>'Entry Sheet'!AC48</f>
        <v>11.4</v>
      </c>
      <c r="F536" s="846" t="s">
        <v>525</v>
      </c>
      <c r="BB536" s="314"/>
    </row>
    <row r="537" ht="15.75" customHeight="1">
      <c r="A537" s="585">
        <v>536.0</v>
      </c>
      <c r="B537" s="859" t="str">
        <f>Settings!$A$5</f>
        <v>GREEN</v>
      </c>
      <c r="C537" s="596" t="s">
        <v>106</v>
      </c>
      <c r="D537" s="13" t="str">
        <f>'Entry Sheet'!AB49</f>
        <v>J. TAYLOR</v>
      </c>
      <c r="E537" s="13">
        <f>'Entry Sheet'!AC49</f>
        <v>13.5</v>
      </c>
      <c r="F537" s="846" t="s">
        <v>525</v>
      </c>
      <c r="BB537" s="314"/>
    </row>
    <row r="538" ht="15.75" customHeight="1">
      <c r="A538" s="585">
        <v>537.0</v>
      </c>
      <c r="B538" s="859" t="str">
        <f>Settings!$A$5</f>
        <v>GREEN</v>
      </c>
      <c r="C538" s="596" t="s">
        <v>106</v>
      </c>
      <c r="D538" s="13" t="str">
        <f>'Entry Sheet'!AB50</f>
        <v/>
      </c>
      <c r="E538" s="13" t="str">
        <f>'Entry Sheet'!AC50</f>
        <v/>
      </c>
      <c r="F538" s="846" t="s">
        <v>525</v>
      </c>
      <c r="BB538" s="314"/>
    </row>
    <row r="539" ht="15.75" customHeight="1">
      <c r="A539" s="585">
        <v>538.0</v>
      </c>
      <c r="B539" s="859" t="str">
        <f>Settings!$A$5</f>
        <v>GREEN</v>
      </c>
      <c r="C539" s="712" t="s">
        <v>117</v>
      </c>
      <c r="D539" s="13" t="str">
        <f>'Entry Sheet'!AB51</f>
        <v>A. BROWN</v>
      </c>
      <c r="E539" s="13">
        <f>'Entry Sheet'!AC51</f>
        <v>17</v>
      </c>
      <c r="F539" s="846" t="s">
        <v>525</v>
      </c>
      <c r="BB539" s="314"/>
    </row>
    <row r="540" ht="15.75" customHeight="1">
      <c r="A540" s="585">
        <v>539.0</v>
      </c>
      <c r="B540" s="859" t="str">
        <f>Settings!$A$5</f>
        <v>GREEN</v>
      </c>
      <c r="C540" s="712" t="s">
        <v>117</v>
      </c>
      <c r="D540" s="13" t="str">
        <f>'Entry Sheet'!AB52</f>
        <v>J. WADDLE</v>
      </c>
      <c r="E540" s="13">
        <f>'Entry Sheet'!AC52</f>
        <v>18.2</v>
      </c>
      <c r="F540" s="846" t="s">
        <v>525</v>
      </c>
      <c r="BB540" s="314"/>
    </row>
    <row r="541" ht="15.75" customHeight="1">
      <c r="A541" s="585">
        <v>540.0</v>
      </c>
      <c r="B541" s="859" t="str">
        <f>Settings!$A$5</f>
        <v>GREEN</v>
      </c>
      <c r="C541" s="712" t="s">
        <v>117</v>
      </c>
      <c r="D541" s="13" t="str">
        <f>'Entry Sheet'!AB53</f>
        <v>T. FRANKLIN</v>
      </c>
      <c r="E541" s="13">
        <f>'Entry Sheet'!AC53</f>
        <v>4.1</v>
      </c>
      <c r="F541" s="846" t="s">
        <v>525</v>
      </c>
      <c r="BB541" s="314"/>
    </row>
    <row r="542" ht="15.75" customHeight="1">
      <c r="A542" s="585">
        <v>541.0</v>
      </c>
      <c r="B542" s="859" t="str">
        <f>Settings!$A$5</f>
        <v>GREEN</v>
      </c>
      <c r="C542" s="712" t="s">
        <v>117</v>
      </c>
      <c r="D542" s="13" t="str">
        <f>'Entry Sheet'!AB54</f>
        <v/>
      </c>
      <c r="E542" s="13" t="str">
        <f>'Entry Sheet'!AC54</f>
        <v/>
      </c>
      <c r="F542" s="846" t="s">
        <v>525</v>
      </c>
      <c r="BB542" s="314"/>
    </row>
    <row r="543" ht="15.75" customHeight="1">
      <c r="A543" s="585">
        <v>542.0</v>
      </c>
      <c r="B543" s="859" t="str">
        <f>Settings!$A$5</f>
        <v>GREEN</v>
      </c>
      <c r="C543" s="764" t="s">
        <v>132</v>
      </c>
      <c r="D543" s="13" t="str">
        <f>'Entry Sheet'!AB55</f>
        <v>T. WARREN</v>
      </c>
      <c r="E543" s="13">
        <f>'Entry Sheet'!AC55</f>
        <v>3.8</v>
      </c>
      <c r="F543" s="846" t="s">
        <v>525</v>
      </c>
      <c r="BB543" s="314"/>
    </row>
    <row r="544" ht="15.75" customHeight="1">
      <c r="A544" s="585">
        <v>543.0</v>
      </c>
      <c r="B544" s="859" t="str">
        <f>Settings!$A$5</f>
        <v>GREEN</v>
      </c>
      <c r="C544" s="795" t="s">
        <v>136</v>
      </c>
      <c r="D544" s="13" t="str">
        <f>'Entry Sheet'!AB56</f>
        <v>D. SWIFT</v>
      </c>
      <c r="E544" s="13">
        <f>'Entry Sheet'!AC56</f>
        <v>12.5</v>
      </c>
      <c r="F544" s="846" t="s">
        <v>525</v>
      </c>
      <c r="BB544" s="314"/>
    </row>
    <row r="545" ht="15.75" customHeight="1">
      <c r="A545" s="585">
        <v>544.0</v>
      </c>
      <c r="B545" s="859" t="str">
        <f>Settings!$A$5</f>
        <v>GREEN</v>
      </c>
      <c r="C545" s="818" t="s">
        <v>139</v>
      </c>
      <c r="D545" s="13" t="str">
        <f>'Entry Sheet'!AB57</f>
        <v>TB D/ST</v>
      </c>
      <c r="E545" s="13">
        <f>'Entry Sheet'!AC57</f>
        <v>11.95</v>
      </c>
      <c r="F545" s="846" t="s">
        <v>525</v>
      </c>
      <c r="BB545" s="314"/>
    </row>
    <row r="546" ht="15.75" customHeight="1">
      <c r="A546" s="585">
        <v>545.0</v>
      </c>
      <c r="B546" s="859" t="str">
        <f>Settings!$A$5</f>
        <v>GREEN</v>
      </c>
      <c r="C546" s="833" t="s">
        <v>146</v>
      </c>
      <c r="D546" s="13" t="str">
        <f>'Entry Sheet'!AB58</f>
        <v>M. PRATER</v>
      </c>
      <c r="E546" s="13">
        <f>'Entry Sheet'!AC58</f>
        <v>7</v>
      </c>
      <c r="F546" s="846" t="s">
        <v>525</v>
      </c>
      <c r="BB546" s="314"/>
    </row>
    <row r="547" ht="15.75" customHeight="1">
      <c r="A547" s="585">
        <v>546.0</v>
      </c>
      <c r="B547" s="859" t="str">
        <f>Settings!$A$5</f>
        <v>GREEN</v>
      </c>
      <c r="C547" s="842" t="s">
        <v>162</v>
      </c>
      <c r="D547" s="13" t="str">
        <f>'Entry Sheet'!AB59</f>
        <v>LAR HC</v>
      </c>
      <c r="E547" s="13">
        <f>'Entry Sheet'!AC59</f>
        <v>25.5</v>
      </c>
      <c r="F547" s="846" t="s">
        <v>525</v>
      </c>
      <c r="BB547" s="314"/>
    </row>
    <row r="548" ht="15.75" customHeight="1">
      <c r="A548" s="585">
        <v>547.0</v>
      </c>
      <c r="B548" s="885" t="str">
        <f>Settings!$A$6</f>
        <v>SAVAGES</v>
      </c>
      <c r="C548" s="587" t="s">
        <v>100</v>
      </c>
      <c r="D548" s="13" t="str">
        <f>'Entry Sheet'!B68</f>
        <v>K. MURRAY</v>
      </c>
      <c r="E548" s="13">
        <f>'Entry Sheet'!C68</f>
        <v>25.62</v>
      </c>
      <c r="F548" s="589" t="s">
        <v>512</v>
      </c>
      <c r="BB548" s="314"/>
    </row>
    <row r="549" ht="15.75" customHeight="1">
      <c r="A549" s="585">
        <v>548.0</v>
      </c>
      <c r="B549" s="885" t="str">
        <f>Settings!$A$6</f>
        <v>SAVAGES</v>
      </c>
      <c r="C549" s="596" t="s">
        <v>106</v>
      </c>
      <c r="D549" s="13" t="str">
        <f>'Entry Sheet'!B69</f>
        <v>A. JEANTY</v>
      </c>
      <c r="E549" s="13">
        <f>'Entry Sheet'!C69</f>
        <v>13.9</v>
      </c>
      <c r="F549" s="589" t="s">
        <v>512</v>
      </c>
      <c r="BB549" s="314"/>
    </row>
    <row r="550" ht="15.75" customHeight="1">
      <c r="A550" s="585">
        <v>549.0</v>
      </c>
      <c r="B550" s="885" t="str">
        <f>Settings!$A$6</f>
        <v>SAVAGES</v>
      </c>
      <c r="C550" s="596" t="s">
        <v>106</v>
      </c>
      <c r="D550" s="13" t="str">
        <f>'Entry Sheet'!B70</f>
        <v>T. TRACY JR</v>
      </c>
      <c r="E550" s="13">
        <f>'Entry Sheet'!C70</f>
        <v>6.5</v>
      </c>
      <c r="F550" s="589" t="s">
        <v>512</v>
      </c>
      <c r="BB550" s="314"/>
    </row>
    <row r="551" ht="15.75" customHeight="1">
      <c r="A551" s="585">
        <v>550.0</v>
      </c>
      <c r="B551" s="885" t="str">
        <f>Settings!$A$6</f>
        <v>SAVAGES</v>
      </c>
      <c r="C551" s="596" t="s">
        <v>106</v>
      </c>
      <c r="D551" s="13" t="str">
        <f>'Entry Sheet'!B71</f>
        <v/>
      </c>
      <c r="E551" s="13" t="str">
        <f>'Entry Sheet'!C71</f>
        <v/>
      </c>
      <c r="F551" s="589" t="s">
        <v>512</v>
      </c>
      <c r="BB551" s="314"/>
    </row>
    <row r="552" ht="15.75" customHeight="1">
      <c r="A552" s="585">
        <v>551.0</v>
      </c>
      <c r="B552" s="885" t="str">
        <f>Settings!$A$6</f>
        <v>SAVAGES</v>
      </c>
      <c r="C552" s="712" t="s">
        <v>117</v>
      </c>
      <c r="D552" s="13" t="str">
        <f>'Entry Sheet'!B72</f>
        <v>J. CHASE</v>
      </c>
      <c r="E552" s="13">
        <f>'Entry Sheet'!C72</f>
        <v>4.6</v>
      </c>
      <c r="F552" s="589" t="s">
        <v>512</v>
      </c>
      <c r="BB552" s="314"/>
    </row>
    <row r="553" ht="15.75" customHeight="1">
      <c r="A553" s="585">
        <v>552.0</v>
      </c>
      <c r="B553" s="885" t="str">
        <f>Settings!$A$6</f>
        <v>SAVAGES</v>
      </c>
      <c r="C553" s="712" t="s">
        <v>117</v>
      </c>
      <c r="D553" s="13" t="str">
        <f>'Entry Sheet'!B73</f>
        <v>D. LONDON</v>
      </c>
      <c r="E553" s="13">
        <f>'Entry Sheet'!C73</f>
        <v>13.5</v>
      </c>
      <c r="F553" s="589" t="s">
        <v>512</v>
      </c>
      <c r="BB553" s="314"/>
    </row>
    <row r="554" ht="15.75" customHeight="1">
      <c r="A554" s="585">
        <v>553.0</v>
      </c>
      <c r="B554" s="885" t="str">
        <f>Settings!$A$6</f>
        <v>SAVAGES</v>
      </c>
      <c r="C554" s="712" t="s">
        <v>117</v>
      </c>
      <c r="D554" s="13" t="str">
        <f>'Entry Sheet'!B74</f>
        <v>T. HIGGINS</v>
      </c>
      <c r="E554" s="13">
        <f>'Entry Sheet'!C74</f>
        <v>6.3</v>
      </c>
      <c r="F554" s="589" t="s">
        <v>512</v>
      </c>
      <c r="BB554" s="314"/>
    </row>
    <row r="555" ht="15.75" customHeight="1">
      <c r="A555" s="585">
        <v>554.0</v>
      </c>
      <c r="B555" s="885" t="str">
        <f>Settings!$A$6</f>
        <v>SAVAGES</v>
      </c>
      <c r="C555" s="712" t="s">
        <v>117</v>
      </c>
      <c r="D555" s="13" t="str">
        <f>'Entry Sheet'!B75</f>
        <v/>
      </c>
      <c r="E555" s="13" t="str">
        <f>'Entry Sheet'!C75</f>
        <v/>
      </c>
      <c r="F555" s="589" t="s">
        <v>512</v>
      </c>
      <c r="BB555" s="314"/>
    </row>
    <row r="556" ht="15.75" customHeight="1">
      <c r="A556" s="585">
        <v>555.0</v>
      </c>
      <c r="B556" s="885" t="str">
        <f>Settings!$A$6</f>
        <v>SAVAGES</v>
      </c>
      <c r="C556" s="764" t="s">
        <v>132</v>
      </c>
      <c r="D556" s="13" t="str">
        <f>'Entry Sheet'!B76</f>
        <v>T. MCBRIDE</v>
      </c>
      <c r="E556" s="13">
        <f>'Entry Sheet'!C76</f>
        <v>12.1</v>
      </c>
      <c r="F556" s="589" t="s">
        <v>512</v>
      </c>
      <c r="BB556" s="314"/>
    </row>
    <row r="557" ht="15.75" customHeight="1">
      <c r="A557" s="585">
        <v>556.0</v>
      </c>
      <c r="B557" s="885" t="str">
        <f>Settings!$A$6</f>
        <v>SAVAGES</v>
      </c>
      <c r="C557" s="795" t="s">
        <v>136</v>
      </c>
      <c r="D557" s="13" t="str">
        <f>'Entry Sheet'!B77</f>
        <v>M. GOLDEN</v>
      </c>
      <c r="E557" s="13">
        <f>'Entry Sheet'!C77</f>
        <v>4.15</v>
      </c>
      <c r="F557" s="589" t="s">
        <v>512</v>
      </c>
      <c r="BB557" s="314"/>
    </row>
    <row r="558" ht="15.75" customHeight="1">
      <c r="A558" s="585">
        <v>557.0</v>
      </c>
      <c r="B558" s="885" t="str">
        <f>Settings!$A$6</f>
        <v>SAVAGES</v>
      </c>
      <c r="C558" s="818" t="s">
        <v>139</v>
      </c>
      <c r="D558" s="13" t="str">
        <f>'Entry Sheet'!B78</f>
        <v>DET D/ST</v>
      </c>
      <c r="E558" s="13">
        <f>'Entry Sheet'!C78</f>
        <v>8.32</v>
      </c>
      <c r="F558" s="589" t="s">
        <v>512</v>
      </c>
      <c r="BB558" s="314"/>
    </row>
    <row r="559" ht="15.75" customHeight="1">
      <c r="A559" s="585">
        <v>558.0</v>
      </c>
      <c r="B559" s="885" t="str">
        <f>Settings!$A$6</f>
        <v>SAVAGES</v>
      </c>
      <c r="C559" s="833" t="s">
        <v>146</v>
      </c>
      <c r="D559" s="13" t="str">
        <f>'Entry Sheet'!B79</f>
        <v>M. PRATER</v>
      </c>
      <c r="E559" s="13">
        <f>'Entry Sheet'!C79</f>
        <v>12</v>
      </c>
      <c r="F559" s="589" t="s">
        <v>512</v>
      </c>
      <c r="BB559" s="314"/>
    </row>
    <row r="560" ht="15.75" customHeight="1">
      <c r="A560" s="585">
        <v>559.0</v>
      </c>
      <c r="B560" s="885" t="str">
        <f>Settings!$A$6</f>
        <v>SAVAGES</v>
      </c>
      <c r="C560" s="842" t="s">
        <v>162</v>
      </c>
      <c r="D560" s="13" t="str">
        <f>'Entry Sheet'!B80</f>
        <v>BAL HC</v>
      </c>
      <c r="E560" s="13">
        <f>'Entry Sheet'!C80</f>
        <v>10</v>
      </c>
      <c r="F560" s="589" t="s">
        <v>512</v>
      </c>
      <c r="BB560" s="314"/>
    </row>
    <row r="561" ht="15.75" customHeight="1">
      <c r="A561" s="585">
        <v>560.0</v>
      </c>
      <c r="B561" s="885" t="str">
        <f>Settings!$A$6</f>
        <v>SAVAGES</v>
      </c>
      <c r="C561" s="587" t="s">
        <v>100</v>
      </c>
      <c r="D561" s="13" t="str">
        <f>'Entry Sheet'!D68</f>
        <v>K. MURRAY</v>
      </c>
      <c r="E561" s="13">
        <f>'Entry Sheet'!E68</f>
        <v>17.7</v>
      </c>
      <c r="F561" s="846" t="s">
        <v>513</v>
      </c>
      <c r="BB561" s="314"/>
    </row>
    <row r="562" ht="15.75" customHeight="1">
      <c r="A562" s="585">
        <v>561.0</v>
      </c>
      <c r="B562" s="885" t="str">
        <f>Settings!$A$6</f>
        <v>SAVAGES</v>
      </c>
      <c r="C562" s="596" t="s">
        <v>106</v>
      </c>
      <c r="D562" s="13" t="str">
        <f>'Entry Sheet'!D69</f>
        <v>A. JEANTY</v>
      </c>
      <c r="E562" s="13">
        <f>'Entry Sheet'!E69</f>
        <v>8.5</v>
      </c>
      <c r="F562" s="846" t="s">
        <v>513</v>
      </c>
      <c r="BB562" s="314"/>
    </row>
    <row r="563" ht="15.75" customHeight="1">
      <c r="A563" s="585">
        <v>562.0</v>
      </c>
      <c r="B563" s="885" t="str">
        <f>Settings!$A$6</f>
        <v>SAVAGES</v>
      </c>
      <c r="C563" s="596" t="s">
        <v>106</v>
      </c>
      <c r="D563" s="13" t="str">
        <f>'Entry Sheet'!D70</f>
        <v>T. ETIENNE JR</v>
      </c>
      <c r="E563" s="13">
        <f>'Entry Sheet'!E70</f>
        <v>18.3</v>
      </c>
      <c r="F563" s="846" t="s">
        <v>513</v>
      </c>
      <c r="BB563" s="314"/>
    </row>
    <row r="564" ht="15.75" customHeight="1">
      <c r="A564" s="585">
        <v>563.0</v>
      </c>
      <c r="B564" s="885" t="str">
        <f>Settings!$A$6</f>
        <v>SAVAGES</v>
      </c>
      <c r="C564" s="596" t="s">
        <v>106</v>
      </c>
      <c r="D564" s="13" t="str">
        <f>'Entry Sheet'!D71</f>
        <v/>
      </c>
      <c r="E564" s="13" t="str">
        <f>'Entry Sheet'!E71</f>
        <v/>
      </c>
      <c r="F564" s="846" t="s">
        <v>513</v>
      </c>
      <c r="BB564" s="314"/>
    </row>
    <row r="565" ht="15.75" customHeight="1">
      <c r="A565" s="585">
        <v>564.0</v>
      </c>
      <c r="B565" s="885" t="str">
        <f>Settings!$A$6</f>
        <v>SAVAGES</v>
      </c>
      <c r="C565" s="712" t="s">
        <v>117</v>
      </c>
      <c r="D565" s="13" t="str">
        <f>'Entry Sheet'!D72</f>
        <v>J. CHASE</v>
      </c>
      <c r="E565" s="13">
        <f>'Entry Sheet'!E72</f>
        <v>37.5</v>
      </c>
      <c r="F565" s="846" t="s">
        <v>513</v>
      </c>
      <c r="BB565" s="314"/>
    </row>
    <row r="566" ht="15.75" customHeight="1">
      <c r="A566" s="585">
        <v>565.0</v>
      </c>
      <c r="B566" s="885" t="str">
        <f>Settings!$A$6</f>
        <v>SAVAGES</v>
      </c>
      <c r="C566" s="712" t="s">
        <v>117</v>
      </c>
      <c r="D566" s="13" t="str">
        <f>'Entry Sheet'!D73</f>
        <v>T. HIGGINS</v>
      </c>
      <c r="E566" s="13">
        <f>'Entry Sheet'!E73</f>
        <v>14.6</v>
      </c>
      <c r="F566" s="846" t="s">
        <v>513</v>
      </c>
      <c r="BB566" s="314"/>
    </row>
    <row r="567" ht="15.75" customHeight="1">
      <c r="A567" s="585">
        <v>566.0</v>
      </c>
      <c r="B567" s="885" t="str">
        <f>Settings!$A$6</f>
        <v>SAVAGES</v>
      </c>
      <c r="C567" s="712" t="s">
        <v>117</v>
      </c>
      <c r="D567" s="13" t="str">
        <f>'Entry Sheet'!D74</f>
        <v>K. ALLEN</v>
      </c>
      <c r="E567" s="13">
        <f>'Entry Sheet'!E74</f>
        <v>17.1</v>
      </c>
      <c r="F567" s="846" t="s">
        <v>513</v>
      </c>
      <c r="BB567" s="314"/>
    </row>
    <row r="568" ht="15.75" customHeight="1">
      <c r="A568" s="585">
        <v>567.0</v>
      </c>
      <c r="B568" s="885" t="str">
        <f>Settings!$A$6</f>
        <v>SAVAGES</v>
      </c>
      <c r="C568" s="712" t="s">
        <v>117</v>
      </c>
      <c r="D568" s="13" t="str">
        <f>'Entry Sheet'!D75</f>
        <v/>
      </c>
      <c r="E568" s="13" t="str">
        <f>'Entry Sheet'!E75</f>
        <v/>
      </c>
      <c r="F568" s="846" t="s">
        <v>513</v>
      </c>
      <c r="BB568" s="314"/>
    </row>
    <row r="569" ht="15.75" customHeight="1">
      <c r="A569" s="585">
        <v>568.0</v>
      </c>
      <c r="B569" s="885" t="str">
        <f>Settings!$A$6</f>
        <v>SAVAGES</v>
      </c>
      <c r="C569" s="764" t="s">
        <v>132</v>
      </c>
      <c r="D569" s="13" t="str">
        <f>'Entry Sheet'!D76</f>
        <v>T. MCBRIDE</v>
      </c>
      <c r="E569" s="13">
        <f>'Entry Sheet'!E76</f>
        <v>13.8</v>
      </c>
      <c r="F569" s="846" t="s">
        <v>513</v>
      </c>
      <c r="BB569" s="314"/>
    </row>
    <row r="570" ht="15.75" customHeight="1">
      <c r="A570" s="585">
        <v>569.0</v>
      </c>
      <c r="B570" s="885" t="str">
        <f>Settings!$A$6</f>
        <v>SAVAGES</v>
      </c>
      <c r="C570" s="795" t="s">
        <v>136</v>
      </c>
      <c r="D570" s="13" t="str">
        <f>'Entry Sheet'!D77</f>
        <v>D. LONDON</v>
      </c>
      <c r="E570" s="13">
        <f>'Entry Sheet'!E77</f>
        <v>5.9</v>
      </c>
      <c r="F570" s="846" t="s">
        <v>513</v>
      </c>
      <c r="BB570" s="314"/>
    </row>
    <row r="571" ht="15.75" customHeight="1">
      <c r="A571" s="585">
        <v>570.0</v>
      </c>
      <c r="B571" s="885" t="str">
        <f>Settings!$A$6</f>
        <v>SAVAGES</v>
      </c>
      <c r="C571" s="818" t="s">
        <v>139</v>
      </c>
      <c r="D571" s="13" t="str">
        <f>'Entry Sheet'!D78</f>
        <v>DET D/ST</v>
      </c>
      <c r="E571" s="13">
        <f>'Entry Sheet'!E78</f>
        <v>17.92</v>
      </c>
      <c r="F571" s="846" t="s">
        <v>513</v>
      </c>
      <c r="BB571" s="314"/>
    </row>
    <row r="572" ht="15.75" customHeight="1">
      <c r="A572" s="585">
        <v>571.0</v>
      </c>
      <c r="B572" s="885" t="str">
        <f>Settings!$A$6</f>
        <v>SAVAGES</v>
      </c>
      <c r="C572" s="833" t="s">
        <v>146</v>
      </c>
      <c r="D572" s="13" t="str">
        <f>'Entry Sheet'!D79</f>
        <v>C. LITTLE</v>
      </c>
      <c r="E572" s="13">
        <f>'Entry Sheet'!E79</f>
        <v>10</v>
      </c>
      <c r="F572" s="846" t="s">
        <v>513</v>
      </c>
      <c r="BB572" s="314"/>
    </row>
    <row r="573" ht="15.75" customHeight="1">
      <c r="A573" s="585">
        <v>572.0</v>
      </c>
      <c r="B573" s="885" t="str">
        <f>Settings!$A$6</f>
        <v>SAVAGES</v>
      </c>
      <c r="C573" s="842" t="s">
        <v>162</v>
      </c>
      <c r="D573" s="13" t="str">
        <f>'Entry Sheet'!D80</f>
        <v>BAL HC</v>
      </c>
      <c r="E573" s="13">
        <f>'Entry Sheet'!E80</f>
        <v>20.3</v>
      </c>
      <c r="F573" s="846" t="s">
        <v>513</v>
      </c>
      <c r="BB573" s="314"/>
    </row>
    <row r="574" ht="15.75" customHeight="1">
      <c r="A574" s="585">
        <v>573.0</v>
      </c>
      <c r="B574" s="885" t="str">
        <f>Settings!$A$6</f>
        <v>SAVAGES</v>
      </c>
      <c r="C574" s="587" t="s">
        <v>100</v>
      </c>
      <c r="D574" s="13" t="str">
        <f>'Entry Sheet'!F68</f>
        <v>J. GOFF</v>
      </c>
      <c r="E574" s="13">
        <f>'Entry Sheet'!G68</f>
        <v>17.48</v>
      </c>
      <c r="F574" s="589" t="s">
        <v>514</v>
      </c>
      <c r="BB574" s="314"/>
    </row>
    <row r="575" ht="15.75" customHeight="1">
      <c r="A575" s="585">
        <v>574.0</v>
      </c>
      <c r="B575" s="885" t="str">
        <f>Settings!$A$6</f>
        <v>SAVAGES</v>
      </c>
      <c r="C575" s="596" t="s">
        <v>106</v>
      </c>
      <c r="D575" s="13" t="str">
        <f>'Entry Sheet'!F69</f>
        <v>T. ETIENNE JR</v>
      </c>
      <c r="E575" s="13">
        <f>'Entry Sheet'!G69</f>
        <v>13.2</v>
      </c>
      <c r="F575" s="589" t="s">
        <v>514</v>
      </c>
      <c r="BB575" s="314"/>
    </row>
    <row r="576" ht="15.75" customHeight="1">
      <c r="A576" s="585">
        <v>575.0</v>
      </c>
      <c r="B576" s="885" t="str">
        <f>Settings!$A$6</f>
        <v>SAVAGES</v>
      </c>
      <c r="C576" s="596" t="s">
        <v>106</v>
      </c>
      <c r="D576" s="13" t="str">
        <f>'Entry Sheet'!F70</f>
        <v>J. DOBBINS</v>
      </c>
      <c r="E576" s="13">
        <f>'Entry Sheet'!G70</f>
        <v>16.4</v>
      </c>
      <c r="F576" s="589" t="s">
        <v>514</v>
      </c>
      <c r="BB576" s="314"/>
    </row>
    <row r="577" ht="15.75" customHeight="1">
      <c r="A577" s="585">
        <v>576.0</v>
      </c>
      <c r="B577" s="885" t="str">
        <f>Settings!$A$6</f>
        <v>SAVAGES</v>
      </c>
      <c r="C577" s="596" t="s">
        <v>106</v>
      </c>
      <c r="D577" s="13" t="str">
        <f>'Entry Sheet'!F71</f>
        <v/>
      </c>
      <c r="E577" s="13" t="str">
        <f>'Entry Sheet'!G71</f>
        <v/>
      </c>
      <c r="F577" s="589" t="s">
        <v>514</v>
      </c>
      <c r="BB577" s="314"/>
    </row>
    <row r="578" ht="15.75" customHeight="1">
      <c r="A578" s="585">
        <v>577.0</v>
      </c>
      <c r="B578" s="885" t="str">
        <f>Settings!$A$6</f>
        <v>SAVAGES</v>
      </c>
      <c r="C578" s="712" t="s">
        <v>117</v>
      </c>
      <c r="D578" s="13" t="str">
        <f>'Entry Sheet'!F72</f>
        <v>J. CHASE</v>
      </c>
      <c r="E578" s="13">
        <f>'Entry Sheet'!G72</f>
        <v>9</v>
      </c>
      <c r="F578" s="589" t="s">
        <v>514</v>
      </c>
      <c r="BB578" s="314"/>
    </row>
    <row r="579" ht="15.75" customHeight="1">
      <c r="A579" s="585">
        <v>578.0</v>
      </c>
      <c r="B579" s="885" t="str">
        <f>Settings!$A$6</f>
        <v>SAVAGES</v>
      </c>
      <c r="C579" s="712" t="s">
        <v>117</v>
      </c>
      <c r="D579" s="13" t="str">
        <f>'Entry Sheet'!F73</f>
        <v>D. LONDON</v>
      </c>
      <c r="E579" s="13">
        <f>'Entry Sheet'!G73</f>
        <v>10.5</v>
      </c>
      <c r="F579" s="589" t="s">
        <v>514</v>
      </c>
      <c r="BB579" s="314"/>
    </row>
    <row r="580" ht="15.75" customHeight="1">
      <c r="A580" s="585">
        <v>579.0</v>
      </c>
      <c r="B580" s="885" t="str">
        <f>Settings!$A$6</f>
        <v>SAVAGES</v>
      </c>
      <c r="C580" s="712" t="s">
        <v>117</v>
      </c>
      <c r="D580" s="13" t="str">
        <f>'Entry Sheet'!F74</f>
        <v>K. ALLEN</v>
      </c>
      <c r="E580" s="13">
        <f>'Entry Sheet'!G74</f>
        <v>19.5</v>
      </c>
      <c r="F580" s="589" t="s">
        <v>514</v>
      </c>
      <c r="BB580" s="314"/>
    </row>
    <row r="581" ht="15.75" customHeight="1">
      <c r="A581" s="585">
        <v>580.0</v>
      </c>
      <c r="B581" s="885" t="str">
        <f>Settings!$A$6</f>
        <v>SAVAGES</v>
      </c>
      <c r="C581" s="712" t="s">
        <v>117</v>
      </c>
      <c r="D581" s="13" t="str">
        <f>'Entry Sheet'!F75</f>
        <v/>
      </c>
      <c r="E581" s="13" t="str">
        <f>'Entry Sheet'!G75</f>
        <v/>
      </c>
      <c r="F581" s="589" t="s">
        <v>514</v>
      </c>
      <c r="BB581" s="314"/>
    </row>
    <row r="582" ht="15.75" customHeight="1">
      <c r="A582" s="585">
        <v>581.0</v>
      </c>
      <c r="B582" s="885" t="str">
        <f>Settings!$A$6</f>
        <v>SAVAGES</v>
      </c>
      <c r="C582" s="764" t="s">
        <v>132</v>
      </c>
      <c r="D582" s="13" t="str">
        <f>'Entry Sheet'!F76</f>
        <v>T. MCBRIDE</v>
      </c>
      <c r="E582" s="13">
        <f>'Entry Sheet'!G76</f>
        <v>15.3</v>
      </c>
      <c r="F582" s="589" t="s">
        <v>514</v>
      </c>
      <c r="BB582" s="314"/>
    </row>
    <row r="583" ht="15.75" customHeight="1">
      <c r="A583" s="585">
        <v>582.0</v>
      </c>
      <c r="B583" s="885" t="str">
        <f>Settings!$A$6</f>
        <v>SAVAGES</v>
      </c>
      <c r="C583" s="795" t="s">
        <v>136</v>
      </c>
      <c r="D583" s="13" t="str">
        <f>'Entry Sheet'!F77</f>
        <v>Q. JOHNSTON</v>
      </c>
      <c r="E583" s="13">
        <f>'Entry Sheet'!G77</f>
        <v>14.9</v>
      </c>
      <c r="F583" s="589" t="s">
        <v>514</v>
      </c>
      <c r="BB583" s="314"/>
    </row>
    <row r="584" ht="15.75" customHeight="1">
      <c r="A584" s="585">
        <v>583.0</v>
      </c>
      <c r="B584" s="885" t="str">
        <f>Settings!$A$6</f>
        <v>SAVAGES</v>
      </c>
      <c r="C584" s="818" t="s">
        <v>139</v>
      </c>
      <c r="D584" s="13" t="str">
        <f>'Entry Sheet'!F78</f>
        <v>DET D/ST</v>
      </c>
      <c r="E584" s="13">
        <f>'Entry Sheet'!G78</f>
        <v>21.5</v>
      </c>
      <c r="F584" s="589" t="s">
        <v>514</v>
      </c>
      <c r="BB584" s="314"/>
    </row>
    <row r="585" ht="15.75" customHeight="1">
      <c r="A585" s="585">
        <v>584.0</v>
      </c>
      <c r="B585" s="885" t="str">
        <f>Settings!$A$6</f>
        <v>SAVAGES</v>
      </c>
      <c r="C585" s="833" t="s">
        <v>146</v>
      </c>
      <c r="D585" s="13" t="str">
        <f>'Entry Sheet'!F79</f>
        <v>C. LITTLE</v>
      </c>
      <c r="E585" s="13">
        <f>'Entry Sheet'!G79</f>
        <v>3.5</v>
      </c>
      <c r="F585" s="589" t="s">
        <v>514</v>
      </c>
      <c r="BB585" s="314"/>
    </row>
    <row r="586" ht="15.75" customHeight="1">
      <c r="A586" s="585">
        <v>585.0</v>
      </c>
      <c r="B586" s="885" t="str">
        <f>Settings!$A$6</f>
        <v>SAVAGES</v>
      </c>
      <c r="C586" s="842" t="s">
        <v>162</v>
      </c>
      <c r="D586" s="13" t="str">
        <f>'Entry Sheet'!F80</f>
        <v>BAL HC</v>
      </c>
      <c r="E586" s="13">
        <f>'Entry Sheet'!G80</f>
        <v>6</v>
      </c>
      <c r="F586" s="589" t="s">
        <v>514</v>
      </c>
      <c r="BB586" s="314"/>
    </row>
    <row r="587" ht="15.75" customHeight="1">
      <c r="A587" s="585">
        <v>586.0</v>
      </c>
      <c r="B587" s="885" t="str">
        <f>Settings!$A$6</f>
        <v>SAVAGES</v>
      </c>
      <c r="C587" s="587" t="s">
        <v>100</v>
      </c>
      <c r="D587" s="13" t="str">
        <f>'Entry Sheet'!H68</f>
        <v>J. GOFF</v>
      </c>
      <c r="E587" s="13">
        <f>'Entry Sheet'!I68</f>
        <v>16.92</v>
      </c>
      <c r="F587" s="846" t="s">
        <v>515</v>
      </c>
      <c r="BB587" s="314"/>
    </row>
    <row r="588" ht="15.75" customHeight="1">
      <c r="A588" s="585">
        <v>587.0</v>
      </c>
      <c r="B588" s="885" t="str">
        <f>Settings!$A$6</f>
        <v>SAVAGES</v>
      </c>
      <c r="C588" s="596" t="s">
        <v>106</v>
      </c>
      <c r="D588" s="13" t="str">
        <f>'Entry Sheet'!H69</f>
        <v>T. ETIENNE JR.</v>
      </c>
      <c r="E588" s="13">
        <f>'Entry Sheet'!I69</f>
        <v>22.4</v>
      </c>
      <c r="F588" s="846" t="s">
        <v>515</v>
      </c>
      <c r="BB588" s="314"/>
    </row>
    <row r="589" ht="15.75" customHeight="1">
      <c r="A589" s="585">
        <v>588.0</v>
      </c>
      <c r="B589" s="885" t="str">
        <f>Settings!$A$6</f>
        <v>SAVAGES</v>
      </c>
      <c r="C589" s="596" t="s">
        <v>106</v>
      </c>
      <c r="D589" s="13" t="str">
        <f>'Entry Sheet'!H70</f>
        <v>J. DOBBINS</v>
      </c>
      <c r="E589" s="13">
        <f>'Entry Sheet'!I70</f>
        <v>14.1</v>
      </c>
      <c r="F589" s="846" t="s">
        <v>515</v>
      </c>
      <c r="BB589" s="314"/>
    </row>
    <row r="590" ht="15.75" customHeight="1">
      <c r="A590" s="585">
        <v>589.0</v>
      </c>
      <c r="B590" s="885" t="str">
        <f>Settings!$A$6</f>
        <v>SAVAGES</v>
      </c>
      <c r="C590" s="596" t="s">
        <v>106</v>
      </c>
      <c r="D590" s="13" t="str">
        <f>'Entry Sheet'!H71</f>
        <v/>
      </c>
      <c r="E590" s="13" t="str">
        <f>'Entry Sheet'!I71</f>
        <v/>
      </c>
      <c r="F590" s="846" t="s">
        <v>515</v>
      </c>
      <c r="BB590" s="314"/>
    </row>
    <row r="591" ht="15.75" customHeight="1">
      <c r="A591" s="585">
        <v>590.0</v>
      </c>
      <c r="B591" s="885" t="str">
        <f>Settings!$A$6</f>
        <v>SAVAGES</v>
      </c>
      <c r="C591" s="712" t="s">
        <v>117</v>
      </c>
      <c r="D591" s="13" t="str">
        <f>'Entry Sheet'!H72</f>
        <v>J. CHASE</v>
      </c>
      <c r="E591" s="13">
        <f>'Entry Sheet'!I72</f>
        <v>7.3</v>
      </c>
      <c r="F591" s="846" t="s">
        <v>515</v>
      </c>
      <c r="BB591" s="314"/>
    </row>
    <row r="592" ht="15.75" customHeight="1">
      <c r="A592" s="585">
        <v>591.0</v>
      </c>
      <c r="B592" s="885" t="str">
        <f>Settings!$A$6</f>
        <v>SAVAGES</v>
      </c>
      <c r="C592" s="712" t="s">
        <v>117</v>
      </c>
      <c r="D592" s="13" t="str">
        <f>'Entry Sheet'!H73</f>
        <v>Q. JOHNSTON</v>
      </c>
      <c r="E592" s="13">
        <f>'Entry Sheet'!I73</f>
        <v>23.8</v>
      </c>
      <c r="F592" s="846" t="s">
        <v>515</v>
      </c>
      <c r="BB592" s="314"/>
    </row>
    <row r="593" ht="15.75" customHeight="1">
      <c r="A593" s="585">
        <v>592.0</v>
      </c>
      <c r="B593" s="885" t="str">
        <f>Settings!$A$6</f>
        <v>SAVAGES</v>
      </c>
      <c r="C593" s="712" t="s">
        <v>117</v>
      </c>
      <c r="D593" s="13" t="str">
        <f>'Entry Sheet'!H74</f>
        <v>K. ALLEN</v>
      </c>
      <c r="E593" s="13">
        <f>'Entry Sheet'!I74</f>
        <v>8.7</v>
      </c>
      <c r="F593" s="846" t="s">
        <v>515</v>
      </c>
      <c r="BB593" s="314"/>
    </row>
    <row r="594" ht="15.75" customHeight="1">
      <c r="A594" s="585">
        <v>593.0</v>
      </c>
      <c r="B594" s="885" t="str">
        <f>Settings!$A$6</f>
        <v>SAVAGES</v>
      </c>
      <c r="C594" s="712" t="s">
        <v>117</v>
      </c>
      <c r="D594" s="13" t="str">
        <f>'Entry Sheet'!H75</f>
        <v/>
      </c>
      <c r="E594" s="13" t="str">
        <f>'Entry Sheet'!I75</f>
        <v/>
      </c>
      <c r="F594" s="846" t="s">
        <v>515</v>
      </c>
      <c r="BB594" s="314"/>
    </row>
    <row r="595" ht="15.75" customHeight="1">
      <c r="A595" s="585">
        <v>594.0</v>
      </c>
      <c r="B595" s="885" t="str">
        <f>Settings!$A$6</f>
        <v>SAVAGES</v>
      </c>
      <c r="C595" s="764" t="s">
        <v>132</v>
      </c>
      <c r="D595" s="13" t="str">
        <f>'Entry Sheet'!H76</f>
        <v>T. MCBRIDE</v>
      </c>
      <c r="E595" s="13">
        <f>'Entry Sheet'!I76</f>
        <v>12.2</v>
      </c>
      <c r="F595" s="846" t="s">
        <v>515</v>
      </c>
      <c r="BB595" s="314"/>
    </row>
    <row r="596" ht="15.75" customHeight="1">
      <c r="A596" s="585">
        <v>595.0</v>
      </c>
      <c r="B596" s="885" t="str">
        <f>Settings!$A$6</f>
        <v>SAVAGES</v>
      </c>
      <c r="C596" s="795" t="s">
        <v>136</v>
      </c>
      <c r="D596" s="13" t="str">
        <f>'Entry Sheet'!H77</f>
        <v>D. LONDON</v>
      </c>
      <c r="E596" s="13">
        <f>'Entry Sheet'!I77</f>
        <v>26</v>
      </c>
      <c r="F596" s="846" t="s">
        <v>515</v>
      </c>
      <c r="BB596" s="314"/>
    </row>
    <row r="597" ht="15.75" customHeight="1">
      <c r="A597" s="585">
        <v>596.0</v>
      </c>
      <c r="B597" s="885" t="str">
        <f>Settings!$A$6</f>
        <v>SAVAGES</v>
      </c>
      <c r="C597" s="818" t="s">
        <v>139</v>
      </c>
      <c r="D597" s="13" t="str">
        <f>'Entry Sheet'!H78</f>
        <v>DET D/ST</v>
      </c>
      <c r="E597" s="13">
        <f>'Entry Sheet'!I78</f>
        <v>36.13</v>
      </c>
      <c r="F597" s="846" t="s">
        <v>515</v>
      </c>
      <c r="BB597" s="314"/>
    </row>
    <row r="598" ht="15.75" customHeight="1">
      <c r="A598" s="585">
        <v>597.0</v>
      </c>
      <c r="B598" s="885" t="str">
        <f>Settings!$A$6</f>
        <v>SAVAGES</v>
      </c>
      <c r="C598" s="833" t="s">
        <v>146</v>
      </c>
      <c r="D598" s="13" t="str">
        <f>'Entry Sheet'!H79</f>
        <v>C. LITTLE</v>
      </c>
      <c r="E598" s="13">
        <f>'Entry Sheet'!I79</f>
        <v>7.5</v>
      </c>
      <c r="F598" s="846" t="s">
        <v>515</v>
      </c>
      <c r="BB598" s="314"/>
    </row>
    <row r="599" ht="15.75" customHeight="1">
      <c r="A599" s="585">
        <v>598.0</v>
      </c>
      <c r="B599" s="885" t="str">
        <f>Settings!$A$6</f>
        <v>SAVAGES</v>
      </c>
      <c r="C599" s="842" t="s">
        <v>162</v>
      </c>
      <c r="D599" s="13" t="str">
        <f>'Entry Sheet'!H80</f>
        <v>BAL HC</v>
      </c>
      <c r="E599" s="13">
        <f>'Entry Sheet'!I80</f>
        <v>0</v>
      </c>
      <c r="F599" s="846" t="s">
        <v>515</v>
      </c>
      <c r="BB599" s="314"/>
    </row>
    <row r="600" ht="15.75" customHeight="1">
      <c r="A600" s="585">
        <v>599.0</v>
      </c>
      <c r="B600" s="885" t="str">
        <f>Settings!$A$6</f>
        <v>SAVAGES</v>
      </c>
      <c r="C600" s="587" t="s">
        <v>100</v>
      </c>
      <c r="D600" s="13" t="str">
        <f>'Entry Sheet'!J68</f>
        <v>J. GOFF</v>
      </c>
      <c r="E600" s="13">
        <f>'Entry Sheet'!K68</f>
        <v>29.32</v>
      </c>
      <c r="F600" s="589" t="s">
        <v>516</v>
      </c>
      <c r="BB600" s="314"/>
    </row>
    <row r="601" ht="15.75" customHeight="1">
      <c r="A601" s="585">
        <v>600.0</v>
      </c>
      <c r="B601" s="885" t="str">
        <f>Settings!$A$6</f>
        <v>SAVAGES</v>
      </c>
      <c r="C601" s="596" t="s">
        <v>106</v>
      </c>
      <c r="D601" s="13" t="str">
        <f>'Entry Sheet'!J69</f>
        <v>T. ETIENNE JR</v>
      </c>
      <c r="E601" s="13">
        <f>'Entry Sheet'!K69</f>
        <v>10</v>
      </c>
      <c r="F601" s="589" t="s">
        <v>516</v>
      </c>
      <c r="BB601" s="314"/>
    </row>
    <row r="602" ht="15.75" customHeight="1">
      <c r="A602" s="585">
        <v>601.0</v>
      </c>
      <c r="B602" s="885" t="str">
        <f>Settings!$A$6</f>
        <v>SAVAGES</v>
      </c>
      <c r="C602" s="596" t="s">
        <v>106</v>
      </c>
      <c r="D602" s="13" t="str">
        <f>'Entry Sheet'!J70</f>
        <v>J. DOBBINS</v>
      </c>
      <c r="E602" s="13">
        <f>'Entry Sheet'!K70</f>
        <v>17.4</v>
      </c>
      <c r="F602" s="589" t="s">
        <v>516</v>
      </c>
      <c r="BB602" s="314"/>
    </row>
    <row r="603" ht="15.75" customHeight="1">
      <c r="A603" s="585">
        <v>602.0</v>
      </c>
      <c r="B603" s="885" t="str">
        <f>Settings!$A$6</f>
        <v>SAVAGES</v>
      </c>
      <c r="C603" s="596" t="s">
        <v>106</v>
      </c>
      <c r="D603" s="13" t="str">
        <f>'Entry Sheet'!J71</f>
        <v/>
      </c>
      <c r="E603" s="13" t="str">
        <f>'Entry Sheet'!K71</f>
        <v/>
      </c>
      <c r="F603" s="589" t="s">
        <v>516</v>
      </c>
      <c r="BB603" s="314"/>
    </row>
    <row r="604" ht="15.75" customHeight="1">
      <c r="A604" s="585">
        <v>603.0</v>
      </c>
      <c r="B604" s="885" t="str">
        <f>Settings!$A$6</f>
        <v>SAVAGES</v>
      </c>
      <c r="C604" s="712" t="s">
        <v>117</v>
      </c>
      <c r="D604" s="13" t="str">
        <f>'Entry Sheet'!J72</f>
        <v>J. CHASE</v>
      </c>
      <c r="E604" s="13">
        <f>'Entry Sheet'!K72</f>
        <v>30</v>
      </c>
      <c r="F604" s="589" t="s">
        <v>516</v>
      </c>
      <c r="BB604" s="314"/>
    </row>
    <row r="605" ht="15.75" customHeight="1">
      <c r="A605" s="585">
        <v>604.0</v>
      </c>
      <c r="B605" s="885" t="str">
        <f>Settings!$A$6</f>
        <v>SAVAGES</v>
      </c>
      <c r="C605" s="712" t="s">
        <v>117</v>
      </c>
      <c r="D605" s="13" t="str">
        <f>'Entry Sheet'!J73</f>
        <v>Q. JOHNSTON</v>
      </c>
      <c r="E605" s="13">
        <f>'Entry Sheet'!K73</f>
        <v>7</v>
      </c>
      <c r="F605" s="589" t="s">
        <v>516</v>
      </c>
      <c r="BB605" s="314"/>
    </row>
    <row r="606" ht="15.75" customHeight="1">
      <c r="A606" s="585">
        <v>605.0</v>
      </c>
      <c r="B606" s="885" t="str">
        <f>Settings!$A$6</f>
        <v>SAVAGES</v>
      </c>
      <c r="C606" s="712" t="s">
        <v>117</v>
      </c>
      <c r="D606" s="13" t="str">
        <f>'Entry Sheet'!J74</f>
        <v>K. ALLEN</v>
      </c>
      <c r="E606" s="13">
        <f>'Entry Sheet'!K74</f>
        <v>10.8</v>
      </c>
      <c r="F606" s="589" t="s">
        <v>516</v>
      </c>
      <c r="BB606" s="314"/>
    </row>
    <row r="607" ht="15.75" customHeight="1">
      <c r="A607" s="585">
        <v>606.0</v>
      </c>
      <c r="B607" s="885" t="str">
        <f>Settings!$A$6</f>
        <v>SAVAGES</v>
      </c>
      <c r="C607" s="712" t="s">
        <v>117</v>
      </c>
      <c r="D607" s="13" t="str">
        <f>'Entry Sheet'!J75</f>
        <v/>
      </c>
      <c r="E607" s="13" t="str">
        <f>'Entry Sheet'!K75</f>
        <v/>
      </c>
      <c r="F607" s="589" t="s">
        <v>516</v>
      </c>
      <c r="BB607" s="314"/>
    </row>
    <row r="608" ht="15.75" customHeight="1">
      <c r="A608" s="585">
        <v>607.0</v>
      </c>
      <c r="B608" s="885" t="str">
        <f>Settings!$A$6</f>
        <v>SAVAGES</v>
      </c>
      <c r="C608" s="764" t="s">
        <v>132</v>
      </c>
      <c r="D608" s="13" t="str">
        <f>'Entry Sheet'!J76</f>
        <v>T. MCBRIDE</v>
      </c>
      <c r="E608" s="13">
        <f>'Entry Sheet'!K76</f>
        <v>9.1</v>
      </c>
      <c r="F608" s="589" t="s">
        <v>516</v>
      </c>
      <c r="BB608" s="314"/>
    </row>
    <row r="609" ht="15.75" customHeight="1">
      <c r="A609" s="585">
        <v>608.0</v>
      </c>
      <c r="B609" s="885" t="str">
        <f>Settings!$A$6</f>
        <v>SAVAGES</v>
      </c>
      <c r="C609" s="795" t="s">
        <v>136</v>
      </c>
      <c r="D609" s="13" t="str">
        <f>'Entry Sheet'!J77</f>
        <v>A. JEANTY</v>
      </c>
      <c r="E609" s="13">
        <f>'Entry Sheet'!K77</f>
        <v>17.3</v>
      </c>
      <c r="F609" s="589" t="s">
        <v>516</v>
      </c>
      <c r="BB609" s="314"/>
    </row>
    <row r="610" ht="15.75" customHeight="1">
      <c r="A610" s="585">
        <v>609.0</v>
      </c>
      <c r="B610" s="885" t="str">
        <f>Settings!$A$6</f>
        <v>SAVAGES</v>
      </c>
      <c r="C610" s="818" t="s">
        <v>139</v>
      </c>
      <c r="D610" s="13" t="str">
        <f>'Entry Sheet'!J78</f>
        <v>DET D/T</v>
      </c>
      <c r="E610" s="13">
        <f>'Entry Sheet'!K78</f>
        <v>24.23</v>
      </c>
      <c r="F610" s="589" t="s">
        <v>516</v>
      </c>
      <c r="BB610" s="314"/>
    </row>
    <row r="611" ht="15.75" customHeight="1">
      <c r="A611" s="585">
        <v>610.0</v>
      </c>
      <c r="B611" s="885" t="str">
        <f>Settings!$A$6</f>
        <v>SAVAGES</v>
      </c>
      <c r="C611" s="833" t="s">
        <v>146</v>
      </c>
      <c r="D611" s="13" t="str">
        <f>'Entry Sheet'!J79</f>
        <v>C. LITTLE</v>
      </c>
      <c r="E611" s="13">
        <f>'Entry Sheet'!K79</f>
        <v>10</v>
      </c>
      <c r="F611" s="589" t="s">
        <v>516</v>
      </c>
      <c r="BB611" s="314"/>
    </row>
    <row r="612" ht="15.75" customHeight="1">
      <c r="A612" s="585">
        <v>611.0</v>
      </c>
      <c r="B612" s="885" t="str">
        <f>Settings!$A$6</f>
        <v>SAVAGES</v>
      </c>
      <c r="C612" s="842" t="s">
        <v>162</v>
      </c>
      <c r="D612" s="13" t="str">
        <f>'Entry Sheet'!J80</f>
        <v>BAL HC</v>
      </c>
      <c r="E612" s="13">
        <f>'Entry Sheet'!K80</f>
        <v>-9</v>
      </c>
      <c r="F612" s="589" t="s">
        <v>516</v>
      </c>
      <c r="BB612" s="314"/>
    </row>
    <row r="613" ht="15.75" customHeight="1">
      <c r="A613" s="585">
        <v>612.0</v>
      </c>
      <c r="B613" s="885" t="str">
        <f>Settings!$A$6</f>
        <v>SAVAGES</v>
      </c>
      <c r="C613" s="587" t="s">
        <v>100</v>
      </c>
      <c r="D613" s="13" t="str">
        <f>'Entry Sheet'!L68</f>
        <v>J. GOFF</v>
      </c>
      <c r="E613" s="13">
        <f>'Entry Sheet'!M68</f>
        <v>24.32</v>
      </c>
      <c r="F613" s="846" t="s">
        <v>517</v>
      </c>
      <c r="BB613" s="314"/>
    </row>
    <row r="614" ht="15.75" customHeight="1">
      <c r="A614" s="585">
        <v>613.0</v>
      </c>
      <c r="B614" s="885" t="str">
        <f>Settings!$A$6</f>
        <v>SAVAGES</v>
      </c>
      <c r="C614" s="596" t="s">
        <v>106</v>
      </c>
      <c r="D614" s="13" t="str">
        <f>'Entry Sheet'!L69</f>
        <v>T. ETIENNE JR</v>
      </c>
      <c r="E614" s="13">
        <f>'Entry Sheet'!M69</f>
        <v>10.7</v>
      </c>
      <c r="F614" s="846" t="s">
        <v>517</v>
      </c>
      <c r="BB614" s="314"/>
    </row>
    <row r="615" ht="15.75" customHeight="1">
      <c r="A615" s="585">
        <v>614.0</v>
      </c>
      <c r="B615" s="885" t="str">
        <f>Settings!$A$6</f>
        <v>SAVAGES</v>
      </c>
      <c r="C615" s="596" t="s">
        <v>106</v>
      </c>
      <c r="D615" s="13" t="str">
        <f>'Entry Sheet'!L70</f>
        <v>J. DOBBINS</v>
      </c>
      <c r="E615" s="13">
        <f>'Entry Sheet'!M70</f>
        <v>5.4</v>
      </c>
      <c r="F615" s="846" t="s">
        <v>517</v>
      </c>
      <c r="BB615" s="314"/>
    </row>
    <row r="616" ht="15.75" customHeight="1">
      <c r="A616" s="585">
        <v>615.0</v>
      </c>
      <c r="B616" s="885" t="str">
        <f>Settings!$A$6</f>
        <v>SAVAGES</v>
      </c>
      <c r="C616" s="596" t="s">
        <v>106</v>
      </c>
      <c r="D616" s="13" t="str">
        <f>'Entry Sheet'!L71</f>
        <v/>
      </c>
      <c r="E616" s="13" t="str">
        <f>'Entry Sheet'!M71</f>
        <v/>
      </c>
      <c r="F616" s="846" t="s">
        <v>517</v>
      </c>
      <c r="BB616" s="314"/>
    </row>
    <row r="617" ht="15.75" customHeight="1">
      <c r="A617" s="585">
        <v>616.0</v>
      </c>
      <c r="B617" s="885" t="str">
        <f>Settings!$A$6</f>
        <v>SAVAGES</v>
      </c>
      <c r="C617" s="712" t="s">
        <v>117</v>
      </c>
      <c r="D617" s="13" t="str">
        <f>'Entry Sheet'!L72</f>
        <v>J. CHASE</v>
      </c>
      <c r="E617" s="13">
        <f>'Entry Sheet'!M72</f>
        <v>25.2</v>
      </c>
      <c r="F617" s="846" t="s">
        <v>517</v>
      </c>
      <c r="BB617" s="314"/>
    </row>
    <row r="618" ht="15.75" customHeight="1">
      <c r="A618" s="585">
        <v>617.0</v>
      </c>
      <c r="B618" s="885" t="str">
        <f>Settings!$A$6</f>
        <v>SAVAGES</v>
      </c>
      <c r="C618" s="712" t="s">
        <v>117</v>
      </c>
      <c r="D618" s="13" t="str">
        <f>'Entry Sheet'!L73</f>
        <v>D. LONDON</v>
      </c>
      <c r="E618" s="13">
        <f>'Entry Sheet'!M73</f>
        <v>32.8</v>
      </c>
      <c r="F618" s="846" t="s">
        <v>517</v>
      </c>
      <c r="BB618" s="314"/>
    </row>
    <row r="619" ht="15.75" customHeight="1">
      <c r="A619" s="585">
        <v>618.0</v>
      </c>
      <c r="B619" s="885" t="str">
        <f>Settings!$A$6</f>
        <v>SAVAGES</v>
      </c>
      <c r="C619" s="712" t="s">
        <v>117</v>
      </c>
      <c r="D619" s="13" t="str">
        <f>'Entry Sheet'!L74</f>
        <v>K. ALLEN</v>
      </c>
      <c r="E619" s="13">
        <f>'Entry Sheet'!M74</f>
        <v>6.7</v>
      </c>
      <c r="F619" s="846" t="s">
        <v>517</v>
      </c>
      <c r="BB619" s="314"/>
    </row>
    <row r="620" ht="15.75" customHeight="1">
      <c r="A620" s="585">
        <v>619.0</v>
      </c>
      <c r="B620" s="885" t="str">
        <f>Settings!$A$6</f>
        <v>SAVAGES</v>
      </c>
      <c r="C620" s="712" t="s">
        <v>117</v>
      </c>
      <c r="D620" s="13" t="str">
        <f>'Entry Sheet'!L75</f>
        <v/>
      </c>
      <c r="E620" s="13" t="str">
        <f>'Entry Sheet'!M75</f>
        <v/>
      </c>
      <c r="F620" s="846" t="s">
        <v>517</v>
      </c>
      <c r="BB620" s="314"/>
    </row>
    <row r="621" ht="15.75" customHeight="1">
      <c r="A621" s="585">
        <v>620.0</v>
      </c>
      <c r="B621" s="885" t="str">
        <f>Settings!$A$6</f>
        <v>SAVAGES</v>
      </c>
      <c r="C621" s="764" t="s">
        <v>132</v>
      </c>
      <c r="D621" s="13" t="str">
        <f>'Entry Sheet'!L76</f>
        <v>T. MCBRIDE</v>
      </c>
      <c r="E621" s="13">
        <f>'Entry Sheet'!M76</f>
        <v>21.2</v>
      </c>
      <c r="F621" s="846" t="s">
        <v>517</v>
      </c>
      <c r="BB621" s="314"/>
    </row>
    <row r="622" ht="15.75" customHeight="1">
      <c r="A622" s="585">
        <v>621.0</v>
      </c>
      <c r="B622" s="885" t="str">
        <f>Settings!$A$6</f>
        <v>SAVAGES</v>
      </c>
      <c r="C622" s="795" t="s">
        <v>136</v>
      </c>
      <c r="D622" s="13" t="str">
        <f>'Entry Sheet'!L77</f>
        <v>A. JEANTY</v>
      </c>
      <c r="E622" s="13">
        <f>'Entry Sheet'!M77</f>
        <v>18.9</v>
      </c>
      <c r="F622" s="846" t="s">
        <v>517</v>
      </c>
      <c r="BB622" s="314"/>
    </row>
    <row r="623" ht="15.75" customHeight="1">
      <c r="A623" s="585">
        <v>622.0</v>
      </c>
      <c r="B623" s="885" t="str">
        <f>Settings!$A$6</f>
        <v>SAVAGES</v>
      </c>
      <c r="C623" s="818" t="s">
        <v>139</v>
      </c>
      <c r="D623" s="13" t="str">
        <f>'Entry Sheet'!L78</f>
        <v>DET D/ST</v>
      </c>
      <c r="E623" s="13">
        <f>'Entry Sheet'!M78</f>
        <v>10</v>
      </c>
      <c r="F623" s="846" t="s">
        <v>517</v>
      </c>
      <c r="BB623" s="314"/>
    </row>
    <row r="624" ht="15.75" customHeight="1">
      <c r="A624" s="585">
        <v>623.0</v>
      </c>
      <c r="B624" s="885" t="str">
        <f>Settings!$A$6</f>
        <v>SAVAGES</v>
      </c>
      <c r="C624" s="833" t="s">
        <v>146</v>
      </c>
      <c r="D624" s="13" t="str">
        <f>'Entry Sheet'!L79</f>
        <v>C. LITTLE</v>
      </c>
      <c r="E624" s="13">
        <f>'Entry Sheet'!M79</f>
        <v>-1</v>
      </c>
      <c r="F624" s="846" t="s">
        <v>517</v>
      </c>
      <c r="BB624" s="314"/>
    </row>
    <row r="625" ht="15.75" customHeight="1">
      <c r="A625" s="585">
        <v>624.0</v>
      </c>
      <c r="B625" s="885" t="str">
        <f>Settings!$A$6</f>
        <v>SAVAGES</v>
      </c>
      <c r="C625" s="842" t="s">
        <v>162</v>
      </c>
      <c r="D625" s="13" t="str">
        <f>'Entry Sheet'!L80</f>
        <v>JAX HC</v>
      </c>
      <c r="E625" s="13">
        <f>'Entry Sheet'!M80</f>
        <v>0.6</v>
      </c>
      <c r="F625" s="846" t="s">
        <v>517</v>
      </c>
      <c r="BB625" s="314"/>
    </row>
    <row r="626" ht="15.75" customHeight="1">
      <c r="A626" s="585">
        <v>625.0</v>
      </c>
      <c r="B626" s="885" t="str">
        <f>Settings!$A$6</f>
        <v>SAVAGES</v>
      </c>
      <c r="C626" s="587" t="s">
        <v>100</v>
      </c>
      <c r="D626" s="13" t="str">
        <f>'Entry Sheet'!N68</f>
        <v>J. GOFF</v>
      </c>
      <c r="E626" s="13">
        <f>'Entry Sheet'!O68</f>
        <v>13.94</v>
      </c>
      <c r="F626" s="589" t="s">
        <v>518</v>
      </c>
      <c r="BB626" s="314"/>
    </row>
    <row r="627" ht="15.75" customHeight="1">
      <c r="A627" s="585">
        <v>626.0</v>
      </c>
      <c r="B627" s="885" t="str">
        <f>Settings!$A$6</f>
        <v>SAVAGES</v>
      </c>
      <c r="C627" s="596" t="s">
        <v>106</v>
      </c>
      <c r="D627" s="13" t="str">
        <f>'Entry Sheet'!N69</f>
        <v>A. JEANTY</v>
      </c>
      <c r="E627" s="13">
        <f>'Entry Sheet'!O69</f>
        <v>5</v>
      </c>
      <c r="F627" s="589" t="s">
        <v>518</v>
      </c>
      <c r="BB627" s="314"/>
    </row>
    <row r="628" ht="15.75" customHeight="1">
      <c r="A628" s="585">
        <v>627.0</v>
      </c>
      <c r="B628" s="885" t="str">
        <f>Settings!$A$6</f>
        <v>SAVAGES</v>
      </c>
      <c r="C628" s="596" t="s">
        <v>106</v>
      </c>
      <c r="D628" s="13" t="str">
        <f>'Entry Sheet'!N70</f>
        <v>T. ETIENNE JR.</v>
      </c>
      <c r="E628" s="13">
        <f>'Entry Sheet'!O70</f>
        <v>7.3</v>
      </c>
      <c r="F628" s="589" t="s">
        <v>518</v>
      </c>
      <c r="BB628" s="314"/>
    </row>
    <row r="629" ht="15.75" customHeight="1">
      <c r="A629" s="585">
        <v>628.0</v>
      </c>
      <c r="B629" s="885" t="str">
        <f>Settings!$A$6</f>
        <v>SAVAGES</v>
      </c>
      <c r="C629" s="596" t="s">
        <v>106</v>
      </c>
      <c r="D629" s="13" t="str">
        <f>'Entry Sheet'!N71</f>
        <v/>
      </c>
      <c r="E629" s="13" t="str">
        <f>'Entry Sheet'!O71</f>
        <v/>
      </c>
      <c r="F629" s="589" t="s">
        <v>518</v>
      </c>
      <c r="BB629" s="314"/>
    </row>
    <row r="630" ht="15.75" customHeight="1">
      <c r="A630" s="585">
        <v>629.0</v>
      </c>
      <c r="B630" s="885" t="str">
        <f>Settings!$A$6</f>
        <v>SAVAGES</v>
      </c>
      <c r="C630" s="712" t="s">
        <v>117</v>
      </c>
      <c r="D630" s="13" t="str">
        <f>'Entry Sheet'!N72</f>
        <v>J. CHASE</v>
      </c>
      <c r="E630" s="13">
        <f>'Entry Sheet'!O72</f>
        <v>39.1</v>
      </c>
      <c r="F630" s="589" t="s">
        <v>518</v>
      </c>
      <c r="BB630" s="314"/>
    </row>
    <row r="631" ht="15.75" customHeight="1">
      <c r="A631" s="585">
        <v>630.0</v>
      </c>
      <c r="B631" s="885" t="str">
        <f>Settings!$A$6</f>
        <v>SAVAGES</v>
      </c>
      <c r="C631" s="712" t="s">
        <v>117</v>
      </c>
      <c r="D631" s="13" t="str">
        <f>'Entry Sheet'!N73</f>
        <v>D. LONDON</v>
      </c>
      <c r="E631" s="13">
        <f>'Entry Sheet'!O73</f>
        <v>8.2</v>
      </c>
      <c r="F631" s="589" t="s">
        <v>518</v>
      </c>
      <c r="BB631" s="314"/>
    </row>
    <row r="632" ht="15.75" customHeight="1">
      <c r="A632" s="585">
        <v>631.0</v>
      </c>
      <c r="B632" s="885" t="str">
        <f>Settings!$A$6</f>
        <v>SAVAGES</v>
      </c>
      <c r="C632" s="712" t="s">
        <v>117</v>
      </c>
      <c r="D632" s="13" t="str">
        <f>'Entry Sheet'!N74</f>
        <v>K. ALLEN</v>
      </c>
      <c r="E632" s="13">
        <f>'Entry Sheet'!O74</f>
        <v>29.9</v>
      </c>
      <c r="F632" s="589" t="s">
        <v>518</v>
      </c>
      <c r="BB632" s="314"/>
    </row>
    <row r="633" ht="15.75" customHeight="1">
      <c r="A633" s="585">
        <v>632.0</v>
      </c>
      <c r="B633" s="885" t="str">
        <f>Settings!$A$6</f>
        <v>SAVAGES</v>
      </c>
      <c r="C633" s="712" t="s">
        <v>117</v>
      </c>
      <c r="D633" s="13" t="str">
        <f>'Entry Sheet'!N75</f>
        <v/>
      </c>
      <c r="E633" s="13" t="str">
        <f>'Entry Sheet'!O75</f>
        <v/>
      </c>
      <c r="F633" s="589" t="s">
        <v>518</v>
      </c>
      <c r="BB633" s="314"/>
    </row>
    <row r="634" ht="15.75" customHeight="1">
      <c r="A634" s="585">
        <v>633.0</v>
      </c>
      <c r="B634" s="885" t="str">
        <f>Settings!$A$6</f>
        <v>SAVAGES</v>
      </c>
      <c r="C634" s="764" t="s">
        <v>132</v>
      </c>
      <c r="D634" s="13" t="str">
        <f>'Entry Sheet'!N76</f>
        <v>T. MCBRIDE</v>
      </c>
      <c r="E634" s="13">
        <f>'Entry Sheet'!O76</f>
        <v>29.4</v>
      </c>
      <c r="F634" s="589" t="s">
        <v>518</v>
      </c>
      <c r="BB634" s="314"/>
    </row>
    <row r="635" ht="15.75" customHeight="1">
      <c r="A635" s="585">
        <v>634.0</v>
      </c>
      <c r="B635" s="885" t="str">
        <f>Settings!$A$6</f>
        <v>SAVAGES</v>
      </c>
      <c r="C635" s="795" t="s">
        <v>136</v>
      </c>
      <c r="D635" s="13" t="str">
        <f>'Entry Sheet'!N77</f>
        <v>D. GODERT</v>
      </c>
      <c r="E635" s="13">
        <f>'Entry Sheet'!O77</f>
        <v>4.8</v>
      </c>
      <c r="F635" s="589" t="s">
        <v>518</v>
      </c>
      <c r="BB635" s="314"/>
    </row>
    <row r="636" ht="15.75" customHeight="1">
      <c r="A636" s="585">
        <v>635.0</v>
      </c>
      <c r="B636" s="885" t="str">
        <f>Settings!$A$6</f>
        <v>SAVAGES</v>
      </c>
      <c r="C636" s="818" t="s">
        <v>139</v>
      </c>
      <c r="D636" s="13" t="str">
        <f>'Entry Sheet'!N78</f>
        <v>DET D/ST</v>
      </c>
      <c r="E636" s="13">
        <f>'Entry Sheet'!O78</f>
        <v>23.7</v>
      </c>
      <c r="F636" s="589" t="s">
        <v>518</v>
      </c>
      <c r="BB636" s="314"/>
    </row>
    <row r="637" ht="15.75" customHeight="1">
      <c r="A637" s="585">
        <v>636.0</v>
      </c>
      <c r="B637" s="885" t="str">
        <f>Settings!$A$6</f>
        <v>SAVAGES</v>
      </c>
      <c r="C637" s="833" t="s">
        <v>146</v>
      </c>
      <c r="D637" s="13" t="str">
        <f>'Entry Sheet'!N79</f>
        <v>E. PINEIRO</v>
      </c>
      <c r="E637" s="13">
        <f>'Entry Sheet'!O79</f>
        <v>12</v>
      </c>
      <c r="F637" s="589" t="s">
        <v>518</v>
      </c>
      <c r="BB637" s="314"/>
    </row>
    <row r="638" ht="15.75" customHeight="1">
      <c r="A638" s="585">
        <v>637.0</v>
      </c>
      <c r="B638" s="885" t="str">
        <f>Settings!$A$6</f>
        <v>SAVAGES</v>
      </c>
      <c r="C638" s="842" t="s">
        <v>162</v>
      </c>
      <c r="D638" s="13" t="str">
        <f>'Entry Sheet'!N80</f>
        <v>JAX HC</v>
      </c>
      <c r="E638" s="13">
        <f>'Entry Sheet'!O80</f>
        <v>-9.9</v>
      </c>
      <c r="F638" s="589" t="s">
        <v>518</v>
      </c>
      <c r="BB638" s="314"/>
    </row>
    <row r="639" ht="15.75" customHeight="1">
      <c r="A639" s="585">
        <v>638.0</v>
      </c>
      <c r="B639" s="885" t="str">
        <f>Settings!$A$6</f>
        <v>SAVAGES</v>
      </c>
      <c r="C639" s="587" t="s">
        <v>100</v>
      </c>
      <c r="D639" s="13" t="str">
        <f>'Entry Sheet'!P68</f>
        <v>A. RODGERS</v>
      </c>
      <c r="E639" s="13">
        <f>'Entry Sheet'!Q68</f>
        <v>23.16</v>
      </c>
      <c r="F639" s="846" t="s">
        <v>519</v>
      </c>
      <c r="BB639" s="314"/>
    </row>
    <row r="640" ht="15.75" customHeight="1">
      <c r="A640" s="585">
        <v>639.0</v>
      </c>
      <c r="B640" s="885" t="str">
        <f>Settings!$A$6</f>
        <v>SAVAGES</v>
      </c>
      <c r="C640" s="596" t="s">
        <v>106</v>
      </c>
      <c r="D640" s="13" t="str">
        <f>'Entry Sheet'!P69</f>
        <v>J.K. DOBBINS</v>
      </c>
      <c r="E640" s="13">
        <f>'Entry Sheet'!Q69</f>
        <v>16.6</v>
      </c>
      <c r="F640" s="846" t="s">
        <v>519</v>
      </c>
      <c r="BB640" s="314"/>
    </row>
    <row r="641" ht="15.75" customHeight="1">
      <c r="A641" s="585">
        <v>640.0</v>
      </c>
      <c r="B641" s="885" t="str">
        <f>Settings!$A$6</f>
        <v>SAVAGES</v>
      </c>
      <c r="C641" s="596" t="s">
        <v>106</v>
      </c>
      <c r="D641" s="13" t="str">
        <f>'Entry Sheet'!P70</f>
        <v>T. ALLGEIER</v>
      </c>
      <c r="E641" s="13">
        <f>'Entry Sheet'!Q70</f>
        <v>9.8</v>
      </c>
      <c r="F641" s="846" t="s">
        <v>519</v>
      </c>
      <c r="BB641" s="314"/>
    </row>
    <row r="642" ht="15.75" customHeight="1">
      <c r="A642" s="585">
        <v>641.0</v>
      </c>
      <c r="B642" s="885" t="str">
        <f>Settings!$A$6</f>
        <v>SAVAGES</v>
      </c>
      <c r="C642" s="596" t="s">
        <v>106</v>
      </c>
      <c r="D642" s="13" t="str">
        <f>'Entry Sheet'!P71</f>
        <v/>
      </c>
      <c r="E642" s="13" t="str">
        <f>'Entry Sheet'!Q71</f>
        <v/>
      </c>
      <c r="F642" s="846" t="s">
        <v>519</v>
      </c>
      <c r="BB642" s="314"/>
    </row>
    <row r="643" ht="15.75" customHeight="1">
      <c r="A643" s="585">
        <v>642.0</v>
      </c>
      <c r="B643" s="885" t="str">
        <f>Settings!$A$6</f>
        <v>SAVAGES</v>
      </c>
      <c r="C643" s="712" t="s">
        <v>117</v>
      </c>
      <c r="D643" s="13" t="str">
        <f>'Entry Sheet'!P72</f>
        <v>J. CHASE</v>
      </c>
      <c r="E643" s="13">
        <f>'Entry Sheet'!Q72</f>
        <v>21.1</v>
      </c>
      <c r="F643" s="846" t="s">
        <v>519</v>
      </c>
      <c r="BB643" s="314"/>
    </row>
    <row r="644" ht="15.75" customHeight="1">
      <c r="A644" s="585">
        <v>643.0</v>
      </c>
      <c r="B644" s="885" t="str">
        <f>Settings!$A$6</f>
        <v>SAVAGES</v>
      </c>
      <c r="C644" s="712" t="s">
        <v>117</v>
      </c>
      <c r="D644" s="13" t="str">
        <f>'Entry Sheet'!P73</f>
        <v>D. LONDON</v>
      </c>
      <c r="E644" s="13">
        <f>'Entry Sheet'!Q73</f>
        <v>0</v>
      </c>
      <c r="F644" s="846" t="s">
        <v>519</v>
      </c>
      <c r="BB644" s="314"/>
    </row>
    <row r="645" ht="15.75" customHeight="1">
      <c r="A645" s="585">
        <v>644.0</v>
      </c>
      <c r="B645" s="885" t="str">
        <f>Settings!$A$6</f>
        <v>SAVAGES</v>
      </c>
      <c r="C645" s="712" t="s">
        <v>117</v>
      </c>
      <c r="D645" s="13" t="str">
        <f>'Entry Sheet'!P74</f>
        <v>K. ALLEN</v>
      </c>
      <c r="E645" s="13">
        <f>'Entry Sheet'!Q74</f>
        <v>8.4</v>
      </c>
      <c r="F645" s="846" t="s">
        <v>519</v>
      </c>
      <c r="BB645" s="314"/>
    </row>
    <row r="646" ht="15.75" customHeight="1">
      <c r="A646" s="585">
        <v>645.0</v>
      </c>
      <c r="B646" s="885" t="str">
        <f>Settings!$A$6</f>
        <v>SAVAGES</v>
      </c>
      <c r="C646" s="712" t="s">
        <v>117</v>
      </c>
      <c r="D646" s="13" t="str">
        <f>'Entry Sheet'!P75</f>
        <v/>
      </c>
      <c r="E646" s="13" t="str">
        <f>'Entry Sheet'!Q75</f>
        <v/>
      </c>
      <c r="F646" s="846" t="s">
        <v>519</v>
      </c>
      <c r="BB646" s="314"/>
    </row>
    <row r="647" ht="15.75" customHeight="1">
      <c r="A647" s="585">
        <v>646.0</v>
      </c>
      <c r="B647" s="885" t="str">
        <f>Settings!$A$6</f>
        <v>SAVAGES</v>
      </c>
      <c r="C647" s="764" t="s">
        <v>132</v>
      </c>
      <c r="D647" s="13" t="str">
        <f>'Entry Sheet'!P76</f>
        <v>D. GOEDERT</v>
      </c>
      <c r="E647" s="13">
        <f>'Entry Sheet'!Q76</f>
        <v>17.8</v>
      </c>
      <c r="F647" s="846" t="s">
        <v>519</v>
      </c>
      <c r="BB647" s="314"/>
    </row>
    <row r="648" ht="15.75" customHeight="1">
      <c r="A648" s="585">
        <v>647.0</v>
      </c>
      <c r="B648" s="885" t="str">
        <f>Settings!$A$6</f>
        <v>SAVAGES</v>
      </c>
      <c r="C648" s="795" t="s">
        <v>136</v>
      </c>
      <c r="D648" s="13" t="str">
        <f>'Entry Sheet'!P77</f>
        <v>T. HIGGINS</v>
      </c>
      <c r="E648" s="13">
        <f>'Entry Sheet'!Q77</f>
        <v>11.4</v>
      </c>
      <c r="F648" s="846" t="s">
        <v>519</v>
      </c>
      <c r="BB648" s="314"/>
    </row>
    <row r="649" ht="15.75" customHeight="1">
      <c r="A649" s="585">
        <v>648.0</v>
      </c>
      <c r="B649" s="885" t="str">
        <f>Settings!$A$6</f>
        <v>SAVAGES</v>
      </c>
      <c r="C649" s="818" t="s">
        <v>139</v>
      </c>
      <c r="D649" s="13" t="str">
        <f>'Entry Sheet'!P78</f>
        <v>MIN D/ST</v>
      </c>
      <c r="E649" s="13">
        <f>'Entry Sheet'!Q78</f>
        <v>4.75</v>
      </c>
      <c r="F649" s="846" t="s">
        <v>519</v>
      </c>
      <c r="BB649" s="314"/>
    </row>
    <row r="650" ht="15.75" customHeight="1">
      <c r="A650" s="585">
        <v>649.0</v>
      </c>
      <c r="B650" s="885" t="str">
        <f>Settings!$A$6</f>
        <v>SAVAGES</v>
      </c>
      <c r="C650" s="833" t="s">
        <v>146</v>
      </c>
      <c r="D650" s="13" t="str">
        <f>'Entry Sheet'!P79</f>
        <v>E. PINEIRO</v>
      </c>
      <c r="E650" s="13">
        <f>'Entry Sheet'!Q79</f>
        <v>1</v>
      </c>
      <c r="F650" s="846" t="s">
        <v>519</v>
      </c>
      <c r="BB650" s="314"/>
    </row>
    <row r="651" ht="15.75" customHeight="1">
      <c r="A651" s="585">
        <v>650.0</v>
      </c>
      <c r="B651" s="885" t="str">
        <f>Settings!$A$6</f>
        <v>SAVAGES</v>
      </c>
      <c r="C651" s="842" t="s">
        <v>162</v>
      </c>
      <c r="D651" s="13" t="str">
        <f>'Entry Sheet'!P80</f>
        <v>CIN HC</v>
      </c>
      <c r="E651" s="13">
        <f>'Entry Sheet'!Q80</f>
        <v>9.4</v>
      </c>
      <c r="F651" s="846" t="s">
        <v>519</v>
      </c>
      <c r="BB651" s="314"/>
    </row>
    <row r="652" ht="15.75" customHeight="1">
      <c r="A652" s="585">
        <v>651.0</v>
      </c>
      <c r="B652" s="885" t="str">
        <f>Settings!$A$6</f>
        <v>SAVAGES</v>
      </c>
      <c r="C652" s="587" t="s">
        <v>100</v>
      </c>
      <c r="D652" s="13" t="str">
        <f>'Entry Sheet'!R68</f>
        <v>A. RODGERS</v>
      </c>
      <c r="E652" s="13">
        <f>'Entry Sheet'!S68</f>
        <v>17.32</v>
      </c>
      <c r="F652" s="589" t="s">
        <v>520</v>
      </c>
      <c r="BB652" s="314"/>
    </row>
    <row r="653" ht="15.75" customHeight="1">
      <c r="A653" s="585">
        <v>652.0</v>
      </c>
      <c r="B653" s="885" t="str">
        <f>Settings!$A$6</f>
        <v>SAVAGES</v>
      </c>
      <c r="C653" s="596" t="s">
        <v>106</v>
      </c>
      <c r="D653" s="13" t="str">
        <f>'Entry Sheet'!R69</f>
        <v>T. ETIENNE</v>
      </c>
      <c r="E653" s="13">
        <f>'Entry Sheet'!S69</f>
        <v>18.7</v>
      </c>
      <c r="F653" s="589" t="s">
        <v>520</v>
      </c>
      <c r="BB653" s="314"/>
    </row>
    <row r="654" ht="15.75" customHeight="1">
      <c r="A654" s="585">
        <v>653.0</v>
      </c>
      <c r="B654" s="885" t="str">
        <f>Settings!$A$6</f>
        <v>SAVAGES</v>
      </c>
      <c r="C654" s="596" t="s">
        <v>106</v>
      </c>
      <c r="D654" s="13" t="str">
        <f>'Entry Sheet'!R70</f>
        <v>J.K. DOBBINS</v>
      </c>
      <c r="E654" s="13">
        <f>'Entry Sheet'!S70</f>
        <v>8.4</v>
      </c>
      <c r="F654" s="589" t="s">
        <v>520</v>
      </c>
      <c r="BB654" s="314"/>
    </row>
    <row r="655" ht="15.75" customHeight="1">
      <c r="A655" s="585">
        <v>654.0</v>
      </c>
      <c r="B655" s="885" t="str">
        <f>Settings!$A$6</f>
        <v>SAVAGES</v>
      </c>
      <c r="C655" s="596" t="s">
        <v>106</v>
      </c>
      <c r="D655" s="13" t="str">
        <f>'Entry Sheet'!R71</f>
        <v/>
      </c>
      <c r="E655" s="13" t="str">
        <f>'Entry Sheet'!S71</f>
        <v/>
      </c>
      <c r="F655" s="589" t="s">
        <v>520</v>
      </c>
      <c r="BB655" s="314"/>
    </row>
    <row r="656" ht="15.75" customHeight="1">
      <c r="A656" s="585">
        <v>655.0</v>
      </c>
      <c r="B656" s="885" t="str">
        <f>Settings!$A$6</f>
        <v>SAVAGES</v>
      </c>
      <c r="C656" s="712" t="s">
        <v>117</v>
      </c>
      <c r="D656" s="13" t="str">
        <f>'Entry Sheet'!R72</f>
        <v>J. CHASE</v>
      </c>
      <c r="E656" s="13">
        <f>'Entry Sheet'!S72</f>
        <v>18.1</v>
      </c>
      <c r="F656" s="589" t="s">
        <v>520</v>
      </c>
      <c r="BB656" s="314"/>
    </row>
    <row r="657" ht="15.75" customHeight="1">
      <c r="A657" s="585">
        <v>656.0</v>
      </c>
      <c r="B657" s="885" t="str">
        <f>Settings!$A$6</f>
        <v>SAVAGES</v>
      </c>
      <c r="C657" s="712" t="s">
        <v>117</v>
      </c>
      <c r="D657" s="13" t="str">
        <f>'Entry Sheet'!R73</f>
        <v>D. LONDON</v>
      </c>
      <c r="E657" s="13">
        <f>'Entry Sheet'!S73</f>
        <v>39.8</v>
      </c>
      <c r="F657" s="589" t="s">
        <v>520</v>
      </c>
      <c r="BB657" s="314"/>
    </row>
    <row r="658" ht="15.75" customHeight="1">
      <c r="A658" s="585">
        <v>657.0</v>
      </c>
      <c r="B658" s="885" t="str">
        <f>Settings!$A$6</f>
        <v>SAVAGES</v>
      </c>
      <c r="C658" s="712" t="s">
        <v>117</v>
      </c>
      <c r="D658" s="13" t="str">
        <f>'Entry Sheet'!R74</f>
        <v>K. ALLEN</v>
      </c>
      <c r="E658" s="13">
        <f>'Entry Sheet'!S74</f>
        <v>6.1</v>
      </c>
      <c r="F658" s="589" t="s">
        <v>520</v>
      </c>
      <c r="BB658" s="314"/>
    </row>
    <row r="659" ht="15.75" customHeight="1">
      <c r="A659" s="585">
        <v>658.0</v>
      </c>
      <c r="B659" s="885" t="str">
        <f>Settings!$A$6</f>
        <v>SAVAGES</v>
      </c>
      <c r="C659" s="712" t="s">
        <v>117</v>
      </c>
      <c r="D659" s="13" t="str">
        <f>'Entry Sheet'!R75</f>
        <v/>
      </c>
      <c r="E659" s="13" t="str">
        <f>'Entry Sheet'!S75</f>
        <v/>
      </c>
      <c r="F659" s="589" t="s">
        <v>520</v>
      </c>
      <c r="BB659" s="314"/>
    </row>
    <row r="660" ht="15.75" customHeight="1">
      <c r="A660" s="585">
        <v>659.0</v>
      </c>
      <c r="B660" s="885" t="str">
        <f>Settings!$A$6</f>
        <v>SAVAGES</v>
      </c>
      <c r="C660" s="764" t="s">
        <v>132</v>
      </c>
      <c r="D660" s="13" t="str">
        <f>'Entry Sheet'!R76</f>
        <v>T. MCBRIDE</v>
      </c>
      <c r="E660" s="13">
        <f>'Entry Sheet'!S76</f>
        <v>16.5</v>
      </c>
      <c r="F660" s="589" t="s">
        <v>520</v>
      </c>
      <c r="BB660" s="314"/>
    </row>
    <row r="661" ht="15.75" customHeight="1">
      <c r="A661" s="585">
        <v>660.0</v>
      </c>
      <c r="B661" s="885" t="str">
        <f>Settings!$A$6</f>
        <v>SAVAGES</v>
      </c>
      <c r="C661" s="795" t="s">
        <v>136</v>
      </c>
      <c r="D661" s="13" t="str">
        <f>'Entry Sheet'!R77</f>
        <v>A. JEANTY</v>
      </c>
      <c r="E661" s="13">
        <f>'Entry Sheet'!S77</f>
        <v>21.2</v>
      </c>
      <c r="F661" s="589" t="s">
        <v>520</v>
      </c>
      <c r="BB661" s="314"/>
    </row>
    <row r="662" ht="15.75" customHeight="1">
      <c r="A662" s="585">
        <v>661.0</v>
      </c>
      <c r="B662" s="885" t="str">
        <f>Settings!$A$6</f>
        <v>SAVAGES</v>
      </c>
      <c r="C662" s="818" t="s">
        <v>139</v>
      </c>
      <c r="D662" s="13" t="str">
        <f>'Entry Sheet'!R78</f>
        <v>DET D/ST</v>
      </c>
      <c r="E662" s="13">
        <f>'Entry Sheet'!S78</f>
        <v>23.7</v>
      </c>
      <c r="F662" s="589" t="s">
        <v>520</v>
      </c>
      <c r="BB662" s="314"/>
    </row>
    <row r="663" ht="15.75" customHeight="1">
      <c r="A663" s="585">
        <v>662.0</v>
      </c>
      <c r="B663" s="885" t="str">
        <f>Settings!$A$6</f>
        <v>SAVAGES</v>
      </c>
      <c r="C663" s="833" t="s">
        <v>146</v>
      </c>
      <c r="D663" s="13" t="str">
        <f>'Entry Sheet'!R79</f>
        <v>E. PINEIRO</v>
      </c>
      <c r="E663" s="13">
        <f>'Entry Sheet'!S79</f>
        <v>13</v>
      </c>
      <c r="F663" s="589" t="s">
        <v>520</v>
      </c>
      <c r="BB663" s="314"/>
    </row>
    <row r="664" ht="15.75" customHeight="1">
      <c r="A664" s="585">
        <v>663.0</v>
      </c>
      <c r="B664" s="885" t="str">
        <f>Settings!$A$6</f>
        <v>SAVAGES</v>
      </c>
      <c r="C664" s="842" t="s">
        <v>162</v>
      </c>
      <c r="D664" s="13" t="str">
        <f>'Entry Sheet'!R80</f>
        <v>CIN HC</v>
      </c>
      <c r="E664" s="13">
        <f>'Entry Sheet'!S80</f>
        <v>9.6</v>
      </c>
      <c r="F664" s="589" t="s">
        <v>520</v>
      </c>
      <c r="BB664" s="314"/>
    </row>
    <row r="665" ht="15.75" customHeight="1">
      <c r="A665" s="585">
        <v>664.0</v>
      </c>
      <c r="B665" s="885" t="str">
        <f>Settings!$A$6</f>
        <v>SAVAGES</v>
      </c>
      <c r="C665" s="587" t="s">
        <v>100</v>
      </c>
      <c r="D665" s="13" t="str">
        <f>'Entry Sheet'!T68</f>
        <v>J. GOFF</v>
      </c>
      <c r="E665" s="13">
        <f>'Entry Sheet'!U68</f>
        <v>35.2</v>
      </c>
      <c r="F665" s="846" t="s">
        <v>521</v>
      </c>
      <c r="BB665" s="314"/>
    </row>
    <row r="666" ht="15.75" customHeight="1">
      <c r="A666" s="585">
        <v>665.0</v>
      </c>
      <c r="B666" s="885" t="str">
        <f>Settings!$A$6</f>
        <v>SAVAGES</v>
      </c>
      <c r="C666" s="596" t="s">
        <v>106</v>
      </c>
      <c r="D666" s="13" t="str">
        <f>'Entry Sheet'!T69</f>
        <v>A. JEANTY</v>
      </c>
      <c r="E666" s="13">
        <f>'Entry Sheet'!U69</f>
        <v>17.2</v>
      </c>
      <c r="F666" s="846" t="s">
        <v>521</v>
      </c>
      <c r="BB666" s="314"/>
    </row>
    <row r="667" ht="15.75" customHeight="1">
      <c r="A667" s="585">
        <v>666.0</v>
      </c>
      <c r="B667" s="885" t="str">
        <f>Settings!$A$6</f>
        <v>SAVAGES</v>
      </c>
      <c r="C667" s="596" t="s">
        <v>106</v>
      </c>
      <c r="D667" s="13" t="str">
        <f>'Entry Sheet'!T70</f>
        <v>J. DOBBINS</v>
      </c>
      <c r="E667" s="13">
        <f>'Entry Sheet'!U70</f>
        <v>11.2</v>
      </c>
      <c r="F667" s="846" t="s">
        <v>521</v>
      </c>
      <c r="BB667" s="314"/>
    </row>
    <row r="668" ht="15.75" customHeight="1">
      <c r="A668" s="585">
        <v>667.0</v>
      </c>
      <c r="B668" s="885" t="str">
        <f>Settings!$A$6</f>
        <v>SAVAGES</v>
      </c>
      <c r="C668" s="596" t="s">
        <v>106</v>
      </c>
      <c r="D668" s="13" t="str">
        <f>'Entry Sheet'!T71</f>
        <v/>
      </c>
      <c r="E668" s="13" t="str">
        <f>'Entry Sheet'!U71</f>
        <v/>
      </c>
      <c r="F668" s="846" t="s">
        <v>521</v>
      </c>
      <c r="BB668" s="314"/>
    </row>
    <row r="669" ht="15.75" customHeight="1">
      <c r="A669" s="585">
        <v>668.0</v>
      </c>
      <c r="B669" s="885" t="str">
        <f>Settings!$A$6</f>
        <v>SAVAGES</v>
      </c>
      <c r="C669" s="712" t="s">
        <v>117</v>
      </c>
      <c r="D669" s="13" t="str">
        <f>'Entry Sheet'!T72</f>
        <v>D. LONDON</v>
      </c>
      <c r="E669" s="13">
        <f>'Entry Sheet'!U72</f>
        <v>25.4</v>
      </c>
      <c r="F669" s="846" t="s">
        <v>521</v>
      </c>
      <c r="BB669" s="314"/>
    </row>
    <row r="670" ht="15.75" customHeight="1">
      <c r="A670" s="585">
        <v>669.0</v>
      </c>
      <c r="B670" s="885" t="str">
        <f>Settings!$A$6</f>
        <v>SAVAGES</v>
      </c>
      <c r="C670" s="712" t="s">
        <v>117</v>
      </c>
      <c r="D670" s="13" t="str">
        <f>'Entry Sheet'!T73</f>
        <v>Q. JOHNSTON</v>
      </c>
      <c r="E670" s="13">
        <f>'Entry Sheet'!U73</f>
        <v>9.2</v>
      </c>
      <c r="F670" s="846" t="s">
        <v>521</v>
      </c>
      <c r="BB670" s="314"/>
    </row>
    <row r="671" ht="15.75" customHeight="1">
      <c r="A671" s="585">
        <v>670.0</v>
      </c>
      <c r="B671" s="885" t="str">
        <f>Settings!$A$6</f>
        <v>SAVAGES</v>
      </c>
      <c r="C671" s="712" t="s">
        <v>117</v>
      </c>
      <c r="D671" s="13" t="str">
        <f>'Entry Sheet'!T74</f>
        <v>K. ALLEN</v>
      </c>
      <c r="E671" s="13">
        <f>'Entry Sheet'!U74</f>
        <v>3.9</v>
      </c>
      <c r="F671" s="846" t="s">
        <v>521</v>
      </c>
      <c r="BB671" s="314"/>
    </row>
    <row r="672" ht="15.75" customHeight="1">
      <c r="A672" s="585">
        <v>671.0</v>
      </c>
      <c r="B672" s="885" t="str">
        <f>Settings!$A$6</f>
        <v>SAVAGES</v>
      </c>
      <c r="C672" s="712" t="s">
        <v>117</v>
      </c>
      <c r="D672" s="13" t="str">
        <f>'Entry Sheet'!T75</f>
        <v/>
      </c>
      <c r="E672" s="13" t="str">
        <f>'Entry Sheet'!U75</f>
        <v/>
      </c>
      <c r="F672" s="846" t="s">
        <v>521</v>
      </c>
      <c r="BB672" s="314"/>
    </row>
    <row r="673" ht="15.75" customHeight="1">
      <c r="A673" s="585">
        <v>672.0</v>
      </c>
      <c r="B673" s="885" t="str">
        <f>Settings!$A$6</f>
        <v>SAVAGES</v>
      </c>
      <c r="C673" s="764" t="s">
        <v>132</v>
      </c>
      <c r="D673" s="13" t="str">
        <f>'Entry Sheet'!T76</f>
        <v>T. MCBRIDE</v>
      </c>
      <c r="E673" s="13">
        <f>'Entry Sheet'!U76</f>
        <v>28.7</v>
      </c>
      <c r="F673" s="846" t="s">
        <v>521</v>
      </c>
      <c r="BB673" s="314"/>
    </row>
    <row r="674" ht="15.75" customHeight="1">
      <c r="A674" s="585">
        <v>673.0</v>
      </c>
      <c r="B674" s="885" t="str">
        <f>Settings!$A$6</f>
        <v>SAVAGES</v>
      </c>
      <c r="C674" s="795" t="s">
        <v>136</v>
      </c>
      <c r="D674" s="13" t="str">
        <f>'Entry Sheet'!T77</f>
        <v>T. ETIENNE</v>
      </c>
      <c r="E674" s="13">
        <f>'Entry Sheet'!U77</f>
        <v>17.3</v>
      </c>
      <c r="F674" s="846" t="s">
        <v>521</v>
      </c>
      <c r="BB674" s="314"/>
    </row>
    <row r="675" ht="15.75" customHeight="1">
      <c r="A675" s="585">
        <v>674.0</v>
      </c>
      <c r="B675" s="885" t="str">
        <f>Settings!$A$6</f>
        <v>SAVAGES</v>
      </c>
      <c r="C675" s="818" t="s">
        <v>139</v>
      </c>
      <c r="D675" s="13" t="str">
        <f>'Entry Sheet'!T78</f>
        <v>DET D/ST</v>
      </c>
      <c r="E675" s="13">
        <f>'Entry Sheet'!U78</f>
        <v>8.24</v>
      </c>
      <c r="F675" s="846" t="s">
        <v>521</v>
      </c>
      <c r="BB675" s="314"/>
    </row>
    <row r="676" ht="15.75" customHeight="1">
      <c r="A676" s="585">
        <v>675.0</v>
      </c>
      <c r="B676" s="885" t="str">
        <f>Settings!$A$6</f>
        <v>SAVAGES</v>
      </c>
      <c r="C676" s="833" t="s">
        <v>146</v>
      </c>
      <c r="D676" s="13" t="str">
        <f>'Entry Sheet'!T79</f>
        <v>E. PINEIRO</v>
      </c>
      <c r="E676" s="13">
        <f>'Entry Sheet'!U79</f>
        <v>2</v>
      </c>
      <c r="F676" s="846" t="s">
        <v>521</v>
      </c>
      <c r="BB676" s="314"/>
    </row>
    <row r="677" ht="15.75" customHeight="1">
      <c r="A677" s="585">
        <v>676.0</v>
      </c>
      <c r="B677" s="885" t="str">
        <f>Settings!$A$6</f>
        <v>SAVAGES</v>
      </c>
      <c r="C677" s="842" t="s">
        <v>162</v>
      </c>
      <c r="D677" s="13" t="str">
        <f>'Entry Sheet'!T80</f>
        <v>CAR HC</v>
      </c>
      <c r="E677" s="13">
        <f>'Entry Sheet'!U80</f>
        <v>-1.9</v>
      </c>
      <c r="F677" s="846" t="s">
        <v>521</v>
      </c>
      <c r="BB677" s="314"/>
    </row>
    <row r="678" ht="15.75" hidden="1" customHeight="1">
      <c r="A678" s="585">
        <v>677.0</v>
      </c>
      <c r="B678" s="885" t="str">
        <f>Settings!$A$6</f>
        <v>SAVAGES</v>
      </c>
      <c r="C678" s="587" t="s">
        <v>100</v>
      </c>
      <c r="D678" s="13" t="str">
        <f>'Entry Sheet'!V68</f>
        <v>A. RODGERS</v>
      </c>
      <c r="E678" s="13">
        <f>'Entry Sheet'!W68</f>
        <v>12.14</v>
      </c>
      <c r="F678" s="589" t="s">
        <v>522</v>
      </c>
      <c r="BB678" s="314"/>
    </row>
    <row r="679" ht="15.75" hidden="1" customHeight="1">
      <c r="A679" s="585">
        <v>678.0</v>
      </c>
      <c r="B679" s="885" t="str">
        <f>Settings!$A$6</f>
        <v>SAVAGES</v>
      </c>
      <c r="C679" s="596" t="s">
        <v>106</v>
      </c>
      <c r="D679" s="13" t="str">
        <f>'Entry Sheet'!V69</f>
        <v>A. JEANTY</v>
      </c>
      <c r="E679" s="13">
        <f>'Entry Sheet'!W69</f>
        <v>10</v>
      </c>
      <c r="F679" s="589" t="s">
        <v>522</v>
      </c>
      <c r="BB679" s="314"/>
    </row>
    <row r="680" ht="15.75" hidden="1" customHeight="1">
      <c r="A680" s="585">
        <v>679.0</v>
      </c>
      <c r="B680" s="885" t="str">
        <f>Settings!$A$6</f>
        <v>SAVAGES</v>
      </c>
      <c r="C680" s="596" t="s">
        <v>106</v>
      </c>
      <c r="D680" s="13" t="str">
        <f>'Entry Sheet'!V70</f>
        <v>T. ETIENNE</v>
      </c>
      <c r="E680" s="13">
        <f>'Entry Sheet'!W70</f>
        <v>21.2</v>
      </c>
      <c r="F680" s="589" t="s">
        <v>522</v>
      </c>
      <c r="BB680" s="314"/>
    </row>
    <row r="681" ht="15.75" hidden="1" customHeight="1">
      <c r="A681" s="585">
        <v>680.0</v>
      </c>
      <c r="B681" s="885" t="str">
        <f>Settings!$A$6</f>
        <v>SAVAGES</v>
      </c>
      <c r="C681" s="596" t="s">
        <v>106</v>
      </c>
      <c r="D681" s="13" t="str">
        <f>'Entry Sheet'!V71</f>
        <v/>
      </c>
      <c r="E681" s="13" t="str">
        <f>'Entry Sheet'!W71</f>
        <v/>
      </c>
      <c r="F681" s="589" t="s">
        <v>522</v>
      </c>
      <c r="BB681" s="314"/>
    </row>
    <row r="682" ht="15.75" hidden="1" customHeight="1">
      <c r="A682" s="585">
        <v>681.0</v>
      </c>
      <c r="B682" s="885" t="str">
        <f>Settings!$A$6</f>
        <v>SAVAGES</v>
      </c>
      <c r="C682" s="712" t="s">
        <v>117</v>
      </c>
      <c r="D682" s="13" t="str">
        <f>'Entry Sheet'!V72</f>
        <v>J. CHASE</v>
      </c>
      <c r="E682" s="13">
        <f>'Entry Sheet'!W72</f>
        <v>6</v>
      </c>
      <c r="F682" s="589" t="s">
        <v>522</v>
      </c>
      <c r="BB682" s="314"/>
    </row>
    <row r="683" ht="15.75" hidden="1" customHeight="1">
      <c r="A683" s="585">
        <v>682.0</v>
      </c>
      <c r="B683" s="885" t="str">
        <f>Settings!$A$6</f>
        <v>SAVAGES</v>
      </c>
      <c r="C683" s="712" t="s">
        <v>117</v>
      </c>
      <c r="D683" s="13" t="str">
        <f>'Entry Sheet'!V73</f>
        <v>D. LONDON</v>
      </c>
      <c r="E683" s="13">
        <f>'Entry Sheet'!W73</f>
        <v>19.9</v>
      </c>
      <c r="F683" s="589" t="s">
        <v>522</v>
      </c>
      <c r="BB683" s="314"/>
    </row>
    <row r="684" ht="15.75" hidden="1" customHeight="1">
      <c r="A684" s="585">
        <v>683.0</v>
      </c>
      <c r="B684" s="885" t="str">
        <f>Settings!$A$6</f>
        <v>SAVAGES</v>
      </c>
      <c r="C684" s="712" t="s">
        <v>117</v>
      </c>
      <c r="D684" s="13" t="str">
        <f>'Entry Sheet'!V74</f>
        <v>T. HIGGINS</v>
      </c>
      <c r="E684" s="13">
        <f>'Entry Sheet'!W74</f>
        <v>15.3</v>
      </c>
      <c r="F684" s="589" t="s">
        <v>522</v>
      </c>
      <c r="BB684" s="314"/>
    </row>
    <row r="685" ht="15.75" hidden="1" customHeight="1">
      <c r="A685" s="585">
        <v>684.0</v>
      </c>
      <c r="B685" s="885" t="str">
        <f>Settings!$A$6</f>
        <v>SAVAGES</v>
      </c>
      <c r="C685" s="712" t="s">
        <v>117</v>
      </c>
      <c r="D685" s="13" t="str">
        <f>'Entry Sheet'!V75</f>
        <v/>
      </c>
      <c r="E685" s="13" t="str">
        <f>'Entry Sheet'!W75</f>
        <v/>
      </c>
      <c r="F685" s="589" t="s">
        <v>522</v>
      </c>
      <c r="BB685" s="314"/>
    </row>
    <row r="686" ht="15.75" hidden="1" customHeight="1">
      <c r="A686" s="585">
        <v>685.0</v>
      </c>
      <c r="B686" s="885" t="str">
        <f>Settings!$A$6</f>
        <v>SAVAGES</v>
      </c>
      <c r="C686" s="764" t="s">
        <v>132</v>
      </c>
      <c r="D686" s="13" t="str">
        <f>'Entry Sheet'!V76</f>
        <v>T. MCBRIDE</v>
      </c>
      <c r="E686" s="13">
        <f>'Entry Sheet'!W76</f>
        <v>28.5</v>
      </c>
      <c r="F686" s="589" t="s">
        <v>522</v>
      </c>
      <c r="BB686" s="314"/>
    </row>
    <row r="687" ht="15.75" hidden="1" customHeight="1">
      <c r="A687" s="585">
        <v>686.0</v>
      </c>
      <c r="B687" s="885" t="str">
        <f>Settings!$A$6</f>
        <v>SAVAGES</v>
      </c>
      <c r="C687" s="795" t="s">
        <v>136</v>
      </c>
      <c r="D687" s="13" t="str">
        <f>'Entry Sheet'!V77</f>
        <v>Q. JOHNSTON</v>
      </c>
      <c r="E687" s="13">
        <f>'Entry Sheet'!W77</f>
        <v>0</v>
      </c>
      <c r="F687" s="589" t="s">
        <v>522</v>
      </c>
      <c r="BB687" s="314"/>
    </row>
    <row r="688" ht="15.75" hidden="1" customHeight="1">
      <c r="A688" s="585">
        <v>687.0</v>
      </c>
      <c r="B688" s="885" t="str">
        <f>Settings!$A$6</f>
        <v>SAVAGES</v>
      </c>
      <c r="C688" s="818" t="s">
        <v>139</v>
      </c>
      <c r="D688" s="13" t="str">
        <f>'Entry Sheet'!V78</f>
        <v>DET D/ST</v>
      </c>
      <c r="E688" s="13">
        <f>'Entry Sheet'!W78</f>
        <v>8.34</v>
      </c>
      <c r="F688" s="589" t="s">
        <v>522</v>
      </c>
      <c r="BB688" s="314"/>
    </row>
    <row r="689" ht="15.75" hidden="1" customHeight="1">
      <c r="A689" s="585">
        <v>688.0</v>
      </c>
      <c r="B689" s="885" t="str">
        <f>Settings!$A$6</f>
        <v>SAVAGES</v>
      </c>
      <c r="C689" s="833" t="s">
        <v>146</v>
      </c>
      <c r="D689" s="13" t="str">
        <f>'Entry Sheet'!V79</f>
        <v>E. PINEIRO</v>
      </c>
      <c r="E689" s="13">
        <f>'Entry Sheet'!W79</f>
        <v>14</v>
      </c>
      <c r="F689" s="589" t="s">
        <v>522</v>
      </c>
      <c r="BB689" s="314"/>
    </row>
    <row r="690" ht="15.75" hidden="1" customHeight="1">
      <c r="A690" s="585">
        <v>689.0</v>
      </c>
      <c r="B690" s="885" t="str">
        <f>Settings!$A$6</f>
        <v>SAVAGES</v>
      </c>
      <c r="C690" s="842" t="s">
        <v>162</v>
      </c>
      <c r="D690" s="13" t="str">
        <f>'Entry Sheet'!V80</f>
        <v>CIN HC</v>
      </c>
      <c r="E690" s="13">
        <f>'Entry Sheet'!W80</f>
        <v>-4.4</v>
      </c>
      <c r="F690" s="589" t="s">
        <v>522</v>
      </c>
      <c r="BB690" s="314"/>
    </row>
    <row r="691" ht="15.75" customHeight="1">
      <c r="A691" s="585">
        <v>690.0</v>
      </c>
      <c r="B691" s="885" t="str">
        <f>Settings!$A$6</f>
        <v>SAVAGES</v>
      </c>
      <c r="C691" s="587" t="s">
        <v>100</v>
      </c>
      <c r="D691" s="13" t="str">
        <f>'Entry Sheet'!X68</f>
        <v>J. GOFF</v>
      </c>
      <c r="E691" s="13">
        <f>'Entry Sheet'!Y68</f>
        <v>23.16</v>
      </c>
      <c r="F691" s="846" t="s">
        <v>523</v>
      </c>
      <c r="BB691" s="314"/>
    </row>
    <row r="692" ht="15.75" customHeight="1">
      <c r="A692" s="585">
        <v>691.0</v>
      </c>
      <c r="B692" s="885" t="str">
        <f>Settings!$A$6</f>
        <v>SAVAGES</v>
      </c>
      <c r="C692" s="596" t="s">
        <v>106</v>
      </c>
      <c r="D692" s="13" t="str">
        <f>'Entry Sheet'!X69</f>
        <v>A. JEANTY</v>
      </c>
      <c r="E692" s="13">
        <f>'Entry Sheet'!Y69</f>
        <v>26.5</v>
      </c>
      <c r="F692" s="846" t="s">
        <v>523</v>
      </c>
      <c r="BB692" s="314"/>
    </row>
    <row r="693" ht="15.75" customHeight="1">
      <c r="A693" s="585">
        <v>692.0</v>
      </c>
      <c r="B693" s="885" t="str">
        <f>Settings!$A$6</f>
        <v>SAVAGES</v>
      </c>
      <c r="C693" s="596" t="s">
        <v>106</v>
      </c>
      <c r="D693" s="13" t="str">
        <f>'Entry Sheet'!X70</f>
        <v>T. ETIENNE</v>
      </c>
      <c r="E693" s="13">
        <f>'Entry Sheet'!Y70</f>
        <v>22.1</v>
      </c>
      <c r="F693" s="846" t="s">
        <v>523</v>
      </c>
      <c r="BB693" s="314"/>
    </row>
    <row r="694" ht="15.75" customHeight="1">
      <c r="A694" s="585">
        <v>693.0</v>
      </c>
      <c r="B694" s="885" t="str">
        <f>Settings!$A$6</f>
        <v>SAVAGES</v>
      </c>
      <c r="C694" s="596" t="s">
        <v>106</v>
      </c>
      <c r="D694" s="13" t="str">
        <f>'Entry Sheet'!X71</f>
        <v/>
      </c>
      <c r="E694" s="13" t="str">
        <f>'Entry Sheet'!Y71</f>
        <v/>
      </c>
      <c r="F694" s="846" t="s">
        <v>523</v>
      </c>
      <c r="BB694" s="314"/>
    </row>
    <row r="695" ht="15.75" customHeight="1">
      <c r="A695" s="585">
        <v>694.0</v>
      </c>
      <c r="B695" s="885" t="str">
        <f>Settings!$A$6</f>
        <v>SAVAGES</v>
      </c>
      <c r="C695" s="712" t="s">
        <v>117</v>
      </c>
      <c r="D695" s="13" t="str">
        <f>'Entry Sheet'!X72</f>
        <v>J. CHASE</v>
      </c>
      <c r="E695" s="13">
        <f>'Entry Sheet'!Y72</f>
        <v>0</v>
      </c>
      <c r="F695" s="846" t="s">
        <v>523</v>
      </c>
      <c r="BB695" s="314"/>
    </row>
    <row r="696" ht="15.75" customHeight="1">
      <c r="A696" s="585">
        <v>695.0</v>
      </c>
      <c r="B696" s="885" t="str">
        <f>Settings!$A$6</f>
        <v>SAVAGES</v>
      </c>
      <c r="C696" s="712" t="s">
        <v>117</v>
      </c>
      <c r="D696" s="13" t="str">
        <f>'Entry Sheet'!X73</f>
        <v>T. HIGGINS</v>
      </c>
      <c r="E696" s="13">
        <f>'Entry Sheet'!Y73</f>
        <v>8.1</v>
      </c>
      <c r="F696" s="846" t="s">
        <v>523</v>
      </c>
      <c r="BB696" s="314"/>
    </row>
    <row r="697" ht="15.75" customHeight="1">
      <c r="A697" s="585">
        <v>696.0</v>
      </c>
      <c r="B697" s="885" t="str">
        <f>Settings!$A$6</f>
        <v>SAVAGES</v>
      </c>
      <c r="C697" s="712" t="s">
        <v>117</v>
      </c>
      <c r="D697" s="13" t="str">
        <f>'Entry Sheet'!X74</f>
        <v>D. MOONEY</v>
      </c>
      <c r="E697" s="13">
        <f>'Entry Sheet'!Y74</f>
        <v>16.4</v>
      </c>
      <c r="F697" s="846" t="s">
        <v>523</v>
      </c>
      <c r="BB697" s="314"/>
    </row>
    <row r="698" ht="15.75" customHeight="1">
      <c r="A698" s="585">
        <v>697.0</v>
      </c>
      <c r="B698" s="885" t="str">
        <f>Settings!$A$6</f>
        <v>SAVAGES</v>
      </c>
      <c r="C698" s="712" t="s">
        <v>117</v>
      </c>
      <c r="D698" s="13" t="str">
        <f>'Entry Sheet'!X75</f>
        <v/>
      </c>
      <c r="E698" s="13" t="str">
        <f>'Entry Sheet'!Y75</f>
        <v/>
      </c>
      <c r="F698" s="846" t="s">
        <v>523</v>
      </c>
      <c r="BB698" s="314"/>
    </row>
    <row r="699" ht="15.75" customHeight="1">
      <c r="A699" s="585">
        <v>698.0</v>
      </c>
      <c r="B699" s="885" t="str">
        <f>Settings!$A$6</f>
        <v>SAVAGES</v>
      </c>
      <c r="C699" s="764" t="s">
        <v>132</v>
      </c>
      <c r="D699" s="13" t="str">
        <f>'Entry Sheet'!X76</f>
        <v>T. MCBRIDE</v>
      </c>
      <c r="E699" s="13">
        <f>'Entry Sheet'!Y76</f>
        <v>16.9</v>
      </c>
      <c r="F699" s="846" t="s">
        <v>523</v>
      </c>
      <c r="BB699" s="314"/>
    </row>
    <row r="700" ht="15.75" customHeight="1">
      <c r="A700" s="585">
        <v>699.0</v>
      </c>
      <c r="B700" s="885" t="str">
        <f>Settings!$A$6</f>
        <v>SAVAGES</v>
      </c>
      <c r="C700" s="795" t="s">
        <v>136</v>
      </c>
      <c r="D700" s="13" t="str">
        <f>'Entry Sheet'!X77</f>
        <v>D. GOEDERT</v>
      </c>
      <c r="E700" s="13">
        <f>'Entry Sheet'!Y77</f>
        <v>4</v>
      </c>
      <c r="F700" s="846" t="s">
        <v>523</v>
      </c>
      <c r="BB700" s="314"/>
    </row>
    <row r="701" ht="15.75" customHeight="1">
      <c r="A701" s="585">
        <v>700.0</v>
      </c>
      <c r="B701" s="885" t="str">
        <f>Settings!$A$6</f>
        <v>SAVAGES</v>
      </c>
      <c r="C701" s="818" t="s">
        <v>139</v>
      </c>
      <c r="D701" s="13" t="str">
        <f>'Entry Sheet'!X78</f>
        <v>DET D/ST</v>
      </c>
      <c r="E701" s="13">
        <f>'Entry Sheet'!Y78</f>
        <v>4.15</v>
      </c>
      <c r="F701" s="846" t="s">
        <v>523</v>
      </c>
      <c r="BB701" s="314"/>
    </row>
    <row r="702" ht="15.75" customHeight="1">
      <c r="A702" s="585">
        <v>701.0</v>
      </c>
      <c r="B702" s="885" t="str">
        <f>Settings!$A$6</f>
        <v>SAVAGES</v>
      </c>
      <c r="C702" s="833" t="s">
        <v>146</v>
      </c>
      <c r="D702" s="13" t="str">
        <f>'Entry Sheet'!X79</f>
        <v>C. MCLAUGHLIN</v>
      </c>
      <c r="E702" s="13">
        <f>'Entry Sheet'!Y79</f>
        <v>1</v>
      </c>
      <c r="F702" s="846" t="s">
        <v>523</v>
      </c>
      <c r="BB702" s="314"/>
    </row>
    <row r="703" ht="15.75" customHeight="1">
      <c r="A703" s="585">
        <v>702.0</v>
      </c>
      <c r="B703" s="885" t="str">
        <f>Settings!$A$6</f>
        <v>SAVAGES</v>
      </c>
      <c r="C703" s="842" t="s">
        <v>162</v>
      </c>
      <c r="D703" s="13" t="str">
        <f>'Entry Sheet'!X80</f>
        <v>SF HC</v>
      </c>
      <c r="E703" s="13">
        <f>'Entry Sheet'!Y80</f>
        <v>10</v>
      </c>
      <c r="F703" s="846" t="s">
        <v>523</v>
      </c>
      <c r="BB703" s="314"/>
    </row>
    <row r="704" ht="15.75" customHeight="1">
      <c r="A704" s="585">
        <v>703.0</v>
      </c>
      <c r="B704" s="885" t="str">
        <f>Settings!$A$6</f>
        <v>SAVAGES</v>
      </c>
      <c r="C704" s="587" t="s">
        <v>100</v>
      </c>
      <c r="D704" s="13" t="str">
        <f>'Entry Sheet'!Z68</f>
        <v>J. GOFF</v>
      </c>
      <c r="E704" s="13">
        <f>'Entry Sheet'!AA68</f>
        <v>27.54</v>
      </c>
      <c r="F704" s="589" t="s">
        <v>524</v>
      </c>
      <c r="BB704" s="314"/>
    </row>
    <row r="705" ht="15.75" customHeight="1">
      <c r="A705" s="585">
        <v>704.0</v>
      </c>
      <c r="B705" s="885" t="str">
        <f>Settings!$A$6</f>
        <v>SAVAGES</v>
      </c>
      <c r="C705" s="596" t="s">
        <v>106</v>
      </c>
      <c r="D705" s="13" t="str">
        <f>'Entry Sheet'!Z69</f>
        <v>A. JEANTY</v>
      </c>
      <c r="E705" s="13">
        <f>'Entry Sheet'!AA69</f>
        <v>13.6</v>
      </c>
      <c r="F705" s="589" t="s">
        <v>524</v>
      </c>
      <c r="BB705" s="314"/>
    </row>
    <row r="706" ht="15.75" customHeight="1">
      <c r="A706" s="585">
        <v>705.0</v>
      </c>
      <c r="B706" s="885" t="str">
        <f>Settings!$A$6</f>
        <v>SAVAGES</v>
      </c>
      <c r="C706" s="596" t="s">
        <v>106</v>
      </c>
      <c r="D706" s="13" t="str">
        <f>'Entry Sheet'!Z70</f>
        <v>T. ETIENNE</v>
      </c>
      <c r="E706" s="13">
        <f>'Entry Sheet'!AA70</f>
        <v>6.3</v>
      </c>
      <c r="F706" s="589" t="s">
        <v>524</v>
      </c>
      <c r="BB706" s="314"/>
    </row>
    <row r="707" ht="15.75" customHeight="1">
      <c r="A707" s="585">
        <v>706.0</v>
      </c>
      <c r="B707" s="885" t="str">
        <f>Settings!$A$6</f>
        <v>SAVAGES</v>
      </c>
      <c r="C707" s="596" t="s">
        <v>106</v>
      </c>
      <c r="D707" s="13" t="str">
        <f>'Entry Sheet'!Z71</f>
        <v/>
      </c>
      <c r="E707" s="13" t="str">
        <f>'Entry Sheet'!AA71</f>
        <v/>
      </c>
      <c r="F707" s="589" t="s">
        <v>524</v>
      </c>
      <c r="BB707" s="314"/>
    </row>
    <row r="708" ht="15.75" customHeight="1">
      <c r="A708" s="585">
        <v>707.0</v>
      </c>
      <c r="B708" s="885" t="str">
        <f>Settings!$A$6</f>
        <v>SAVAGES</v>
      </c>
      <c r="C708" s="712" t="s">
        <v>117</v>
      </c>
      <c r="D708" s="13" t="str">
        <f>'Entry Sheet'!Z72</f>
        <v>J. CHASE</v>
      </c>
      <c r="E708" s="13">
        <f>'Entry Sheet'!AA72</f>
        <v>19</v>
      </c>
      <c r="F708" s="589" t="s">
        <v>524</v>
      </c>
      <c r="BB708" s="314"/>
    </row>
    <row r="709" ht="15.75" customHeight="1">
      <c r="A709" s="585">
        <v>708.0</v>
      </c>
      <c r="B709" s="885" t="str">
        <f>Settings!$A$6</f>
        <v>SAVAGES</v>
      </c>
      <c r="C709" s="712" t="s">
        <v>117</v>
      </c>
      <c r="D709" s="13" t="str">
        <f>'Entry Sheet'!Z73</f>
        <v>T. HIGGINS</v>
      </c>
      <c r="E709" s="13">
        <f>'Entry Sheet'!AA73</f>
        <v>0</v>
      </c>
      <c r="F709" s="589" t="s">
        <v>524</v>
      </c>
      <c r="BB709" s="314"/>
    </row>
    <row r="710" ht="15.75" customHeight="1">
      <c r="A710" s="585">
        <v>709.0</v>
      </c>
      <c r="B710" s="885" t="str">
        <f>Settings!$A$6</f>
        <v>SAVAGES</v>
      </c>
      <c r="C710" s="712" t="s">
        <v>117</v>
      </c>
      <c r="D710" s="13" t="str">
        <f>'Entry Sheet'!Z74</f>
        <v>D. MOONEY</v>
      </c>
      <c r="E710" s="13">
        <f>'Entry Sheet'!AA74</f>
        <v>4.5</v>
      </c>
      <c r="F710" s="589" t="s">
        <v>524</v>
      </c>
      <c r="BB710" s="314"/>
    </row>
    <row r="711" ht="15.75" customHeight="1">
      <c r="A711" s="585">
        <v>710.0</v>
      </c>
      <c r="B711" s="885" t="str">
        <f>Settings!$A$6</f>
        <v>SAVAGES</v>
      </c>
      <c r="C711" s="712" t="s">
        <v>117</v>
      </c>
      <c r="D711" s="13" t="str">
        <f>'Entry Sheet'!Z75</f>
        <v/>
      </c>
      <c r="E711" s="13" t="str">
        <f>'Entry Sheet'!AA75</f>
        <v/>
      </c>
      <c r="F711" s="589" t="s">
        <v>524</v>
      </c>
      <c r="BB711" s="314"/>
    </row>
    <row r="712" ht="15.75" customHeight="1">
      <c r="A712" s="585">
        <v>711.0</v>
      </c>
      <c r="B712" s="885" t="str">
        <f>Settings!$A$6</f>
        <v>SAVAGES</v>
      </c>
      <c r="C712" s="764" t="s">
        <v>132</v>
      </c>
      <c r="D712" s="13" t="str">
        <f>'Entry Sheet'!Z76</f>
        <v>T. MCBRIDE</v>
      </c>
      <c r="E712" s="13">
        <f>'Entry Sheet'!AA76</f>
        <v>22.2</v>
      </c>
      <c r="F712" s="589" t="s">
        <v>524</v>
      </c>
      <c r="BB712" s="314"/>
    </row>
    <row r="713" ht="15.75" customHeight="1">
      <c r="A713" s="585">
        <v>712.0</v>
      </c>
      <c r="B713" s="885" t="str">
        <f>Settings!$A$6</f>
        <v>SAVAGES</v>
      </c>
      <c r="C713" s="795" t="s">
        <v>136</v>
      </c>
      <c r="D713" s="13" t="str">
        <f>'Entry Sheet'!Z77</f>
        <v>D. GOEDERT</v>
      </c>
      <c r="E713" s="13">
        <f>'Entry Sheet'!AA77</f>
        <v>4.7</v>
      </c>
      <c r="F713" s="589" t="s">
        <v>524</v>
      </c>
      <c r="BB713" s="314"/>
    </row>
    <row r="714" ht="15.75" customHeight="1">
      <c r="A714" s="585">
        <v>713.0</v>
      </c>
      <c r="B714" s="885" t="str">
        <f>Settings!$A$6</f>
        <v>SAVAGES</v>
      </c>
      <c r="C714" s="818" t="s">
        <v>139</v>
      </c>
      <c r="D714" s="13" t="str">
        <f>'Entry Sheet'!Z78</f>
        <v>DET D/ST</v>
      </c>
      <c r="E714" s="13">
        <f>'Entry Sheet'!AA78</f>
        <v>2.73</v>
      </c>
      <c r="F714" s="589" t="s">
        <v>524</v>
      </c>
      <c r="BB714" s="314"/>
    </row>
    <row r="715" ht="15.75" customHeight="1">
      <c r="A715" s="585">
        <v>714.0</v>
      </c>
      <c r="B715" s="885" t="str">
        <f>Settings!$A$6</f>
        <v>SAVAGES</v>
      </c>
      <c r="C715" s="833" t="s">
        <v>146</v>
      </c>
      <c r="D715" s="13" t="str">
        <f>'Entry Sheet'!Z79</f>
        <v>C. MCLAUGHLIN</v>
      </c>
      <c r="E715" s="13">
        <f>'Entry Sheet'!AA79</f>
        <v>11</v>
      </c>
      <c r="F715" s="589" t="s">
        <v>524</v>
      </c>
      <c r="BB715" s="314"/>
    </row>
    <row r="716" ht="15.75" customHeight="1">
      <c r="A716" s="585">
        <v>715.0</v>
      </c>
      <c r="B716" s="885" t="str">
        <f>Settings!$A$6</f>
        <v>SAVAGES</v>
      </c>
      <c r="C716" s="842" t="s">
        <v>162</v>
      </c>
      <c r="D716" s="13" t="str">
        <f>'Entry Sheet'!Z80</f>
        <v>SF HC</v>
      </c>
      <c r="E716" s="13">
        <f>'Entry Sheet'!AA80</f>
        <v>13.8</v>
      </c>
      <c r="F716" s="589" t="s">
        <v>524</v>
      </c>
      <c r="BB716" s="314"/>
    </row>
    <row r="717" ht="15.75" customHeight="1">
      <c r="A717" s="585">
        <v>716.0</v>
      </c>
      <c r="B717" s="885" t="str">
        <f>Settings!$A$6</f>
        <v>SAVAGES</v>
      </c>
      <c r="C717" s="587" t="s">
        <v>100</v>
      </c>
      <c r="D717" s="13" t="str">
        <f>'Entry Sheet'!AB68</f>
        <v>J. GOFF</v>
      </c>
      <c r="E717" s="13">
        <f>'Entry Sheet'!AC68</f>
        <v>22.56</v>
      </c>
      <c r="F717" s="846" t="s">
        <v>525</v>
      </c>
      <c r="BB717" s="314"/>
    </row>
    <row r="718" ht="15.75" customHeight="1">
      <c r="A718" s="585">
        <v>717.0</v>
      </c>
      <c r="B718" s="885" t="str">
        <f>Settings!$A$6</f>
        <v>SAVAGES</v>
      </c>
      <c r="C718" s="596" t="s">
        <v>106</v>
      </c>
      <c r="D718" s="13" t="str">
        <f>'Entry Sheet'!AB69</f>
        <v>A. JEANTY</v>
      </c>
      <c r="E718" s="13">
        <f>'Entry Sheet'!AC69</f>
        <v>6.8</v>
      </c>
      <c r="F718" s="846" t="s">
        <v>525</v>
      </c>
      <c r="BB718" s="314"/>
    </row>
    <row r="719" ht="15.75" customHeight="1">
      <c r="A719" s="585">
        <v>718.0</v>
      </c>
      <c r="B719" s="885" t="str">
        <f>Settings!$A$6</f>
        <v>SAVAGES</v>
      </c>
      <c r="C719" s="596" t="s">
        <v>106</v>
      </c>
      <c r="D719" s="13" t="str">
        <f>'Entry Sheet'!AB70</f>
        <v>T. ETIENNE</v>
      </c>
      <c r="E719" s="13">
        <f>'Entry Sheet'!AC70</f>
        <v>23.2</v>
      </c>
      <c r="F719" s="846" t="s">
        <v>525</v>
      </c>
      <c r="BB719" s="314"/>
    </row>
    <row r="720" ht="15.75" customHeight="1">
      <c r="A720" s="585">
        <v>719.0</v>
      </c>
      <c r="B720" s="885" t="str">
        <f>Settings!$A$6</f>
        <v>SAVAGES</v>
      </c>
      <c r="C720" s="596" t="s">
        <v>106</v>
      </c>
      <c r="D720" s="13" t="str">
        <f>'Entry Sheet'!AB71</f>
        <v/>
      </c>
      <c r="E720" s="13" t="str">
        <f>'Entry Sheet'!AC71</f>
        <v/>
      </c>
      <c r="F720" s="846" t="s">
        <v>525</v>
      </c>
      <c r="BB720" s="314"/>
    </row>
    <row r="721" ht="15.75" customHeight="1">
      <c r="A721" s="585">
        <v>720.0</v>
      </c>
      <c r="B721" s="885" t="str">
        <f>Settings!$A$6</f>
        <v>SAVAGES</v>
      </c>
      <c r="C721" s="712" t="s">
        <v>117</v>
      </c>
      <c r="D721" s="13" t="str">
        <f>'Entry Sheet'!AB72</f>
        <v>J. CHASE</v>
      </c>
      <c r="E721" s="13">
        <f>'Entry Sheet'!AC72</f>
        <v>10.3</v>
      </c>
      <c r="F721" s="846" t="s">
        <v>525</v>
      </c>
      <c r="BB721" s="314"/>
    </row>
    <row r="722" ht="15.75" customHeight="1">
      <c r="A722" s="585">
        <v>721.0</v>
      </c>
      <c r="B722" s="885" t="str">
        <f>Settings!$A$6</f>
        <v>SAVAGES</v>
      </c>
      <c r="C722" s="712" t="s">
        <v>117</v>
      </c>
      <c r="D722" s="13" t="str">
        <f>'Entry Sheet'!AB73</f>
        <v>T. HIGGINS</v>
      </c>
      <c r="E722" s="13">
        <f>'Entry Sheet'!AC73</f>
        <v>27.2</v>
      </c>
      <c r="F722" s="846" t="s">
        <v>525</v>
      </c>
      <c r="BB722" s="314"/>
    </row>
    <row r="723" ht="15.75" customHeight="1">
      <c r="A723" s="585">
        <v>722.0</v>
      </c>
      <c r="B723" s="885" t="str">
        <f>Settings!$A$6</f>
        <v>SAVAGES</v>
      </c>
      <c r="C723" s="712" t="s">
        <v>117</v>
      </c>
      <c r="D723" s="13" t="str">
        <f>'Entry Sheet'!AB74</f>
        <v>K. ALLEN</v>
      </c>
      <c r="E723" s="13">
        <f>'Entry Sheet'!AC74</f>
        <v>5.2</v>
      </c>
      <c r="F723" s="846" t="s">
        <v>525</v>
      </c>
      <c r="BB723" s="314"/>
    </row>
    <row r="724" ht="15.75" customHeight="1">
      <c r="A724" s="585">
        <v>723.0</v>
      </c>
      <c r="B724" s="885" t="str">
        <f>Settings!$A$6</f>
        <v>SAVAGES</v>
      </c>
      <c r="C724" s="712" t="s">
        <v>117</v>
      </c>
      <c r="D724" s="13" t="str">
        <f>'Entry Sheet'!AB75</f>
        <v/>
      </c>
      <c r="E724" s="13" t="str">
        <f>'Entry Sheet'!AC75</f>
        <v/>
      </c>
      <c r="F724" s="846" t="s">
        <v>525</v>
      </c>
      <c r="BB724" s="314"/>
    </row>
    <row r="725" ht="15.75" customHeight="1">
      <c r="A725" s="585">
        <v>724.0</v>
      </c>
      <c r="B725" s="885" t="str">
        <f>Settings!$A$6</f>
        <v>SAVAGES</v>
      </c>
      <c r="C725" s="764" t="s">
        <v>132</v>
      </c>
      <c r="D725" s="13" t="str">
        <f>'Entry Sheet'!AB76</f>
        <v>T. MCBRIDE</v>
      </c>
      <c r="E725" s="13">
        <f>'Entry Sheet'!AC76</f>
        <v>10.8</v>
      </c>
      <c r="F725" s="846" t="s">
        <v>525</v>
      </c>
      <c r="BB725" s="314"/>
    </row>
    <row r="726" ht="15.75" customHeight="1">
      <c r="A726" s="585">
        <v>725.0</v>
      </c>
      <c r="B726" s="885" t="str">
        <f>Settings!$A$6</f>
        <v>SAVAGES</v>
      </c>
      <c r="C726" s="795" t="s">
        <v>136</v>
      </c>
      <c r="D726" s="13" t="str">
        <f>'Entry Sheet'!AB77</f>
        <v>D. GOEDERT</v>
      </c>
      <c r="E726" s="13">
        <f>'Entry Sheet'!AC77</f>
        <v>15.8</v>
      </c>
      <c r="F726" s="846" t="s">
        <v>525</v>
      </c>
      <c r="BB726" s="314"/>
    </row>
    <row r="727" ht="15.75" customHeight="1">
      <c r="A727" s="585">
        <v>726.0</v>
      </c>
      <c r="B727" s="885" t="str">
        <f>Settings!$A$6</f>
        <v>SAVAGES</v>
      </c>
      <c r="C727" s="818" t="s">
        <v>139</v>
      </c>
      <c r="D727" s="13" t="str">
        <f>'Entry Sheet'!AB78</f>
        <v>MIN D/ST</v>
      </c>
      <c r="E727" s="13">
        <f>'Entry Sheet'!AC78</f>
        <v>22.39</v>
      </c>
      <c r="F727" s="846" t="s">
        <v>525</v>
      </c>
      <c r="BB727" s="314"/>
    </row>
    <row r="728" ht="15.75" customHeight="1">
      <c r="A728" s="585">
        <v>727.0</v>
      </c>
      <c r="B728" s="885" t="str">
        <f>Settings!$A$6</f>
        <v>SAVAGES</v>
      </c>
      <c r="C728" s="833" t="s">
        <v>146</v>
      </c>
      <c r="D728" s="13" t="str">
        <f>'Entry Sheet'!AB79</f>
        <v>C. MCLAUGHLIN</v>
      </c>
      <c r="E728" s="13">
        <f>'Entry Sheet'!AC79</f>
        <v>9</v>
      </c>
      <c r="F728" s="846" t="s">
        <v>525</v>
      </c>
      <c r="BB728" s="314"/>
    </row>
    <row r="729" ht="15.75" customHeight="1">
      <c r="A729" s="585">
        <v>728.0</v>
      </c>
      <c r="B729" s="885" t="str">
        <f>Settings!$A$6</f>
        <v>SAVAGES</v>
      </c>
      <c r="C729" s="842" t="s">
        <v>162</v>
      </c>
      <c r="D729" s="13" t="str">
        <f>'Entry Sheet'!AB80</f>
        <v>SF HC</v>
      </c>
      <c r="E729" s="13">
        <f>'Entry Sheet'!AC80</f>
        <v>0</v>
      </c>
      <c r="F729" s="846" t="s">
        <v>525</v>
      </c>
      <c r="BB729" s="314"/>
    </row>
    <row r="730" ht="15.75" customHeight="1">
      <c r="A730" s="585">
        <v>729.0</v>
      </c>
      <c r="B730" s="903" t="str">
        <f>Settings!$A$7</f>
        <v>CHAMPS</v>
      </c>
      <c r="C730" s="587" t="s">
        <v>100</v>
      </c>
      <c r="D730" s="13" t="str">
        <f>'Entry Sheet'!B89</f>
        <v>J. HERBERT</v>
      </c>
      <c r="E730" s="13">
        <f>'Entry Sheet'!C89</f>
        <v>38.82</v>
      </c>
      <c r="F730" s="589" t="s">
        <v>512</v>
      </c>
      <c r="BB730" s="314"/>
    </row>
    <row r="731" ht="15.75" customHeight="1">
      <c r="A731" s="585">
        <v>730.0</v>
      </c>
      <c r="B731" s="903" t="str">
        <f>Settings!$A$7</f>
        <v>CHAMPS</v>
      </c>
      <c r="C731" s="596" t="s">
        <v>106</v>
      </c>
      <c r="D731" s="13" t="str">
        <f>'Entry Sheet'!B90</f>
        <v>J. GIBBS</v>
      </c>
      <c r="E731" s="13">
        <f>'Entry Sheet'!C90</f>
        <v>15.9</v>
      </c>
      <c r="F731" s="589" t="s">
        <v>512</v>
      </c>
      <c r="BB731" s="314"/>
    </row>
    <row r="732" ht="15.75" customHeight="1">
      <c r="A732" s="585">
        <v>731.0</v>
      </c>
      <c r="B732" s="903" t="str">
        <f>Settings!$A$7</f>
        <v>CHAMPS</v>
      </c>
      <c r="C732" s="596" t="s">
        <v>106</v>
      </c>
      <c r="D732" s="13" t="str">
        <f>'Entry Sheet'!B91</f>
        <v>J. JACOBS</v>
      </c>
      <c r="E732" s="13">
        <f>'Entry Sheet'!C91</f>
        <v>15.9</v>
      </c>
      <c r="F732" s="589" t="s">
        <v>512</v>
      </c>
      <c r="BB732" s="314"/>
    </row>
    <row r="733" ht="15.75" customHeight="1">
      <c r="A733" s="585">
        <v>732.0</v>
      </c>
      <c r="B733" s="903" t="str">
        <f>Settings!$A$7</f>
        <v>CHAMPS</v>
      </c>
      <c r="C733" s="596" t="s">
        <v>106</v>
      </c>
      <c r="D733" s="13" t="str">
        <f>'Entry Sheet'!B92</f>
        <v/>
      </c>
      <c r="E733" s="13" t="str">
        <f>'Entry Sheet'!C92</f>
        <v/>
      </c>
      <c r="F733" s="589" t="s">
        <v>512</v>
      </c>
      <c r="BB733" s="314"/>
    </row>
    <row r="734" ht="15.75" customHeight="1">
      <c r="A734" s="585">
        <v>733.0</v>
      </c>
      <c r="B734" s="903" t="str">
        <f>Settings!$A$7</f>
        <v>CHAMPS</v>
      </c>
      <c r="C734" s="712" t="s">
        <v>117</v>
      </c>
      <c r="D734" s="13" t="str">
        <f>'Entry Sheet'!B93</f>
        <v>D. ADAMS</v>
      </c>
      <c r="E734" s="13">
        <f>'Entry Sheet'!C93</f>
        <v>9.1</v>
      </c>
      <c r="F734" s="589" t="s">
        <v>512</v>
      </c>
      <c r="BB734" s="314"/>
    </row>
    <row r="735" ht="15.75" customHeight="1">
      <c r="A735" s="585">
        <v>734.0</v>
      </c>
      <c r="B735" s="903" t="str">
        <f>Settings!$A$7</f>
        <v>CHAMPS</v>
      </c>
      <c r="C735" s="712" t="s">
        <v>117</v>
      </c>
      <c r="D735" s="13" t="str">
        <f>'Entry Sheet'!B94</f>
        <v>M. HARRISON JR</v>
      </c>
      <c r="E735" s="13">
        <f>'Entry Sheet'!C94</f>
        <v>18.1</v>
      </c>
      <c r="F735" s="589" t="s">
        <v>512</v>
      </c>
      <c r="BB735" s="314"/>
    </row>
    <row r="736" ht="15.75" customHeight="1">
      <c r="A736" s="585">
        <v>735.0</v>
      </c>
      <c r="B736" s="903" t="str">
        <f>Settings!$A$7</f>
        <v>CHAMPS</v>
      </c>
      <c r="C736" s="712" t="s">
        <v>117</v>
      </c>
      <c r="D736" s="13" t="str">
        <f>'Entry Sheet'!B95</f>
        <v>G. WILSON</v>
      </c>
      <c r="E736" s="13">
        <f>'Entry Sheet'!C95</f>
        <v>22.5</v>
      </c>
      <c r="F736" s="589" t="s">
        <v>512</v>
      </c>
      <c r="BB736" s="314"/>
    </row>
    <row r="737" ht="15.75" customHeight="1">
      <c r="A737" s="585">
        <v>736.0</v>
      </c>
      <c r="B737" s="903" t="str">
        <f>Settings!$A$7</f>
        <v>CHAMPS</v>
      </c>
      <c r="C737" s="712" t="s">
        <v>117</v>
      </c>
      <c r="D737" s="13" t="str">
        <f>'Entry Sheet'!B96</f>
        <v/>
      </c>
      <c r="E737" s="13" t="str">
        <f>'Entry Sheet'!C96</f>
        <v/>
      </c>
      <c r="F737" s="589" t="s">
        <v>512</v>
      </c>
      <c r="BB737" s="314"/>
    </row>
    <row r="738" ht="15.75" customHeight="1">
      <c r="A738" s="585">
        <v>737.0</v>
      </c>
      <c r="B738" s="903" t="str">
        <f>Settings!$A$7</f>
        <v>CHAMPS</v>
      </c>
      <c r="C738" s="764" t="s">
        <v>132</v>
      </c>
      <c r="D738" s="13" t="str">
        <f>'Entry Sheet'!B97</f>
        <v>D. NJOKU</v>
      </c>
      <c r="E738" s="13">
        <f>'Entry Sheet'!C97</f>
        <v>6.7</v>
      </c>
      <c r="F738" s="589" t="s">
        <v>512</v>
      </c>
      <c r="BB738" s="314"/>
    </row>
    <row r="739" ht="15.75" customHeight="1">
      <c r="A739" s="585">
        <v>738.0</v>
      </c>
      <c r="B739" s="903" t="str">
        <f>Settings!$A$7</f>
        <v>CHAMPS</v>
      </c>
      <c r="C739" s="795" t="s">
        <v>136</v>
      </c>
      <c r="D739" s="13" t="str">
        <f>'Entry Sheet'!B98</f>
        <v>K. WILLIAMS</v>
      </c>
      <c r="E739" s="13">
        <f>'Entry Sheet'!C98</f>
        <v>15.7</v>
      </c>
      <c r="F739" s="589" t="s">
        <v>512</v>
      </c>
      <c r="BB739" s="314"/>
    </row>
    <row r="740" ht="15.75" customHeight="1">
      <c r="A740" s="585">
        <v>739.0</v>
      </c>
      <c r="B740" s="903" t="str">
        <f>Settings!$A$7</f>
        <v>CHAMPS</v>
      </c>
      <c r="C740" s="818" t="s">
        <v>139</v>
      </c>
      <c r="D740" s="13" t="str">
        <f>'Entry Sheet'!B99</f>
        <v>MIN D/DT</v>
      </c>
      <c r="E740" s="13">
        <f>'Entry Sheet'!C99</f>
        <v>19.09</v>
      </c>
      <c r="F740" s="589" t="s">
        <v>512</v>
      </c>
      <c r="BB740" s="314"/>
    </row>
    <row r="741" ht="15.75" customHeight="1">
      <c r="A741" s="585">
        <v>740.0</v>
      </c>
      <c r="B741" s="903" t="str">
        <f>Settings!$A$7</f>
        <v>CHAMPS</v>
      </c>
      <c r="C741" s="833" t="s">
        <v>146</v>
      </c>
      <c r="D741" s="13" t="str">
        <f>'Entry Sheet'!B100</f>
        <v>C. DICKER</v>
      </c>
      <c r="E741" s="13">
        <f>'Entry Sheet'!C100</f>
        <v>9</v>
      </c>
      <c r="F741" s="589" t="s">
        <v>512</v>
      </c>
      <c r="BB741" s="314"/>
    </row>
    <row r="742" ht="15.75" customHeight="1">
      <c r="A742" s="585">
        <v>741.0</v>
      </c>
      <c r="B742" s="903" t="str">
        <f>Settings!$A$7</f>
        <v>CHAMPS</v>
      </c>
      <c r="C742" s="842" t="s">
        <v>162</v>
      </c>
      <c r="D742" s="13" t="str">
        <f>'Entry Sheet'!B101</f>
        <v>CIN HC</v>
      </c>
      <c r="E742" s="13">
        <f>'Entry Sheet'!C101</f>
        <v>7.1</v>
      </c>
      <c r="F742" s="589" t="s">
        <v>512</v>
      </c>
      <c r="BB742" s="314"/>
    </row>
    <row r="743" ht="15.75" customHeight="1">
      <c r="A743" s="585">
        <v>742.0</v>
      </c>
      <c r="B743" s="903" t="str">
        <f>Settings!$A$7</f>
        <v>CHAMPS</v>
      </c>
      <c r="C743" s="587" t="s">
        <v>100</v>
      </c>
      <c r="D743" s="13" t="str">
        <f>'Entry Sheet'!D89</f>
        <v>J. HERBERT</v>
      </c>
      <c r="E743" s="13">
        <f>'Entry Sheet'!E89</f>
        <v>25.88</v>
      </c>
      <c r="F743" s="846" t="s">
        <v>513</v>
      </c>
      <c r="BB743" s="314"/>
    </row>
    <row r="744" ht="15.75" customHeight="1">
      <c r="A744" s="585">
        <v>743.0</v>
      </c>
      <c r="B744" s="903" t="str">
        <f>Settings!$A$7</f>
        <v>CHAMPS</v>
      </c>
      <c r="C744" s="596" t="s">
        <v>106</v>
      </c>
      <c r="D744" s="13" t="str">
        <f>'Entry Sheet'!D90</f>
        <v>J. GIBBS</v>
      </c>
      <c r="E744" s="13">
        <f>'Entry Sheet'!E90</f>
        <v>20.6</v>
      </c>
      <c r="F744" s="846" t="s">
        <v>513</v>
      </c>
      <c r="BB744" s="314"/>
    </row>
    <row r="745" ht="15.75" customHeight="1">
      <c r="A745" s="585">
        <v>744.0</v>
      </c>
      <c r="B745" s="903" t="str">
        <f>Settings!$A$7</f>
        <v>CHAMPS</v>
      </c>
      <c r="C745" s="596" t="s">
        <v>106</v>
      </c>
      <c r="D745" s="13" t="str">
        <f>'Entry Sheet'!D91</f>
        <v>J. JACOBS</v>
      </c>
      <c r="E745" s="13">
        <f>'Entry Sheet'!E91</f>
        <v>16.7</v>
      </c>
      <c r="F745" s="846" t="s">
        <v>513</v>
      </c>
      <c r="BB745" s="314"/>
    </row>
    <row r="746" ht="15.75" customHeight="1">
      <c r="A746" s="585">
        <v>745.0</v>
      </c>
      <c r="B746" s="903" t="str">
        <f>Settings!$A$7</f>
        <v>CHAMPS</v>
      </c>
      <c r="C746" s="596" t="s">
        <v>106</v>
      </c>
      <c r="D746" s="13" t="str">
        <f>'Entry Sheet'!D92</f>
        <v/>
      </c>
      <c r="E746" s="13" t="str">
        <f>'Entry Sheet'!E92</f>
        <v/>
      </c>
      <c r="F746" s="846" t="s">
        <v>513</v>
      </c>
      <c r="BB746" s="314"/>
    </row>
    <row r="747" ht="15.75" customHeight="1">
      <c r="A747" s="585">
        <v>746.0</v>
      </c>
      <c r="B747" s="903" t="str">
        <f>Settings!$A$7</f>
        <v>CHAMPS</v>
      </c>
      <c r="C747" s="712" t="s">
        <v>117</v>
      </c>
      <c r="D747" s="13" t="str">
        <f>'Entry Sheet'!D93</f>
        <v>D. ADAMS</v>
      </c>
      <c r="E747" s="13">
        <f>'Entry Sheet'!E93</f>
        <v>23.6</v>
      </c>
      <c r="F747" s="846" t="s">
        <v>513</v>
      </c>
      <c r="BB747" s="314"/>
    </row>
    <row r="748" ht="15.75" customHeight="1">
      <c r="A748" s="585">
        <v>747.0</v>
      </c>
      <c r="B748" s="903" t="str">
        <f>Settings!$A$7</f>
        <v>CHAMPS</v>
      </c>
      <c r="C748" s="712" t="s">
        <v>117</v>
      </c>
      <c r="D748" s="13" t="str">
        <f>'Entry Sheet'!D94</f>
        <v>M. HARRISON JR</v>
      </c>
      <c r="E748" s="13">
        <f>'Entry Sheet'!E94</f>
        <v>4.7</v>
      </c>
      <c r="F748" s="846" t="s">
        <v>513</v>
      </c>
      <c r="BB748" s="314"/>
    </row>
    <row r="749" ht="15.75" customHeight="1">
      <c r="A749" s="585">
        <v>748.0</v>
      </c>
      <c r="B749" s="903" t="str">
        <f>Settings!$A$7</f>
        <v>CHAMPS</v>
      </c>
      <c r="C749" s="712" t="s">
        <v>117</v>
      </c>
      <c r="D749" s="13" t="str">
        <f>'Entry Sheet'!D95</f>
        <v>G. WILSON</v>
      </c>
      <c r="E749" s="13">
        <f>'Entry Sheet'!E95</f>
        <v>9</v>
      </c>
      <c r="F749" s="846" t="s">
        <v>513</v>
      </c>
      <c r="BB749" s="314"/>
    </row>
    <row r="750" ht="15.75" customHeight="1">
      <c r="A750" s="585">
        <v>749.0</v>
      </c>
      <c r="B750" s="903" t="str">
        <f>Settings!$A$7</f>
        <v>CHAMPS</v>
      </c>
      <c r="C750" s="712" t="s">
        <v>117</v>
      </c>
      <c r="D750" s="13" t="str">
        <f>'Entry Sheet'!D96</f>
        <v/>
      </c>
      <c r="E750" s="13" t="str">
        <f>'Entry Sheet'!E96</f>
        <v/>
      </c>
      <c r="F750" s="846" t="s">
        <v>513</v>
      </c>
      <c r="BB750" s="314"/>
    </row>
    <row r="751" ht="15.75" customHeight="1">
      <c r="A751" s="585">
        <v>750.0</v>
      </c>
      <c r="B751" s="903" t="str">
        <f>Settings!$A$7</f>
        <v>CHAMPS</v>
      </c>
      <c r="C751" s="764" t="s">
        <v>132</v>
      </c>
      <c r="D751" s="13" t="str">
        <f>'Entry Sheet'!D97</f>
        <v>D. NJOKU</v>
      </c>
      <c r="E751" s="13">
        <f>'Entry Sheet'!E97</f>
        <v>8</v>
      </c>
      <c r="F751" s="846" t="s">
        <v>513</v>
      </c>
      <c r="BB751" s="314"/>
    </row>
    <row r="752" ht="15.75" customHeight="1">
      <c r="A752" s="585">
        <v>751.0</v>
      </c>
      <c r="B752" s="903" t="str">
        <f>Settings!$A$7</f>
        <v>CHAMPS</v>
      </c>
      <c r="C752" s="795" t="s">
        <v>136</v>
      </c>
      <c r="D752" s="13" t="str">
        <f>'Entry Sheet'!D98</f>
        <v>K. WILLIAMS</v>
      </c>
      <c r="E752" s="13">
        <f>'Entry Sheet'!E98</f>
        <v>11.7</v>
      </c>
      <c r="F752" s="846" t="s">
        <v>513</v>
      </c>
      <c r="BB752" s="314"/>
    </row>
    <row r="753" ht="15.75" customHeight="1">
      <c r="A753" s="585">
        <v>752.0</v>
      </c>
      <c r="B753" s="903" t="str">
        <f>Settings!$A$7</f>
        <v>CHAMPS</v>
      </c>
      <c r="C753" s="818" t="s">
        <v>139</v>
      </c>
      <c r="D753" s="13" t="str">
        <f>'Entry Sheet'!D99</f>
        <v>MIN D/ST</v>
      </c>
      <c r="E753" s="13">
        <f>'Entry Sheet'!E99</f>
        <v>15.23</v>
      </c>
      <c r="F753" s="846" t="s">
        <v>513</v>
      </c>
      <c r="BB753" s="314"/>
    </row>
    <row r="754" ht="15.75" customHeight="1">
      <c r="A754" s="585">
        <v>753.0</v>
      </c>
      <c r="B754" s="903" t="str">
        <f>Settings!$A$7</f>
        <v>CHAMPS</v>
      </c>
      <c r="C754" s="833" t="s">
        <v>146</v>
      </c>
      <c r="D754" s="13" t="str">
        <f>'Entry Sheet'!D100</f>
        <v>C. DICKER</v>
      </c>
      <c r="E754" s="13">
        <f>'Entry Sheet'!E100</f>
        <v>8</v>
      </c>
      <c r="F754" s="846" t="s">
        <v>513</v>
      </c>
      <c r="BB754" s="314"/>
    </row>
    <row r="755" ht="15.75" customHeight="1">
      <c r="A755" s="585">
        <v>754.0</v>
      </c>
      <c r="B755" s="903" t="str">
        <f>Settings!$A$7</f>
        <v>CHAMPS</v>
      </c>
      <c r="C755" s="842" t="s">
        <v>162</v>
      </c>
      <c r="D755" s="13" t="str">
        <f>'Entry Sheet'!D101</f>
        <v>CIN HC</v>
      </c>
      <c r="E755" s="13">
        <f>'Entry Sheet'!E101</f>
        <v>11.3</v>
      </c>
      <c r="F755" s="846" t="s">
        <v>513</v>
      </c>
      <c r="BB755" s="314"/>
    </row>
    <row r="756" ht="15.75" customHeight="1">
      <c r="A756" s="585">
        <v>755.0</v>
      </c>
      <c r="B756" s="903" t="str">
        <f>Settings!$A$7</f>
        <v>CHAMPS</v>
      </c>
      <c r="C756" s="587" t="s">
        <v>100</v>
      </c>
      <c r="D756" s="13" t="str">
        <f>'Entry Sheet'!F89</f>
        <v>J. HERBERT</v>
      </c>
      <c r="E756" s="13">
        <f>'Entry Sheet'!G89</f>
        <v>18.8</v>
      </c>
      <c r="F756" s="589" t="s">
        <v>514</v>
      </c>
      <c r="BB756" s="314"/>
    </row>
    <row r="757" ht="15.75" customHeight="1">
      <c r="A757" s="585">
        <v>756.0</v>
      </c>
      <c r="B757" s="903" t="str">
        <f>Settings!$A$7</f>
        <v>CHAMPS</v>
      </c>
      <c r="C757" s="596" t="s">
        <v>106</v>
      </c>
      <c r="D757" s="13" t="str">
        <f>'Entry Sheet'!F90</f>
        <v>J. GIBBS</v>
      </c>
      <c r="E757" s="13">
        <f>'Entry Sheet'!G90</f>
        <v>29.1</v>
      </c>
      <c r="F757" s="589" t="s">
        <v>514</v>
      </c>
      <c r="BB757" s="314"/>
    </row>
    <row r="758" ht="15.75" customHeight="1">
      <c r="A758" s="585">
        <v>757.0</v>
      </c>
      <c r="B758" s="903" t="str">
        <f>Settings!$A$7</f>
        <v>CHAMPS</v>
      </c>
      <c r="C758" s="596" t="s">
        <v>106</v>
      </c>
      <c r="D758" s="13" t="str">
        <f>'Entry Sheet'!F91</f>
        <v>J. JACOBS</v>
      </c>
      <c r="E758" s="13">
        <f>'Entry Sheet'!G91</f>
        <v>14</v>
      </c>
      <c r="F758" s="589" t="s">
        <v>514</v>
      </c>
      <c r="BB758" s="314"/>
    </row>
    <row r="759" ht="15.75" customHeight="1">
      <c r="A759" s="585">
        <v>758.0</v>
      </c>
      <c r="B759" s="903" t="str">
        <f>Settings!$A$7</f>
        <v>CHAMPS</v>
      </c>
      <c r="C759" s="596" t="s">
        <v>106</v>
      </c>
      <c r="D759" s="13" t="str">
        <f>'Entry Sheet'!F92</f>
        <v/>
      </c>
      <c r="E759" s="13" t="str">
        <f>'Entry Sheet'!G92</f>
        <v/>
      </c>
      <c r="F759" s="589" t="s">
        <v>514</v>
      </c>
      <c r="BB759" s="314"/>
    </row>
    <row r="760" ht="15.75" customHeight="1">
      <c r="A760" s="585">
        <v>759.0</v>
      </c>
      <c r="B760" s="903" t="str">
        <f>Settings!$A$7</f>
        <v>CHAMPS</v>
      </c>
      <c r="C760" s="712" t="s">
        <v>117</v>
      </c>
      <c r="D760" s="13" t="str">
        <f>'Entry Sheet'!F93</f>
        <v>D. ADAMS</v>
      </c>
      <c r="E760" s="13">
        <f>'Entry Sheet'!G93</f>
        <v>14.6</v>
      </c>
      <c r="F760" s="589" t="s">
        <v>514</v>
      </c>
      <c r="BB760" s="314"/>
    </row>
    <row r="761" ht="15.75" customHeight="1">
      <c r="A761" s="585">
        <v>760.0</v>
      </c>
      <c r="B761" s="903" t="str">
        <f>Settings!$A$7</f>
        <v>CHAMPS</v>
      </c>
      <c r="C761" s="712" t="s">
        <v>117</v>
      </c>
      <c r="D761" s="13" t="str">
        <f>'Entry Sheet'!F94</f>
        <v>M. HARRISON JR</v>
      </c>
      <c r="E761" s="13">
        <f>'Entry Sheet'!G94</f>
        <v>7.4</v>
      </c>
      <c r="F761" s="589" t="s">
        <v>514</v>
      </c>
      <c r="BB761" s="314"/>
    </row>
    <row r="762" ht="15.75" customHeight="1">
      <c r="A762" s="585">
        <v>761.0</v>
      </c>
      <c r="B762" s="903" t="str">
        <f>Settings!$A$7</f>
        <v>CHAMPS</v>
      </c>
      <c r="C762" s="712" t="s">
        <v>117</v>
      </c>
      <c r="D762" s="13" t="str">
        <f>'Entry Sheet'!F95</f>
        <v>G. WILSON</v>
      </c>
      <c r="E762" s="13">
        <f>'Entry Sheet'!G95</f>
        <v>24.4</v>
      </c>
      <c r="F762" s="589" t="s">
        <v>514</v>
      </c>
      <c r="BB762" s="314"/>
    </row>
    <row r="763" ht="15.75" customHeight="1">
      <c r="A763" s="585">
        <v>762.0</v>
      </c>
      <c r="B763" s="903" t="str">
        <f>Settings!$A$7</f>
        <v>CHAMPS</v>
      </c>
      <c r="C763" s="712" t="s">
        <v>117</v>
      </c>
      <c r="D763" s="13" t="str">
        <f>'Entry Sheet'!F96</f>
        <v/>
      </c>
      <c r="E763" s="13" t="str">
        <f>'Entry Sheet'!G96</f>
        <v/>
      </c>
      <c r="F763" s="589" t="s">
        <v>514</v>
      </c>
      <c r="BB763" s="314"/>
    </row>
    <row r="764" ht="15.75" customHeight="1">
      <c r="A764" s="585">
        <v>763.0</v>
      </c>
      <c r="B764" s="903" t="str">
        <f>Settings!$A$7</f>
        <v>CHAMPS</v>
      </c>
      <c r="C764" s="764" t="s">
        <v>132</v>
      </c>
      <c r="D764" s="13" t="str">
        <f>'Entry Sheet'!F97</f>
        <v>J. JOHNSON</v>
      </c>
      <c r="E764" s="13">
        <f>'Entry Sheet'!G97</f>
        <v>11.1</v>
      </c>
      <c r="F764" s="589" t="s">
        <v>514</v>
      </c>
      <c r="BB764" s="314"/>
    </row>
    <row r="765" ht="15.75" customHeight="1">
      <c r="A765" s="585">
        <v>764.0</v>
      </c>
      <c r="B765" s="903" t="str">
        <f>Settings!$A$7</f>
        <v>CHAMPS</v>
      </c>
      <c r="C765" s="795" t="s">
        <v>136</v>
      </c>
      <c r="D765" s="13" t="str">
        <f>'Entry Sheet'!F98</f>
        <v>D. MONTGOMERY</v>
      </c>
      <c r="E765" s="13">
        <f>'Entry Sheet'!G98</f>
        <v>31.6</v>
      </c>
      <c r="F765" s="589" t="s">
        <v>514</v>
      </c>
      <c r="BB765" s="314"/>
    </row>
    <row r="766" ht="15.75" customHeight="1">
      <c r="A766" s="585">
        <v>765.0</v>
      </c>
      <c r="B766" s="903" t="str">
        <f>Settings!$A$7</f>
        <v>CHAMPS</v>
      </c>
      <c r="C766" s="818" t="s">
        <v>139</v>
      </c>
      <c r="D766" s="13" t="str">
        <f>'Entry Sheet'!F99</f>
        <v>MIN D/ST</v>
      </c>
      <c r="E766" s="13">
        <f>'Entry Sheet'!G99</f>
        <v>54.64</v>
      </c>
      <c r="F766" s="589" t="s">
        <v>514</v>
      </c>
      <c r="BB766" s="314"/>
    </row>
    <row r="767" ht="15.75" customHeight="1">
      <c r="A767" s="585">
        <v>766.0</v>
      </c>
      <c r="B767" s="903" t="str">
        <f>Settings!$A$7</f>
        <v>CHAMPS</v>
      </c>
      <c r="C767" s="833" t="s">
        <v>146</v>
      </c>
      <c r="D767" s="13" t="str">
        <f>'Entry Sheet'!F100</f>
        <v>C. SANTOS</v>
      </c>
      <c r="E767" s="13">
        <f>'Entry Sheet'!G100</f>
        <v>7</v>
      </c>
      <c r="F767" s="589" t="s">
        <v>514</v>
      </c>
      <c r="BB767" s="314"/>
    </row>
    <row r="768" ht="15.75" customHeight="1">
      <c r="A768" s="585">
        <v>767.0</v>
      </c>
      <c r="B768" s="903" t="str">
        <f>Settings!$A$7</f>
        <v>CHAMPS</v>
      </c>
      <c r="C768" s="842" t="s">
        <v>162</v>
      </c>
      <c r="D768" s="13" t="str">
        <f>'Entry Sheet'!F101</f>
        <v>IND HC</v>
      </c>
      <c r="E768" s="13">
        <f>'Entry Sheet'!G101</f>
        <v>20.3</v>
      </c>
      <c r="F768" s="589" t="s">
        <v>514</v>
      </c>
      <c r="BB768" s="314"/>
    </row>
    <row r="769" ht="15.75" customHeight="1">
      <c r="A769" s="585">
        <v>768.0</v>
      </c>
      <c r="B769" s="903" t="str">
        <f>Settings!$A$7</f>
        <v>CHAMPS</v>
      </c>
      <c r="C769" s="587" t="s">
        <v>100</v>
      </c>
      <c r="D769" s="13" t="str">
        <f>'Entry Sheet'!H89</f>
        <v>J. HERBERT</v>
      </c>
      <c r="E769" s="13">
        <f>'Entry Sheet'!I89</f>
        <v>14.02</v>
      </c>
      <c r="F769" s="846" t="s">
        <v>515</v>
      </c>
      <c r="BB769" s="314"/>
    </row>
    <row r="770" ht="15.75" customHeight="1">
      <c r="A770" s="585">
        <v>769.0</v>
      </c>
      <c r="B770" s="903" t="str">
        <f>Settings!$A$7</f>
        <v>CHAMPS</v>
      </c>
      <c r="C770" s="596" t="s">
        <v>106</v>
      </c>
      <c r="D770" s="13" t="str">
        <f>'Entry Sheet'!H90</f>
        <v>J. GIBBS</v>
      </c>
      <c r="E770" s="13">
        <f>'Entry Sheet'!I90</f>
        <v>19.2</v>
      </c>
      <c r="F770" s="846" t="s">
        <v>515</v>
      </c>
      <c r="BB770" s="314"/>
    </row>
    <row r="771" ht="15.75" customHeight="1">
      <c r="A771" s="585">
        <v>770.0</v>
      </c>
      <c r="B771" s="903" t="str">
        <f>Settings!$A$7</f>
        <v>CHAMPS</v>
      </c>
      <c r="C771" s="596" t="s">
        <v>106</v>
      </c>
      <c r="D771" s="13" t="str">
        <f>'Entry Sheet'!H91</f>
        <v>J. JACOBS</v>
      </c>
      <c r="E771" s="13">
        <f>'Entry Sheet'!I91</f>
        <v>33.9</v>
      </c>
      <c r="F771" s="846" t="s">
        <v>515</v>
      </c>
      <c r="BB771" s="314"/>
    </row>
    <row r="772" ht="15.75" customHeight="1">
      <c r="A772" s="585">
        <v>771.0</v>
      </c>
      <c r="B772" s="903" t="str">
        <f>Settings!$A$7</f>
        <v>CHAMPS</v>
      </c>
      <c r="C772" s="596" t="s">
        <v>106</v>
      </c>
      <c r="D772" s="13" t="str">
        <f>'Entry Sheet'!H92</f>
        <v/>
      </c>
      <c r="E772" s="13" t="str">
        <f>'Entry Sheet'!I92</f>
        <v/>
      </c>
      <c r="F772" s="846" t="s">
        <v>515</v>
      </c>
      <c r="BB772" s="314"/>
    </row>
    <row r="773" ht="15.75" customHeight="1">
      <c r="A773" s="585">
        <v>772.0</v>
      </c>
      <c r="B773" s="903" t="str">
        <f>Settings!$A$7</f>
        <v>CHAMPS</v>
      </c>
      <c r="C773" s="712" t="s">
        <v>117</v>
      </c>
      <c r="D773" s="13" t="str">
        <f>'Entry Sheet'!H93</f>
        <v>D. ADAMS</v>
      </c>
      <c r="E773" s="13">
        <f>'Entry Sheet'!I93</f>
        <v>15.6</v>
      </c>
      <c r="F773" s="846" t="s">
        <v>515</v>
      </c>
      <c r="BB773" s="314"/>
    </row>
    <row r="774" ht="15.75" customHeight="1">
      <c r="A774" s="585">
        <v>773.0</v>
      </c>
      <c r="B774" s="903" t="str">
        <f>Settings!$A$7</f>
        <v>CHAMPS</v>
      </c>
      <c r="C774" s="712" t="s">
        <v>117</v>
      </c>
      <c r="D774" s="13" t="str">
        <f>'Entry Sheet'!H94</f>
        <v>M. HARRISON JR</v>
      </c>
      <c r="E774" s="13">
        <f>'Entry Sheet'!I94</f>
        <v>18.6</v>
      </c>
      <c r="F774" s="846" t="s">
        <v>515</v>
      </c>
      <c r="BB774" s="314"/>
    </row>
    <row r="775" ht="15.75" customHeight="1">
      <c r="A775" s="585">
        <v>774.0</v>
      </c>
      <c r="B775" s="903" t="str">
        <f>Settings!$A$7</f>
        <v>CHAMPS</v>
      </c>
      <c r="C775" s="712" t="s">
        <v>117</v>
      </c>
      <c r="D775" s="13" t="str">
        <f>'Entry Sheet'!H95</f>
        <v>G. WILSON</v>
      </c>
      <c r="E775" s="13">
        <f>'Entry Sheet'!I95</f>
        <v>20.2</v>
      </c>
      <c r="F775" s="846" t="s">
        <v>515</v>
      </c>
      <c r="BB775" s="314"/>
    </row>
    <row r="776" ht="15.75" customHeight="1">
      <c r="A776" s="585">
        <v>775.0</v>
      </c>
      <c r="B776" s="903" t="str">
        <f>Settings!$A$7</f>
        <v>CHAMPS</v>
      </c>
      <c r="C776" s="712" t="s">
        <v>117</v>
      </c>
      <c r="D776" s="13" t="str">
        <f>'Entry Sheet'!H96</f>
        <v/>
      </c>
      <c r="E776" s="13" t="str">
        <f>'Entry Sheet'!I96</f>
        <v/>
      </c>
      <c r="F776" s="846" t="s">
        <v>515</v>
      </c>
      <c r="BB776" s="314"/>
    </row>
    <row r="777" ht="15.75" customHeight="1">
      <c r="A777" s="585">
        <v>776.0</v>
      </c>
      <c r="B777" s="903" t="str">
        <f>Settings!$A$7</f>
        <v>CHAMPS</v>
      </c>
      <c r="C777" s="764" t="s">
        <v>132</v>
      </c>
      <c r="D777" s="13" t="str">
        <f>'Entry Sheet'!H97</f>
        <v>J.JOHNSON</v>
      </c>
      <c r="E777" s="13">
        <f>'Entry Sheet'!I97</f>
        <v>5.8</v>
      </c>
      <c r="F777" s="846" t="s">
        <v>515</v>
      </c>
      <c r="BB777" s="314"/>
    </row>
    <row r="778" ht="15.75" customHeight="1">
      <c r="A778" s="585">
        <v>777.0</v>
      </c>
      <c r="B778" s="903" t="str">
        <f>Settings!$A$7</f>
        <v>CHAMPS</v>
      </c>
      <c r="C778" s="795" t="s">
        <v>136</v>
      </c>
      <c r="D778" s="13" t="str">
        <f>'Entry Sheet'!H98</f>
        <v>D. MONTGOMERY</v>
      </c>
      <c r="E778" s="13">
        <f>'Entry Sheet'!I98</f>
        <v>2.1</v>
      </c>
      <c r="F778" s="846" t="s">
        <v>515</v>
      </c>
      <c r="BB778" s="314"/>
    </row>
    <row r="779" ht="15.75" customHeight="1">
      <c r="A779" s="585">
        <v>778.0</v>
      </c>
      <c r="B779" s="903" t="str">
        <f>Settings!$A$7</f>
        <v>CHAMPS</v>
      </c>
      <c r="C779" s="818" t="s">
        <v>139</v>
      </c>
      <c r="D779" s="13" t="str">
        <f>'Entry Sheet'!H99</f>
        <v>MIN D/ST</v>
      </c>
      <c r="E779" s="13">
        <f>'Entry Sheet'!I99</f>
        <v>15.24</v>
      </c>
      <c r="F779" s="846" t="s">
        <v>515</v>
      </c>
      <c r="BB779" s="314"/>
    </row>
    <row r="780" ht="15.75" customHeight="1">
      <c r="A780" s="585">
        <v>779.0</v>
      </c>
      <c r="B780" s="903" t="str">
        <f>Settings!$A$7</f>
        <v>CHAMPS</v>
      </c>
      <c r="C780" s="833" t="s">
        <v>146</v>
      </c>
      <c r="D780" s="13" t="str">
        <f>'Entry Sheet'!H100</f>
        <v>C. DICKER</v>
      </c>
      <c r="E780" s="13">
        <f>'Entry Sheet'!I100</f>
        <v>5</v>
      </c>
      <c r="F780" s="846" t="s">
        <v>515</v>
      </c>
      <c r="BB780" s="314"/>
    </row>
    <row r="781" ht="15.75" customHeight="1">
      <c r="A781" s="585">
        <v>780.0</v>
      </c>
      <c r="B781" s="903" t="str">
        <f>Settings!$A$7</f>
        <v>CHAMPS</v>
      </c>
      <c r="C781" s="842" t="s">
        <v>162</v>
      </c>
      <c r="D781" s="13" t="str">
        <f>'Entry Sheet'!H101</f>
        <v>CHI HC</v>
      </c>
      <c r="E781" s="13">
        <f>'Entry Sheet'!I101</f>
        <v>9.5</v>
      </c>
      <c r="F781" s="846" t="s">
        <v>515</v>
      </c>
      <c r="BB781" s="314"/>
    </row>
    <row r="782" ht="15.75" customHeight="1">
      <c r="A782" s="585">
        <v>781.0</v>
      </c>
      <c r="B782" s="903" t="str">
        <f>Settings!$A$7</f>
        <v>CHAMPS</v>
      </c>
      <c r="C782" s="587" t="s">
        <v>100</v>
      </c>
      <c r="D782" s="13" t="str">
        <f>'Entry Sheet'!J89</f>
        <v>J. HERBERT</v>
      </c>
      <c r="E782" s="13">
        <f>'Entry Sheet'!K89</f>
        <v>19.24</v>
      </c>
      <c r="F782" s="589" t="s">
        <v>516</v>
      </c>
      <c r="BB782" s="314"/>
    </row>
    <row r="783" ht="15.75" customHeight="1">
      <c r="A783" s="585">
        <v>782.0</v>
      </c>
      <c r="B783" s="903" t="str">
        <f>Settings!$A$7</f>
        <v>CHAMPS</v>
      </c>
      <c r="C783" s="596" t="s">
        <v>106</v>
      </c>
      <c r="D783" s="13" t="str">
        <f>'Entry Sheet'!J90</f>
        <v>J. GIBBS</v>
      </c>
      <c r="E783" s="13">
        <f>'Entry Sheet'!K90</f>
        <v>17.9</v>
      </c>
      <c r="F783" s="589" t="s">
        <v>516</v>
      </c>
      <c r="BB783" s="314"/>
    </row>
    <row r="784" ht="15.75" customHeight="1">
      <c r="A784" s="585">
        <v>783.0</v>
      </c>
      <c r="B784" s="903" t="str">
        <f>Settings!$A$7</f>
        <v>CHAMPS</v>
      </c>
      <c r="C784" s="596" t="s">
        <v>106</v>
      </c>
      <c r="D784" s="13" t="str">
        <f>'Entry Sheet'!J91</f>
        <v>K. WILLIAMS</v>
      </c>
      <c r="E784" s="13">
        <f>'Entry Sheet'!K91</f>
        <v>32.5</v>
      </c>
      <c r="F784" s="589" t="s">
        <v>516</v>
      </c>
      <c r="BB784" s="314"/>
    </row>
    <row r="785" ht="15.75" customHeight="1">
      <c r="A785" s="585">
        <v>784.0</v>
      </c>
      <c r="B785" s="903" t="str">
        <f>Settings!$A$7</f>
        <v>CHAMPS</v>
      </c>
      <c r="C785" s="596" t="s">
        <v>106</v>
      </c>
      <c r="D785" s="13" t="str">
        <f>'Entry Sheet'!J92</f>
        <v/>
      </c>
      <c r="E785" s="13" t="str">
        <f>'Entry Sheet'!K92</f>
        <v/>
      </c>
      <c r="F785" s="589" t="s">
        <v>516</v>
      </c>
      <c r="BB785" s="314"/>
    </row>
    <row r="786" ht="15.75" customHeight="1">
      <c r="A786" s="585">
        <v>785.0</v>
      </c>
      <c r="B786" s="903" t="str">
        <f>Settings!$A$7</f>
        <v>CHAMPS</v>
      </c>
      <c r="C786" s="712" t="s">
        <v>117</v>
      </c>
      <c r="D786" s="13" t="str">
        <f>'Entry Sheet'!J93</f>
        <v>D. ADAMS</v>
      </c>
      <c r="E786" s="13">
        <f>'Entry Sheet'!K93</f>
        <v>13.8</v>
      </c>
      <c r="F786" s="589" t="s">
        <v>516</v>
      </c>
      <c r="BB786" s="314"/>
    </row>
    <row r="787" ht="15.75" customHeight="1">
      <c r="A787" s="585">
        <v>786.0</v>
      </c>
      <c r="B787" s="903" t="str">
        <f>Settings!$A$7</f>
        <v>CHAMPS</v>
      </c>
      <c r="C787" s="712" t="s">
        <v>117</v>
      </c>
      <c r="D787" s="13" t="str">
        <f>'Entry Sheet'!J94</f>
        <v>M. HARRISON JR</v>
      </c>
      <c r="E787" s="13">
        <f>'Entry Sheet'!K94</f>
        <v>13.8</v>
      </c>
      <c r="F787" s="589" t="s">
        <v>516</v>
      </c>
      <c r="BB787" s="314"/>
    </row>
    <row r="788" ht="15.75" customHeight="1">
      <c r="A788" s="585">
        <v>787.0</v>
      </c>
      <c r="B788" s="903" t="str">
        <f>Settings!$A$7</f>
        <v>CHAMPS</v>
      </c>
      <c r="C788" s="712" t="s">
        <v>117</v>
      </c>
      <c r="D788" s="13" t="str">
        <f>'Entry Sheet'!J95</f>
        <v>G. WILSON</v>
      </c>
      <c r="E788" s="13">
        <f>'Entry Sheet'!K95</f>
        <v>19.1</v>
      </c>
      <c r="F788" s="589" t="s">
        <v>516</v>
      </c>
      <c r="BB788" s="314"/>
    </row>
    <row r="789" ht="15.75" customHeight="1">
      <c r="A789" s="585">
        <v>788.0</v>
      </c>
      <c r="B789" s="903" t="str">
        <f>Settings!$A$7</f>
        <v>CHAMPS</v>
      </c>
      <c r="C789" s="712" t="s">
        <v>117</v>
      </c>
      <c r="D789" s="13" t="str">
        <f>'Entry Sheet'!J96</f>
        <v/>
      </c>
      <c r="E789" s="13" t="str">
        <f>'Entry Sheet'!K96</f>
        <v/>
      </c>
      <c r="F789" s="589" t="s">
        <v>516</v>
      </c>
      <c r="BB789" s="314"/>
    </row>
    <row r="790" ht="15.75" customHeight="1">
      <c r="A790" s="585">
        <v>789.0</v>
      </c>
      <c r="B790" s="903" t="str">
        <f>Settings!$A$7</f>
        <v>CHAMPS</v>
      </c>
      <c r="C790" s="764" t="s">
        <v>132</v>
      </c>
      <c r="D790" s="13" t="str">
        <f>'Entry Sheet'!J97</f>
        <v>J. JOHNSON</v>
      </c>
      <c r="E790" s="13">
        <f>'Entry Sheet'!K97</f>
        <v>3.7</v>
      </c>
      <c r="F790" s="589" t="s">
        <v>516</v>
      </c>
      <c r="BB790" s="314"/>
    </row>
    <row r="791" ht="15.75" customHeight="1">
      <c r="A791" s="585">
        <v>790.0</v>
      </c>
      <c r="B791" s="903" t="str">
        <f>Settings!$A$7</f>
        <v>CHAMPS</v>
      </c>
      <c r="C791" s="795" t="s">
        <v>136</v>
      </c>
      <c r="D791" s="13" t="str">
        <f>'Entry Sheet'!J98</f>
        <v>D. MONTGOMERY</v>
      </c>
      <c r="E791" s="13">
        <f>'Entry Sheet'!K98</f>
        <v>22.22</v>
      </c>
      <c r="F791" s="589" t="s">
        <v>516</v>
      </c>
      <c r="BB791" s="314"/>
    </row>
    <row r="792" ht="15.75" customHeight="1">
      <c r="A792" s="585">
        <v>791.0</v>
      </c>
      <c r="B792" s="903" t="str">
        <f>Settings!$A$7</f>
        <v>CHAMPS</v>
      </c>
      <c r="C792" s="818" t="s">
        <v>139</v>
      </c>
      <c r="D792" s="13" t="str">
        <f>'Entry Sheet'!J99</f>
        <v>MIN D/ST</v>
      </c>
      <c r="E792" s="13">
        <f>'Entry Sheet'!K99</f>
        <v>11.3</v>
      </c>
      <c r="F792" s="589" t="s">
        <v>516</v>
      </c>
      <c r="BB792" s="314"/>
    </row>
    <row r="793" ht="15.75" customHeight="1">
      <c r="A793" s="585">
        <v>792.0</v>
      </c>
      <c r="B793" s="903" t="str">
        <f>Settings!$A$7</f>
        <v>CHAMPS</v>
      </c>
      <c r="C793" s="833" t="s">
        <v>146</v>
      </c>
      <c r="D793" s="13" t="str">
        <f>'Entry Sheet'!J100</f>
        <v>C. DICKER</v>
      </c>
      <c r="E793" s="13">
        <f>'Entry Sheet'!K100</f>
        <v>7</v>
      </c>
      <c r="F793" s="589" t="s">
        <v>516</v>
      </c>
      <c r="BB793" s="314"/>
    </row>
    <row r="794" ht="15.75" customHeight="1">
      <c r="A794" s="585">
        <v>793.0</v>
      </c>
      <c r="B794" s="903" t="str">
        <f>Settings!$A$7</f>
        <v>CHAMPS</v>
      </c>
      <c r="C794" s="842" t="s">
        <v>162</v>
      </c>
      <c r="D794" s="13" t="str">
        <f>'Entry Sheet'!J101</f>
        <v>ARI HC</v>
      </c>
      <c r="E794" s="13">
        <f>'Entry Sheet'!K101</f>
        <v>4.3</v>
      </c>
      <c r="F794" s="589" t="s">
        <v>516</v>
      </c>
      <c r="BB794" s="314"/>
    </row>
    <row r="795" ht="15.75" customHeight="1">
      <c r="A795" s="585">
        <v>794.0</v>
      </c>
      <c r="B795" s="903" t="str">
        <f>Settings!$A$7</f>
        <v>CHAMPS</v>
      </c>
      <c r="C795" s="587" t="s">
        <v>100</v>
      </c>
      <c r="D795" s="13" t="str">
        <f>'Entry Sheet'!L89</f>
        <v>J. DANIELS</v>
      </c>
      <c r="E795" s="13">
        <f>'Entry Sheet'!M89</f>
        <v>30.24</v>
      </c>
      <c r="F795" s="846" t="s">
        <v>517</v>
      </c>
      <c r="BB795" s="314"/>
    </row>
    <row r="796" ht="15.75" customHeight="1">
      <c r="A796" s="585">
        <v>795.0</v>
      </c>
      <c r="B796" s="903" t="str">
        <f>Settings!$A$7</f>
        <v>CHAMPS</v>
      </c>
      <c r="C796" s="596" t="s">
        <v>106</v>
      </c>
      <c r="D796" s="13" t="str">
        <f>'Entry Sheet'!L90</f>
        <v>J. JACOBS</v>
      </c>
      <c r="E796" s="13">
        <f>'Entry Sheet'!M90</f>
        <v>33.8</v>
      </c>
      <c r="F796" s="846" t="s">
        <v>517</v>
      </c>
      <c r="BB796" s="314"/>
    </row>
    <row r="797" ht="15.75" customHeight="1">
      <c r="A797" s="585">
        <v>796.0</v>
      </c>
      <c r="B797" s="903" t="str">
        <f>Settings!$A$7</f>
        <v>CHAMPS</v>
      </c>
      <c r="C797" s="596" t="s">
        <v>106</v>
      </c>
      <c r="D797" s="13" t="str">
        <f>'Entry Sheet'!L91</f>
        <v>K. WILLIAMS</v>
      </c>
      <c r="E797" s="13">
        <f>'Entry Sheet'!M91</f>
        <v>18</v>
      </c>
      <c r="F797" s="846" t="s">
        <v>517</v>
      </c>
      <c r="BB797" s="314"/>
    </row>
    <row r="798" ht="15.75" customHeight="1">
      <c r="A798" s="585">
        <v>797.0</v>
      </c>
      <c r="B798" s="903" t="str">
        <f>Settings!$A$7</f>
        <v>CHAMPS</v>
      </c>
      <c r="C798" s="596" t="s">
        <v>106</v>
      </c>
      <c r="D798" s="13" t="str">
        <f>'Entry Sheet'!L92</f>
        <v/>
      </c>
      <c r="E798" s="13" t="str">
        <f>'Entry Sheet'!M92</f>
        <v/>
      </c>
      <c r="F798" s="846" t="s">
        <v>517</v>
      </c>
      <c r="BB798" s="314"/>
    </row>
    <row r="799" ht="15.75" customHeight="1">
      <c r="A799" s="585">
        <v>798.0</v>
      </c>
      <c r="B799" s="903" t="str">
        <f>Settings!$A$7</f>
        <v>CHAMPS</v>
      </c>
      <c r="C799" s="712" t="s">
        <v>117</v>
      </c>
      <c r="D799" s="13" t="str">
        <f>'Entry Sheet'!L93</f>
        <v>D. ADAMS</v>
      </c>
      <c r="E799" s="13">
        <f>'Entry Sheet'!M93</f>
        <v>7.9</v>
      </c>
      <c r="F799" s="846" t="s">
        <v>517</v>
      </c>
      <c r="BB799" s="314"/>
    </row>
    <row r="800" ht="15.75" customHeight="1">
      <c r="A800" s="585">
        <v>799.0</v>
      </c>
      <c r="B800" s="903" t="str">
        <f>Settings!$A$7</f>
        <v>CHAMPS</v>
      </c>
      <c r="C800" s="712" t="s">
        <v>117</v>
      </c>
      <c r="D800" s="13" t="str">
        <f>'Entry Sheet'!L94</f>
        <v>M. HARRISON JR.</v>
      </c>
      <c r="E800" s="13">
        <f>'Entry Sheet'!M94</f>
        <v>5.2</v>
      </c>
      <c r="F800" s="846" t="s">
        <v>517</v>
      </c>
      <c r="BB800" s="314"/>
    </row>
    <row r="801" ht="15.75" customHeight="1">
      <c r="A801" s="585">
        <v>800.0</v>
      </c>
      <c r="B801" s="903" t="str">
        <f>Settings!$A$7</f>
        <v>CHAMPS</v>
      </c>
      <c r="C801" s="712" t="s">
        <v>117</v>
      </c>
      <c r="D801" s="13" t="str">
        <f>'Entry Sheet'!L95</f>
        <v>M. PITTMAN JR</v>
      </c>
      <c r="E801" s="13">
        <f>'Entry Sheet'!M95</f>
        <v>4</v>
      </c>
      <c r="F801" s="846" t="s">
        <v>517</v>
      </c>
      <c r="BB801" s="314"/>
    </row>
    <row r="802" ht="15.75" customHeight="1">
      <c r="A802" s="585">
        <v>801.0</v>
      </c>
      <c r="B802" s="903" t="str">
        <f>Settings!$A$7</f>
        <v>CHAMPS</v>
      </c>
      <c r="C802" s="712" t="s">
        <v>117</v>
      </c>
      <c r="D802" s="13" t="str">
        <f>'Entry Sheet'!L96</f>
        <v/>
      </c>
      <c r="E802" s="13" t="str">
        <f>'Entry Sheet'!M96</f>
        <v/>
      </c>
      <c r="F802" s="846" t="s">
        <v>517</v>
      </c>
      <c r="BB802" s="314"/>
    </row>
    <row r="803" ht="15.75" customHeight="1">
      <c r="A803" s="585">
        <v>802.0</v>
      </c>
      <c r="B803" s="903" t="str">
        <f>Settings!$A$7</f>
        <v>CHAMPS</v>
      </c>
      <c r="C803" s="764" t="s">
        <v>132</v>
      </c>
      <c r="D803" s="13" t="str">
        <f>'Entry Sheet'!L97</f>
        <v>D. NJOKU</v>
      </c>
      <c r="E803" s="13">
        <f>'Entry Sheet'!M97</f>
        <v>5.8</v>
      </c>
      <c r="F803" s="846" t="s">
        <v>517</v>
      </c>
      <c r="BB803" s="314"/>
    </row>
    <row r="804" ht="15.75" customHeight="1">
      <c r="A804" s="585">
        <v>803.0</v>
      </c>
      <c r="B804" s="903" t="str">
        <f>Settings!$A$7</f>
        <v>CHAMPS</v>
      </c>
      <c r="C804" s="795" t="s">
        <v>136</v>
      </c>
      <c r="D804" s="13" t="str">
        <f>'Entry Sheet'!L98</f>
        <v>G. WILSON</v>
      </c>
      <c r="E804" s="13">
        <f>'Entry Sheet'!M98</f>
        <v>4.3</v>
      </c>
      <c r="F804" s="846" t="s">
        <v>517</v>
      </c>
      <c r="BB804" s="314"/>
    </row>
    <row r="805" ht="15.75" customHeight="1">
      <c r="A805" s="585">
        <v>804.0</v>
      </c>
      <c r="B805" s="903" t="str">
        <f>Settings!$A$7</f>
        <v>CHAMPS</v>
      </c>
      <c r="C805" s="818" t="s">
        <v>139</v>
      </c>
      <c r="D805" s="13" t="str">
        <f>'Entry Sheet'!L99</f>
        <v>TEN D/ST</v>
      </c>
      <c r="E805" s="13">
        <f>'Entry Sheet'!M99</f>
        <v>12.3</v>
      </c>
      <c r="F805" s="846" t="s">
        <v>517</v>
      </c>
      <c r="BB805" s="314"/>
    </row>
    <row r="806" ht="15.75" customHeight="1">
      <c r="A806" s="585">
        <v>805.0</v>
      </c>
      <c r="B806" s="903" t="str">
        <f>Settings!$A$7</f>
        <v>CHAMPS</v>
      </c>
      <c r="C806" s="833" t="s">
        <v>146</v>
      </c>
      <c r="D806" s="13" t="str">
        <f>'Entry Sheet'!L100</f>
        <v>C. DICKER</v>
      </c>
      <c r="E806" s="13">
        <f>'Entry Sheet'!M100</f>
        <v>17</v>
      </c>
      <c r="F806" s="846" t="s">
        <v>517</v>
      </c>
      <c r="BB806" s="314"/>
    </row>
    <row r="807" ht="15.75" customHeight="1">
      <c r="A807" s="585">
        <v>806.0</v>
      </c>
      <c r="B807" s="903" t="str">
        <f>Settings!$A$7</f>
        <v>CHAMPS</v>
      </c>
      <c r="C807" s="842" t="s">
        <v>162</v>
      </c>
      <c r="D807" s="13" t="str">
        <f>'Entry Sheet'!L101</f>
        <v>PIT HC</v>
      </c>
      <c r="E807" s="13">
        <f>'Entry Sheet'!M101</f>
        <v>10.9</v>
      </c>
      <c r="F807" s="846" t="s">
        <v>517</v>
      </c>
      <c r="BB807" s="314"/>
    </row>
    <row r="808" ht="15.75" customHeight="1">
      <c r="A808" s="585">
        <v>807.0</v>
      </c>
      <c r="B808" s="903" t="str">
        <f>Settings!$A$7</f>
        <v>CHAMPS</v>
      </c>
      <c r="C808" s="587" t="s">
        <v>100</v>
      </c>
      <c r="D808" s="13" t="str">
        <f>'Entry Sheet'!N89</f>
        <v>J. DANIELS</v>
      </c>
      <c r="E808" s="13">
        <f>'Entry Sheet'!O89</f>
        <v>20.94</v>
      </c>
      <c r="F808" s="589" t="s">
        <v>518</v>
      </c>
      <c r="BB808" s="314"/>
    </row>
    <row r="809" ht="15.75" customHeight="1">
      <c r="A809" s="585">
        <v>808.0</v>
      </c>
      <c r="B809" s="903" t="str">
        <f>Settings!$A$7</f>
        <v>CHAMPS</v>
      </c>
      <c r="C809" s="596" t="s">
        <v>106</v>
      </c>
      <c r="D809" s="13" t="str">
        <f>'Entry Sheet'!N90</f>
        <v>J. JACOBS</v>
      </c>
      <c r="E809" s="13">
        <f>'Entry Sheet'!O90</f>
        <v>20.1</v>
      </c>
      <c r="F809" s="589" t="s">
        <v>518</v>
      </c>
      <c r="BB809" s="314"/>
    </row>
    <row r="810" ht="15.75" customHeight="1">
      <c r="A810" s="585">
        <v>809.0</v>
      </c>
      <c r="B810" s="903" t="str">
        <f>Settings!$A$7</f>
        <v>CHAMPS</v>
      </c>
      <c r="C810" s="596" t="s">
        <v>106</v>
      </c>
      <c r="D810" s="13" t="str">
        <f>'Entry Sheet'!N91</f>
        <v>K. WILLIAMS</v>
      </c>
      <c r="E810" s="13">
        <f>'Entry Sheet'!O91</f>
        <v>9.7</v>
      </c>
      <c r="F810" s="589" t="s">
        <v>518</v>
      </c>
      <c r="BB810" s="314"/>
    </row>
    <row r="811" ht="15.75" customHeight="1">
      <c r="A811" s="585">
        <v>810.0</v>
      </c>
      <c r="B811" s="903" t="str">
        <f>Settings!$A$7</f>
        <v>CHAMPS</v>
      </c>
      <c r="C811" s="596" t="s">
        <v>106</v>
      </c>
      <c r="D811" s="13" t="str">
        <f>'Entry Sheet'!N92</f>
        <v/>
      </c>
      <c r="E811" s="13" t="str">
        <f>'Entry Sheet'!O92</f>
        <v/>
      </c>
      <c r="F811" s="589" t="s">
        <v>518</v>
      </c>
      <c r="BB811" s="314"/>
    </row>
    <row r="812" ht="15.75" customHeight="1">
      <c r="A812" s="585">
        <v>811.0</v>
      </c>
      <c r="B812" s="903" t="str">
        <f>Settings!$A$7</f>
        <v>CHAMPS</v>
      </c>
      <c r="C812" s="712" t="s">
        <v>117</v>
      </c>
      <c r="D812" s="13" t="str">
        <f>'Entry Sheet'!N93</f>
        <v>D. ADAMS</v>
      </c>
      <c r="E812" s="13">
        <f>'Entry Sheet'!O93</f>
        <v>26.5</v>
      </c>
      <c r="F812" s="589" t="s">
        <v>518</v>
      </c>
      <c r="BB812" s="314"/>
    </row>
    <row r="813" ht="15.75" customHeight="1">
      <c r="A813" s="585">
        <v>812.0</v>
      </c>
      <c r="B813" s="903" t="str">
        <f>Settings!$A$7</f>
        <v>CHAMPS</v>
      </c>
      <c r="C813" s="712" t="s">
        <v>117</v>
      </c>
      <c r="D813" s="13" t="str">
        <f>'Entry Sheet'!N94</f>
        <v>M. HARRISON JR.</v>
      </c>
      <c r="E813" s="13">
        <f>'Entry Sheet'!O94</f>
        <v>7.8</v>
      </c>
      <c r="F813" s="589" t="s">
        <v>518</v>
      </c>
      <c r="BB813" s="314"/>
    </row>
    <row r="814" ht="15.75" customHeight="1">
      <c r="A814" s="585">
        <v>813.0</v>
      </c>
      <c r="B814" s="903" t="str">
        <f>Settings!$A$7</f>
        <v>CHAMPS</v>
      </c>
      <c r="C814" s="712" t="s">
        <v>117</v>
      </c>
      <c r="D814" s="13" t="str">
        <f>'Entry Sheet'!N95</f>
        <v>M. PITTMAN JR.</v>
      </c>
      <c r="E814" s="13">
        <f>'Entry Sheet'!O95</f>
        <v>20.8</v>
      </c>
      <c r="F814" s="589" t="s">
        <v>518</v>
      </c>
      <c r="BB814" s="314"/>
    </row>
    <row r="815" ht="15.75" customHeight="1">
      <c r="A815" s="585">
        <v>814.0</v>
      </c>
      <c r="B815" s="903" t="str">
        <f>Settings!$A$7</f>
        <v>CHAMPS</v>
      </c>
      <c r="C815" s="712" t="s">
        <v>117</v>
      </c>
      <c r="D815" s="13" t="str">
        <f>'Entry Sheet'!N96</f>
        <v/>
      </c>
      <c r="E815" s="13" t="str">
        <f>'Entry Sheet'!O96</f>
        <v/>
      </c>
      <c r="F815" s="589" t="s">
        <v>518</v>
      </c>
      <c r="BB815" s="314"/>
    </row>
    <row r="816" ht="15.75" customHeight="1">
      <c r="A816" s="585">
        <v>815.0</v>
      </c>
      <c r="B816" s="903" t="str">
        <f>Settings!$A$7</f>
        <v>CHAMPS</v>
      </c>
      <c r="C816" s="764" t="s">
        <v>132</v>
      </c>
      <c r="D816" s="13" t="str">
        <f>'Entry Sheet'!N97</f>
        <v>J. JOHNSON</v>
      </c>
      <c r="E816" s="13">
        <f>'Entry Sheet'!O97</f>
        <v>12.9</v>
      </c>
      <c r="F816" s="589" t="s">
        <v>518</v>
      </c>
      <c r="BB816" s="314"/>
    </row>
    <row r="817" ht="15.75" customHeight="1">
      <c r="A817" s="585">
        <v>816.0</v>
      </c>
      <c r="B817" s="903" t="str">
        <f>Settings!$A$7</f>
        <v>CHAMPS</v>
      </c>
      <c r="C817" s="795" t="s">
        <v>136</v>
      </c>
      <c r="D817" s="13" t="str">
        <f>'Entry Sheet'!N98</f>
        <v>D. MONTGOMERY</v>
      </c>
      <c r="E817" s="13">
        <f>'Entry Sheet'!O98</f>
        <v>7.2</v>
      </c>
      <c r="F817" s="589" t="s">
        <v>518</v>
      </c>
      <c r="BB817" s="314"/>
    </row>
    <row r="818" ht="15.75" customHeight="1">
      <c r="A818" s="585">
        <v>817.0</v>
      </c>
      <c r="B818" s="903" t="str">
        <f>Settings!$A$7</f>
        <v>CHAMPS</v>
      </c>
      <c r="C818" s="818" t="s">
        <v>139</v>
      </c>
      <c r="D818" s="13" t="str">
        <f>'Entry Sheet'!N99</f>
        <v>CAR D/ST</v>
      </c>
      <c r="E818" s="13">
        <f>'Entry Sheet'!O99</f>
        <v>29.05</v>
      </c>
      <c r="F818" s="589" t="s">
        <v>518</v>
      </c>
      <c r="BB818" s="314"/>
    </row>
    <row r="819" ht="15.75" customHeight="1">
      <c r="A819" s="585">
        <v>818.0</v>
      </c>
      <c r="B819" s="903" t="str">
        <f>Settings!$A$7</f>
        <v>CHAMPS</v>
      </c>
      <c r="C819" s="833" t="s">
        <v>146</v>
      </c>
      <c r="D819" s="13" t="str">
        <f>'Entry Sheet'!N100</f>
        <v>C. DICKER</v>
      </c>
      <c r="E819" s="13">
        <f>'Entry Sheet'!O100</f>
        <v>7</v>
      </c>
      <c r="F819" s="589" t="s">
        <v>518</v>
      </c>
      <c r="BB819" s="314"/>
    </row>
    <row r="820" ht="15.75" customHeight="1">
      <c r="A820" s="585">
        <v>819.0</v>
      </c>
      <c r="B820" s="903" t="str">
        <f>Settings!$A$7</f>
        <v>CHAMPS</v>
      </c>
      <c r="C820" s="842" t="s">
        <v>162</v>
      </c>
      <c r="D820" s="13" t="str">
        <f>'Entry Sheet'!N101</f>
        <v>PIT HC</v>
      </c>
      <c r="E820" s="13">
        <f>'Entry Sheet'!O101</f>
        <v>7.3</v>
      </c>
      <c r="F820" s="589" t="s">
        <v>518</v>
      </c>
      <c r="BB820" s="314"/>
    </row>
    <row r="821" ht="15.75" customHeight="1">
      <c r="A821" s="585">
        <v>820.0</v>
      </c>
      <c r="B821" s="903" t="str">
        <f>Settings!$A$7</f>
        <v>CHAMPS</v>
      </c>
      <c r="C821" s="587" t="s">
        <v>100</v>
      </c>
      <c r="D821" s="13" t="str">
        <f>'Entry Sheet'!P89</f>
        <v>J. HERBERT</v>
      </c>
      <c r="E821" s="13">
        <f>'Entry Sheet'!Q89</f>
        <v>33.38</v>
      </c>
      <c r="F821" s="846" t="s">
        <v>519</v>
      </c>
      <c r="BB821" s="314"/>
    </row>
    <row r="822" ht="15.75" customHeight="1">
      <c r="A822" s="585">
        <v>821.0</v>
      </c>
      <c r="B822" s="903" t="str">
        <f>Settings!$A$7</f>
        <v>CHAMPS</v>
      </c>
      <c r="C822" s="596" t="s">
        <v>106</v>
      </c>
      <c r="D822" s="13" t="str">
        <f>'Entry Sheet'!P90</f>
        <v>J. JACOBS</v>
      </c>
      <c r="E822" s="13">
        <f>'Entry Sheet'!Q90</f>
        <v>14.8</v>
      </c>
      <c r="F822" s="846" t="s">
        <v>519</v>
      </c>
      <c r="BB822" s="314"/>
    </row>
    <row r="823" ht="15.75" customHeight="1">
      <c r="A823" s="585">
        <v>822.0</v>
      </c>
      <c r="B823" s="903" t="str">
        <f>Settings!$A$7</f>
        <v>CHAMPS</v>
      </c>
      <c r="C823" s="596" t="s">
        <v>106</v>
      </c>
      <c r="D823" s="13" t="str">
        <f>'Entry Sheet'!P91</f>
        <v>C. BROWN</v>
      </c>
      <c r="E823" s="13">
        <f>'Entry Sheet'!Q91</f>
        <v>26.7</v>
      </c>
      <c r="F823" s="846" t="s">
        <v>519</v>
      </c>
      <c r="BB823" s="314"/>
    </row>
    <row r="824" ht="15.75" customHeight="1">
      <c r="A824" s="585">
        <v>823.0</v>
      </c>
      <c r="B824" s="903" t="str">
        <f>Settings!$A$7</f>
        <v>CHAMPS</v>
      </c>
      <c r="C824" s="596" t="s">
        <v>106</v>
      </c>
      <c r="D824" s="13" t="str">
        <f>'Entry Sheet'!P92</f>
        <v/>
      </c>
      <c r="E824" s="13" t="str">
        <f>'Entry Sheet'!Q92</f>
        <v/>
      </c>
      <c r="F824" s="846" t="s">
        <v>519</v>
      </c>
      <c r="BB824" s="314"/>
    </row>
    <row r="825" ht="15.75" customHeight="1">
      <c r="A825" s="585">
        <v>824.0</v>
      </c>
      <c r="B825" s="903" t="str">
        <f>Settings!$A$7</f>
        <v>CHAMPS</v>
      </c>
      <c r="C825" s="712" t="s">
        <v>117</v>
      </c>
      <c r="D825" s="13" t="str">
        <f>'Entry Sheet'!P93</f>
        <v>M. PITTMAN JR.</v>
      </c>
      <c r="E825" s="13">
        <f>'Entry Sheet'!Q93</f>
        <v>23.5</v>
      </c>
      <c r="F825" s="846" t="s">
        <v>519</v>
      </c>
      <c r="BB825" s="314"/>
    </row>
    <row r="826" ht="15.75" customHeight="1">
      <c r="A826" s="585">
        <v>825.0</v>
      </c>
      <c r="B826" s="903" t="str">
        <f>Settings!$A$7</f>
        <v>CHAMPS</v>
      </c>
      <c r="C826" s="712" t="s">
        <v>117</v>
      </c>
      <c r="D826" s="13" t="str">
        <f>'Entry Sheet'!P94</f>
        <v>T. MCLAURIN</v>
      </c>
      <c r="E826" s="13">
        <f>'Entry Sheet'!Q94</f>
        <v>14.4</v>
      </c>
      <c r="F826" s="846" t="s">
        <v>519</v>
      </c>
      <c r="BB826" s="314"/>
    </row>
    <row r="827" ht="15.75" customHeight="1">
      <c r="A827" s="585">
        <v>826.0</v>
      </c>
      <c r="B827" s="903" t="str">
        <f>Settings!$A$7</f>
        <v>CHAMPS</v>
      </c>
      <c r="C827" s="712" t="s">
        <v>117</v>
      </c>
      <c r="D827" s="13" t="str">
        <f>'Entry Sheet'!P95</f>
        <v>J. NOEL</v>
      </c>
      <c r="E827" s="13">
        <f>'Entry Sheet'!Q95</f>
        <v>11.85</v>
      </c>
      <c r="F827" s="846" t="s">
        <v>519</v>
      </c>
      <c r="BB827" s="314"/>
    </row>
    <row r="828" ht="15.75" customHeight="1">
      <c r="A828" s="585">
        <v>827.0</v>
      </c>
      <c r="B828" s="903" t="str">
        <f>Settings!$A$7</f>
        <v>CHAMPS</v>
      </c>
      <c r="C828" s="712" t="s">
        <v>117</v>
      </c>
      <c r="D828" s="13" t="str">
        <f>'Entry Sheet'!P96</f>
        <v/>
      </c>
      <c r="E828" s="13" t="str">
        <f>'Entry Sheet'!Q96</f>
        <v/>
      </c>
      <c r="F828" s="846" t="s">
        <v>519</v>
      </c>
      <c r="BB828" s="314"/>
    </row>
    <row r="829" ht="15.75" customHeight="1">
      <c r="A829" s="585">
        <v>828.0</v>
      </c>
      <c r="B829" s="903" t="str">
        <f>Settings!$A$7</f>
        <v>CHAMPS</v>
      </c>
      <c r="C829" s="764" t="s">
        <v>132</v>
      </c>
      <c r="D829" s="13" t="str">
        <f>'Entry Sheet'!P97</f>
        <v>D. NJOKU</v>
      </c>
      <c r="E829" s="13">
        <f>'Entry Sheet'!Q97</f>
        <v>13.7</v>
      </c>
      <c r="F829" s="846" t="s">
        <v>519</v>
      </c>
      <c r="BB829" s="314"/>
    </row>
    <row r="830" ht="15.75" customHeight="1">
      <c r="A830" s="585">
        <v>829.0</v>
      </c>
      <c r="B830" s="903" t="str">
        <f>Settings!$A$7</f>
        <v>CHAMPS</v>
      </c>
      <c r="C830" s="795" t="s">
        <v>136</v>
      </c>
      <c r="D830" s="13" t="str">
        <f>'Entry Sheet'!P98</f>
        <v>J. JOHNSON</v>
      </c>
      <c r="E830" s="13">
        <f>'Entry Sheet'!Q98</f>
        <v>10.3</v>
      </c>
      <c r="F830" s="846" t="s">
        <v>519</v>
      </c>
      <c r="BB830" s="314"/>
    </row>
    <row r="831" ht="15.75" customHeight="1">
      <c r="A831" s="585">
        <v>830.0</v>
      </c>
      <c r="B831" s="903" t="str">
        <f>Settings!$A$7</f>
        <v>CHAMPS</v>
      </c>
      <c r="C831" s="818" t="s">
        <v>139</v>
      </c>
      <c r="D831" s="13" t="str">
        <f>'Entry Sheet'!P99</f>
        <v>NYJ D/ST</v>
      </c>
      <c r="E831" s="13">
        <f>'Entry Sheet'!Q99</f>
        <v>5.54</v>
      </c>
      <c r="F831" s="846" t="s">
        <v>519</v>
      </c>
      <c r="BB831" s="314"/>
    </row>
    <row r="832" ht="15.75" customHeight="1">
      <c r="A832" s="585">
        <v>831.0</v>
      </c>
      <c r="B832" s="903" t="str">
        <f>Settings!$A$7</f>
        <v>CHAMPS</v>
      </c>
      <c r="C832" s="833" t="s">
        <v>146</v>
      </c>
      <c r="D832" s="13" t="str">
        <f>'Entry Sheet'!P100</f>
        <v>C. SANTOS</v>
      </c>
      <c r="E832" s="13">
        <f>'Entry Sheet'!Q100</f>
        <v>10</v>
      </c>
      <c r="F832" s="846" t="s">
        <v>519</v>
      </c>
      <c r="BB832" s="314"/>
    </row>
    <row r="833" ht="15.75" customHeight="1">
      <c r="A833" s="585">
        <v>832.0</v>
      </c>
      <c r="B833" s="903" t="str">
        <f>Settings!$A$7</f>
        <v>CHAMPS</v>
      </c>
      <c r="C833" s="842" t="s">
        <v>162</v>
      </c>
      <c r="D833" s="13" t="str">
        <f>'Entry Sheet'!P101</f>
        <v>HOU HC</v>
      </c>
      <c r="E833" s="13">
        <f>'Entry Sheet'!Q101</f>
        <v>11.8</v>
      </c>
      <c r="F833" s="846" t="s">
        <v>519</v>
      </c>
      <c r="BB833" s="314"/>
    </row>
    <row r="834" ht="15.75" customHeight="1">
      <c r="A834" s="585">
        <v>833.0</v>
      </c>
      <c r="B834" s="903" t="str">
        <f>Settings!$A$7</f>
        <v>CHAMPS</v>
      </c>
      <c r="C834" s="587" t="s">
        <v>100</v>
      </c>
      <c r="D834" s="13" t="str">
        <f>'Entry Sheet'!R89</f>
        <v>J. HERBERT</v>
      </c>
      <c r="E834" s="13">
        <f>'Entry Sheet'!S89</f>
        <v>33.6</v>
      </c>
      <c r="F834" s="589" t="s">
        <v>520</v>
      </c>
      <c r="BB834" s="314"/>
    </row>
    <row r="835" ht="15.75" customHeight="1">
      <c r="A835" s="585">
        <v>834.0</v>
      </c>
      <c r="B835" s="903" t="str">
        <f>Settings!$A$7</f>
        <v>CHAMPS</v>
      </c>
      <c r="C835" s="596" t="s">
        <v>106</v>
      </c>
      <c r="D835" s="13" t="str">
        <f>'Entry Sheet'!R90</f>
        <v>K. WILLIAMS</v>
      </c>
      <c r="E835" s="13">
        <f>'Entry Sheet'!S90</f>
        <v>20.9</v>
      </c>
      <c r="F835" s="589" t="s">
        <v>520</v>
      </c>
      <c r="BB835" s="314"/>
    </row>
    <row r="836" ht="15.75" customHeight="1">
      <c r="A836" s="585">
        <v>835.0</v>
      </c>
      <c r="B836" s="903" t="str">
        <f>Settings!$A$7</f>
        <v>CHAMPS</v>
      </c>
      <c r="C836" s="596" t="s">
        <v>106</v>
      </c>
      <c r="D836" s="13" t="str">
        <f>'Entry Sheet'!R91</f>
        <v>C. BROWN</v>
      </c>
      <c r="E836" s="13">
        <f>'Entry Sheet'!S91</f>
        <v>20.3</v>
      </c>
      <c r="F836" s="589" t="s">
        <v>520</v>
      </c>
      <c r="BB836" s="314"/>
    </row>
    <row r="837" ht="15.75" customHeight="1">
      <c r="A837" s="585">
        <v>836.0</v>
      </c>
      <c r="B837" s="903" t="str">
        <f>Settings!$A$7</f>
        <v>CHAMPS</v>
      </c>
      <c r="C837" s="596" t="s">
        <v>106</v>
      </c>
      <c r="D837" s="13" t="str">
        <f>'Entry Sheet'!R92</f>
        <v/>
      </c>
      <c r="E837" s="13" t="str">
        <f>'Entry Sheet'!S92</f>
        <v/>
      </c>
      <c r="F837" s="589" t="s">
        <v>520</v>
      </c>
      <c r="BB837" s="314"/>
    </row>
    <row r="838" ht="15.75" customHeight="1">
      <c r="A838" s="585">
        <v>837.0</v>
      </c>
      <c r="B838" s="903" t="str">
        <f>Settings!$A$7</f>
        <v>CHAMPS</v>
      </c>
      <c r="C838" s="712" t="s">
        <v>117</v>
      </c>
      <c r="D838" s="13" t="str">
        <f>'Entry Sheet'!R93</f>
        <v>D. ADAMS</v>
      </c>
      <c r="E838" s="13">
        <f>'Entry Sheet'!S93</f>
        <v>23</v>
      </c>
      <c r="F838" s="589" t="s">
        <v>520</v>
      </c>
      <c r="BB838" s="314"/>
    </row>
    <row r="839" ht="15.75" customHeight="1">
      <c r="A839" s="585">
        <v>838.0</v>
      </c>
      <c r="B839" s="903" t="str">
        <f>Settings!$A$7</f>
        <v>CHAMPS</v>
      </c>
      <c r="C839" s="712" t="s">
        <v>117</v>
      </c>
      <c r="D839" s="13" t="str">
        <f>'Entry Sheet'!R94</f>
        <v>M. HARRISON</v>
      </c>
      <c r="E839" s="13">
        <f>'Entry Sheet'!S94</f>
        <v>22.6</v>
      </c>
      <c r="F839" s="589" t="s">
        <v>520</v>
      </c>
      <c r="BB839" s="314"/>
    </row>
    <row r="840" ht="15.75" customHeight="1">
      <c r="A840" s="585">
        <v>839.0</v>
      </c>
      <c r="B840" s="903" t="str">
        <f>Settings!$A$7</f>
        <v>CHAMPS</v>
      </c>
      <c r="C840" s="712" t="s">
        <v>117</v>
      </c>
      <c r="D840" s="13" t="str">
        <f>'Entry Sheet'!R95</f>
        <v>M. PITTMAN</v>
      </c>
      <c r="E840" s="13">
        <f>'Entry Sheet'!S95</f>
        <v>21.5</v>
      </c>
      <c r="F840" s="589" t="s">
        <v>520</v>
      </c>
      <c r="BB840" s="314"/>
    </row>
    <row r="841" ht="15.75" customHeight="1">
      <c r="A841" s="585">
        <v>840.0</v>
      </c>
      <c r="B841" s="903" t="str">
        <f>Settings!$A$7</f>
        <v>CHAMPS</v>
      </c>
      <c r="C841" s="712" t="s">
        <v>117</v>
      </c>
      <c r="D841" s="13" t="str">
        <f>'Entry Sheet'!R96</f>
        <v/>
      </c>
      <c r="E841" s="13" t="str">
        <f>'Entry Sheet'!S96</f>
        <v/>
      </c>
      <c r="F841" s="589" t="s">
        <v>520</v>
      </c>
      <c r="BB841" s="314"/>
    </row>
    <row r="842" ht="15.75" customHeight="1">
      <c r="A842" s="585">
        <v>841.0</v>
      </c>
      <c r="B842" s="903" t="str">
        <f>Settings!$A$7</f>
        <v>CHAMPS</v>
      </c>
      <c r="C842" s="764" t="s">
        <v>132</v>
      </c>
      <c r="D842" s="13" t="str">
        <f>'Entry Sheet'!R97</f>
        <v>J. JOHNSON</v>
      </c>
      <c r="E842" s="13">
        <f>'Entry Sheet'!S97</f>
        <v>12.1</v>
      </c>
      <c r="F842" s="589" t="s">
        <v>520</v>
      </c>
      <c r="BB842" s="314"/>
    </row>
    <row r="843" ht="15.75" customHeight="1">
      <c r="A843" s="585">
        <v>842.0</v>
      </c>
      <c r="B843" s="903" t="str">
        <f>Settings!$A$7</f>
        <v>CHAMPS</v>
      </c>
      <c r="C843" s="795" t="s">
        <v>136</v>
      </c>
      <c r="D843" s="13" t="str">
        <f>'Entry Sheet'!R98</f>
        <v>D. MONTGOMERY</v>
      </c>
      <c r="E843" s="13">
        <f>'Entry Sheet'!S98</f>
        <v>12.1</v>
      </c>
      <c r="F843" s="589" t="s">
        <v>520</v>
      </c>
      <c r="BB843" s="314"/>
    </row>
    <row r="844" ht="15.75" customHeight="1">
      <c r="A844" s="585">
        <v>843.0</v>
      </c>
      <c r="B844" s="903" t="str">
        <f>Settings!$A$7</f>
        <v>CHAMPS</v>
      </c>
      <c r="C844" s="818" t="s">
        <v>139</v>
      </c>
      <c r="D844" s="13" t="str">
        <f>'Entry Sheet'!R99</f>
        <v>LV D/ST</v>
      </c>
      <c r="E844" s="13">
        <f>'Entry Sheet'!S99</f>
        <v>11.6</v>
      </c>
      <c r="F844" s="589" t="s">
        <v>520</v>
      </c>
      <c r="BB844" s="314"/>
    </row>
    <row r="845" ht="15.75" customHeight="1">
      <c r="A845" s="585">
        <v>844.0</v>
      </c>
      <c r="B845" s="903" t="str">
        <f>Settings!$A$7</f>
        <v>CHAMPS</v>
      </c>
      <c r="C845" s="833" t="s">
        <v>146</v>
      </c>
      <c r="D845" s="13" t="str">
        <f>'Entry Sheet'!R100</f>
        <v>C. SANTOS</v>
      </c>
      <c r="E845" s="13">
        <f>'Entry Sheet'!S100</f>
        <v>9.5</v>
      </c>
      <c r="F845" s="589" t="s">
        <v>520</v>
      </c>
      <c r="BB845" s="314"/>
    </row>
    <row r="846" ht="15.75" customHeight="1">
      <c r="A846" s="585">
        <v>845.0</v>
      </c>
      <c r="B846" s="903" t="str">
        <f>Settings!$A$7</f>
        <v>CHAMPS</v>
      </c>
      <c r="C846" s="842" t="s">
        <v>162</v>
      </c>
      <c r="D846" s="13" t="str">
        <f>'Entry Sheet'!R101</f>
        <v>BAL HC</v>
      </c>
      <c r="E846" s="13">
        <f>'Entry Sheet'!S101</f>
        <v>16.4</v>
      </c>
      <c r="F846" s="589" t="s">
        <v>520</v>
      </c>
      <c r="BB846" s="314"/>
    </row>
    <row r="847" ht="15.75" customHeight="1">
      <c r="A847" s="585">
        <v>846.0</v>
      </c>
      <c r="B847" s="903" t="str">
        <f>Settings!$A$7</f>
        <v>CHAMPS</v>
      </c>
      <c r="C847" s="587" t="s">
        <v>100</v>
      </c>
      <c r="D847" s="13" t="str">
        <f>'Entry Sheet'!T89</f>
        <v>J. HERBERT</v>
      </c>
      <c r="E847" s="13">
        <f>'Entry Sheet'!U89</f>
        <v>18.6</v>
      </c>
      <c r="F847" s="846" t="s">
        <v>521</v>
      </c>
      <c r="BB847" s="314"/>
    </row>
    <row r="848" ht="15.75" customHeight="1">
      <c r="A848" s="585">
        <v>847.0</v>
      </c>
      <c r="B848" s="903" t="str">
        <f>Settings!$A$7</f>
        <v>CHAMPS</v>
      </c>
      <c r="C848" s="596" t="s">
        <v>106</v>
      </c>
      <c r="D848" s="13" t="str">
        <f>'Entry Sheet'!T90</f>
        <v>J. JACOBS</v>
      </c>
      <c r="E848" s="13">
        <f>'Entry Sheet'!U90</f>
        <v>21.8</v>
      </c>
      <c r="F848" s="846" t="s">
        <v>521</v>
      </c>
      <c r="BB848" s="314"/>
    </row>
    <row r="849" ht="15.75" customHeight="1">
      <c r="A849" s="585">
        <v>848.0</v>
      </c>
      <c r="B849" s="903" t="str">
        <f>Settings!$A$7</f>
        <v>CHAMPS</v>
      </c>
      <c r="C849" s="596" t="s">
        <v>106</v>
      </c>
      <c r="D849" s="13" t="str">
        <f>'Entry Sheet'!T91</f>
        <v>K. WILLIAMS</v>
      </c>
      <c r="E849" s="13">
        <f>'Entry Sheet'!U91</f>
        <v>23.8</v>
      </c>
      <c r="F849" s="846" t="s">
        <v>521</v>
      </c>
      <c r="BB849" s="314"/>
    </row>
    <row r="850" ht="15.75" customHeight="1">
      <c r="A850" s="585">
        <v>849.0</v>
      </c>
      <c r="B850" s="903" t="str">
        <f>Settings!$A$7</f>
        <v>CHAMPS</v>
      </c>
      <c r="C850" s="596" t="s">
        <v>106</v>
      </c>
      <c r="D850" s="13" t="str">
        <f>'Entry Sheet'!T92</f>
        <v/>
      </c>
      <c r="E850" s="13" t="str">
        <f>'Entry Sheet'!U92</f>
        <v/>
      </c>
      <c r="F850" s="846" t="s">
        <v>521</v>
      </c>
      <c r="BB850" s="314"/>
    </row>
    <row r="851" ht="15.75" customHeight="1">
      <c r="A851" s="585">
        <v>850.0</v>
      </c>
      <c r="B851" s="903" t="str">
        <f>Settings!$A$7</f>
        <v>CHAMPS</v>
      </c>
      <c r="C851" s="712" t="s">
        <v>117</v>
      </c>
      <c r="D851" s="13" t="str">
        <f>'Entry Sheet'!T93</f>
        <v>D. ADAMS</v>
      </c>
      <c r="E851" s="13">
        <f>'Entry Sheet'!U93</f>
        <v>19.7</v>
      </c>
      <c r="F851" s="846" t="s">
        <v>521</v>
      </c>
      <c r="BB851" s="314"/>
    </row>
    <row r="852" ht="15.75" customHeight="1">
      <c r="A852" s="585">
        <v>851.0</v>
      </c>
      <c r="B852" s="903" t="str">
        <f>Settings!$A$7</f>
        <v>CHAMPS</v>
      </c>
      <c r="C852" s="712" t="s">
        <v>117</v>
      </c>
      <c r="D852" s="13" t="str">
        <f>'Entry Sheet'!T94</f>
        <v>M. HARRISON</v>
      </c>
      <c r="E852" s="13">
        <f>'Entry Sheet'!U94</f>
        <v>14.3</v>
      </c>
      <c r="F852" s="846" t="s">
        <v>521</v>
      </c>
      <c r="BB852" s="314"/>
    </row>
    <row r="853" ht="15.75" customHeight="1">
      <c r="A853" s="585">
        <v>852.0</v>
      </c>
      <c r="B853" s="903" t="str">
        <f>Settings!$A$7</f>
        <v>CHAMPS</v>
      </c>
      <c r="C853" s="712" t="s">
        <v>117</v>
      </c>
      <c r="D853" s="13" t="str">
        <f>'Entry Sheet'!T95</f>
        <v>M. PITTMAN</v>
      </c>
      <c r="E853" s="13">
        <f>'Entry Sheet'!U95</f>
        <v>3.9</v>
      </c>
      <c r="F853" s="846" t="s">
        <v>521</v>
      </c>
      <c r="BB853" s="314"/>
    </row>
    <row r="854" ht="15.75" customHeight="1">
      <c r="A854" s="585">
        <v>853.0</v>
      </c>
      <c r="B854" s="903" t="str">
        <f>Settings!$A$7</f>
        <v>CHAMPS</v>
      </c>
      <c r="C854" s="712" t="s">
        <v>117</v>
      </c>
      <c r="D854" s="13" t="str">
        <f>'Entry Sheet'!T96</f>
        <v/>
      </c>
      <c r="E854" s="13" t="str">
        <f>'Entry Sheet'!U96</f>
        <v/>
      </c>
      <c r="F854" s="846" t="s">
        <v>521</v>
      </c>
      <c r="BB854" s="314"/>
    </row>
    <row r="855" ht="15.75" customHeight="1">
      <c r="A855" s="585">
        <v>854.0</v>
      </c>
      <c r="B855" s="903" t="str">
        <f>Settings!$A$7</f>
        <v>CHAMPS</v>
      </c>
      <c r="C855" s="764" t="s">
        <v>132</v>
      </c>
      <c r="D855" s="13" t="str">
        <f>'Entry Sheet'!T97</f>
        <v>D. NJOKU</v>
      </c>
      <c r="E855" s="13">
        <f>'Entry Sheet'!U97</f>
        <v>10.1</v>
      </c>
      <c r="F855" s="846" t="s">
        <v>521</v>
      </c>
      <c r="BB855" s="314"/>
    </row>
    <row r="856" ht="15.75" customHeight="1">
      <c r="A856" s="585">
        <v>855.0</v>
      </c>
      <c r="B856" s="903" t="str">
        <f>Settings!$A$7</f>
        <v>CHAMPS</v>
      </c>
      <c r="C856" s="795" t="s">
        <v>136</v>
      </c>
      <c r="D856" s="13" t="str">
        <f>'Entry Sheet'!T98</f>
        <v>D. MONTGOMERY</v>
      </c>
      <c r="E856" s="13">
        <f>'Entry Sheet'!U98</f>
        <v>11.6</v>
      </c>
      <c r="F856" s="846" t="s">
        <v>521</v>
      </c>
      <c r="BB856" s="314"/>
    </row>
    <row r="857" ht="15.75" customHeight="1">
      <c r="A857" s="585">
        <v>856.0</v>
      </c>
      <c r="B857" s="903" t="str">
        <f>Settings!$A$7</f>
        <v>CHAMPS</v>
      </c>
      <c r="C857" s="818" t="s">
        <v>139</v>
      </c>
      <c r="D857" s="13" t="str">
        <f>'Entry Sheet'!T99</f>
        <v>BAL D/ST</v>
      </c>
      <c r="E857" s="13">
        <f>'Entry Sheet'!U99</f>
        <v>19.07</v>
      </c>
      <c r="F857" s="846" t="s">
        <v>521</v>
      </c>
      <c r="BB857" s="314"/>
    </row>
    <row r="858" ht="15.75" customHeight="1">
      <c r="A858" s="585">
        <v>857.0</v>
      </c>
      <c r="B858" s="903" t="str">
        <f>Settings!$A$7</f>
        <v>CHAMPS</v>
      </c>
      <c r="C858" s="833" t="s">
        <v>146</v>
      </c>
      <c r="D858" s="13" t="str">
        <f>'Entry Sheet'!T100</f>
        <v>C. DICKER</v>
      </c>
      <c r="E858" s="13">
        <f>'Entry Sheet'!U100</f>
        <v>14</v>
      </c>
      <c r="F858" s="846" t="s">
        <v>521</v>
      </c>
      <c r="BB858" s="314"/>
    </row>
    <row r="859" ht="15.75" customHeight="1">
      <c r="A859" s="585">
        <v>858.0</v>
      </c>
      <c r="B859" s="903" t="str">
        <f>Settings!$A$7</f>
        <v>CHAMPS</v>
      </c>
      <c r="C859" s="842" t="s">
        <v>162</v>
      </c>
      <c r="D859" s="13" t="str">
        <f>'Entry Sheet'!T101</f>
        <v>BAL HC</v>
      </c>
      <c r="E859" s="13">
        <f>'Entry Sheet'!U101</f>
        <v>11.1</v>
      </c>
      <c r="F859" s="846" t="s">
        <v>521</v>
      </c>
      <c r="BB859" s="314"/>
    </row>
    <row r="860" ht="15.75" hidden="1" customHeight="1">
      <c r="A860" s="585">
        <v>859.0</v>
      </c>
      <c r="B860" s="903" t="str">
        <f>Settings!$A$7</f>
        <v>CHAMPS</v>
      </c>
      <c r="C860" s="587" t="s">
        <v>100</v>
      </c>
      <c r="D860" s="13" t="str">
        <f>'Entry Sheet'!V89</f>
        <v>J. HERBERT</v>
      </c>
      <c r="E860" s="13">
        <f>'Entry Sheet'!W89</f>
        <v>3.24</v>
      </c>
      <c r="F860" s="589" t="s">
        <v>522</v>
      </c>
      <c r="BB860" s="314"/>
    </row>
    <row r="861" ht="15.75" hidden="1" customHeight="1">
      <c r="A861" s="585">
        <v>860.0</v>
      </c>
      <c r="B861" s="903" t="str">
        <f>Settings!$A$7</f>
        <v>CHAMPS</v>
      </c>
      <c r="C861" s="596" t="s">
        <v>106</v>
      </c>
      <c r="D861" s="13" t="str">
        <f>'Entry Sheet'!V90</f>
        <v>J. JACOBS</v>
      </c>
      <c r="E861" s="13">
        <f>'Entry Sheet'!W90</f>
        <v>4.7</v>
      </c>
      <c r="F861" s="589" t="s">
        <v>522</v>
      </c>
      <c r="BB861" s="314"/>
    </row>
    <row r="862" ht="15.75" hidden="1" customHeight="1">
      <c r="A862" s="585">
        <v>861.0</v>
      </c>
      <c r="B862" s="903" t="str">
        <f>Settings!$A$7</f>
        <v>CHAMPS</v>
      </c>
      <c r="C862" s="596" t="s">
        <v>106</v>
      </c>
      <c r="D862" s="13" t="str">
        <f>'Entry Sheet'!V91</f>
        <v>K. WILLIAMS</v>
      </c>
      <c r="E862" s="13">
        <f>'Entry Sheet'!W91</f>
        <v>17.8</v>
      </c>
      <c r="F862" s="589" t="s">
        <v>522</v>
      </c>
      <c r="BB862" s="314"/>
    </row>
    <row r="863" ht="15.75" hidden="1" customHeight="1">
      <c r="A863" s="585">
        <v>862.0</v>
      </c>
      <c r="B863" s="903" t="str">
        <f>Settings!$A$7</f>
        <v>CHAMPS</v>
      </c>
      <c r="C863" s="596" t="s">
        <v>106</v>
      </c>
      <c r="D863" s="13" t="str">
        <f>'Entry Sheet'!V92</f>
        <v/>
      </c>
      <c r="E863" s="13" t="str">
        <f>'Entry Sheet'!W92</f>
        <v/>
      </c>
      <c r="F863" s="589" t="s">
        <v>522</v>
      </c>
      <c r="BB863" s="314"/>
    </row>
    <row r="864" ht="15.75" hidden="1" customHeight="1">
      <c r="A864" s="585">
        <v>863.0</v>
      </c>
      <c r="B864" s="903" t="str">
        <f>Settings!$A$7</f>
        <v>CHAMPS</v>
      </c>
      <c r="C864" s="712" t="s">
        <v>117</v>
      </c>
      <c r="D864" s="13" t="str">
        <f>'Entry Sheet'!V93</f>
        <v>D. ADAMS</v>
      </c>
      <c r="E864" s="13">
        <f>'Entry Sheet'!W93</f>
        <v>7.1</v>
      </c>
      <c r="F864" s="589" t="s">
        <v>522</v>
      </c>
      <c r="BB864" s="314"/>
    </row>
    <row r="865" ht="15.75" hidden="1" customHeight="1">
      <c r="A865" s="585">
        <v>864.0</v>
      </c>
      <c r="B865" s="903" t="str">
        <f>Settings!$A$7</f>
        <v>CHAMPS</v>
      </c>
      <c r="C865" s="712" t="s">
        <v>117</v>
      </c>
      <c r="D865" s="13" t="str">
        <f>'Entry Sheet'!V94</f>
        <v>G. DORTCH</v>
      </c>
      <c r="E865" s="13">
        <f>'Entry Sheet'!W94</f>
        <v>25.1</v>
      </c>
      <c r="F865" s="589" t="s">
        <v>522</v>
      </c>
      <c r="BB865" s="314"/>
    </row>
    <row r="866" ht="15.75" hidden="1" customHeight="1">
      <c r="A866" s="585">
        <v>865.0</v>
      </c>
      <c r="B866" s="903" t="str">
        <f>Settings!$A$7</f>
        <v>CHAMPS</v>
      </c>
      <c r="C866" s="712" t="s">
        <v>117</v>
      </c>
      <c r="D866" s="13" t="str">
        <f>'Entry Sheet'!V95</f>
        <v>C. AUSTIN</v>
      </c>
      <c r="E866" s="13">
        <f>'Entry Sheet'!W95</f>
        <v>2.25</v>
      </c>
      <c r="F866" s="589" t="s">
        <v>522</v>
      </c>
      <c r="BB866" s="314"/>
    </row>
    <row r="867" ht="15.75" hidden="1" customHeight="1">
      <c r="A867" s="585">
        <v>866.0</v>
      </c>
      <c r="B867" s="903" t="str">
        <f>Settings!$A$7</f>
        <v>CHAMPS</v>
      </c>
      <c r="C867" s="712" t="s">
        <v>117</v>
      </c>
      <c r="D867" s="13" t="str">
        <f>'Entry Sheet'!V96</f>
        <v/>
      </c>
      <c r="E867" s="13" t="str">
        <f>'Entry Sheet'!W96</f>
        <v/>
      </c>
      <c r="F867" s="589" t="s">
        <v>522</v>
      </c>
      <c r="BB867" s="314"/>
    </row>
    <row r="868" ht="15.75" hidden="1" customHeight="1">
      <c r="A868" s="585">
        <v>867.0</v>
      </c>
      <c r="B868" s="903" t="str">
        <f>Settings!$A$7</f>
        <v>CHAMPS</v>
      </c>
      <c r="C868" s="764" t="s">
        <v>132</v>
      </c>
      <c r="D868" s="13" t="str">
        <f>'Entry Sheet'!V97</f>
        <v>D. NJOKU</v>
      </c>
      <c r="E868" s="13">
        <f>'Entry Sheet'!W97</f>
        <v>1.7</v>
      </c>
      <c r="F868" s="589" t="s">
        <v>522</v>
      </c>
      <c r="BB868" s="314"/>
    </row>
    <row r="869" ht="15.75" hidden="1" customHeight="1">
      <c r="A869" s="585">
        <v>868.0</v>
      </c>
      <c r="B869" s="903" t="str">
        <f>Settings!$A$7</f>
        <v>CHAMPS</v>
      </c>
      <c r="C869" s="795" t="s">
        <v>136</v>
      </c>
      <c r="D869" s="13" t="str">
        <f>'Entry Sheet'!V98</f>
        <v>D. MONTGOMERY</v>
      </c>
      <c r="E869" s="13">
        <f>'Entry Sheet'!W98</f>
        <v>5.3</v>
      </c>
      <c r="F869" s="589" t="s">
        <v>522</v>
      </c>
      <c r="BB869" s="314"/>
    </row>
    <row r="870" ht="15.75" hidden="1" customHeight="1">
      <c r="A870" s="585">
        <v>869.0</v>
      </c>
      <c r="B870" s="903" t="str">
        <f>Settings!$A$7</f>
        <v>CHAMPS</v>
      </c>
      <c r="C870" s="818" t="s">
        <v>139</v>
      </c>
      <c r="D870" s="13" t="str">
        <f>'Entry Sheet'!V99</f>
        <v>BAL D/ST</v>
      </c>
      <c r="E870" s="13">
        <f>'Entry Sheet'!W99</f>
        <v>24.83</v>
      </c>
      <c r="F870" s="589" t="s">
        <v>522</v>
      </c>
      <c r="BB870" s="314"/>
    </row>
    <row r="871" ht="15.75" hidden="1" customHeight="1">
      <c r="A871" s="585">
        <v>870.0</v>
      </c>
      <c r="B871" s="903" t="str">
        <f>Settings!$A$7</f>
        <v>CHAMPS</v>
      </c>
      <c r="C871" s="833" t="s">
        <v>146</v>
      </c>
      <c r="D871" s="13" t="str">
        <f>'Entry Sheet'!V100</f>
        <v>C. DICKER</v>
      </c>
      <c r="E871" s="13">
        <f>'Entry Sheet'!W100</f>
        <v>8</v>
      </c>
      <c r="F871" s="589" t="s">
        <v>522</v>
      </c>
      <c r="BB871" s="314"/>
    </row>
    <row r="872" ht="15.75" hidden="1" customHeight="1">
      <c r="A872" s="585">
        <v>871.0</v>
      </c>
      <c r="B872" s="903" t="str">
        <f>Settings!$A$7</f>
        <v>CHAMPS</v>
      </c>
      <c r="C872" s="842" t="s">
        <v>162</v>
      </c>
      <c r="D872" s="13" t="str">
        <f>'Entry Sheet'!V101</f>
        <v>PIT HC</v>
      </c>
      <c r="E872" s="13">
        <f>'Entry Sheet'!W101</f>
        <v>18.2</v>
      </c>
      <c r="F872" s="589" t="s">
        <v>522</v>
      </c>
      <c r="BB872" s="314"/>
    </row>
    <row r="873" ht="15.75" customHeight="1">
      <c r="A873" s="585">
        <v>872.0</v>
      </c>
      <c r="B873" s="903" t="str">
        <f>Settings!$A$7</f>
        <v>CHAMPS</v>
      </c>
      <c r="C873" s="587" t="s">
        <v>100</v>
      </c>
      <c r="D873" s="13" t="str">
        <f>'Entry Sheet'!X89</f>
        <v>J. LOVE</v>
      </c>
      <c r="E873" s="13">
        <f>'Entry Sheet'!Y89</f>
        <v>8.76</v>
      </c>
      <c r="F873" s="846" t="s">
        <v>523</v>
      </c>
      <c r="BB873" s="314"/>
    </row>
    <row r="874" ht="15.75" customHeight="1">
      <c r="A874" s="585">
        <v>873.0</v>
      </c>
      <c r="B874" s="903" t="str">
        <f>Settings!$A$7</f>
        <v>CHAMPS</v>
      </c>
      <c r="C874" s="596" t="s">
        <v>106</v>
      </c>
      <c r="D874" s="13" t="str">
        <f>'Entry Sheet'!X90</f>
        <v>K. WILLIAMS</v>
      </c>
      <c r="E874" s="13">
        <f>'Entry Sheet'!Y90</f>
        <v>7.4</v>
      </c>
      <c r="F874" s="846" t="s">
        <v>523</v>
      </c>
      <c r="BB874" s="314"/>
    </row>
    <row r="875" ht="15.75" customHeight="1">
      <c r="A875" s="585">
        <v>874.0</v>
      </c>
      <c r="B875" s="903" t="str">
        <f>Settings!$A$7</f>
        <v>CHAMPS</v>
      </c>
      <c r="C875" s="596" t="s">
        <v>106</v>
      </c>
      <c r="D875" s="13" t="str">
        <f>'Entry Sheet'!X91</f>
        <v>D. MONTGOMERY</v>
      </c>
      <c r="E875" s="13">
        <f>'Entry Sheet'!Y91</f>
        <v>7.2</v>
      </c>
      <c r="F875" s="846" t="s">
        <v>523</v>
      </c>
      <c r="BB875" s="314"/>
    </row>
    <row r="876" ht="15.75" customHeight="1">
      <c r="A876" s="585">
        <v>875.0</v>
      </c>
      <c r="B876" s="903" t="str">
        <f>Settings!$A$7</f>
        <v>CHAMPS</v>
      </c>
      <c r="C876" s="596" t="s">
        <v>106</v>
      </c>
      <c r="D876" s="13" t="str">
        <f>'Entry Sheet'!X92</f>
        <v/>
      </c>
      <c r="E876" s="13" t="str">
        <f>'Entry Sheet'!Y92</f>
        <v/>
      </c>
      <c r="F876" s="846" t="s">
        <v>523</v>
      </c>
      <c r="BB876" s="314"/>
    </row>
    <row r="877" ht="15.75" customHeight="1">
      <c r="A877" s="585">
        <v>876.0</v>
      </c>
      <c r="B877" s="903" t="str">
        <f>Settings!$A$7</f>
        <v>CHAMPS</v>
      </c>
      <c r="C877" s="712" t="s">
        <v>117</v>
      </c>
      <c r="D877" s="13" t="str">
        <f>'Entry Sheet'!X93</f>
        <v>D. ADAMS</v>
      </c>
      <c r="E877" s="13">
        <f>'Entry Sheet'!Y93</f>
        <v>23.2</v>
      </c>
      <c r="F877" s="846" t="s">
        <v>523</v>
      </c>
      <c r="BB877" s="314"/>
    </row>
    <row r="878" ht="15.75" customHeight="1">
      <c r="A878" s="585">
        <v>877.0</v>
      </c>
      <c r="B878" s="903" t="str">
        <f>Settings!$A$7</f>
        <v>CHAMPS</v>
      </c>
      <c r="C878" s="712" t="s">
        <v>117</v>
      </c>
      <c r="D878" s="13" t="str">
        <f>'Entry Sheet'!X94</f>
        <v>M. PITTMAN</v>
      </c>
      <c r="E878" s="13">
        <f>'Entry Sheet'!Y94</f>
        <v>13.7</v>
      </c>
      <c r="F878" s="846" t="s">
        <v>523</v>
      </c>
      <c r="BB878" s="314"/>
    </row>
    <row r="879" ht="15.75" customHeight="1">
      <c r="A879" s="585">
        <v>878.0</v>
      </c>
      <c r="B879" s="903" t="str">
        <f>Settings!$A$7</f>
        <v>CHAMPS</v>
      </c>
      <c r="C879" s="712" t="s">
        <v>117</v>
      </c>
      <c r="D879" s="13" t="str">
        <f>'Entry Sheet'!X95</f>
        <v>G. DORTCH</v>
      </c>
      <c r="E879" s="13">
        <f>'Entry Sheet'!Y95</f>
        <v>23.35</v>
      </c>
      <c r="F879" s="846" t="s">
        <v>523</v>
      </c>
      <c r="BB879" s="314"/>
    </row>
    <row r="880" ht="15.75" customHeight="1">
      <c r="A880" s="585">
        <v>879.0</v>
      </c>
      <c r="B880" s="903" t="str">
        <f>Settings!$A$7</f>
        <v>CHAMPS</v>
      </c>
      <c r="C880" s="712" t="s">
        <v>117</v>
      </c>
      <c r="D880" s="13" t="str">
        <f>'Entry Sheet'!X96</f>
        <v/>
      </c>
      <c r="E880" s="13" t="str">
        <f>'Entry Sheet'!Y96</f>
        <v/>
      </c>
      <c r="F880" s="846" t="s">
        <v>523</v>
      </c>
      <c r="BB880" s="314"/>
    </row>
    <row r="881" ht="15.75" customHeight="1">
      <c r="A881" s="585">
        <v>880.0</v>
      </c>
      <c r="B881" s="903" t="str">
        <f>Settings!$A$7</f>
        <v>CHAMPS</v>
      </c>
      <c r="C881" s="764" t="s">
        <v>132</v>
      </c>
      <c r="D881" s="13" t="str">
        <f>'Entry Sheet'!X97</f>
        <v>J. JOHNSON</v>
      </c>
      <c r="E881" s="13">
        <f>'Entry Sheet'!Y97</f>
        <v>10.6</v>
      </c>
      <c r="F881" s="846" t="s">
        <v>523</v>
      </c>
      <c r="BB881" s="314"/>
    </row>
    <row r="882" ht="15.75" customHeight="1">
      <c r="A882" s="585">
        <v>881.0</v>
      </c>
      <c r="B882" s="903" t="str">
        <f>Settings!$A$7</f>
        <v>CHAMPS</v>
      </c>
      <c r="C882" s="795" t="s">
        <v>136</v>
      </c>
      <c r="D882" s="13" t="str">
        <f>'Entry Sheet'!X98</f>
        <v>C. BROWN</v>
      </c>
      <c r="E882" s="13">
        <f>'Entry Sheet'!Y98</f>
        <v>17.9</v>
      </c>
      <c r="F882" s="846" t="s">
        <v>523</v>
      </c>
      <c r="BB882" s="314"/>
    </row>
    <row r="883" ht="15.75" customHeight="1">
      <c r="A883" s="585">
        <v>882.0</v>
      </c>
      <c r="B883" s="903" t="str">
        <f>Settings!$A$7</f>
        <v>CHAMPS</v>
      </c>
      <c r="C883" s="818" t="s">
        <v>139</v>
      </c>
      <c r="D883" s="13" t="str">
        <f>'Entry Sheet'!X99</f>
        <v>BAL D/ST</v>
      </c>
      <c r="E883" s="13">
        <f>'Entry Sheet'!Y99</f>
        <v>21.3</v>
      </c>
      <c r="F883" s="846" t="s">
        <v>523</v>
      </c>
      <c r="BB883" s="314"/>
    </row>
    <row r="884" ht="15.75" customHeight="1">
      <c r="A884" s="585">
        <v>883.0</v>
      </c>
      <c r="B884" s="903" t="str">
        <f>Settings!$A$7</f>
        <v>CHAMPS</v>
      </c>
      <c r="C884" s="833" t="s">
        <v>146</v>
      </c>
      <c r="D884" s="13" t="str">
        <f>'Entry Sheet'!X100</f>
        <v>C. SANTOS</v>
      </c>
      <c r="E884" s="13">
        <f>'Entry Sheet'!Y100</f>
        <v>8</v>
      </c>
      <c r="F884" s="846" t="s">
        <v>523</v>
      </c>
      <c r="BB884" s="314"/>
    </row>
    <row r="885" ht="15.75" customHeight="1">
      <c r="A885" s="585">
        <v>884.0</v>
      </c>
      <c r="B885" s="903" t="str">
        <f>Settings!$A$7</f>
        <v>CHAMPS</v>
      </c>
      <c r="C885" s="842" t="s">
        <v>162</v>
      </c>
      <c r="D885" s="13" t="str">
        <f>'Entry Sheet'!X101</f>
        <v>BAL HC</v>
      </c>
      <c r="E885" s="13">
        <f>'Entry Sheet'!Y101</f>
        <v>10.9</v>
      </c>
      <c r="F885" s="846" t="s">
        <v>523</v>
      </c>
      <c r="BB885" s="314"/>
    </row>
    <row r="886" ht="15.75" customHeight="1">
      <c r="A886" s="585">
        <v>885.0</v>
      </c>
      <c r="B886" s="903" t="str">
        <f>Settings!$A$7</f>
        <v>CHAMPS</v>
      </c>
      <c r="C886" s="587" t="s">
        <v>100</v>
      </c>
      <c r="D886" s="13" t="str">
        <f>'Entry Sheet'!Z89</f>
        <v>J. LOVE</v>
      </c>
      <c r="E886" s="13">
        <f>'Entry Sheet'!AA89</f>
        <v>35.46</v>
      </c>
      <c r="F886" s="589" t="s">
        <v>524</v>
      </c>
      <c r="BB886" s="314"/>
    </row>
    <row r="887" ht="15.75" customHeight="1">
      <c r="A887" s="585">
        <v>886.0</v>
      </c>
      <c r="B887" s="903" t="str">
        <f>Settings!$A$7</f>
        <v>CHAMPS</v>
      </c>
      <c r="C887" s="596" t="s">
        <v>106</v>
      </c>
      <c r="D887" s="13" t="str">
        <f>'Entry Sheet'!Z90</f>
        <v>K. WILLIAMS</v>
      </c>
      <c r="E887" s="13">
        <f>'Entry Sheet'!AA90</f>
        <v>14.5</v>
      </c>
      <c r="F887" s="589" t="s">
        <v>524</v>
      </c>
      <c r="BB887" s="314"/>
    </row>
    <row r="888" ht="15.75" customHeight="1">
      <c r="A888" s="585">
        <v>887.0</v>
      </c>
      <c r="B888" s="903" t="str">
        <f>Settings!$A$7</f>
        <v>CHAMPS</v>
      </c>
      <c r="C888" s="596" t="s">
        <v>106</v>
      </c>
      <c r="D888" s="13" t="str">
        <f>'Entry Sheet'!Z91</f>
        <v>D. MONTGOMERY</v>
      </c>
      <c r="E888" s="13">
        <f>'Entry Sheet'!AA91</f>
        <v>13.4</v>
      </c>
      <c r="F888" s="589" t="s">
        <v>524</v>
      </c>
      <c r="BB888" s="314"/>
    </row>
    <row r="889" ht="15.75" customHeight="1">
      <c r="A889" s="585">
        <v>888.0</v>
      </c>
      <c r="B889" s="903" t="str">
        <f>Settings!$A$7</f>
        <v>CHAMPS</v>
      </c>
      <c r="C889" s="596" t="s">
        <v>106</v>
      </c>
      <c r="D889" s="13" t="str">
        <f>'Entry Sheet'!Z92</f>
        <v/>
      </c>
      <c r="E889" s="13" t="str">
        <f>'Entry Sheet'!AA92</f>
        <v/>
      </c>
      <c r="F889" s="589" t="s">
        <v>524</v>
      </c>
      <c r="BB889" s="314"/>
    </row>
    <row r="890" ht="15.75" customHeight="1">
      <c r="A890" s="585">
        <v>889.0</v>
      </c>
      <c r="B890" s="903" t="str">
        <f>Settings!$A$7</f>
        <v>CHAMPS</v>
      </c>
      <c r="C890" s="712" t="s">
        <v>117</v>
      </c>
      <c r="D890" s="13" t="str">
        <f>'Entry Sheet'!Z93</f>
        <v>D. ADAMS</v>
      </c>
      <c r="E890" s="13">
        <f>'Entry Sheet'!AA93</f>
        <v>21.8</v>
      </c>
      <c r="F890" s="589" t="s">
        <v>524</v>
      </c>
      <c r="BB890" s="314"/>
    </row>
    <row r="891" ht="15.75" customHeight="1">
      <c r="A891" s="585">
        <v>890.0</v>
      </c>
      <c r="B891" s="903" t="str">
        <f>Settings!$A$7</f>
        <v>CHAMPS</v>
      </c>
      <c r="C891" s="712" t="s">
        <v>117</v>
      </c>
      <c r="D891" s="13" t="str">
        <f>'Entry Sheet'!Z94</f>
        <v>M. PITTMAN</v>
      </c>
      <c r="E891" s="13">
        <f>'Entry Sheet'!AA94</f>
        <v>2.3</v>
      </c>
      <c r="F891" s="589" t="s">
        <v>524</v>
      </c>
      <c r="BB891" s="314"/>
    </row>
    <row r="892" ht="15.75" customHeight="1">
      <c r="A892" s="585">
        <v>891.0</v>
      </c>
      <c r="B892" s="903" t="str">
        <f>Settings!$A$7</f>
        <v>CHAMPS</v>
      </c>
      <c r="C892" s="712" t="s">
        <v>117</v>
      </c>
      <c r="D892" s="13" t="str">
        <f>'Entry Sheet'!Z95</f>
        <v>G. DORTCH</v>
      </c>
      <c r="E892" s="13">
        <f>'Entry Sheet'!AA95</f>
        <v>5.2</v>
      </c>
      <c r="F892" s="589" t="s">
        <v>524</v>
      </c>
      <c r="BB892" s="314"/>
    </row>
    <row r="893" ht="15.75" customHeight="1">
      <c r="A893" s="585">
        <v>892.0</v>
      </c>
      <c r="B893" s="903" t="str">
        <f>Settings!$A$7</f>
        <v>CHAMPS</v>
      </c>
      <c r="C893" s="712" t="s">
        <v>117</v>
      </c>
      <c r="D893" s="13" t="str">
        <f>'Entry Sheet'!Z96</f>
        <v/>
      </c>
      <c r="E893" s="13" t="str">
        <f>'Entry Sheet'!AA96</f>
        <v/>
      </c>
      <c r="F893" s="589" t="s">
        <v>524</v>
      </c>
      <c r="BB893" s="314"/>
    </row>
    <row r="894" ht="15.75" customHeight="1">
      <c r="A894" s="585">
        <v>893.0</v>
      </c>
      <c r="B894" s="903" t="str">
        <f>Settings!$A$7</f>
        <v>CHAMPS</v>
      </c>
      <c r="C894" s="764" t="s">
        <v>132</v>
      </c>
      <c r="D894" s="13" t="str">
        <f>'Entry Sheet'!Z97</f>
        <v>J. JOHNSON</v>
      </c>
      <c r="E894" s="13">
        <f>'Entry Sheet'!AA97</f>
        <v>8.9</v>
      </c>
      <c r="F894" s="589" t="s">
        <v>524</v>
      </c>
      <c r="BB894" s="314"/>
    </row>
    <row r="895" ht="15.75" customHeight="1">
      <c r="A895" s="585">
        <v>894.0</v>
      </c>
      <c r="B895" s="903" t="str">
        <f>Settings!$A$7</f>
        <v>CHAMPS</v>
      </c>
      <c r="C895" s="795" t="s">
        <v>136</v>
      </c>
      <c r="D895" s="13" t="str">
        <f>'Entry Sheet'!Z98</f>
        <v>C. BROWN</v>
      </c>
      <c r="E895" s="13">
        <f>'Entry Sheet'!AA98</f>
        <v>19.8</v>
      </c>
      <c r="F895" s="589" t="s">
        <v>524</v>
      </c>
      <c r="BB895" s="314"/>
    </row>
    <row r="896" ht="15.75" customHeight="1">
      <c r="A896" s="585">
        <v>895.0</v>
      </c>
      <c r="B896" s="903" t="str">
        <f>Settings!$A$7</f>
        <v>CHAMPS</v>
      </c>
      <c r="C896" s="818" t="s">
        <v>139</v>
      </c>
      <c r="D896" s="13" t="str">
        <f>'Entry Sheet'!Z99</f>
        <v>BAL D/ST</v>
      </c>
      <c r="E896" s="13">
        <f>'Entry Sheet'!AA99</f>
        <v>8.1</v>
      </c>
      <c r="F896" s="589" t="s">
        <v>524</v>
      </c>
      <c r="BB896" s="314"/>
    </row>
    <row r="897" ht="15.75" customHeight="1">
      <c r="A897" s="585">
        <v>896.0</v>
      </c>
      <c r="B897" s="903" t="str">
        <f>Settings!$A$7</f>
        <v>CHAMPS</v>
      </c>
      <c r="C897" s="833" t="s">
        <v>146</v>
      </c>
      <c r="D897" s="13" t="str">
        <f>'Entry Sheet'!Z100</f>
        <v>C. DICKER</v>
      </c>
      <c r="E897" s="13">
        <f>'Entry Sheet'!AA100</f>
        <v>10</v>
      </c>
      <c r="F897" s="589" t="s">
        <v>524</v>
      </c>
      <c r="BB897" s="314"/>
    </row>
    <row r="898" ht="15.75" customHeight="1">
      <c r="A898" s="585">
        <v>897.0</v>
      </c>
      <c r="B898" s="903" t="str">
        <f>Settings!$A$7</f>
        <v>CHAMPS</v>
      </c>
      <c r="C898" s="842" t="s">
        <v>162</v>
      </c>
      <c r="D898" s="13" t="str">
        <f>'Entry Sheet'!Z101</f>
        <v>BAL HC</v>
      </c>
      <c r="E898" s="13">
        <f>'Entry Sheet'!AA101</f>
        <v>-1.8</v>
      </c>
      <c r="F898" s="589" t="s">
        <v>524</v>
      </c>
      <c r="BB898" s="314"/>
    </row>
    <row r="899" ht="15.75" customHeight="1">
      <c r="A899" s="585">
        <v>898.0</v>
      </c>
      <c r="B899" s="903" t="str">
        <f>Settings!$A$7</f>
        <v>CHAMPS</v>
      </c>
      <c r="C899" s="587" t="s">
        <v>100</v>
      </c>
      <c r="D899" s="13" t="str">
        <f>'Entry Sheet'!AB89</f>
        <v>J. LOVE</v>
      </c>
      <c r="E899" s="13">
        <f>'Entry Sheet'!AC89</f>
        <v>26.36</v>
      </c>
      <c r="F899" s="846" t="s">
        <v>525</v>
      </c>
      <c r="BB899" s="314"/>
    </row>
    <row r="900" ht="15.75" customHeight="1">
      <c r="A900" s="585">
        <v>899.0</v>
      </c>
      <c r="B900" s="903" t="str">
        <f>Settings!$A$7</f>
        <v>CHAMPS</v>
      </c>
      <c r="C900" s="596" t="s">
        <v>106</v>
      </c>
      <c r="D900" s="13" t="str">
        <f>'Entry Sheet'!AB90</f>
        <v>K. WILLIAMS</v>
      </c>
      <c r="E900" s="13">
        <f>'Entry Sheet'!AC90</f>
        <v>19</v>
      </c>
      <c r="F900" s="846" t="s">
        <v>525</v>
      </c>
      <c r="BB900" s="314"/>
    </row>
    <row r="901" ht="15.75" customHeight="1">
      <c r="A901" s="585">
        <v>900.0</v>
      </c>
      <c r="B901" s="903" t="str">
        <f>Settings!$A$7</f>
        <v>CHAMPS</v>
      </c>
      <c r="C901" s="596" t="s">
        <v>106</v>
      </c>
      <c r="D901" s="13" t="str">
        <f>'Entry Sheet'!AB91</f>
        <v>D. MONTGOMERY</v>
      </c>
      <c r="E901" s="13">
        <f>'Entry Sheet'!AC91</f>
        <v>14.9</v>
      </c>
      <c r="F901" s="846" t="s">
        <v>525</v>
      </c>
      <c r="BB901" s="314"/>
    </row>
    <row r="902" ht="15.75" customHeight="1">
      <c r="A902" s="585">
        <v>901.0</v>
      </c>
      <c r="B902" s="903" t="str">
        <f>Settings!$A$7</f>
        <v>CHAMPS</v>
      </c>
      <c r="C902" s="596" t="s">
        <v>106</v>
      </c>
      <c r="D902" s="13" t="str">
        <f>'Entry Sheet'!AB92</f>
        <v/>
      </c>
      <c r="E902" s="13" t="str">
        <f>'Entry Sheet'!AC92</f>
        <v/>
      </c>
      <c r="F902" s="846" t="s">
        <v>525</v>
      </c>
      <c r="BB902" s="314"/>
    </row>
    <row r="903" ht="15.75" customHeight="1">
      <c r="A903" s="585">
        <v>902.0</v>
      </c>
      <c r="B903" s="903" t="str">
        <f>Settings!$A$7</f>
        <v>CHAMPS</v>
      </c>
      <c r="C903" s="712" t="s">
        <v>117</v>
      </c>
      <c r="D903" s="13" t="str">
        <f>'Entry Sheet'!AB93</f>
        <v>D. ADAMS</v>
      </c>
      <c r="E903" s="13">
        <f>'Entry Sheet'!AC93</f>
        <v>6.9</v>
      </c>
      <c r="F903" s="846" t="s">
        <v>525</v>
      </c>
      <c r="BB903" s="314"/>
    </row>
    <row r="904" ht="15.75" customHeight="1">
      <c r="A904" s="585">
        <v>903.0</v>
      </c>
      <c r="B904" s="903" t="str">
        <f>Settings!$A$7</f>
        <v>CHAMPS</v>
      </c>
      <c r="C904" s="712" t="s">
        <v>117</v>
      </c>
      <c r="D904" s="13" t="str">
        <f>'Entry Sheet'!AB94</f>
        <v>M. PITTMAN</v>
      </c>
      <c r="E904" s="13">
        <f>'Entry Sheet'!AC94</f>
        <v>16.9</v>
      </c>
      <c r="F904" s="846" t="s">
        <v>525</v>
      </c>
      <c r="BB904" s="314"/>
    </row>
    <row r="905" ht="15.75" customHeight="1">
      <c r="A905" s="585">
        <v>904.0</v>
      </c>
      <c r="B905" s="903" t="str">
        <f>Settings!$A$7</f>
        <v>CHAMPS</v>
      </c>
      <c r="C905" s="712" t="s">
        <v>117</v>
      </c>
      <c r="D905" s="13" t="str">
        <f>'Entry Sheet'!AB95</f>
        <v>C. AUSTIN</v>
      </c>
      <c r="E905" s="13">
        <f>'Entry Sheet'!AC95</f>
        <v>4.7</v>
      </c>
      <c r="F905" s="846" t="s">
        <v>525</v>
      </c>
      <c r="BB905" s="314"/>
    </row>
    <row r="906" ht="15.75" customHeight="1">
      <c r="A906" s="585">
        <v>905.0</v>
      </c>
      <c r="B906" s="903" t="str">
        <f>Settings!$A$7</f>
        <v>CHAMPS</v>
      </c>
      <c r="C906" s="712" t="s">
        <v>117</v>
      </c>
      <c r="D906" s="13" t="str">
        <f>'Entry Sheet'!AB96</f>
        <v/>
      </c>
      <c r="E906" s="13" t="str">
        <f>'Entry Sheet'!AC96</f>
        <v/>
      </c>
      <c r="F906" s="846" t="s">
        <v>525</v>
      </c>
      <c r="BB906" s="314"/>
    </row>
    <row r="907" ht="15.75" customHeight="1">
      <c r="A907" s="585">
        <v>906.0</v>
      </c>
      <c r="B907" s="903" t="str">
        <f>Settings!$A$7</f>
        <v>CHAMPS</v>
      </c>
      <c r="C907" s="764" t="s">
        <v>132</v>
      </c>
      <c r="D907" s="13" t="str">
        <f>'Entry Sheet'!AB97</f>
        <v>J. JOHNSON</v>
      </c>
      <c r="E907" s="13">
        <f>'Entry Sheet'!AC97</f>
        <v>7.8</v>
      </c>
      <c r="F907" s="846" t="s">
        <v>525</v>
      </c>
      <c r="BB907" s="314"/>
    </row>
    <row r="908" ht="15.75" customHeight="1">
      <c r="A908" s="585">
        <v>907.0</v>
      </c>
      <c r="B908" s="903" t="str">
        <f>Settings!$A$7</f>
        <v>CHAMPS</v>
      </c>
      <c r="C908" s="795" t="s">
        <v>136</v>
      </c>
      <c r="D908" s="13" t="str">
        <f>'Entry Sheet'!AB98</f>
        <v>J. JACOBS</v>
      </c>
      <c r="E908" s="13">
        <f>'Entry Sheet'!AC98</f>
        <v>19.2</v>
      </c>
      <c r="F908" s="846" t="s">
        <v>525</v>
      </c>
      <c r="BB908" s="314"/>
    </row>
    <row r="909" ht="15.75" customHeight="1">
      <c r="A909" s="585">
        <v>908.0</v>
      </c>
      <c r="B909" s="903" t="str">
        <f>Settings!$A$7</f>
        <v>CHAMPS</v>
      </c>
      <c r="C909" s="818" t="s">
        <v>139</v>
      </c>
      <c r="D909" s="13" t="str">
        <f>'Entry Sheet'!AB99</f>
        <v>BAL D/ST</v>
      </c>
      <c r="E909" s="13">
        <f>'Entry Sheet'!AC99</f>
        <v>5.97</v>
      </c>
      <c r="F909" s="846" t="s">
        <v>525</v>
      </c>
      <c r="BB909" s="314"/>
    </row>
    <row r="910" ht="15.75" customHeight="1">
      <c r="A910" s="585">
        <v>909.0</v>
      </c>
      <c r="B910" s="903" t="str">
        <f>Settings!$A$7</f>
        <v>CHAMPS</v>
      </c>
      <c r="C910" s="833" t="s">
        <v>146</v>
      </c>
      <c r="D910" s="13" t="str">
        <f>'Entry Sheet'!AB100</f>
        <v>C. DICKER</v>
      </c>
      <c r="E910" s="13">
        <f>'Entry Sheet'!AC100</f>
        <v>21</v>
      </c>
      <c r="F910" s="846" t="s">
        <v>525</v>
      </c>
      <c r="BB910" s="314"/>
    </row>
    <row r="911" ht="15.75" customHeight="1">
      <c r="A911" s="585">
        <v>910.0</v>
      </c>
      <c r="B911" s="903" t="str">
        <f>Settings!$A$7</f>
        <v>CHAMPS</v>
      </c>
      <c r="C911" s="842" t="s">
        <v>162</v>
      </c>
      <c r="D911" s="13" t="str">
        <f>'Entry Sheet'!AB101</f>
        <v>BAL HC</v>
      </c>
      <c r="E911" s="13">
        <f>'Entry Sheet'!AC101</f>
        <v>3.6</v>
      </c>
      <c r="F911" s="846" t="s">
        <v>525</v>
      </c>
      <c r="BB911" s="314"/>
    </row>
    <row r="912" ht="15.75" customHeight="1">
      <c r="A912" s="585">
        <v>911.0</v>
      </c>
      <c r="B912" s="937" t="str">
        <f>Settings!$A$8</f>
        <v>METAMOOKDAWGS</v>
      </c>
      <c r="C912" s="587" t="s">
        <v>100</v>
      </c>
      <c r="D912" s="13" t="str">
        <f>'Entry Sheet'!B110</f>
        <v>J. HURTS</v>
      </c>
      <c r="E912" s="13">
        <f>'Entry Sheet'!C110</f>
        <v>28.68</v>
      </c>
      <c r="F912" s="589" t="s">
        <v>512</v>
      </c>
      <c r="BB912" s="314"/>
    </row>
    <row r="913" ht="15.75" customHeight="1">
      <c r="A913" s="585">
        <v>912.0</v>
      </c>
      <c r="B913" s="937" t="str">
        <f>Settings!$A$8</f>
        <v>METAMOOKDAWGS</v>
      </c>
      <c r="C913" s="596" t="s">
        <v>106</v>
      </c>
      <c r="D913" s="13" t="str">
        <f>'Entry Sheet'!B111</f>
        <v>S. BARKLEY</v>
      </c>
      <c r="E913" s="13">
        <f>'Entry Sheet'!C111</f>
        <v>20.2</v>
      </c>
      <c r="F913" s="589" t="s">
        <v>512</v>
      </c>
      <c r="BB913" s="314"/>
    </row>
    <row r="914" ht="15.75" customHeight="1">
      <c r="A914" s="585">
        <v>913.0</v>
      </c>
      <c r="B914" s="937" t="str">
        <f>Settings!$A$8</f>
        <v>METAMOOKDAWGS</v>
      </c>
      <c r="C914" s="596" t="s">
        <v>106</v>
      </c>
      <c r="D914" s="13" t="str">
        <f>'Entry Sheet'!B112</f>
        <v>O. HAMPTON</v>
      </c>
      <c r="E914" s="13">
        <f>'Entry Sheet'!C112</f>
        <v>9.6</v>
      </c>
      <c r="F914" s="589" t="s">
        <v>512</v>
      </c>
      <c r="BB914" s="314"/>
    </row>
    <row r="915" ht="15.75" customHeight="1">
      <c r="A915" s="585">
        <v>914.0</v>
      </c>
      <c r="B915" s="937" t="str">
        <f>Settings!$A$8</f>
        <v>METAMOOKDAWGS</v>
      </c>
      <c r="C915" s="596" t="s">
        <v>106</v>
      </c>
      <c r="D915" s="13" t="str">
        <f>'Entry Sheet'!B113</f>
        <v/>
      </c>
      <c r="E915" s="13" t="str">
        <f>'Entry Sheet'!C113</f>
        <v/>
      </c>
      <c r="F915" s="589" t="s">
        <v>512</v>
      </c>
      <c r="BB915" s="314"/>
    </row>
    <row r="916" ht="15.75" customHeight="1">
      <c r="A916" s="585">
        <v>915.0</v>
      </c>
      <c r="B916" s="937" t="str">
        <f>Settings!$A$8</f>
        <v>METAMOOKDAWGS</v>
      </c>
      <c r="C916" s="712" t="s">
        <v>117</v>
      </c>
      <c r="D916" s="13" t="str">
        <f>'Entry Sheet'!B114</f>
        <v>N. COLLINS</v>
      </c>
      <c r="E916" s="13">
        <f>'Entry Sheet'!C114</f>
        <v>5.5</v>
      </c>
      <c r="F916" s="589" t="s">
        <v>512</v>
      </c>
      <c r="BB916" s="314"/>
    </row>
    <row r="917" ht="15.75" customHeight="1">
      <c r="A917" s="585">
        <v>916.0</v>
      </c>
      <c r="B917" s="937" t="str">
        <f>Settings!$A$8</f>
        <v>METAMOOKDAWGS</v>
      </c>
      <c r="C917" s="712" t="s">
        <v>117</v>
      </c>
      <c r="D917" s="13" t="str">
        <f>'Entry Sheet'!B115</f>
        <v>J. SMITH-NJIBA</v>
      </c>
      <c r="E917" s="13">
        <f>'Entry Sheet'!C115</f>
        <v>20.4</v>
      </c>
      <c r="F917" s="589" t="s">
        <v>512</v>
      </c>
      <c r="BB917" s="314"/>
    </row>
    <row r="918" ht="15.75" customHeight="1">
      <c r="A918" s="585">
        <v>917.0</v>
      </c>
      <c r="B918" s="937" t="str">
        <f>Settings!$A$8</f>
        <v>METAMOOKDAWGS</v>
      </c>
      <c r="C918" s="712" t="s">
        <v>117</v>
      </c>
      <c r="D918" s="13" t="str">
        <f>'Entry Sheet'!B116</f>
        <v>J. JEUDY</v>
      </c>
      <c r="E918" s="13">
        <f>'Entry Sheet'!C116</f>
        <v>11.6</v>
      </c>
      <c r="F918" s="589" t="s">
        <v>512</v>
      </c>
      <c r="BB918" s="314"/>
    </row>
    <row r="919" ht="15.75" customHeight="1">
      <c r="A919" s="585">
        <v>918.0</v>
      </c>
      <c r="B919" s="937" t="str">
        <f>Settings!$A$8</f>
        <v>METAMOOKDAWGS</v>
      </c>
      <c r="C919" s="712" t="s">
        <v>117</v>
      </c>
      <c r="D919" s="13" t="str">
        <f>'Entry Sheet'!B117</f>
        <v/>
      </c>
      <c r="E919" s="13" t="str">
        <f>'Entry Sheet'!C117</f>
        <v/>
      </c>
      <c r="F919" s="589" t="s">
        <v>512</v>
      </c>
      <c r="BB919" s="314"/>
    </row>
    <row r="920" ht="15.75" customHeight="1">
      <c r="A920" s="585">
        <v>919.0</v>
      </c>
      <c r="B920" s="937" t="str">
        <f>Settings!$A$8</f>
        <v>METAMOOKDAWGS</v>
      </c>
      <c r="C920" s="764" t="s">
        <v>132</v>
      </c>
      <c r="D920" s="13" t="str">
        <f>'Entry Sheet'!B118</f>
        <v>M. ANDREWS</v>
      </c>
      <c r="E920" s="13">
        <f>'Entry Sheet'!C118</f>
        <v>1.5</v>
      </c>
      <c r="F920" s="589" t="s">
        <v>512</v>
      </c>
      <c r="BB920" s="314"/>
    </row>
    <row r="921" ht="15.75" customHeight="1">
      <c r="A921" s="585">
        <v>920.0</v>
      </c>
      <c r="B921" s="937" t="str">
        <f>Settings!$A$8</f>
        <v>METAMOOKDAWGS</v>
      </c>
      <c r="C921" s="795" t="s">
        <v>136</v>
      </c>
      <c r="D921" s="13" t="str">
        <f>'Entry Sheet'!B119</f>
        <v>J. CONNER</v>
      </c>
      <c r="E921" s="13">
        <f>'Entry Sheet'!C119</f>
        <v>15.6</v>
      </c>
      <c r="F921" s="589" t="s">
        <v>512</v>
      </c>
      <c r="BB921" s="314"/>
    </row>
    <row r="922" ht="15.75" customHeight="1">
      <c r="A922" s="585">
        <v>921.0</v>
      </c>
      <c r="B922" s="937" t="str">
        <f>Settings!$A$8</f>
        <v>METAMOOKDAWGS</v>
      </c>
      <c r="C922" s="818" t="s">
        <v>139</v>
      </c>
      <c r="D922" s="13" t="str">
        <f>'Entry Sheet'!B120</f>
        <v>CHI D/ST</v>
      </c>
      <c r="E922" s="13">
        <f>'Entry Sheet'!C120</f>
        <v>25.21</v>
      </c>
      <c r="F922" s="589" t="s">
        <v>512</v>
      </c>
      <c r="BB922" s="314"/>
    </row>
    <row r="923" ht="15.75" customHeight="1">
      <c r="A923" s="585">
        <v>922.0</v>
      </c>
      <c r="B923" s="937" t="str">
        <f>Settings!$A$8</f>
        <v>METAMOOKDAWGS</v>
      </c>
      <c r="C923" s="833" t="s">
        <v>146</v>
      </c>
      <c r="D923" s="13" t="str">
        <f>'Entry Sheet'!B121</f>
        <v>C. MCLAUGHLIN</v>
      </c>
      <c r="E923" s="13">
        <f>'Entry Sheet'!C121</f>
        <v>4.5</v>
      </c>
      <c r="F923" s="589" t="s">
        <v>512</v>
      </c>
      <c r="BB923" s="314"/>
    </row>
    <row r="924" ht="15.75" customHeight="1">
      <c r="A924" s="585">
        <v>923.0</v>
      </c>
      <c r="B924" s="937" t="str">
        <f>Settings!$A$8</f>
        <v>METAMOOKDAWGS</v>
      </c>
      <c r="C924" s="842" t="s">
        <v>162</v>
      </c>
      <c r="D924" s="13" t="str">
        <f>'Entry Sheet'!B122</f>
        <v>DEN HC</v>
      </c>
      <c r="E924" s="13">
        <f>'Entry Sheet'!C122</f>
        <v>9</v>
      </c>
      <c r="F924" s="589" t="s">
        <v>512</v>
      </c>
      <c r="BB924" s="314"/>
    </row>
    <row r="925" ht="15.75" customHeight="1">
      <c r="A925" s="585">
        <v>924.0</v>
      </c>
      <c r="B925" s="937" t="str">
        <f>Settings!$A$8</f>
        <v>METAMOOKDAWGS</v>
      </c>
      <c r="C925" s="587" t="s">
        <v>100</v>
      </c>
      <c r="D925" s="13" t="str">
        <f>'Entry Sheet'!D110</f>
        <v>J. HURTS</v>
      </c>
      <c r="E925" s="13">
        <f>'Entry Sheet'!E110</f>
        <v>14.04</v>
      </c>
      <c r="F925" s="846" t="s">
        <v>513</v>
      </c>
      <c r="BB925" s="314"/>
    </row>
    <row r="926" ht="15.75" customHeight="1">
      <c r="A926" s="585">
        <v>925.0</v>
      </c>
      <c r="B926" s="937" t="str">
        <f>Settings!$A$8</f>
        <v>METAMOOKDAWGS</v>
      </c>
      <c r="C926" s="596" t="s">
        <v>106</v>
      </c>
      <c r="D926" s="13" t="str">
        <f>'Entry Sheet'!D111</f>
        <v>S. BARKLEY</v>
      </c>
      <c r="E926" s="13">
        <f>'Entry Sheet'!E111</f>
        <v>19.6</v>
      </c>
      <c r="F926" s="846" t="s">
        <v>513</v>
      </c>
      <c r="BB926" s="314"/>
    </row>
    <row r="927" ht="15.75" customHeight="1">
      <c r="A927" s="585">
        <v>926.0</v>
      </c>
      <c r="B927" s="937" t="str">
        <f>Settings!$A$8</f>
        <v>METAMOOKDAWGS</v>
      </c>
      <c r="C927" s="596" t="s">
        <v>106</v>
      </c>
      <c r="D927" s="13" t="str">
        <f>'Entry Sheet'!D112</f>
        <v>J. CONNER</v>
      </c>
      <c r="E927" s="13">
        <f>'Entry Sheet'!E112</f>
        <v>13.3</v>
      </c>
      <c r="F927" s="846" t="s">
        <v>513</v>
      </c>
      <c r="BB927" s="314"/>
    </row>
    <row r="928" ht="15.75" customHeight="1">
      <c r="A928" s="585">
        <v>927.0</v>
      </c>
      <c r="B928" s="937" t="str">
        <f>Settings!$A$8</f>
        <v>METAMOOKDAWGS</v>
      </c>
      <c r="C928" s="596" t="s">
        <v>106</v>
      </c>
      <c r="D928" s="13" t="str">
        <f>'Entry Sheet'!D113</f>
        <v/>
      </c>
      <c r="E928" s="13" t="str">
        <f>'Entry Sheet'!E113</f>
        <v/>
      </c>
      <c r="F928" s="846" t="s">
        <v>513</v>
      </c>
      <c r="BB928" s="314"/>
    </row>
    <row r="929" ht="15.75" customHeight="1">
      <c r="A929" s="585">
        <v>928.0</v>
      </c>
      <c r="B929" s="937" t="str">
        <f>Settings!$A$8</f>
        <v>METAMOOKDAWGS</v>
      </c>
      <c r="C929" s="712" t="s">
        <v>117</v>
      </c>
      <c r="D929" s="13" t="str">
        <f>'Entry Sheet'!D114</f>
        <v>N. COLLINS</v>
      </c>
      <c r="E929" s="13">
        <f>'Entry Sheet'!E114</f>
        <v>14.2</v>
      </c>
      <c r="F929" s="846" t="s">
        <v>513</v>
      </c>
      <c r="BB929" s="314"/>
    </row>
    <row r="930" ht="15.75" customHeight="1">
      <c r="A930" s="585">
        <v>929.0</v>
      </c>
      <c r="B930" s="937" t="str">
        <f>Settings!$A$8</f>
        <v>METAMOOKDAWGS</v>
      </c>
      <c r="C930" s="712" t="s">
        <v>117</v>
      </c>
      <c r="D930" s="13" t="str">
        <f>'Entry Sheet'!D115</f>
        <v>J. SMITH-NJIBA</v>
      </c>
      <c r="E930" s="13">
        <f>'Entry Sheet'!E115</f>
        <v>19.3</v>
      </c>
      <c r="F930" s="846" t="s">
        <v>513</v>
      </c>
      <c r="BB930" s="314"/>
    </row>
    <row r="931" ht="15.75" customHeight="1">
      <c r="A931" s="585">
        <v>930.0</v>
      </c>
      <c r="B931" s="937" t="str">
        <f>Settings!$A$8</f>
        <v>METAMOOKDAWGS</v>
      </c>
      <c r="C931" s="712" t="s">
        <v>117</v>
      </c>
      <c r="D931" s="13" t="str">
        <f>'Entry Sheet'!D116</f>
        <v>D. METCALF</v>
      </c>
      <c r="E931" s="13">
        <f>'Entry Sheet'!E116</f>
        <v>11</v>
      </c>
      <c r="F931" s="846" t="s">
        <v>513</v>
      </c>
      <c r="BB931" s="314"/>
    </row>
    <row r="932" ht="15.75" customHeight="1">
      <c r="A932" s="585">
        <v>931.0</v>
      </c>
      <c r="B932" s="937" t="str">
        <f>Settings!$A$8</f>
        <v>METAMOOKDAWGS</v>
      </c>
      <c r="C932" s="712" t="s">
        <v>117</v>
      </c>
      <c r="D932" s="13" t="str">
        <f>'Entry Sheet'!D117</f>
        <v/>
      </c>
      <c r="E932" s="13" t="str">
        <f>'Entry Sheet'!E117</f>
        <v/>
      </c>
      <c r="F932" s="846" t="s">
        <v>513</v>
      </c>
      <c r="BB932" s="314"/>
    </row>
    <row r="933" ht="15.75" customHeight="1">
      <c r="A933" s="585">
        <v>932.0</v>
      </c>
      <c r="B933" s="937" t="str">
        <f>Settings!$A$8</f>
        <v>METAMOOKDAWGS</v>
      </c>
      <c r="C933" s="764" t="s">
        <v>132</v>
      </c>
      <c r="D933" s="13" t="str">
        <f>'Entry Sheet'!D118</f>
        <v>M. ANDREWS</v>
      </c>
      <c r="E933" s="13">
        <f>'Entry Sheet'!E118</f>
        <v>1.5</v>
      </c>
      <c r="F933" s="846" t="s">
        <v>513</v>
      </c>
      <c r="BB933" s="314"/>
    </row>
    <row r="934" ht="15.75" customHeight="1">
      <c r="A934" s="585">
        <v>933.0</v>
      </c>
      <c r="B934" s="937" t="str">
        <f>Settings!$A$8</f>
        <v>METAMOOKDAWGS</v>
      </c>
      <c r="C934" s="795" t="s">
        <v>136</v>
      </c>
      <c r="D934" s="13" t="str">
        <f>'Entry Sheet'!D119</f>
        <v>O. HAMPTON</v>
      </c>
      <c r="E934" s="13">
        <f>'Entry Sheet'!E119</f>
        <v>4.3</v>
      </c>
      <c r="F934" s="846" t="s">
        <v>513</v>
      </c>
      <c r="BB934" s="314"/>
    </row>
    <row r="935" ht="15.75" customHeight="1">
      <c r="A935" s="585">
        <v>934.0</v>
      </c>
      <c r="B935" s="937" t="str">
        <f>Settings!$A$8</f>
        <v>METAMOOKDAWGS</v>
      </c>
      <c r="C935" s="818" t="s">
        <v>139</v>
      </c>
      <c r="D935" s="13" t="str">
        <f>'Entry Sheet'!D120</f>
        <v>SEA D/ST</v>
      </c>
      <c r="E935" s="13">
        <f>'Entry Sheet'!E120</f>
        <v>30.05</v>
      </c>
      <c r="F935" s="846" t="s">
        <v>513</v>
      </c>
      <c r="BB935" s="314"/>
    </row>
    <row r="936" ht="15.75" customHeight="1">
      <c r="A936" s="585">
        <v>935.0</v>
      </c>
      <c r="B936" s="937" t="str">
        <f>Settings!$A$8</f>
        <v>METAMOOKDAWGS</v>
      </c>
      <c r="C936" s="833" t="s">
        <v>146</v>
      </c>
      <c r="D936" s="13" t="str">
        <f>'Entry Sheet'!D121</f>
        <v>C. MCLAUGHLIN</v>
      </c>
      <c r="E936" s="13">
        <f>'Entry Sheet'!E121</f>
        <v>0</v>
      </c>
      <c r="F936" s="846" t="s">
        <v>513</v>
      </c>
      <c r="BB936" s="314"/>
    </row>
    <row r="937" ht="15.75" customHeight="1">
      <c r="A937" s="585">
        <v>936.0</v>
      </c>
      <c r="B937" s="937" t="str">
        <f>Settings!$A$8</f>
        <v>METAMOOKDAWGS</v>
      </c>
      <c r="C937" s="842" t="s">
        <v>162</v>
      </c>
      <c r="D937" s="13" t="str">
        <f>'Entry Sheet'!D122</f>
        <v>DEN HC</v>
      </c>
      <c r="E937" s="13">
        <f>'Entry Sheet'!E122</f>
        <v>6.4</v>
      </c>
      <c r="F937" s="846" t="s">
        <v>513</v>
      </c>
      <c r="BB937" s="314"/>
    </row>
    <row r="938" ht="15.75" customHeight="1">
      <c r="A938" s="585">
        <v>937.0</v>
      </c>
      <c r="B938" s="937" t="str">
        <f>Settings!$A$8</f>
        <v>METAMOOKDAWGS</v>
      </c>
      <c r="C938" s="587" t="s">
        <v>100</v>
      </c>
      <c r="D938" s="13" t="str">
        <f>'Entry Sheet'!F110</f>
        <v>J. HURTS</v>
      </c>
      <c r="E938" s="13">
        <f>'Entry Sheet'!G110</f>
        <v>37.94</v>
      </c>
      <c r="F938" s="589" t="s">
        <v>514</v>
      </c>
      <c r="BB938" s="314"/>
    </row>
    <row r="939" ht="15.75" customHeight="1">
      <c r="A939" s="585">
        <v>938.0</v>
      </c>
      <c r="B939" s="937" t="str">
        <f>Settings!$A$8</f>
        <v>METAMOOKDAWGS</v>
      </c>
      <c r="C939" s="596" t="s">
        <v>106</v>
      </c>
      <c r="D939" s="13" t="str">
        <f>'Entry Sheet'!F111</f>
        <v>S. BARKLEY</v>
      </c>
      <c r="E939" s="13">
        <f>'Entry Sheet'!G111</f>
        <v>11.3</v>
      </c>
      <c r="F939" s="589" t="s">
        <v>514</v>
      </c>
      <c r="BB939" s="314"/>
    </row>
    <row r="940" ht="15.75" customHeight="1">
      <c r="A940" s="585">
        <v>939.0</v>
      </c>
      <c r="B940" s="937" t="str">
        <f>Settings!$A$8</f>
        <v>METAMOOKDAWGS</v>
      </c>
      <c r="C940" s="596" t="s">
        <v>106</v>
      </c>
      <c r="D940" s="13" t="str">
        <f>'Entry Sheet'!F112</f>
        <v>O. HAMPTON</v>
      </c>
      <c r="E940" s="13">
        <f>'Entry Sheet'!G112</f>
        <v>28.3</v>
      </c>
      <c r="F940" s="589" t="s">
        <v>514</v>
      </c>
      <c r="BB940" s="314"/>
    </row>
    <row r="941" ht="15.75" customHeight="1">
      <c r="A941" s="585">
        <v>940.0</v>
      </c>
      <c r="B941" s="937" t="str">
        <f>Settings!$A$8</f>
        <v>METAMOOKDAWGS</v>
      </c>
      <c r="C941" s="596" t="s">
        <v>106</v>
      </c>
      <c r="D941" s="13" t="str">
        <f>'Entry Sheet'!F113</f>
        <v/>
      </c>
      <c r="E941" s="13" t="str">
        <f>'Entry Sheet'!G113</f>
        <v/>
      </c>
      <c r="F941" s="589" t="s">
        <v>514</v>
      </c>
      <c r="BB941" s="314"/>
    </row>
    <row r="942" ht="15.75" customHeight="1">
      <c r="A942" s="585">
        <v>941.0</v>
      </c>
      <c r="B942" s="937" t="str">
        <f>Settings!$A$8</f>
        <v>METAMOOKDAWGS</v>
      </c>
      <c r="C942" s="712" t="s">
        <v>117</v>
      </c>
      <c r="D942" s="13" t="str">
        <f>'Entry Sheet'!F114</f>
        <v>N. COLLINS</v>
      </c>
      <c r="E942" s="13">
        <f>'Entry Sheet'!G114</f>
        <v>23.4</v>
      </c>
      <c r="F942" s="589" t="s">
        <v>514</v>
      </c>
      <c r="BB942" s="314"/>
    </row>
    <row r="943" ht="15.75" customHeight="1">
      <c r="A943" s="585">
        <v>942.0</v>
      </c>
      <c r="B943" s="937" t="str">
        <f>Settings!$A$8</f>
        <v>METAMOOKDAWGS</v>
      </c>
      <c r="C943" s="712" t="s">
        <v>117</v>
      </c>
      <c r="D943" s="13" t="str">
        <f>'Entry Sheet'!F115</f>
        <v>J. SMITH-NJIGBA</v>
      </c>
      <c r="E943" s="13">
        <f>'Entry Sheet'!G115</f>
        <v>20.6</v>
      </c>
      <c r="F943" s="589" t="s">
        <v>514</v>
      </c>
      <c r="BB943" s="314"/>
    </row>
    <row r="944" ht="15.75" customHeight="1">
      <c r="A944" s="585">
        <v>943.0</v>
      </c>
      <c r="B944" s="937" t="str">
        <f>Settings!$A$8</f>
        <v>METAMOOKDAWGS</v>
      </c>
      <c r="C944" s="712" t="s">
        <v>117</v>
      </c>
      <c r="D944" s="13" t="str">
        <f>'Entry Sheet'!F116</f>
        <v>D. METCALF</v>
      </c>
      <c r="E944" s="13">
        <f>'Entry Sheet'!G116</f>
        <v>12.2</v>
      </c>
      <c r="F944" s="589" t="s">
        <v>514</v>
      </c>
      <c r="BB944" s="314"/>
    </row>
    <row r="945" ht="15.75" customHeight="1">
      <c r="A945" s="585">
        <v>944.0</v>
      </c>
      <c r="B945" s="937" t="str">
        <f>Settings!$A$8</f>
        <v>METAMOOKDAWGS</v>
      </c>
      <c r="C945" s="712" t="s">
        <v>117</v>
      </c>
      <c r="D945" s="13" t="str">
        <f>'Entry Sheet'!F117</f>
        <v/>
      </c>
      <c r="E945" s="13" t="str">
        <f>'Entry Sheet'!G117</f>
        <v/>
      </c>
      <c r="F945" s="589" t="s">
        <v>514</v>
      </c>
      <c r="BB945" s="314"/>
    </row>
    <row r="946" ht="15.75" customHeight="1">
      <c r="A946" s="585">
        <v>945.0</v>
      </c>
      <c r="B946" s="937" t="str">
        <f>Settings!$A$8</f>
        <v>METAMOOKDAWGS</v>
      </c>
      <c r="C946" s="764" t="s">
        <v>132</v>
      </c>
      <c r="D946" s="13" t="str">
        <f>'Entry Sheet'!F118</f>
        <v>M. ANDREWS</v>
      </c>
      <c r="E946" s="13">
        <f>'Entry Sheet'!G118</f>
        <v>27.1</v>
      </c>
      <c r="F946" s="589" t="s">
        <v>514</v>
      </c>
      <c r="BB946" s="314"/>
    </row>
    <row r="947" ht="15.75" customHeight="1">
      <c r="A947" s="585">
        <v>946.0</v>
      </c>
      <c r="B947" s="937" t="str">
        <f>Settings!$A$8</f>
        <v>METAMOOKDAWGS</v>
      </c>
      <c r="C947" s="795" t="s">
        <v>136</v>
      </c>
      <c r="D947" s="13" t="str">
        <f>'Entry Sheet'!F119</f>
        <v>J. CONNER</v>
      </c>
      <c r="E947" s="13">
        <f>'Entry Sheet'!G119</f>
        <v>7.6</v>
      </c>
      <c r="F947" s="589" t="s">
        <v>514</v>
      </c>
      <c r="BB947" s="314"/>
    </row>
    <row r="948" ht="15.75" customHeight="1">
      <c r="A948" s="585">
        <v>947.0</v>
      </c>
      <c r="B948" s="937" t="str">
        <f>Settings!$A$8</f>
        <v>METAMOOKDAWGS</v>
      </c>
      <c r="C948" s="818" t="s">
        <v>139</v>
      </c>
      <c r="D948" s="13" t="str">
        <f>'Entry Sheet'!F120</f>
        <v>SEA D/ST</v>
      </c>
      <c r="E948" s="13">
        <f>'Entry Sheet'!G120</f>
        <v>34.72</v>
      </c>
      <c r="F948" s="589" t="s">
        <v>514</v>
      </c>
      <c r="BB948" s="314"/>
    </row>
    <row r="949" ht="15.75" customHeight="1">
      <c r="A949" s="585">
        <v>948.0</v>
      </c>
      <c r="B949" s="937" t="str">
        <f>Settings!$A$8</f>
        <v>METAMOOKDAWGS</v>
      </c>
      <c r="C949" s="833" t="s">
        <v>146</v>
      </c>
      <c r="D949" s="13" t="str">
        <f>'Entry Sheet'!F121</f>
        <v>C. MCLAUGHLIN</v>
      </c>
      <c r="E949" s="13">
        <f>'Entry Sheet'!G121</f>
        <v>23</v>
      </c>
      <c r="F949" s="589" t="s">
        <v>514</v>
      </c>
      <c r="BB949" s="314"/>
    </row>
    <row r="950" ht="15.75" customHeight="1">
      <c r="A950" s="585">
        <v>949.0</v>
      </c>
      <c r="B950" s="937" t="str">
        <f>Settings!$A$8</f>
        <v>METAMOOKDAWGS</v>
      </c>
      <c r="C950" s="842" t="s">
        <v>162</v>
      </c>
      <c r="D950" s="13" t="str">
        <f>'Entry Sheet'!F122</f>
        <v>DEN HC</v>
      </c>
      <c r="E950" s="13">
        <f>'Entry Sheet'!G122</f>
        <v>4</v>
      </c>
      <c r="F950" s="589" t="s">
        <v>514</v>
      </c>
      <c r="BB950" s="314"/>
    </row>
    <row r="951" ht="15.75" customHeight="1">
      <c r="A951" s="585">
        <v>950.0</v>
      </c>
      <c r="B951" s="937" t="str">
        <f>Settings!$A$8</f>
        <v>METAMOOKDAWGS</v>
      </c>
      <c r="C951" s="587" t="s">
        <v>100</v>
      </c>
      <c r="D951" s="13" t="str">
        <f>'Entry Sheet'!H110</f>
        <v>J. HURTS</v>
      </c>
      <c r="E951" s="13">
        <f>'Entry Sheet'!I110</f>
        <v>25.5</v>
      </c>
      <c r="F951" s="846" t="s">
        <v>515</v>
      </c>
      <c r="BB951" s="314"/>
    </row>
    <row r="952" ht="15.75" customHeight="1">
      <c r="A952" s="585">
        <v>951.0</v>
      </c>
      <c r="B952" s="937" t="str">
        <f>Settings!$A$8</f>
        <v>METAMOOKDAWGS</v>
      </c>
      <c r="C952" s="596" t="s">
        <v>106</v>
      </c>
      <c r="D952" s="13" t="str">
        <f>'Entry Sheet'!H111</f>
        <v>S. BARKLEY</v>
      </c>
      <c r="E952" s="13">
        <f>'Entry Sheet'!I111</f>
        <v>19.3</v>
      </c>
      <c r="F952" s="846" t="s">
        <v>515</v>
      </c>
      <c r="BB952" s="314"/>
    </row>
    <row r="953" ht="15.75" customHeight="1">
      <c r="A953" s="585">
        <v>952.0</v>
      </c>
      <c r="B953" s="937" t="str">
        <f>Settings!$A$8</f>
        <v>METAMOOKDAWGS</v>
      </c>
      <c r="C953" s="596" t="s">
        <v>106</v>
      </c>
      <c r="D953" s="13" t="str">
        <f>'Entry Sheet'!H112</f>
        <v>O. HAMPTON</v>
      </c>
      <c r="E953" s="13">
        <f>'Entry Sheet'!I112</f>
        <v>29.7</v>
      </c>
      <c r="F953" s="846" t="s">
        <v>515</v>
      </c>
      <c r="BB953" s="314"/>
    </row>
    <row r="954" ht="15.75" customHeight="1">
      <c r="A954" s="585">
        <v>953.0</v>
      </c>
      <c r="B954" s="937" t="str">
        <f>Settings!$A$8</f>
        <v>METAMOOKDAWGS</v>
      </c>
      <c r="C954" s="596" t="s">
        <v>106</v>
      </c>
      <c r="D954" s="13" t="str">
        <f>'Entry Sheet'!H113</f>
        <v/>
      </c>
      <c r="E954" s="13" t="str">
        <f>'Entry Sheet'!I113</f>
        <v/>
      </c>
      <c r="F954" s="846" t="s">
        <v>515</v>
      </c>
      <c r="BB954" s="314"/>
    </row>
    <row r="955" ht="15.75" customHeight="1">
      <c r="A955" s="585">
        <v>954.0</v>
      </c>
      <c r="B955" s="937" t="str">
        <f>Settings!$A$8</f>
        <v>METAMOOKDAWGS</v>
      </c>
      <c r="C955" s="712" t="s">
        <v>117</v>
      </c>
      <c r="D955" s="13" t="str">
        <f>'Entry Sheet'!H114</f>
        <v>N. COLLINS</v>
      </c>
      <c r="E955" s="13">
        <f>'Entry Sheet'!I114</f>
        <v>11.9</v>
      </c>
      <c r="F955" s="846" t="s">
        <v>515</v>
      </c>
      <c r="BB955" s="314"/>
    </row>
    <row r="956" ht="15.75" customHeight="1">
      <c r="A956" s="585">
        <v>955.0</v>
      </c>
      <c r="B956" s="937" t="str">
        <f>Settings!$A$8</f>
        <v>METAMOOKDAWGS</v>
      </c>
      <c r="C956" s="712" t="s">
        <v>117</v>
      </c>
      <c r="D956" s="13" t="str">
        <f>'Entry Sheet'!H115</f>
        <v>J. SMITH-NJIGBA</v>
      </c>
      <c r="E956" s="13">
        <f>'Entry Sheet'!I115</f>
        <v>13.3</v>
      </c>
      <c r="F956" s="846" t="s">
        <v>515</v>
      </c>
      <c r="BB956" s="314"/>
    </row>
    <row r="957" ht="15.75" customHeight="1">
      <c r="A957" s="585">
        <v>956.0</v>
      </c>
      <c r="B957" s="937" t="str">
        <f>Settings!$A$8</f>
        <v>METAMOOKDAWGS</v>
      </c>
      <c r="C957" s="712" t="s">
        <v>117</v>
      </c>
      <c r="D957" s="13" t="str">
        <f>'Entry Sheet'!H116</f>
        <v>D. METCALF</v>
      </c>
      <c r="E957" s="13">
        <f>'Entry Sheet'!I116</f>
        <v>24.6</v>
      </c>
      <c r="F957" s="846" t="s">
        <v>515</v>
      </c>
      <c r="BB957" s="314"/>
    </row>
    <row r="958" ht="15.75" customHeight="1">
      <c r="A958" s="585">
        <v>957.0</v>
      </c>
      <c r="B958" s="937" t="str">
        <f>Settings!$A$8</f>
        <v>METAMOOKDAWGS</v>
      </c>
      <c r="C958" s="712" t="s">
        <v>117</v>
      </c>
      <c r="D958" s="13" t="str">
        <f>'Entry Sheet'!H117</f>
        <v/>
      </c>
      <c r="E958" s="13" t="str">
        <f>'Entry Sheet'!I117</f>
        <v/>
      </c>
      <c r="F958" s="846" t="s">
        <v>515</v>
      </c>
      <c r="BB958" s="314"/>
    </row>
    <row r="959" ht="15.75" customHeight="1">
      <c r="A959" s="585">
        <v>958.0</v>
      </c>
      <c r="B959" s="937" t="str">
        <f>Settings!$A$8</f>
        <v>METAMOOKDAWGS</v>
      </c>
      <c r="C959" s="764" t="s">
        <v>132</v>
      </c>
      <c r="D959" s="13" t="str">
        <f>'Entry Sheet'!H118</f>
        <v>M. ANDREWS</v>
      </c>
      <c r="E959" s="13">
        <f>'Entry Sheet'!I118</f>
        <v>10</v>
      </c>
      <c r="F959" s="846" t="s">
        <v>515</v>
      </c>
      <c r="BB959" s="314"/>
    </row>
    <row r="960" ht="15.75" customHeight="1">
      <c r="A960" s="585">
        <v>959.0</v>
      </c>
      <c r="B960" s="937" t="str">
        <f>Settings!$A$8</f>
        <v>METAMOOKDAWGS</v>
      </c>
      <c r="C960" s="795" t="s">
        <v>136</v>
      </c>
      <c r="D960" s="13" t="str">
        <f>'Entry Sheet'!H119</f>
        <v>J. CONNOR</v>
      </c>
      <c r="E960" s="13">
        <f>'Entry Sheet'!I119</f>
        <v>0</v>
      </c>
      <c r="F960" s="846" t="s">
        <v>515</v>
      </c>
      <c r="BB960" s="314"/>
    </row>
    <row r="961" ht="15.75" customHeight="1">
      <c r="A961" s="585">
        <v>960.0</v>
      </c>
      <c r="B961" s="937" t="str">
        <f>Settings!$A$8</f>
        <v>METAMOOKDAWGS</v>
      </c>
      <c r="C961" s="818" t="s">
        <v>139</v>
      </c>
      <c r="D961" s="13" t="str">
        <f>'Entry Sheet'!H120</f>
        <v>SEA D/ST</v>
      </c>
      <c r="E961" s="13">
        <f>'Entry Sheet'!I120</f>
        <v>25.95</v>
      </c>
      <c r="F961" s="846" t="s">
        <v>515</v>
      </c>
      <c r="BB961" s="314"/>
    </row>
    <row r="962" ht="15.75" customHeight="1">
      <c r="A962" s="585">
        <v>961.0</v>
      </c>
      <c r="B962" s="937" t="str">
        <f>Settings!$A$8</f>
        <v>METAMOOKDAWGS</v>
      </c>
      <c r="C962" s="833" t="s">
        <v>146</v>
      </c>
      <c r="D962" s="13" t="str">
        <f>'Entry Sheet'!H121</f>
        <v>C. MCLAUGHLIN</v>
      </c>
      <c r="E962" s="13">
        <f>'Entry Sheet'!I121</f>
        <v>21</v>
      </c>
      <c r="F962" s="846" t="s">
        <v>515</v>
      </c>
      <c r="BB962" s="314"/>
    </row>
    <row r="963" ht="15.75" customHeight="1">
      <c r="A963" s="585">
        <v>962.0</v>
      </c>
      <c r="B963" s="937" t="str">
        <f>Settings!$A$8</f>
        <v>METAMOOKDAWGS</v>
      </c>
      <c r="C963" s="842" t="s">
        <v>162</v>
      </c>
      <c r="D963" s="13" t="str">
        <f>'Entry Sheet'!H122</f>
        <v>DEN HC</v>
      </c>
      <c r="E963" s="13">
        <f>'Entry Sheet'!I122</f>
        <v>20.4</v>
      </c>
      <c r="F963" s="846" t="s">
        <v>515</v>
      </c>
      <c r="BB963" s="314"/>
    </row>
    <row r="964" ht="15.75" customHeight="1">
      <c r="A964" s="585">
        <v>963.0</v>
      </c>
      <c r="B964" s="937" t="str">
        <f>Settings!$A$8</f>
        <v>METAMOOKDAWGS</v>
      </c>
      <c r="C964" s="587" t="s">
        <v>100</v>
      </c>
      <c r="D964" s="13" t="str">
        <f>'Entry Sheet'!J110</f>
        <v>J. HURTS</v>
      </c>
      <c r="E964" s="13">
        <f>'Entry Sheet'!K110</f>
        <v>25.3</v>
      </c>
      <c r="F964" s="589" t="s">
        <v>516</v>
      </c>
      <c r="BB964" s="314"/>
    </row>
    <row r="965" ht="15.75" customHeight="1">
      <c r="A965" s="585">
        <v>964.0</v>
      </c>
      <c r="B965" s="937" t="str">
        <f>Settings!$A$8</f>
        <v>METAMOOKDAWGS</v>
      </c>
      <c r="C965" s="596" t="s">
        <v>106</v>
      </c>
      <c r="D965" s="13" t="str">
        <f>'Entry Sheet'!J111</f>
        <v>S. BARKLEY</v>
      </c>
      <c r="E965" s="13">
        <f>'Entry Sheet'!K111</f>
        <v>18.4</v>
      </c>
      <c r="F965" s="589" t="s">
        <v>516</v>
      </c>
      <c r="BB965" s="314"/>
    </row>
    <row r="966" ht="15.75" customHeight="1">
      <c r="A966" s="585">
        <v>965.0</v>
      </c>
      <c r="B966" s="937" t="str">
        <f>Settings!$A$8</f>
        <v>METAMOOKDAWGS</v>
      </c>
      <c r="C966" s="596" t="s">
        <v>106</v>
      </c>
      <c r="D966" s="13" t="str">
        <f>'Entry Sheet'!J112</f>
        <v>O. HAMPTON</v>
      </c>
      <c r="E966" s="13">
        <f>'Entry Sheet'!K112</f>
        <v>14.2</v>
      </c>
      <c r="F966" s="589" t="s">
        <v>516</v>
      </c>
      <c r="BB966" s="314"/>
    </row>
    <row r="967" ht="15.75" customHeight="1">
      <c r="A967" s="585">
        <v>966.0</v>
      </c>
      <c r="B967" s="937" t="str">
        <f>Settings!$A$8</f>
        <v>METAMOOKDAWGS</v>
      </c>
      <c r="C967" s="596" t="s">
        <v>106</v>
      </c>
      <c r="D967" s="13" t="str">
        <f>'Entry Sheet'!J113</f>
        <v/>
      </c>
      <c r="E967" s="13" t="str">
        <f>'Entry Sheet'!K113</f>
        <v/>
      </c>
      <c r="F967" s="589" t="s">
        <v>516</v>
      </c>
      <c r="BB967" s="314"/>
    </row>
    <row r="968" ht="15.75" customHeight="1">
      <c r="A968" s="585">
        <v>967.0</v>
      </c>
      <c r="B968" s="937" t="str">
        <f>Settings!$A$8</f>
        <v>METAMOOKDAWGS</v>
      </c>
      <c r="C968" s="712" t="s">
        <v>117</v>
      </c>
      <c r="D968" s="13" t="str">
        <f>'Entry Sheet'!J114</f>
        <v>N. COLLINS</v>
      </c>
      <c r="E968" s="13">
        <f>'Entry Sheet'!K114</f>
        <v>16.1</v>
      </c>
      <c r="F968" s="589" t="s">
        <v>516</v>
      </c>
      <c r="BB968" s="314"/>
    </row>
    <row r="969" ht="15.75" customHeight="1">
      <c r="A969" s="585">
        <v>968.0</v>
      </c>
      <c r="B969" s="937" t="str">
        <f>Settings!$A$8</f>
        <v>METAMOOKDAWGS</v>
      </c>
      <c r="C969" s="712" t="s">
        <v>117</v>
      </c>
      <c r="D969" s="13" t="str">
        <f>'Entry Sheet'!J115</f>
        <v>J. JEUDY</v>
      </c>
      <c r="E969" s="13">
        <f>'Entry Sheet'!K115</f>
        <v>3.5</v>
      </c>
      <c r="F969" s="589" t="s">
        <v>516</v>
      </c>
      <c r="BB969" s="314"/>
    </row>
    <row r="970" ht="15.75" customHeight="1">
      <c r="A970" s="585">
        <v>969.0</v>
      </c>
      <c r="B970" s="937" t="str">
        <f>Settings!$A$8</f>
        <v>METAMOOKDAWGS</v>
      </c>
      <c r="C970" s="712" t="s">
        <v>117</v>
      </c>
      <c r="D970" s="13" t="str">
        <f>'Entry Sheet'!J116</f>
        <v>C. KUPP</v>
      </c>
      <c r="E970" s="13">
        <f>'Entry Sheet'!K116</f>
        <v>11.9</v>
      </c>
      <c r="F970" s="589" t="s">
        <v>516</v>
      </c>
      <c r="BB970" s="314"/>
    </row>
    <row r="971" ht="15.75" customHeight="1">
      <c r="A971" s="585">
        <v>970.0</v>
      </c>
      <c r="B971" s="937" t="str">
        <f>Settings!$A$8</f>
        <v>METAMOOKDAWGS</v>
      </c>
      <c r="C971" s="712" t="s">
        <v>117</v>
      </c>
      <c r="D971" s="13" t="str">
        <f>'Entry Sheet'!J117</f>
        <v/>
      </c>
      <c r="E971" s="13" t="str">
        <f>'Entry Sheet'!K117</f>
        <v/>
      </c>
      <c r="F971" s="589" t="s">
        <v>516</v>
      </c>
      <c r="BB971" s="314"/>
    </row>
    <row r="972" ht="15.75" customHeight="1">
      <c r="A972" s="585">
        <v>971.0</v>
      </c>
      <c r="B972" s="937" t="str">
        <f>Settings!$A$8</f>
        <v>METAMOOKDAWGS</v>
      </c>
      <c r="C972" s="764" t="s">
        <v>132</v>
      </c>
      <c r="D972" s="13" t="str">
        <f>'Entry Sheet'!J118</f>
        <v>B. STRANGE</v>
      </c>
      <c r="E972" s="13">
        <f>'Entry Sheet'!K118</f>
        <v>3.2</v>
      </c>
      <c r="F972" s="589" t="s">
        <v>516</v>
      </c>
      <c r="BB972" s="314"/>
    </row>
    <row r="973" ht="15.75" customHeight="1">
      <c r="A973" s="585">
        <v>972.0</v>
      </c>
      <c r="B973" s="937" t="str">
        <f>Settings!$A$8</f>
        <v>METAMOOKDAWGS</v>
      </c>
      <c r="C973" s="795" t="s">
        <v>136</v>
      </c>
      <c r="D973" s="13" t="str">
        <f>'Entry Sheet'!J119</f>
        <v>J. SMITH-NJIGBA</v>
      </c>
      <c r="E973" s="13">
        <f>'Entry Sheet'!K119</f>
        <v>28.2</v>
      </c>
      <c r="F973" s="589" t="s">
        <v>516</v>
      </c>
      <c r="BB973" s="314"/>
    </row>
    <row r="974" ht="15.75" customHeight="1">
      <c r="A974" s="585">
        <v>973.0</v>
      </c>
      <c r="B974" s="937" t="str">
        <f>Settings!$A$8</f>
        <v>METAMOOKDAWGS</v>
      </c>
      <c r="C974" s="818" t="s">
        <v>139</v>
      </c>
      <c r="D974" s="13" t="str">
        <f>'Entry Sheet'!J120</f>
        <v>SEA D/ST</v>
      </c>
      <c r="E974" s="13">
        <f>'Entry Sheet'!K120</f>
        <v>2.8</v>
      </c>
      <c r="F974" s="589" t="s">
        <v>516</v>
      </c>
      <c r="BB974" s="314"/>
    </row>
    <row r="975" ht="15.75" customHeight="1">
      <c r="A975" s="585">
        <v>974.0</v>
      </c>
      <c r="B975" s="937" t="str">
        <f>Settings!$A$8</f>
        <v>METAMOOKDAWGS</v>
      </c>
      <c r="C975" s="833" t="s">
        <v>146</v>
      </c>
      <c r="D975" s="13" t="str">
        <f>'Entry Sheet'!J121</f>
        <v>C. MCLAUGHLIN</v>
      </c>
      <c r="E975" s="13">
        <f>'Entry Sheet'!K121</f>
        <v>12</v>
      </c>
      <c r="F975" s="589" t="s">
        <v>516</v>
      </c>
      <c r="BB975" s="314"/>
    </row>
    <row r="976" ht="15.75" customHeight="1">
      <c r="A976" s="585">
        <v>975.0</v>
      </c>
      <c r="B976" s="937" t="str">
        <f>Settings!$A$8</f>
        <v>METAMOOKDAWGS</v>
      </c>
      <c r="C976" s="842" t="s">
        <v>162</v>
      </c>
      <c r="D976" s="13" t="str">
        <f>'Entry Sheet'!J122</f>
        <v>DEN HC</v>
      </c>
      <c r="E976" s="13">
        <f>'Entry Sheet'!K122</f>
        <v>8.3</v>
      </c>
      <c r="F976" s="589" t="s">
        <v>516</v>
      </c>
      <c r="BB976" s="314"/>
    </row>
    <row r="977" ht="15.75" customHeight="1">
      <c r="A977" s="585">
        <v>976.0</v>
      </c>
      <c r="B977" s="937" t="str">
        <f>Settings!$A$8</f>
        <v>METAMOOKDAWGS</v>
      </c>
      <c r="C977" s="587" t="s">
        <v>100</v>
      </c>
      <c r="D977" s="13" t="str">
        <f>'Entry Sheet'!L110</f>
        <v>J. HURTS</v>
      </c>
      <c r="E977" s="13">
        <f>'Entry Sheet'!M110</f>
        <v>25.52</v>
      </c>
      <c r="F977" s="846" t="s">
        <v>517</v>
      </c>
      <c r="BB977" s="314"/>
    </row>
    <row r="978" ht="15.75" customHeight="1">
      <c r="A978" s="585">
        <v>977.0</v>
      </c>
      <c r="B978" s="937" t="str">
        <f>Settings!$A$8</f>
        <v>METAMOOKDAWGS</v>
      </c>
      <c r="C978" s="596" t="s">
        <v>106</v>
      </c>
      <c r="D978" s="13" t="str">
        <f>'Entry Sheet'!L111</f>
        <v>S. BARKLEY</v>
      </c>
      <c r="E978" s="13">
        <f>'Entry Sheet'!M111</f>
        <v>9.9</v>
      </c>
      <c r="F978" s="846" t="s">
        <v>517</v>
      </c>
      <c r="BB978" s="314"/>
    </row>
    <row r="979" ht="15.75" customHeight="1">
      <c r="A979" s="585">
        <v>978.0</v>
      </c>
      <c r="B979" s="937" t="str">
        <f>Settings!$A$8</f>
        <v>METAMOOKDAWGS</v>
      </c>
      <c r="C979" s="596" t="s">
        <v>106</v>
      </c>
      <c r="D979" s="13" t="str">
        <f>'Entry Sheet'!L112</f>
        <v>R. HARVEY</v>
      </c>
      <c r="E979" s="13">
        <f>'Entry Sheet'!M112</f>
        <v>6.7</v>
      </c>
      <c r="F979" s="846" t="s">
        <v>517</v>
      </c>
      <c r="BB979" s="314"/>
    </row>
    <row r="980" ht="15.75" customHeight="1">
      <c r="A980" s="585">
        <v>979.0</v>
      </c>
      <c r="B980" s="937" t="str">
        <f>Settings!$A$8</f>
        <v>METAMOOKDAWGS</v>
      </c>
      <c r="C980" s="596" t="s">
        <v>106</v>
      </c>
      <c r="D980" s="13" t="str">
        <f>'Entry Sheet'!L113</f>
        <v/>
      </c>
      <c r="E980" s="13" t="str">
        <f>'Entry Sheet'!M113</f>
        <v/>
      </c>
      <c r="F980" s="846" t="s">
        <v>517</v>
      </c>
      <c r="BB980" s="314"/>
    </row>
    <row r="981" ht="15.75" customHeight="1">
      <c r="A981" s="585">
        <v>980.0</v>
      </c>
      <c r="B981" s="937" t="str">
        <f>Settings!$A$8</f>
        <v>METAMOOKDAWGS</v>
      </c>
      <c r="C981" s="712" t="s">
        <v>117</v>
      </c>
      <c r="D981" s="13" t="str">
        <f>'Entry Sheet'!L114</f>
        <v>J. SMITH-NJIGBA</v>
      </c>
      <c r="E981" s="13">
        <f>'Entry Sheet'!M114</f>
        <v>31.2</v>
      </c>
      <c r="F981" s="846" t="s">
        <v>517</v>
      </c>
      <c r="BB981" s="314"/>
    </row>
    <row r="982" ht="15.75" customHeight="1">
      <c r="A982" s="585">
        <v>981.0</v>
      </c>
      <c r="B982" s="937" t="str">
        <f>Settings!$A$8</f>
        <v>METAMOOKDAWGS</v>
      </c>
      <c r="C982" s="712" t="s">
        <v>117</v>
      </c>
      <c r="D982" s="13" t="str">
        <f>'Entry Sheet'!L115</f>
        <v>D. METCALF</v>
      </c>
      <c r="E982" s="13">
        <f>'Entry Sheet'!M115</f>
        <v>19.5</v>
      </c>
      <c r="F982" s="846" t="s">
        <v>517</v>
      </c>
      <c r="BB982" s="314"/>
    </row>
    <row r="983" ht="15.75" customHeight="1">
      <c r="A983" s="585">
        <v>982.0</v>
      </c>
      <c r="B983" s="937" t="str">
        <f>Settings!$A$8</f>
        <v>METAMOOKDAWGS</v>
      </c>
      <c r="C983" s="712" t="s">
        <v>117</v>
      </c>
      <c r="D983" s="13" t="str">
        <f>'Entry Sheet'!L116</f>
        <v>C. KUPP</v>
      </c>
      <c r="E983" s="13">
        <f>'Entry Sheet'!M116</f>
        <v>12</v>
      </c>
      <c r="F983" s="846" t="s">
        <v>517</v>
      </c>
      <c r="BB983" s="314"/>
    </row>
    <row r="984" ht="15.75" customHeight="1">
      <c r="A984" s="585">
        <v>983.0</v>
      </c>
      <c r="B984" s="937" t="str">
        <f>Settings!$A$8</f>
        <v>METAMOOKDAWGS</v>
      </c>
      <c r="C984" s="712" t="s">
        <v>117</v>
      </c>
      <c r="D984" s="13" t="str">
        <f>'Entry Sheet'!L117</f>
        <v/>
      </c>
      <c r="E984" s="13" t="str">
        <f>'Entry Sheet'!M117</f>
        <v/>
      </c>
      <c r="F984" s="846" t="s">
        <v>517</v>
      </c>
      <c r="BB984" s="314"/>
    </row>
    <row r="985" ht="15.75" customHeight="1">
      <c r="A985" s="585">
        <v>984.0</v>
      </c>
      <c r="B985" s="937" t="str">
        <f>Settings!$A$8</f>
        <v>METAMOOKDAWGS</v>
      </c>
      <c r="C985" s="764" t="s">
        <v>132</v>
      </c>
      <c r="D985" s="13" t="str">
        <f>'Entry Sheet'!L118</f>
        <v>M. ANDREWS</v>
      </c>
      <c r="E985" s="13">
        <f>'Entry Sheet'!M118</f>
        <v>6.9</v>
      </c>
      <c r="F985" s="846" t="s">
        <v>517</v>
      </c>
      <c r="BB985" s="314"/>
    </row>
    <row r="986" ht="15.75" customHeight="1">
      <c r="A986" s="585">
        <v>985.0</v>
      </c>
      <c r="B986" s="937" t="str">
        <f>Settings!$A$8</f>
        <v>METAMOOKDAWGS</v>
      </c>
      <c r="C986" s="795" t="s">
        <v>136</v>
      </c>
      <c r="D986" s="13" t="str">
        <f>'Entry Sheet'!L119</f>
        <v>J. JEUDY</v>
      </c>
      <c r="E986" s="13">
        <f>'Entry Sheet'!M119</f>
        <v>9.3</v>
      </c>
      <c r="F986" s="846" t="s">
        <v>517</v>
      </c>
      <c r="BB986" s="314"/>
    </row>
    <row r="987" ht="15.75" customHeight="1">
      <c r="A987" s="585">
        <v>986.0</v>
      </c>
      <c r="B987" s="937" t="str">
        <f>Settings!$A$8</f>
        <v>METAMOOKDAWGS</v>
      </c>
      <c r="C987" s="818" t="s">
        <v>139</v>
      </c>
      <c r="D987" s="13" t="str">
        <f>'Entry Sheet'!L120</f>
        <v>SEA D/ST</v>
      </c>
      <c r="E987" s="13">
        <f>'Entry Sheet'!M120</f>
        <v>21.4</v>
      </c>
      <c r="F987" s="846" t="s">
        <v>517</v>
      </c>
      <c r="BB987" s="314"/>
    </row>
    <row r="988" ht="15.75" customHeight="1">
      <c r="A988" s="585">
        <v>987.0</v>
      </c>
      <c r="B988" s="937" t="str">
        <f>Settings!$A$8</f>
        <v>METAMOOKDAWGS</v>
      </c>
      <c r="C988" s="833" t="s">
        <v>146</v>
      </c>
      <c r="D988" s="13" t="str">
        <f>'Entry Sheet'!L121</f>
        <v>C. MCLAUGHLIN</v>
      </c>
      <c r="E988" s="13">
        <f>'Entry Sheet'!M121</f>
        <v>5.5</v>
      </c>
      <c r="F988" s="846" t="s">
        <v>517</v>
      </c>
      <c r="BB988" s="314"/>
    </row>
    <row r="989" ht="15.75" customHeight="1">
      <c r="A989" s="585">
        <v>988.0</v>
      </c>
      <c r="B989" s="937" t="str">
        <f>Settings!$A$8</f>
        <v>METAMOOKDAWGS</v>
      </c>
      <c r="C989" s="842" t="s">
        <v>162</v>
      </c>
      <c r="D989" s="13" t="str">
        <f>'Entry Sheet'!L122</f>
        <v>DEN HC</v>
      </c>
      <c r="E989" s="13">
        <f>'Entry Sheet'!M122</f>
        <v>5.9</v>
      </c>
      <c r="F989" s="846" t="s">
        <v>517</v>
      </c>
      <c r="BB989" s="314"/>
    </row>
    <row r="990" ht="15.75" customHeight="1">
      <c r="A990" s="585">
        <v>989.0</v>
      </c>
      <c r="B990" s="937" t="str">
        <f>Settings!$A$8</f>
        <v>METAMOOKDAWGS</v>
      </c>
      <c r="C990" s="587" t="s">
        <v>100</v>
      </c>
      <c r="D990" s="13" t="str">
        <f>'Entry Sheet'!N110</f>
        <v>J. HURTS</v>
      </c>
      <c r="E990" s="13">
        <f>'Entry Sheet'!O110</f>
        <v>34.44</v>
      </c>
      <c r="F990" s="589" t="s">
        <v>518</v>
      </c>
      <c r="BB990" s="314"/>
    </row>
    <row r="991" ht="15.75" customHeight="1">
      <c r="A991" s="585">
        <v>990.0</v>
      </c>
      <c r="B991" s="937" t="str">
        <f>Settings!$A$8</f>
        <v>METAMOOKDAWGS</v>
      </c>
      <c r="C991" s="596" t="s">
        <v>106</v>
      </c>
      <c r="D991" s="13" t="str">
        <f>'Entry Sheet'!N111</f>
        <v>S. BARKLEY</v>
      </c>
      <c r="E991" s="13">
        <f>'Entry Sheet'!O111</f>
        <v>7</v>
      </c>
      <c r="F991" s="589" t="s">
        <v>518</v>
      </c>
      <c r="BB991" s="314"/>
    </row>
    <row r="992" ht="15.75" customHeight="1">
      <c r="A992" s="585">
        <v>991.0</v>
      </c>
      <c r="B992" s="937" t="str">
        <f>Settings!$A$8</f>
        <v>METAMOOKDAWGS</v>
      </c>
      <c r="C992" s="596" t="s">
        <v>106</v>
      </c>
      <c r="D992" s="13" t="str">
        <f>'Entry Sheet'!N112</f>
        <v>R. HARVEY</v>
      </c>
      <c r="E992" s="13">
        <f>'Entry Sheet'!O112</f>
        <v>7.6</v>
      </c>
      <c r="F992" s="589" t="s">
        <v>518</v>
      </c>
      <c r="BB992" s="314"/>
    </row>
    <row r="993" ht="15.75" customHeight="1">
      <c r="A993" s="585">
        <v>992.0</v>
      </c>
      <c r="B993" s="937" t="str">
        <f>Settings!$A$8</f>
        <v>METAMOOKDAWGS</v>
      </c>
      <c r="C993" s="596" t="s">
        <v>106</v>
      </c>
      <c r="D993" s="13" t="str">
        <f>'Entry Sheet'!N113</f>
        <v/>
      </c>
      <c r="E993" s="13" t="str">
        <f>'Entry Sheet'!O113</f>
        <v/>
      </c>
      <c r="F993" s="589" t="s">
        <v>518</v>
      </c>
      <c r="BB993" s="314"/>
    </row>
    <row r="994" ht="15.75" customHeight="1">
      <c r="A994" s="585">
        <v>993.0</v>
      </c>
      <c r="B994" s="937" t="str">
        <f>Settings!$A$8</f>
        <v>METAMOOKDAWGS</v>
      </c>
      <c r="C994" s="712" t="s">
        <v>117</v>
      </c>
      <c r="D994" s="13" t="str">
        <f>'Entry Sheet'!N114</f>
        <v>N. COLLINS</v>
      </c>
      <c r="E994" s="13">
        <f>'Entry Sheet'!O114</f>
        <v>6.7</v>
      </c>
      <c r="F994" s="589" t="s">
        <v>518</v>
      </c>
      <c r="BB994" s="314"/>
    </row>
    <row r="995" ht="15.75" customHeight="1">
      <c r="A995" s="585">
        <v>994.0</v>
      </c>
      <c r="B995" s="937" t="str">
        <f>Settings!$A$8</f>
        <v>METAMOOKDAWGS</v>
      </c>
      <c r="C995" s="712" t="s">
        <v>117</v>
      </c>
      <c r="D995" s="13" t="str">
        <f>'Entry Sheet'!N115</f>
        <v>D. METCALF</v>
      </c>
      <c r="E995" s="13">
        <f>'Entry Sheet'!O115</f>
        <v>8</v>
      </c>
      <c r="F995" s="589" t="s">
        <v>518</v>
      </c>
      <c r="BB995" s="314"/>
    </row>
    <row r="996" ht="15.75" customHeight="1">
      <c r="A996" s="585">
        <v>995.0</v>
      </c>
      <c r="B996" s="937" t="str">
        <f>Settings!$A$8</f>
        <v>METAMOOKDAWGS</v>
      </c>
      <c r="C996" s="712" t="s">
        <v>117</v>
      </c>
      <c r="D996" s="13" t="str">
        <f>'Entry Sheet'!N116</f>
        <v>J. JEUDY</v>
      </c>
      <c r="E996" s="13">
        <f>'Entry Sheet'!O116</f>
        <v>3.7</v>
      </c>
      <c r="F996" s="589" t="s">
        <v>518</v>
      </c>
      <c r="BB996" s="314"/>
    </row>
    <row r="997" ht="15.75" customHeight="1">
      <c r="A997" s="585">
        <v>996.0</v>
      </c>
      <c r="B997" s="937" t="str">
        <f>Settings!$A$8</f>
        <v>METAMOOKDAWGS</v>
      </c>
      <c r="C997" s="712" t="s">
        <v>117</v>
      </c>
      <c r="D997" s="13" t="str">
        <f>'Entry Sheet'!N117</f>
        <v/>
      </c>
      <c r="E997" s="13" t="str">
        <f>'Entry Sheet'!O117</f>
        <v/>
      </c>
      <c r="F997" s="589" t="s">
        <v>518</v>
      </c>
      <c r="BB997" s="314"/>
    </row>
    <row r="998" ht="15.75" customHeight="1">
      <c r="A998" s="585">
        <v>997.0</v>
      </c>
      <c r="B998" s="937" t="str">
        <f>Settings!$A$8</f>
        <v>METAMOOKDAWGS</v>
      </c>
      <c r="C998" s="764" t="s">
        <v>132</v>
      </c>
      <c r="D998" s="13" t="str">
        <f>'Entry Sheet'!N118</f>
        <v>M. MAYER</v>
      </c>
      <c r="E998" s="13">
        <f>'Entry Sheet'!O118</f>
        <v>2</v>
      </c>
      <c r="F998" s="589" t="s">
        <v>518</v>
      </c>
      <c r="BB998" s="314"/>
    </row>
    <row r="999" ht="15.75" customHeight="1">
      <c r="A999" s="585">
        <v>998.0</v>
      </c>
      <c r="B999" s="937" t="str">
        <f>Settings!$A$8</f>
        <v>METAMOOKDAWGS</v>
      </c>
      <c r="C999" s="795" t="s">
        <v>136</v>
      </c>
      <c r="D999" s="13" t="str">
        <f>'Entry Sheet'!N119</f>
        <v>J. SMITH-NJIGBA</v>
      </c>
      <c r="E999" s="13">
        <f>'Entry Sheet'!O119</f>
        <v>27.3</v>
      </c>
      <c r="F999" s="589" t="s">
        <v>518</v>
      </c>
      <c r="BB999" s="314"/>
    </row>
    <row r="1000" ht="15.75" customHeight="1">
      <c r="A1000" s="585">
        <v>999.0</v>
      </c>
      <c r="B1000" s="937" t="str">
        <f>Settings!$A$8</f>
        <v>METAMOOKDAWGS</v>
      </c>
      <c r="C1000" s="818" t="s">
        <v>139</v>
      </c>
      <c r="D1000" s="13" t="str">
        <f>'Entry Sheet'!N120</f>
        <v>SEA D/ST</v>
      </c>
      <c r="E1000" s="13">
        <f>'Entry Sheet'!O120</f>
        <v>25.16</v>
      </c>
      <c r="F1000" s="589" t="s">
        <v>518</v>
      </c>
      <c r="BB1000" s="314"/>
    </row>
    <row r="1001" ht="15.75" customHeight="1">
      <c r="A1001" s="585">
        <v>1000.0</v>
      </c>
      <c r="B1001" s="937" t="str">
        <f>Settings!$A$8</f>
        <v>METAMOOKDAWGS</v>
      </c>
      <c r="C1001" s="833" t="s">
        <v>146</v>
      </c>
      <c r="D1001" s="13" t="str">
        <f>'Entry Sheet'!N121</f>
        <v>C. MCLAUGHLIN</v>
      </c>
      <c r="E1001" s="13">
        <f>'Entry Sheet'!O121</f>
        <v>6</v>
      </c>
      <c r="F1001" s="589" t="s">
        <v>518</v>
      </c>
      <c r="BB1001" s="314"/>
    </row>
    <row r="1002" ht="15.75" customHeight="1">
      <c r="A1002" s="585">
        <v>1001.0</v>
      </c>
      <c r="B1002" s="937" t="str">
        <f>Settings!$A$8</f>
        <v>METAMOOKDAWGS</v>
      </c>
      <c r="C1002" s="842" t="s">
        <v>162</v>
      </c>
      <c r="D1002" s="13" t="str">
        <f>'Entry Sheet'!N122</f>
        <v>DEN HC</v>
      </c>
      <c r="E1002" s="13">
        <f>'Entry Sheet'!O122</f>
        <v>11.9</v>
      </c>
      <c r="F1002" s="589" t="s">
        <v>518</v>
      </c>
      <c r="BB1002" s="314"/>
    </row>
    <row r="1003" ht="15.75" customHeight="1">
      <c r="A1003" s="585">
        <v>1002.0</v>
      </c>
      <c r="B1003" s="937" t="str">
        <f>Settings!$A$8</f>
        <v>METAMOOKDAWGS</v>
      </c>
      <c r="C1003" s="587" t="s">
        <v>100</v>
      </c>
      <c r="D1003" s="13" t="str">
        <f>'Entry Sheet'!P110</f>
        <v>J. HURTS</v>
      </c>
      <c r="E1003" s="13">
        <f>'Entry Sheet'!Q110</f>
        <v>35.76</v>
      </c>
      <c r="F1003" s="846" t="s">
        <v>519</v>
      </c>
      <c r="BB1003" s="314"/>
    </row>
    <row r="1004" ht="15.75" customHeight="1">
      <c r="A1004" s="585">
        <v>1003.0</v>
      </c>
      <c r="B1004" s="937" t="str">
        <f>Settings!$A$8</f>
        <v>METAMOOKDAWGS</v>
      </c>
      <c r="C1004" s="596" t="s">
        <v>106</v>
      </c>
      <c r="D1004" s="13" t="str">
        <f>'Entry Sheet'!P111</f>
        <v>S. BARKLEY</v>
      </c>
      <c r="E1004" s="13">
        <f>'Entry Sheet'!Q111</f>
        <v>35.8</v>
      </c>
      <c r="F1004" s="846" t="s">
        <v>519</v>
      </c>
      <c r="BB1004" s="314"/>
    </row>
    <row r="1005" ht="15.75" customHeight="1">
      <c r="A1005" s="585">
        <v>1004.0</v>
      </c>
      <c r="B1005" s="937" t="str">
        <f>Settings!$A$8</f>
        <v>METAMOOKDAWGS</v>
      </c>
      <c r="C1005" s="596" t="s">
        <v>106</v>
      </c>
      <c r="D1005" s="13" t="str">
        <f>'Entry Sheet'!P112</f>
        <v>R.J. HARVEY</v>
      </c>
      <c r="E1005" s="13">
        <f>'Entry Sheet'!Q112</f>
        <v>26.1</v>
      </c>
      <c r="F1005" s="846" t="s">
        <v>519</v>
      </c>
      <c r="BB1005" s="314"/>
    </row>
    <row r="1006" ht="15.75" customHeight="1">
      <c r="A1006" s="585">
        <v>1005.0</v>
      </c>
      <c r="B1006" s="937" t="str">
        <f>Settings!$A$8</f>
        <v>METAMOOKDAWGS</v>
      </c>
      <c r="C1006" s="596" t="s">
        <v>106</v>
      </c>
      <c r="D1006" s="13" t="str">
        <f>'Entry Sheet'!P113</f>
        <v/>
      </c>
      <c r="E1006" s="13" t="str">
        <f>'Entry Sheet'!Q113</f>
        <v/>
      </c>
      <c r="F1006" s="846" t="s">
        <v>519</v>
      </c>
      <c r="BB1006" s="314"/>
    </row>
    <row r="1007" ht="15.75" customHeight="1">
      <c r="A1007" s="585">
        <v>1006.0</v>
      </c>
      <c r="B1007" s="937" t="str">
        <f>Settings!$A$8</f>
        <v>METAMOOKDAWGS</v>
      </c>
      <c r="C1007" s="712" t="s">
        <v>117</v>
      </c>
      <c r="D1007" s="13" t="str">
        <f>'Entry Sheet'!P114</f>
        <v>D.K. METCALF</v>
      </c>
      <c r="E1007" s="13">
        <f>'Entry Sheet'!Q114</f>
        <v>16.5</v>
      </c>
      <c r="F1007" s="846" t="s">
        <v>519</v>
      </c>
      <c r="BB1007" s="314"/>
    </row>
    <row r="1008" ht="15.75" customHeight="1">
      <c r="A1008" s="585">
        <v>1007.0</v>
      </c>
      <c r="B1008" s="937" t="str">
        <f>Settings!$A$8</f>
        <v>METAMOOKDAWGS</v>
      </c>
      <c r="C1008" s="712" t="s">
        <v>117</v>
      </c>
      <c r="D1008" s="13" t="str">
        <f>'Entry Sheet'!P115</f>
        <v>J. JEUDY</v>
      </c>
      <c r="E1008" s="13">
        <f>'Entry Sheet'!Q115</f>
        <v>0</v>
      </c>
      <c r="F1008" s="846" t="s">
        <v>519</v>
      </c>
      <c r="BB1008" s="314"/>
    </row>
    <row r="1009" ht="15.75" customHeight="1">
      <c r="A1009" s="585">
        <v>1008.0</v>
      </c>
      <c r="B1009" s="937" t="str">
        <f>Settings!$A$8</f>
        <v>METAMOOKDAWGS</v>
      </c>
      <c r="C1009" s="712" t="s">
        <v>117</v>
      </c>
      <c r="D1009" s="13" t="str">
        <f>'Entry Sheet'!P116</f>
        <v>EMPTY</v>
      </c>
      <c r="E1009" s="13">
        <f>'Entry Sheet'!Q116</f>
        <v>0</v>
      </c>
      <c r="F1009" s="846" t="s">
        <v>519</v>
      </c>
      <c r="BB1009" s="314"/>
    </row>
    <row r="1010" ht="15.75" customHeight="1">
      <c r="A1010" s="585">
        <v>1009.0</v>
      </c>
      <c r="B1010" s="937" t="str">
        <f>Settings!$A$8</f>
        <v>METAMOOKDAWGS</v>
      </c>
      <c r="C1010" s="712" t="s">
        <v>117</v>
      </c>
      <c r="D1010" s="13" t="str">
        <f>'Entry Sheet'!P117</f>
        <v/>
      </c>
      <c r="E1010" s="13" t="str">
        <f>'Entry Sheet'!Q117</f>
        <v/>
      </c>
      <c r="F1010" s="846" t="s">
        <v>519</v>
      </c>
      <c r="BB1010" s="314"/>
    </row>
    <row r="1011" ht="15.75" customHeight="1">
      <c r="A1011" s="585">
        <v>1010.0</v>
      </c>
      <c r="B1011" s="937" t="str">
        <f>Settings!$A$8</f>
        <v>METAMOOKDAWGS</v>
      </c>
      <c r="C1011" s="764" t="s">
        <v>132</v>
      </c>
      <c r="D1011" s="13" t="str">
        <f>'Entry Sheet'!P118</f>
        <v>M. ANDREWS</v>
      </c>
      <c r="E1011" s="13">
        <f>'Entry Sheet'!Q118</f>
        <v>6.4</v>
      </c>
      <c r="F1011" s="846" t="s">
        <v>519</v>
      </c>
      <c r="BB1011" s="314"/>
    </row>
    <row r="1012" ht="15.75" customHeight="1">
      <c r="A1012" s="585">
        <v>1011.0</v>
      </c>
      <c r="B1012" s="937" t="str">
        <f>Settings!$A$8</f>
        <v>METAMOOKDAWGS</v>
      </c>
      <c r="C1012" s="795" t="s">
        <v>136</v>
      </c>
      <c r="D1012" s="13" t="str">
        <f>'Entry Sheet'!P119</f>
        <v>J. SMITH-NJIGBA</v>
      </c>
      <c r="E1012" s="13">
        <f>'Entry Sheet'!Q119</f>
        <v>0</v>
      </c>
      <c r="F1012" s="846" t="s">
        <v>519</v>
      </c>
      <c r="BB1012" s="314"/>
    </row>
    <row r="1013" ht="15.75" customHeight="1">
      <c r="A1013" s="585">
        <v>1012.0</v>
      </c>
      <c r="B1013" s="937" t="str">
        <f>Settings!$A$8</f>
        <v>METAMOOKDAWGS</v>
      </c>
      <c r="C1013" s="818" t="s">
        <v>139</v>
      </c>
      <c r="D1013" s="13" t="str">
        <f>'Entry Sheet'!P120</f>
        <v>CHI D/ST</v>
      </c>
      <c r="E1013" s="13">
        <f>'Entry Sheet'!Q120</f>
        <v>9.49</v>
      </c>
      <c r="F1013" s="846" t="s">
        <v>519</v>
      </c>
      <c r="BB1013" s="314"/>
    </row>
    <row r="1014" ht="15.75" customHeight="1">
      <c r="A1014" s="585">
        <v>1013.0</v>
      </c>
      <c r="B1014" s="937" t="str">
        <f>Settings!$A$8</f>
        <v>METAMOOKDAWGS</v>
      </c>
      <c r="C1014" s="833" t="s">
        <v>146</v>
      </c>
      <c r="D1014" s="13" t="str">
        <f>'Entry Sheet'!P121</f>
        <v>C. MCLAUGHLIN</v>
      </c>
      <c r="E1014" s="13">
        <f>'Entry Sheet'!Q121</f>
        <v>20</v>
      </c>
      <c r="F1014" s="846" t="s">
        <v>519</v>
      </c>
      <c r="BB1014" s="314"/>
    </row>
    <row r="1015" ht="15.75" customHeight="1">
      <c r="A1015" s="585">
        <v>1014.0</v>
      </c>
      <c r="B1015" s="937" t="str">
        <f>Settings!$A$8</f>
        <v>METAMOOKDAWGS</v>
      </c>
      <c r="C1015" s="842" t="s">
        <v>162</v>
      </c>
      <c r="D1015" s="13" t="str">
        <f>'Entry Sheet'!P122</f>
        <v>DEN HC</v>
      </c>
      <c r="E1015" s="13">
        <f>'Entry Sheet'!Q122</f>
        <v>21.2</v>
      </c>
      <c r="F1015" s="846" t="s">
        <v>519</v>
      </c>
      <c r="BB1015" s="314"/>
    </row>
    <row r="1016" ht="15.75" customHeight="1">
      <c r="A1016" s="585">
        <v>1015.0</v>
      </c>
      <c r="B1016" s="937" t="str">
        <f>Settings!$A$8</f>
        <v>METAMOOKDAWGS</v>
      </c>
      <c r="C1016" s="587" t="s">
        <v>100</v>
      </c>
      <c r="D1016" s="13" t="str">
        <f>'Entry Sheet'!R110</f>
        <v>D. MAYE</v>
      </c>
      <c r="E1016" s="13">
        <f>'Entry Sheet'!S110</f>
        <v>22.16</v>
      </c>
      <c r="F1016" s="589" t="s">
        <v>520</v>
      </c>
      <c r="BB1016" s="314"/>
    </row>
    <row r="1017" ht="15.75" customHeight="1">
      <c r="A1017" s="585">
        <v>1016.0</v>
      </c>
      <c r="B1017" s="937" t="str">
        <f>Settings!$A$8</f>
        <v>METAMOOKDAWGS</v>
      </c>
      <c r="C1017" s="596" t="s">
        <v>106</v>
      </c>
      <c r="D1017" s="13" t="str">
        <f>'Entry Sheet'!R111</f>
        <v>R.J. HARVEY</v>
      </c>
      <c r="E1017" s="13">
        <f>'Entry Sheet'!S111</f>
        <v>19.5</v>
      </c>
      <c r="F1017" s="589" t="s">
        <v>520</v>
      </c>
      <c r="BB1017" s="314"/>
    </row>
    <row r="1018" ht="15.75" customHeight="1">
      <c r="A1018" s="585">
        <v>1017.0</v>
      </c>
      <c r="B1018" s="937" t="str">
        <f>Settings!$A$8</f>
        <v>METAMOOKDAWGS</v>
      </c>
      <c r="C1018" s="596" t="s">
        <v>106</v>
      </c>
      <c r="D1018" s="13" t="str">
        <f>'Entry Sheet'!R112</f>
        <v>K. HUNT</v>
      </c>
      <c r="E1018" s="13">
        <f>'Entry Sheet'!S112</f>
        <v>13.6</v>
      </c>
      <c r="F1018" s="589" t="s">
        <v>520</v>
      </c>
      <c r="BB1018" s="314"/>
    </row>
    <row r="1019" ht="15.75" customHeight="1">
      <c r="A1019" s="585">
        <v>1018.0</v>
      </c>
      <c r="B1019" s="937" t="str">
        <f>Settings!$A$8</f>
        <v>METAMOOKDAWGS</v>
      </c>
      <c r="C1019" s="596" t="s">
        <v>106</v>
      </c>
      <c r="D1019" s="13" t="str">
        <f>'Entry Sheet'!R113</f>
        <v/>
      </c>
      <c r="E1019" s="13" t="str">
        <f>'Entry Sheet'!S113</f>
        <v/>
      </c>
      <c r="F1019" s="589" t="s">
        <v>520</v>
      </c>
      <c r="BB1019" s="314"/>
    </row>
    <row r="1020" ht="15.75" customHeight="1">
      <c r="A1020" s="585">
        <v>1019.0</v>
      </c>
      <c r="B1020" s="937" t="str">
        <f>Settings!$A$8</f>
        <v>METAMOOKDAWGS</v>
      </c>
      <c r="C1020" s="712" t="s">
        <v>117</v>
      </c>
      <c r="D1020" s="13" t="str">
        <f>'Entry Sheet'!R114</f>
        <v>N. COLLINS</v>
      </c>
      <c r="E1020" s="13">
        <f>'Entry Sheet'!S114</f>
        <v>14.5</v>
      </c>
      <c r="F1020" s="589" t="s">
        <v>520</v>
      </c>
      <c r="BB1020" s="314"/>
    </row>
    <row r="1021" ht="15.75" customHeight="1">
      <c r="A1021" s="585">
        <v>1020.0</v>
      </c>
      <c r="B1021" s="937" t="str">
        <f>Settings!$A$8</f>
        <v>METAMOOKDAWGS</v>
      </c>
      <c r="C1021" s="712" t="s">
        <v>117</v>
      </c>
      <c r="D1021" s="13" t="str">
        <f>'Entry Sheet'!R115</f>
        <v>J. SMITH-NJIGBA</v>
      </c>
      <c r="E1021" s="13">
        <f>'Entry Sheet'!S115</f>
        <v>23.1</v>
      </c>
      <c r="F1021" s="589" t="s">
        <v>520</v>
      </c>
      <c r="BB1021" s="314"/>
    </row>
    <row r="1022" ht="15.75" customHeight="1">
      <c r="A1022" s="585">
        <v>1021.0</v>
      </c>
      <c r="B1022" s="937" t="str">
        <f>Settings!$A$8</f>
        <v>METAMOOKDAWGS</v>
      </c>
      <c r="C1022" s="712" t="s">
        <v>117</v>
      </c>
      <c r="D1022" s="13" t="str">
        <f>'Entry Sheet'!R116</f>
        <v>D.K. METCALF</v>
      </c>
      <c r="E1022" s="13">
        <f>'Entry Sheet'!S116</f>
        <v>2.6</v>
      </c>
      <c r="F1022" s="589" t="s">
        <v>520</v>
      </c>
      <c r="BB1022" s="314"/>
    </row>
    <row r="1023" ht="15.75" customHeight="1">
      <c r="A1023" s="585">
        <v>1022.0</v>
      </c>
      <c r="B1023" s="937" t="str">
        <f>Settings!$A$8</f>
        <v>METAMOOKDAWGS</v>
      </c>
      <c r="C1023" s="712" t="s">
        <v>117</v>
      </c>
      <c r="D1023" s="13" t="str">
        <f>'Entry Sheet'!R117</f>
        <v/>
      </c>
      <c r="E1023" s="13" t="str">
        <f>'Entry Sheet'!S117</f>
        <v/>
      </c>
      <c r="F1023" s="589" t="s">
        <v>520</v>
      </c>
      <c r="BB1023" s="314"/>
    </row>
    <row r="1024" ht="15.75" customHeight="1">
      <c r="A1024" s="585">
        <v>1023.0</v>
      </c>
      <c r="B1024" s="937" t="str">
        <f>Settings!$A$8</f>
        <v>METAMOOKDAWGS</v>
      </c>
      <c r="C1024" s="764" t="s">
        <v>132</v>
      </c>
      <c r="D1024" s="13" t="str">
        <f>'Entry Sheet'!R118</f>
        <v>M. ANDREWS</v>
      </c>
      <c r="E1024" s="13">
        <f>'Entry Sheet'!S118</f>
        <v>16.8</v>
      </c>
      <c r="F1024" s="589" t="s">
        <v>520</v>
      </c>
      <c r="BB1024" s="314"/>
    </row>
    <row r="1025" ht="15.75" customHeight="1">
      <c r="A1025" s="585">
        <v>1024.0</v>
      </c>
      <c r="B1025" s="937" t="str">
        <f>Settings!$A$8</f>
        <v>METAMOOKDAWGS</v>
      </c>
      <c r="C1025" s="795" t="s">
        <v>136</v>
      </c>
      <c r="D1025" s="13" t="str">
        <f>'Entry Sheet'!R119</f>
        <v>M. MAYER</v>
      </c>
      <c r="E1025" s="13">
        <f>'Entry Sheet'!S119</f>
        <v>5.6</v>
      </c>
      <c r="F1025" s="589" t="s">
        <v>520</v>
      </c>
      <c r="BB1025" s="314"/>
    </row>
    <row r="1026" ht="15.75" customHeight="1">
      <c r="A1026" s="585">
        <v>1025.0</v>
      </c>
      <c r="B1026" s="937" t="str">
        <f>Settings!$A$8</f>
        <v>METAMOOKDAWGS</v>
      </c>
      <c r="C1026" s="818" t="s">
        <v>139</v>
      </c>
      <c r="D1026" s="13" t="str">
        <f>'Entry Sheet'!R120</f>
        <v>SEA D/ST</v>
      </c>
      <c r="E1026" s="13">
        <f>'Entry Sheet'!S120</f>
        <v>19.9</v>
      </c>
      <c r="F1026" s="589" t="s">
        <v>520</v>
      </c>
      <c r="BB1026" s="314"/>
    </row>
    <row r="1027" ht="15.75" customHeight="1">
      <c r="A1027" s="585">
        <v>1026.0</v>
      </c>
      <c r="B1027" s="937" t="str">
        <f>Settings!$A$8</f>
        <v>METAMOOKDAWGS</v>
      </c>
      <c r="C1027" s="833" t="s">
        <v>146</v>
      </c>
      <c r="D1027" s="13" t="str">
        <f>'Entry Sheet'!R121</f>
        <v>J. BATES</v>
      </c>
      <c r="E1027" s="13">
        <f>'Entry Sheet'!S121</f>
        <v>5.5</v>
      </c>
      <c r="F1027" s="589" t="s">
        <v>520</v>
      </c>
      <c r="BB1027" s="314"/>
    </row>
    <row r="1028" ht="15.75" customHeight="1">
      <c r="A1028" s="585">
        <v>1027.0</v>
      </c>
      <c r="B1028" s="937" t="str">
        <f>Settings!$A$8</f>
        <v>METAMOOKDAWGS</v>
      </c>
      <c r="C1028" s="842" t="s">
        <v>162</v>
      </c>
      <c r="D1028" s="13" t="str">
        <f>'Entry Sheet'!R122</f>
        <v>DEN HC</v>
      </c>
      <c r="E1028" s="13">
        <f>'Entry Sheet'!S122</f>
        <v>7.4</v>
      </c>
      <c r="F1028" s="589" t="s">
        <v>520</v>
      </c>
      <c r="BB1028" s="314"/>
    </row>
    <row r="1029" ht="15.75" customHeight="1">
      <c r="A1029" s="585">
        <v>1028.0</v>
      </c>
      <c r="B1029" s="937" t="str">
        <f>Settings!$A$8</f>
        <v>METAMOOKDAWGS</v>
      </c>
      <c r="C1029" s="587" t="s">
        <v>100</v>
      </c>
      <c r="D1029" s="13" t="str">
        <f>'Entry Sheet'!T110</f>
        <v>J. HURTS</v>
      </c>
      <c r="E1029" s="13">
        <f>'Entry Sheet'!U110</f>
        <v>15.32</v>
      </c>
      <c r="F1029" s="846" t="s">
        <v>521</v>
      </c>
      <c r="BB1029" s="314"/>
    </row>
    <row r="1030" ht="15.75" customHeight="1">
      <c r="A1030" s="585">
        <v>1029.0</v>
      </c>
      <c r="B1030" s="937" t="str">
        <f>Settings!$A$8</f>
        <v>METAMOOKDAWGS</v>
      </c>
      <c r="C1030" s="596" t="s">
        <v>106</v>
      </c>
      <c r="D1030" s="13" t="str">
        <f>'Entry Sheet'!T111</f>
        <v>S. BARKLEY</v>
      </c>
      <c r="E1030" s="13">
        <f>'Entry Sheet'!U111</f>
        <v>15.3</v>
      </c>
      <c r="F1030" s="846" t="s">
        <v>521</v>
      </c>
      <c r="BB1030" s="314"/>
    </row>
    <row r="1031" ht="15.75" customHeight="1">
      <c r="A1031" s="585">
        <v>1030.0</v>
      </c>
      <c r="B1031" s="937" t="str">
        <f>Settings!$A$8</f>
        <v>METAMOOKDAWGS</v>
      </c>
      <c r="C1031" s="596" t="s">
        <v>106</v>
      </c>
      <c r="D1031" s="13" t="str">
        <f>'Entry Sheet'!T112</f>
        <v>R. HARVEY</v>
      </c>
      <c r="E1031" s="13">
        <f>'Entry Sheet'!U112</f>
        <v>5.95</v>
      </c>
      <c r="F1031" s="846" t="s">
        <v>521</v>
      </c>
      <c r="BB1031" s="314"/>
    </row>
    <row r="1032" ht="15.75" customHeight="1">
      <c r="A1032" s="585">
        <v>1031.0</v>
      </c>
      <c r="B1032" s="937" t="str">
        <f>Settings!$A$8</f>
        <v>METAMOOKDAWGS</v>
      </c>
      <c r="C1032" s="596" t="s">
        <v>106</v>
      </c>
      <c r="D1032" s="13" t="str">
        <f>'Entry Sheet'!T113</f>
        <v/>
      </c>
      <c r="E1032" s="13" t="str">
        <f>'Entry Sheet'!U113</f>
        <v/>
      </c>
      <c r="F1032" s="846" t="s">
        <v>521</v>
      </c>
      <c r="BB1032" s="314"/>
    </row>
    <row r="1033" ht="15.75" customHeight="1">
      <c r="A1033" s="585">
        <v>1032.0</v>
      </c>
      <c r="B1033" s="937" t="str">
        <f>Settings!$A$8</f>
        <v>METAMOOKDAWGS</v>
      </c>
      <c r="C1033" s="712" t="s">
        <v>117</v>
      </c>
      <c r="D1033" s="13" t="str">
        <f>'Entry Sheet'!T114</f>
        <v>N. COLLINS</v>
      </c>
      <c r="E1033" s="13">
        <f>'Entry Sheet'!U114</f>
        <v>23.6</v>
      </c>
      <c r="F1033" s="846" t="s">
        <v>521</v>
      </c>
      <c r="BB1033" s="314"/>
    </row>
    <row r="1034" ht="15.75" customHeight="1">
      <c r="A1034" s="585">
        <v>1033.0</v>
      </c>
      <c r="B1034" s="937" t="str">
        <f>Settings!$A$8</f>
        <v>METAMOOKDAWGS</v>
      </c>
      <c r="C1034" s="712" t="s">
        <v>117</v>
      </c>
      <c r="D1034" s="13" t="str">
        <f>'Entry Sheet'!T115</f>
        <v>J. SMITH-NJIGBA</v>
      </c>
      <c r="E1034" s="13">
        <f>'Entry Sheet'!U115</f>
        <v>20.3</v>
      </c>
      <c r="F1034" s="846" t="s">
        <v>521</v>
      </c>
      <c r="BB1034" s="314"/>
    </row>
    <row r="1035" ht="15.75" customHeight="1">
      <c r="A1035" s="585">
        <v>1034.0</v>
      </c>
      <c r="B1035" s="937" t="str">
        <f>Settings!$A$8</f>
        <v>METAMOOKDAWGS</v>
      </c>
      <c r="C1035" s="712" t="s">
        <v>117</v>
      </c>
      <c r="D1035" s="13" t="str">
        <f>'Entry Sheet'!T116</f>
        <v>J. JEUDY</v>
      </c>
      <c r="E1035" s="13">
        <f>'Entry Sheet'!U116</f>
        <v>19.8</v>
      </c>
      <c r="F1035" s="846" t="s">
        <v>521</v>
      </c>
      <c r="BB1035" s="314"/>
    </row>
    <row r="1036" ht="15.75" customHeight="1">
      <c r="A1036" s="585">
        <v>1035.0</v>
      </c>
      <c r="B1036" s="937" t="str">
        <f>Settings!$A$8</f>
        <v>METAMOOKDAWGS</v>
      </c>
      <c r="C1036" s="712" t="s">
        <v>117</v>
      </c>
      <c r="D1036" s="13" t="str">
        <f>'Entry Sheet'!T117</f>
        <v/>
      </c>
      <c r="E1036" s="13" t="str">
        <f>'Entry Sheet'!U117</f>
        <v/>
      </c>
      <c r="F1036" s="846" t="s">
        <v>521</v>
      </c>
      <c r="BB1036" s="314"/>
    </row>
    <row r="1037" ht="15.75" customHeight="1">
      <c r="A1037" s="585">
        <v>1036.0</v>
      </c>
      <c r="B1037" s="937" t="str">
        <f>Settings!$A$8</f>
        <v>METAMOOKDAWGS</v>
      </c>
      <c r="C1037" s="764" t="s">
        <v>132</v>
      </c>
      <c r="D1037" s="13" t="str">
        <f>'Entry Sheet'!T118</f>
        <v>M. ANDREWS</v>
      </c>
      <c r="E1037" s="13">
        <f>'Entry Sheet'!U118</f>
        <v>10.4</v>
      </c>
      <c r="F1037" s="846" t="s">
        <v>521</v>
      </c>
      <c r="BB1037" s="314"/>
    </row>
    <row r="1038" ht="15.75" customHeight="1">
      <c r="A1038" s="585">
        <v>1037.0</v>
      </c>
      <c r="B1038" s="937" t="str">
        <f>Settings!$A$8</f>
        <v>METAMOOKDAWGS</v>
      </c>
      <c r="C1038" s="795" t="s">
        <v>136</v>
      </c>
      <c r="D1038" s="13" t="str">
        <f>'Entry Sheet'!T119</f>
        <v>D. METCALF</v>
      </c>
      <c r="E1038" s="13">
        <f>'Entry Sheet'!U119</f>
        <v>6.5</v>
      </c>
      <c r="F1038" s="846" t="s">
        <v>521</v>
      </c>
      <c r="BB1038" s="314"/>
    </row>
    <row r="1039" ht="15.75" customHeight="1">
      <c r="A1039" s="585">
        <v>1038.0</v>
      </c>
      <c r="B1039" s="937" t="str">
        <f>Settings!$A$8</f>
        <v>METAMOOKDAWGS</v>
      </c>
      <c r="C1039" s="818" t="s">
        <v>139</v>
      </c>
      <c r="D1039" s="13" t="str">
        <f>'Entry Sheet'!T120</f>
        <v>SEA D/ST</v>
      </c>
      <c r="E1039" s="13">
        <f>'Entry Sheet'!U120</f>
        <v>30.35</v>
      </c>
      <c r="F1039" s="846" t="s">
        <v>521</v>
      </c>
      <c r="BB1039" s="314"/>
    </row>
    <row r="1040" ht="15.75" customHeight="1">
      <c r="A1040" s="585">
        <v>1039.0</v>
      </c>
      <c r="B1040" s="937" t="str">
        <f>Settings!$A$8</f>
        <v>METAMOOKDAWGS</v>
      </c>
      <c r="C1040" s="833" t="s">
        <v>146</v>
      </c>
      <c r="D1040" s="13" t="str">
        <f>'Entry Sheet'!T121</f>
        <v>J. BATES</v>
      </c>
      <c r="E1040" s="13">
        <f>'Entry Sheet'!U121</f>
        <v>13</v>
      </c>
      <c r="F1040" s="846" t="s">
        <v>521</v>
      </c>
      <c r="BB1040" s="314"/>
    </row>
    <row r="1041" ht="15.75" customHeight="1">
      <c r="A1041" s="585">
        <v>1040.0</v>
      </c>
      <c r="B1041" s="937" t="str">
        <f>Settings!$A$8</f>
        <v>METAMOOKDAWGS</v>
      </c>
      <c r="C1041" s="842" t="s">
        <v>162</v>
      </c>
      <c r="D1041" s="13" t="str">
        <f>'Entry Sheet'!T122</f>
        <v>DEN HC</v>
      </c>
      <c r="E1041" s="13">
        <f>'Entry Sheet'!U122</f>
        <v>5</v>
      </c>
      <c r="F1041" s="846" t="s">
        <v>521</v>
      </c>
      <c r="BB1041" s="314"/>
    </row>
    <row r="1042" ht="15.75" hidden="1" customHeight="1">
      <c r="A1042" s="585">
        <v>1041.0</v>
      </c>
      <c r="B1042" s="937" t="str">
        <f>Settings!$A$8</f>
        <v>METAMOOKDAWGS</v>
      </c>
      <c r="C1042" s="587" t="s">
        <v>100</v>
      </c>
      <c r="D1042" s="13" t="str">
        <f>'Entry Sheet'!V110</f>
        <v>J. HURTS</v>
      </c>
      <c r="E1042" s="13">
        <f>'Entry Sheet'!W110</f>
        <v>15.5</v>
      </c>
      <c r="F1042" s="589" t="s">
        <v>522</v>
      </c>
      <c r="BB1042" s="314"/>
    </row>
    <row r="1043" ht="15.75" hidden="1" customHeight="1">
      <c r="A1043" s="585">
        <v>1042.0</v>
      </c>
      <c r="B1043" s="937" t="str">
        <f>Settings!$A$8</f>
        <v>METAMOOKDAWGS</v>
      </c>
      <c r="C1043" s="596" t="s">
        <v>106</v>
      </c>
      <c r="D1043" s="13" t="str">
        <f>'Entry Sheet'!V111</f>
        <v>R. HARVEY</v>
      </c>
      <c r="E1043" s="13">
        <f>'Entry Sheet'!W111</f>
        <v>8.9</v>
      </c>
      <c r="F1043" s="589" t="s">
        <v>522</v>
      </c>
      <c r="BB1043" s="314"/>
    </row>
    <row r="1044" ht="15.75" hidden="1" customHeight="1">
      <c r="A1044" s="585">
        <v>1043.0</v>
      </c>
      <c r="B1044" s="937" t="str">
        <f>Settings!$A$8</f>
        <v>METAMOOKDAWGS</v>
      </c>
      <c r="C1044" s="596" t="s">
        <v>106</v>
      </c>
      <c r="D1044" s="13" t="str">
        <f>'Entry Sheet'!V112</f>
        <v>K. HUNT</v>
      </c>
      <c r="E1044" s="13">
        <f>'Entry Sheet'!W112</f>
        <v>14.5</v>
      </c>
      <c r="F1044" s="589" t="s">
        <v>522</v>
      </c>
      <c r="BB1044" s="314"/>
    </row>
    <row r="1045" ht="15.75" hidden="1" customHeight="1">
      <c r="A1045" s="585">
        <v>1044.0</v>
      </c>
      <c r="B1045" s="937" t="str">
        <f>Settings!$A$8</f>
        <v>METAMOOKDAWGS</v>
      </c>
      <c r="C1045" s="596" t="s">
        <v>106</v>
      </c>
      <c r="D1045" s="13" t="str">
        <f>'Entry Sheet'!V113</f>
        <v/>
      </c>
      <c r="E1045" s="13" t="str">
        <f>'Entry Sheet'!W113</f>
        <v/>
      </c>
      <c r="F1045" s="589" t="s">
        <v>522</v>
      </c>
      <c r="BB1045" s="314"/>
    </row>
    <row r="1046" ht="15.75" hidden="1" customHeight="1">
      <c r="A1046" s="585">
        <v>1045.0</v>
      </c>
      <c r="B1046" s="937" t="str">
        <f>Settings!$A$8</f>
        <v>METAMOOKDAWGS</v>
      </c>
      <c r="C1046" s="712" t="s">
        <v>117</v>
      </c>
      <c r="D1046" s="13" t="str">
        <f>'Entry Sheet'!V114</f>
        <v>N. COLLINS</v>
      </c>
      <c r="E1046" s="13">
        <f>'Entry Sheet'!W114</f>
        <v>24.2</v>
      </c>
      <c r="F1046" s="589" t="s">
        <v>522</v>
      </c>
      <c r="BB1046" s="314"/>
    </row>
    <row r="1047" ht="15.75" hidden="1" customHeight="1">
      <c r="A1047" s="585">
        <v>1046.0</v>
      </c>
      <c r="B1047" s="937" t="str">
        <f>Settings!$A$8</f>
        <v>METAMOOKDAWGS</v>
      </c>
      <c r="C1047" s="712" t="s">
        <v>117</v>
      </c>
      <c r="D1047" s="13" t="str">
        <f>'Entry Sheet'!V115</f>
        <v>J. SMITH-NJIGBA</v>
      </c>
      <c r="E1047" s="13">
        <f>'Entry Sheet'!W115</f>
        <v>21.7</v>
      </c>
      <c r="F1047" s="589" t="s">
        <v>522</v>
      </c>
      <c r="BB1047" s="314"/>
    </row>
    <row r="1048" ht="15.75" hidden="1" customHeight="1">
      <c r="A1048" s="585">
        <v>1047.0</v>
      </c>
      <c r="B1048" s="937" t="str">
        <f>Settings!$A$8</f>
        <v>METAMOOKDAWGS</v>
      </c>
      <c r="C1048" s="712" t="s">
        <v>117</v>
      </c>
      <c r="D1048" s="13" t="str">
        <f>'Entry Sheet'!V116</f>
        <v>D. METCALF</v>
      </c>
      <c r="E1048" s="13">
        <f>'Entry Sheet'!W116</f>
        <v>9.9</v>
      </c>
      <c r="F1048" s="589" t="s">
        <v>522</v>
      </c>
      <c r="BB1048" s="314"/>
    </row>
    <row r="1049" ht="15.75" hidden="1" customHeight="1">
      <c r="A1049" s="585">
        <v>1048.0</v>
      </c>
      <c r="B1049" s="937" t="str">
        <f>Settings!$A$8</f>
        <v>METAMOOKDAWGS</v>
      </c>
      <c r="C1049" s="712" t="s">
        <v>117</v>
      </c>
      <c r="D1049" s="13" t="str">
        <f>'Entry Sheet'!V117</f>
        <v/>
      </c>
      <c r="E1049" s="13" t="str">
        <f>'Entry Sheet'!W117</f>
        <v/>
      </c>
      <c r="F1049" s="589" t="s">
        <v>522</v>
      </c>
      <c r="BB1049" s="314"/>
    </row>
    <row r="1050" ht="15.75" hidden="1" customHeight="1">
      <c r="A1050" s="585">
        <v>1049.0</v>
      </c>
      <c r="B1050" s="937" t="str">
        <f>Settings!$A$8</f>
        <v>METAMOOKDAWGS</v>
      </c>
      <c r="C1050" s="764" t="s">
        <v>132</v>
      </c>
      <c r="D1050" s="13" t="str">
        <f>'Entry Sheet'!V118</f>
        <v>M. ANDREWS</v>
      </c>
      <c r="E1050" s="13">
        <f>'Entry Sheet'!W118</f>
        <v>15.8</v>
      </c>
      <c r="F1050" s="589" t="s">
        <v>522</v>
      </c>
      <c r="BB1050" s="314"/>
    </row>
    <row r="1051" ht="15.75" hidden="1" customHeight="1">
      <c r="A1051" s="585">
        <v>1050.0</v>
      </c>
      <c r="B1051" s="937" t="str">
        <f>Settings!$A$8</f>
        <v>METAMOOKDAWGS</v>
      </c>
      <c r="C1051" s="795" t="s">
        <v>136</v>
      </c>
      <c r="D1051" s="13" t="str">
        <f>'Entry Sheet'!V119</f>
        <v>S. BARKLEY</v>
      </c>
      <c r="E1051" s="13">
        <f>'Entry Sheet'!W119</f>
        <v>12.6</v>
      </c>
      <c r="F1051" s="589" t="s">
        <v>522</v>
      </c>
      <c r="BB1051" s="314"/>
    </row>
    <row r="1052" ht="15.75" hidden="1" customHeight="1">
      <c r="A1052" s="585">
        <v>1051.0</v>
      </c>
      <c r="B1052" s="937" t="str">
        <f>Settings!$A$8</f>
        <v>METAMOOKDAWGS</v>
      </c>
      <c r="C1052" s="818" t="s">
        <v>139</v>
      </c>
      <c r="D1052" s="13" t="str">
        <f>'Entry Sheet'!V120</f>
        <v>CHI D/ST</v>
      </c>
      <c r="E1052" s="13">
        <f>'Entry Sheet'!W120</f>
        <v>17.28</v>
      </c>
      <c r="F1052" s="589" t="s">
        <v>522</v>
      </c>
      <c r="BB1052" s="314"/>
    </row>
    <row r="1053" ht="15.75" hidden="1" customHeight="1">
      <c r="A1053" s="585">
        <v>1052.0</v>
      </c>
      <c r="B1053" s="937" t="str">
        <f>Settings!$A$8</f>
        <v>METAMOOKDAWGS</v>
      </c>
      <c r="C1053" s="833" t="s">
        <v>146</v>
      </c>
      <c r="D1053" s="13" t="str">
        <f>'Entry Sheet'!V121</f>
        <v>J. BATES</v>
      </c>
      <c r="E1053" s="13">
        <f>'Entry Sheet'!W121</f>
        <v>6</v>
      </c>
      <c r="F1053" s="589" t="s">
        <v>522</v>
      </c>
      <c r="BB1053" s="314"/>
    </row>
    <row r="1054" ht="15.75" hidden="1" customHeight="1">
      <c r="A1054" s="585">
        <v>1053.0</v>
      </c>
      <c r="B1054" s="937" t="str">
        <f>Settings!$A$8</f>
        <v>METAMOOKDAWGS</v>
      </c>
      <c r="C1054" s="842" t="s">
        <v>162</v>
      </c>
      <c r="D1054" s="13" t="str">
        <f>'Entry Sheet'!V122</f>
        <v>DEN HC</v>
      </c>
      <c r="E1054" s="13">
        <f>'Entry Sheet'!W122</f>
        <v>8.6</v>
      </c>
      <c r="F1054" s="589" t="s">
        <v>522</v>
      </c>
      <c r="BB1054" s="314"/>
    </row>
    <row r="1055" ht="15.75" customHeight="1">
      <c r="A1055" s="585">
        <v>1054.0</v>
      </c>
      <c r="B1055" s="937" t="str">
        <f>Settings!$A$8</f>
        <v>METAMOOKDAWGS</v>
      </c>
      <c r="C1055" s="587" t="s">
        <v>100</v>
      </c>
      <c r="D1055" s="13" t="str">
        <f>'Entry Sheet'!X110</f>
        <v>J. HURTS</v>
      </c>
      <c r="E1055" s="13">
        <f>'Entry Sheet'!Y110</f>
        <v>36.56</v>
      </c>
      <c r="F1055" s="846" t="s">
        <v>523</v>
      </c>
      <c r="BB1055" s="314"/>
    </row>
    <row r="1056" ht="15.75" customHeight="1">
      <c r="A1056" s="585">
        <v>1055.0</v>
      </c>
      <c r="B1056" s="937" t="str">
        <f>Settings!$A$8</f>
        <v>METAMOOKDAWGS</v>
      </c>
      <c r="C1056" s="596" t="s">
        <v>106</v>
      </c>
      <c r="D1056" s="13" t="str">
        <f>'Entry Sheet'!X111</f>
        <v>K. HUNT</v>
      </c>
      <c r="E1056" s="13">
        <f>'Entry Sheet'!Y111</f>
        <v>24</v>
      </c>
      <c r="F1056" s="846" t="s">
        <v>523</v>
      </c>
      <c r="BB1056" s="314"/>
    </row>
    <row r="1057" ht="15.75" customHeight="1">
      <c r="A1057" s="585">
        <v>1056.0</v>
      </c>
      <c r="B1057" s="937" t="str">
        <f>Settings!$A$8</f>
        <v>METAMOOKDAWGS</v>
      </c>
      <c r="C1057" s="596" t="s">
        <v>106</v>
      </c>
      <c r="D1057" s="13" t="str">
        <f>'Entry Sheet'!X112</f>
        <v>S. TUCKER</v>
      </c>
      <c r="E1057" s="13">
        <f>'Entry Sheet'!Y112</f>
        <v>6.8</v>
      </c>
      <c r="F1057" s="846" t="s">
        <v>523</v>
      </c>
      <c r="BB1057" s="314"/>
    </row>
    <row r="1058" ht="15.75" customHeight="1">
      <c r="A1058" s="585">
        <v>1057.0</v>
      </c>
      <c r="B1058" s="937" t="str">
        <f>Settings!$A$8</f>
        <v>METAMOOKDAWGS</v>
      </c>
      <c r="C1058" s="596" t="s">
        <v>106</v>
      </c>
      <c r="D1058" s="13" t="str">
        <f>'Entry Sheet'!X113</f>
        <v/>
      </c>
      <c r="E1058" s="13" t="str">
        <f>'Entry Sheet'!Y113</f>
        <v/>
      </c>
      <c r="F1058" s="846" t="s">
        <v>523</v>
      </c>
      <c r="BB1058" s="314"/>
    </row>
    <row r="1059" ht="15.75" customHeight="1">
      <c r="A1059" s="585">
        <v>1058.0</v>
      </c>
      <c r="B1059" s="937" t="str">
        <f>Settings!$A$8</f>
        <v>METAMOOKDAWGS</v>
      </c>
      <c r="C1059" s="712" t="s">
        <v>117</v>
      </c>
      <c r="D1059" s="13" t="str">
        <f>'Entry Sheet'!X114</f>
        <v>N. COLLINS</v>
      </c>
      <c r="E1059" s="13">
        <f>'Entry Sheet'!Y114</f>
        <v>8.5</v>
      </c>
      <c r="F1059" s="846" t="s">
        <v>523</v>
      </c>
      <c r="BB1059" s="314"/>
    </row>
    <row r="1060" ht="15.75" customHeight="1">
      <c r="A1060" s="585">
        <v>1059.0</v>
      </c>
      <c r="B1060" s="937" t="str">
        <f>Settings!$A$8</f>
        <v>METAMOOKDAWGS</v>
      </c>
      <c r="C1060" s="712" t="s">
        <v>117</v>
      </c>
      <c r="D1060" s="13" t="str">
        <f>'Entry Sheet'!X115</f>
        <v>J. SMITH-NJIGBA</v>
      </c>
      <c r="E1060" s="13">
        <f>'Entry Sheet'!Y115</f>
        <v>38.2</v>
      </c>
      <c r="F1060" s="846" t="s">
        <v>523</v>
      </c>
      <c r="BB1060" s="314"/>
    </row>
    <row r="1061" ht="15.75" customHeight="1">
      <c r="A1061" s="585">
        <v>1060.0</v>
      </c>
      <c r="B1061" s="937" t="str">
        <f>Settings!$A$8</f>
        <v>METAMOOKDAWGS</v>
      </c>
      <c r="C1061" s="712" t="s">
        <v>117</v>
      </c>
      <c r="D1061" s="13" t="str">
        <f>'Entry Sheet'!X116</f>
        <v>D. METCALF</v>
      </c>
      <c r="E1061" s="13">
        <f>'Entry Sheet'!Y116</f>
        <v>14.6</v>
      </c>
      <c r="F1061" s="846" t="s">
        <v>523</v>
      </c>
      <c r="BB1061" s="314"/>
    </row>
    <row r="1062" ht="15.75" customHeight="1">
      <c r="A1062" s="585">
        <v>1061.0</v>
      </c>
      <c r="B1062" s="937" t="str">
        <f>Settings!$A$8</f>
        <v>METAMOOKDAWGS</v>
      </c>
      <c r="C1062" s="712" t="s">
        <v>117</v>
      </c>
      <c r="D1062" s="13" t="str">
        <f>'Entry Sheet'!X117</f>
        <v/>
      </c>
      <c r="E1062" s="13" t="str">
        <f>'Entry Sheet'!Y117</f>
        <v/>
      </c>
      <c r="F1062" s="846" t="s">
        <v>523</v>
      </c>
      <c r="BB1062" s="314"/>
    </row>
    <row r="1063" ht="15.75" customHeight="1">
      <c r="A1063" s="585">
        <v>1062.0</v>
      </c>
      <c r="B1063" s="937" t="str">
        <f>Settings!$A$8</f>
        <v>METAMOOKDAWGS</v>
      </c>
      <c r="C1063" s="764" t="s">
        <v>132</v>
      </c>
      <c r="D1063" s="13" t="str">
        <f>'Entry Sheet'!X118</f>
        <v>M. ANDREWS</v>
      </c>
      <c r="E1063" s="13">
        <f>'Entry Sheet'!Y118</f>
        <v>2.3</v>
      </c>
      <c r="F1063" s="846" t="s">
        <v>523</v>
      </c>
      <c r="BB1063" s="314"/>
    </row>
    <row r="1064" ht="15.75" customHeight="1">
      <c r="A1064" s="585">
        <v>1063.0</v>
      </c>
      <c r="B1064" s="937" t="str">
        <f>Settings!$A$8</f>
        <v>METAMOOKDAWGS</v>
      </c>
      <c r="C1064" s="795" t="s">
        <v>136</v>
      </c>
      <c r="D1064" s="13" t="str">
        <f>'Entry Sheet'!X119</f>
        <v>S. BARKLEY</v>
      </c>
      <c r="E1064" s="13">
        <f>'Entry Sheet'!Y119</f>
        <v>13.4</v>
      </c>
      <c r="F1064" s="846" t="s">
        <v>523</v>
      </c>
      <c r="BB1064" s="314"/>
    </row>
    <row r="1065" ht="15.75" customHeight="1">
      <c r="A1065" s="585">
        <v>1064.0</v>
      </c>
      <c r="B1065" s="937" t="str">
        <f>Settings!$A$8</f>
        <v>METAMOOKDAWGS</v>
      </c>
      <c r="C1065" s="818" t="s">
        <v>139</v>
      </c>
      <c r="D1065" s="13" t="str">
        <f>'Entry Sheet'!X120</f>
        <v>CHI D/ST</v>
      </c>
      <c r="E1065" s="13">
        <f>'Entry Sheet'!Y120</f>
        <v>17.7</v>
      </c>
      <c r="F1065" s="846" t="s">
        <v>523</v>
      </c>
      <c r="BB1065" s="314"/>
    </row>
    <row r="1066" ht="15.75" customHeight="1">
      <c r="A1066" s="585">
        <v>1065.0</v>
      </c>
      <c r="B1066" s="937" t="str">
        <f>Settings!$A$8</f>
        <v>METAMOOKDAWGS</v>
      </c>
      <c r="C1066" s="833" t="s">
        <v>146</v>
      </c>
      <c r="D1066" s="13" t="str">
        <f>'Entry Sheet'!X121</f>
        <v>J. BATES</v>
      </c>
      <c r="E1066" s="13">
        <f>'Entry Sheet'!Y121</f>
        <v>13</v>
      </c>
      <c r="F1066" s="846" t="s">
        <v>523</v>
      </c>
      <c r="BB1066" s="314"/>
    </row>
    <row r="1067" ht="15.75" customHeight="1">
      <c r="A1067" s="585">
        <v>1066.0</v>
      </c>
      <c r="B1067" s="937" t="str">
        <f>Settings!$A$8</f>
        <v>METAMOOKDAWGS</v>
      </c>
      <c r="C1067" s="842" t="s">
        <v>162</v>
      </c>
      <c r="D1067" s="13" t="str">
        <f>'Entry Sheet'!X122</f>
        <v>DEN HC</v>
      </c>
      <c r="E1067" s="13">
        <f>'Entry Sheet'!Y122</f>
        <v>0</v>
      </c>
      <c r="F1067" s="846" t="s">
        <v>523</v>
      </c>
      <c r="BB1067" s="314"/>
    </row>
    <row r="1068" ht="15.75" customHeight="1">
      <c r="A1068" s="585">
        <v>1067.0</v>
      </c>
      <c r="B1068" s="937" t="str">
        <f>Settings!$A$8</f>
        <v>METAMOOKDAWGS</v>
      </c>
      <c r="C1068" s="587" t="s">
        <v>100</v>
      </c>
      <c r="D1068" s="13" t="str">
        <f>'Entry Sheet'!Z110</f>
        <v>J. HURTS</v>
      </c>
      <c r="E1068" s="13">
        <f>'Entry Sheet'!AA110</f>
        <v>20.7</v>
      </c>
      <c r="F1068" s="589" t="s">
        <v>524</v>
      </c>
      <c r="BB1068" s="314"/>
    </row>
    <row r="1069" ht="15.75" customHeight="1">
      <c r="A1069" s="585">
        <v>1068.0</v>
      </c>
      <c r="B1069" s="937" t="str">
        <f>Settings!$A$8</f>
        <v>METAMOOKDAWGS</v>
      </c>
      <c r="C1069" s="596" t="s">
        <v>106</v>
      </c>
      <c r="D1069" s="13" t="str">
        <f>'Entry Sheet'!Z111</f>
        <v>R. HARVEY</v>
      </c>
      <c r="E1069" s="13">
        <f>'Entry Sheet'!AA111</f>
        <v>22.5</v>
      </c>
      <c r="F1069" s="589" t="s">
        <v>524</v>
      </c>
      <c r="BB1069" s="314"/>
    </row>
    <row r="1070" ht="15.75" customHeight="1">
      <c r="A1070" s="585">
        <v>1069.0</v>
      </c>
      <c r="B1070" s="937" t="str">
        <f>Settings!$A$8</f>
        <v>METAMOOKDAWGS</v>
      </c>
      <c r="C1070" s="596" t="s">
        <v>106</v>
      </c>
      <c r="D1070" s="13" t="str">
        <f>'Entry Sheet'!Z112</f>
        <v>K. HUNT</v>
      </c>
      <c r="E1070" s="13">
        <f>'Entry Sheet'!AA112</f>
        <v>10.4</v>
      </c>
      <c r="F1070" s="589" t="s">
        <v>524</v>
      </c>
      <c r="BB1070" s="314"/>
    </row>
    <row r="1071" ht="15.75" customHeight="1">
      <c r="A1071" s="585">
        <v>1070.0</v>
      </c>
      <c r="B1071" s="937" t="str">
        <f>Settings!$A$8</f>
        <v>METAMOOKDAWGS</v>
      </c>
      <c r="C1071" s="596" t="s">
        <v>106</v>
      </c>
      <c r="D1071" s="13" t="str">
        <f>'Entry Sheet'!Z113</f>
        <v/>
      </c>
      <c r="E1071" s="13" t="str">
        <f>'Entry Sheet'!AA113</f>
        <v/>
      </c>
      <c r="F1071" s="589" t="s">
        <v>524</v>
      </c>
      <c r="BB1071" s="314"/>
    </row>
    <row r="1072" ht="15.75" customHeight="1">
      <c r="A1072" s="585">
        <v>1071.0</v>
      </c>
      <c r="B1072" s="937" t="str">
        <f>Settings!$A$8</f>
        <v>METAMOOKDAWGS</v>
      </c>
      <c r="C1072" s="712" t="s">
        <v>117</v>
      </c>
      <c r="D1072" s="13" t="str">
        <f>'Entry Sheet'!Z114</f>
        <v>N. COLLINS</v>
      </c>
      <c r="E1072" s="13">
        <f>'Entry Sheet'!AA114</f>
        <v>21.6</v>
      </c>
      <c r="F1072" s="589" t="s">
        <v>524</v>
      </c>
      <c r="BB1072" s="314"/>
    </row>
    <row r="1073" ht="15.75" customHeight="1">
      <c r="A1073" s="585">
        <v>1072.0</v>
      </c>
      <c r="B1073" s="937" t="str">
        <f>Settings!$A$8</f>
        <v>METAMOOKDAWGS</v>
      </c>
      <c r="C1073" s="712" t="s">
        <v>117</v>
      </c>
      <c r="D1073" s="13" t="str">
        <f>'Entry Sheet'!Z115</f>
        <v>J. SMITH-NJIGBA</v>
      </c>
      <c r="E1073" s="13">
        <f>'Entry Sheet'!AA115</f>
        <v>4.3</v>
      </c>
      <c r="F1073" s="589" t="s">
        <v>524</v>
      </c>
      <c r="BB1073" s="314"/>
    </row>
    <row r="1074" ht="15.75" customHeight="1">
      <c r="A1074" s="585">
        <v>1073.0</v>
      </c>
      <c r="B1074" s="937" t="str">
        <f>Settings!$A$8</f>
        <v>METAMOOKDAWGS</v>
      </c>
      <c r="C1074" s="712" t="s">
        <v>117</v>
      </c>
      <c r="D1074" s="13" t="str">
        <f>'Entry Sheet'!Z116</f>
        <v>D. METCALF</v>
      </c>
      <c r="E1074" s="13">
        <f>'Entry Sheet'!AA116</f>
        <v>6.2</v>
      </c>
      <c r="F1074" s="589" t="s">
        <v>524</v>
      </c>
      <c r="BB1074" s="314"/>
    </row>
    <row r="1075" ht="15.75" customHeight="1">
      <c r="A1075" s="585">
        <v>1074.0</v>
      </c>
      <c r="B1075" s="937" t="str">
        <f>Settings!$A$8</f>
        <v>METAMOOKDAWGS</v>
      </c>
      <c r="C1075" s="712" t="s">
        <v>117</v>
      </c>
      <c r="D1075" s="13" t="str">
        <f>'Entry Sheet'!Z117</f>
        <v/>
      </c>
      <c r="E1075" s="13" t="str">
        <f>'Entry Sheet'!AA117</f>
        <v/>
      </c>
      <c r="F1075" s="589" t="s">
        <v>524</v>
      </c>
      <c r="BB1075" s="314"/>
    </row>
    <row r="1076" ht="15.75" customHeight="1">
      <c r="A1076" s="585">
        <v>1075.0</v>
      </c>
      <c r="B1076" s="937" t="str">
        <f>Settings!$A$8</f>
        <v>METAMOOKDAWGS</v>
      </c>
      <c r="C1076" s="764" t="s">
        <v>132</v>
      </c>
      <c r="D1076" s="13" t="str">
        <f>'Entry Sheet'!Z118</f>
        <v>M. ANDREWS</v>
      </c>
      <c r="E1076" s="13">
        <f>'Entry Sheet'!AA118</f>
        <v>8.7</v>
      </c>
      <c r="F1076" s="589" t="s">
        <v>524</v>
      </c>
      <c r="BB1076" s="314"/>
    </row>
    <row r="1077" ht="15.75" customHeight="1">
      <c r="A1077" s="585">
        <v>1076.0</v>
      </c>
      <c r="B1077" s="937" t="str">
        <f>Settings!$A$8</f>
        <v>METAMOOKDAWGS</v>
      </c>
      <c r="C1077" s="795" t="s">
        <v>136</v>
      </c>
      <c r="D1077" s="13" t="str">
        <f>'Entry Sheet'!Z119</f>
        <v>S. BARKLEY</v>
      </c>
      <c r="E1077" s="13">
        <f>'Entry Sheet'!AA119</f>
        <v>6.9</v>
      </c>
      <c r="F1077" s="589" t="s">
        <v>524</v>
      </c>
      <c r="BB1077" s="314"/>
    </row>
    <row r="1078" ht="15.75" customHeight="1">
      <c r="A1078" s="585">
        <v>1077.0</v>
      </c>
      <c r="B1078" s="937" t="str">
        <f>Settings!$A$8</f>
        <v>METAMOOKDAWGS</v>
      </c>
      <c r="C1078" s="818" t="s">
        <v>139</v>
      </c>
      <c r="D1078" s="13" t="str">
        <f>'Entry Sheet'!Z120</f>
        <v>CHI D/ST</v>
      </c>
      <c r="E1078" s="13">
        <f>'Entry Sheet'!AA120</f>
        <v>10.86</v>
      </c>
      <c r="F1078" s="589" t="s">
        <v>524</v>
      </c>
      <c r="BB1078" s="314"/>
    </row>
    <row r="1079" ht="15.75" customHeight="1">
      <c r="A1079" s="585">
        <v>1078.0</v>
      </c>
      <c r="B1079" s="937" t="str">
        <f>Settings!$A$8</f>
        <v>METAMOOKDAWGS</v>
      </c>
      <c r="C1079" s="833" t="s">
        <v>146</v>
      </c>
      <c r="D1079" s="13" t="str">
        <f>'Entry Sheet'!Z121</f>
        <v>J. BATES</v>
      </c>
      <c r="E1079" s="13">
        <f>'Entry Sheet'!AA121</f>
        <v>6</v>
      </c>
      <c r="F1079" s="589" t="s">
        <v>524</v>
      </c>
      <c r="BB1079" s="314"/>
    </row>
    <row r="1080" ht="15.75" customHeight="1">
      <c r="A1080" s="585">
        <v>1079.0</v>
      </c>
      <c r="B1080" s="937" t="str">
        <f>Settings!$A$8</f>
        <v>METAMOOKDAWGS</v>
      </c>
      <c r="C1080" s="842" t="s">
        <v>162</v>
      </c>
      <c r="D1080" s="13" t="str">
        <f>'Entry Sheet'!Z122</f>
        <v>CHI HC</v>
      </c>
      <c r="E1080" s="13">
        <f>'Entry Sheet'!AA122</f>
        <v>10.2</v>
      </c>
      <c r="F1080" s="589" t="s">
        <v>524</v>
      </c>
      <c r="BB1080" s="314"/>
    </row>
    <row r="1081" ht="15.75" customHeight="1">
      <c r="A1081" s="585">
        <v>1080.0</v>
      </c>
      <c r="B1081" s="937" t="str">
        <f>Settings!$A$8</f>
        <v>METAMOOKDAWGS</v>
      </c>
      <c r="C1081" s="587" t="s">
        <v>100</v>
      </c>
      <c r="D1081" s="13" t="str">
        <f>'Entry Sheet'!AB110</f>
        <v>J. HURTS</v>
      </c>
      <c r="E1081" s="13">
        <f>'Entry Sheet'!AC110</f>
        <v>-2</v>
      </c>
      <c r="F1081" s="846" t="s">
        <v>525</v>
      </c>
      <c r="BB1081" s="314"/>
    </row>
    <row r="1082" ht="15.75" customHeight="1">
      <c r="A1082" s="585">
        <v>1081.0</v>
      </c>
      <c r="B1082" s="937" t="str">
        <f>Settings!$A$8</f>
        <v>METAMOOKDAWGS</v>
      </c>
      <c r="C1082" s="596" t="s">
        <v>106</v>
      </c>
      <c r="D1082" s="13" t="str">
        <f>'Entry Sheet'!AB111</f>
        <v>R. HARVEY</v>
      </c>
      <c r="E1082" s="13">
        <f>'Entry Sheet'!AC111</f>
        <v>23.7</v>
      </c>
      <c r="F1082" s="846" t="s">
        <v>525</v>
      </c>
      <c r="BB1082" s="314"/>
    </row>
    <row r="1083" ht="15.75" customHeight="1">
      <c r="A1083" s="585">
        <v>1082.0</v>
      </c>
      <c r="B1083" s="937" t="str">
        <f>Settings!$A$8</f>
        <v>METAMOOKDAWGS</v>
      </c>
      <c r="C1083" s="596" t="s">
        <v>106</v>
      </c>
      <c r="D1083" s="13" t="str">
        <f>'Entry Sheet'!AB112</f>
        <v>K. HUNT</v>
      </c>
      <c r="E1083" s="13">
        <f>'Entry Sheet'!AC112</f>
        <v>10.2</v>
      </c>
      <c r="F1083" s="846" t="s">
        <v>525</v>
      </c>
      <c r="BB1083" s="314"/>
    </row>
    <row r="1084" ht="15.75" customHeight="1">
      <c r="A1084" s="585">
        <v>1083.0</v>
      </c>
      <c r="B1084" s="937" t="str">
        <f>Settings!$A$8</f>
        <v>METAMOOKDAWGS</v>
      </c>
      <c r="C1084" s="596" t="s">
        <v>106</v>
      </c>
      <c r="D1084" s="13" t="str">
        <f>'Entry Sheet'!AB113</f>
        <v/>
      </c>
      <c r="E1084" s="13" t="str">
        <f>'Entry Sheet'!AC113</f>
        <v/>
      </c>
      <c r="F1084" s="846" t="s">
        <v>525</v>
      </c>
      <c r="BB1084" s="314"/>
    </row>
    <row r="1085" ht="15.75" customHeight="1">
      <c r="A1085" s="585">
        <v>1084.0</v>
      </c>
      <c r="B1085" s="937" t="str">
        <f>Settings!$A$8</f>
        <v>METAMOOKDAWGS</v>
      </c>
      <c r="C1085" s="712" t="s">
        <v>117</v>
      </c>
      <c r="D1085" s="13" t="str">
        <f>'Entry Sheet'!AB114</f>
        <v>N. COLLINS</v>
      </c>
      <c r="E1085" s="13">
        <f>'Entry Sheet'!AC114</f>
        <v>17.1</v>
      </c>
      <c r="F1085" s="846" t="s">
        <v>525</v>
      </c>
      <c r="BB1085" s="314"/>
    </row>
    <row r="1086" ht="15.75" customHeight="1">
      <c r="A1086" s="585">
        <v>1085.0</v>
      </c>
      <c r="B1086" s="937" t="str">
        <f>Settings!$A$8</f>
        <v>METAMOOKDAWGS</v>
      </c>
      <c r="C1086" s="712" t="s">
        <v>117</v>
      </c>
      <c r="D1086" s="13" t="str">
        <f>'Entry Sheet'!AB115</f>
        <v>J. SMITH-NJIGBA</v>
      </c>
      <c r="E1086" s="13">
        <f>'Entry Sheet'!AC115</f>
        <v>28.2</v>
      </c>
      <c r="F1086" s="846" t="s">
        <v>525</v>
      </c>
      <c r="BB1086" s="314"/>
    </row>
    <row r="1087" ht="15.75" customHeight="1">
      <c r="A1087" s="585">
        <v>1086.0</v>
      </c>
      <c r="B1087" s="937" t="str">
        <f>Settings!$A$8</f>
        <v>METAMOOKDAWGS</v>
      </c>
      <c r="C1087" s="712" t="s">
        <v>117</v>
      </c>
      <c r="D1087" s="13" t="str">
        <f>'Entry Sheet'!AB116</f>
        <v>D. METCALF</v>
      </c>
      <c r="E1087" s="13">
        <f>'Entry Sheet'!AC116</f>
        <v>22.8</v>
      </c>
      <c r="F1087" s="846" t="s">
        <v>525</v>
      </c>
      <c r="BB1087" s="314"/>
    </row>
    <row r="1088" ht="15.75" customHeight="1">
      <c r="A1088" s="585">
        <v>1087.0</v>
      </c>
      <c r="B1088" s="937" t="str">
        <f>Settings!$A$8</f>
        <v>METAMOOKDAWGS</v>
      </c>
      <c r="C1088" s="712" t="s">
        <v>117</v>
      </c>
      <c r="D1088" s="13" t="str">
        <f>'Entry Sheet'!AB117</f>
        <v/>
      </c>
      <c r="E1088" s="13" t="str">
        <f>'Entry Sheet'!AC117</f>
        <v/>
      </c>
      <c r="F1088" s="846" t="s">
        <v>525</v>
      </c>
      <c r="BB1088" s="314"/>
    </row>
    <row r="1089" ht="15.75" customHeight="1">
      <c r="A1089" s="585">
        <v>1088.0</v>
      </c>
      <c r="B1089" s="937" t="str">
        <f>Settings!$A$8</f>
        <v>METAMOOKDAWGS</v>
      </c>
      <c r="C1089" s="764" t="s">
        <v>132</v>
      </c>
      <c r="D1089" s="13" t="str">
        <f>'Entry Sheet'!AB118</f>
        <v>M. ANDREWS</v>
      </c>
      <c r="E1089" s="13">
        <f>'Entry Sheet'!AC118</f>
        <v>1.9</v>
      </c>
      <c r="F1089" s="846" t="s">
        <v>525</v>
      </c>
      <c r="BB1089" s="314"/>
    </row>
    <row r="1090" ht="15.75" customHeight="1">
      <c r="A1090" s="585">
        <v>1089.0</v>
      </c>
      <c r="B1090" s="937" t="str">
        <f>Settings!$A$8</f>
        <v>METAMOOKDAWGS</v>
      </c>
      <c r="C1090" s="795" t="s">
        <v>136</v>
      </c>
      <c r="D1090" s="13" t="str">
        <f>'Entry Sheet'!AB119</f>
        <v>S. BARKLEY</v>
      </c>
      <c r="E1090" s="13">
        <f>'Entry Sheet'!AC119</f>
        <v>21.2</v>
      </c>
      <c r="F1090" s="846" t="s">
        <v>525</v>
      </c>
      <c r="BB1090" s="314"/>
    </row>
    <row r="1091" ht="15.75" customHeight="1">
      <c r="A1091" s="585">
        <v>1090.0</v>
      </c>
      <c r="B1091" s="937" t="str">
        <f>Settings!$A$8</f>
        <v>METAMOOKDAWGS</v>
      </c>
      <c r="C1091" s="818" t="s">
        <v>139</v>
      </c>
      <c r="D1091" s="13" t="str">
        <f>'Entry Sheet'!AB120</f>
        <v>SEA D/ST</v>
      </c>
      <c r="E1091" s="13">
        <f>'Entry Sheet'!AC120</f>
        <v>32.4</v>
      </c>
      <c r="F1091" s="846" t="s">
        <v>525</v>
      </c>
      <c r="BB1091" s="314"/>
    </row>
    <row r="1092" ht="15.75" customHeight="1">
      <c r="A1092" s="585">
        <v>1091.0</v>
      </c>
      <c r="B1092" s="937" t="str">
        <f>Settings!$A$8</f>
        <v>METAMOOKDAWGS</v>
      </c>
      <c r="C1092" s="833" t="s">
        <v>146</v>
      </c>
      <c r="D1092" s="13" t="str">
        <f>'Entry Sheet'!AB121</f>
        <v>J. BATES</v>
      </c>
      <c r="E1092" s="13">
        <f>'Entry Sheet'!AC121</f>
        <v>15</v>
      </c>
      <c r="F1092" s="846" t="s">
        <v>525</v>
      </c>
      <c r="BB1092" s="314"/>
    </row>
    <row r="1093" ht="15.75" customHeight="1">
      <c r="A1093" s="585">
        <v>1092.0</v>
      </c>
      <c r="B1093" s="937" t="str">
        <f>Settings!$A$8</f>
        <v>METAMOOKDAWGS</v>
      </c>
      <c r="C1093" s="842" t="s">
        <v>162</v>
      </c>
      <c r="D1093" s="13" t="str">
        <f>'Entry Sheet'!AB122</f>
        <v>CHI HC</v>
      </c>
      <c r="E1093" s="13">
        <f>'Entry Sheet'!AC122</f>
        <v>3.3</v>
      </c>
      <c r="F1093" s="846" t="s">
        <v>525</v>
      </c>
      <c r="BB1093" s="314"/>
    </row>
    <row r="1094" ht="15.75" customHeight="1">
      <c r="A1094" s="585">
        <v>1093.0</v>
      </c>
      <c r="B1094" s="1004" t="str">
        <f>Settings!$A$9</f>
        <v>YARDIES</v>
      </c>
      <c r="C1094" s="587" t="s">
        <v>100</v>
      </c>
      <c r="D1094" s="13" t="str">
        <f>'Entry Sheet'!B131</f>
        <v>J. BURROW</v>
      </c>
      <c r="E1094" s="13">
        <f>'Entry Sheet'!C131</f>
        <v>12.02</v>
      </c>
      <c r="F1094" s="589" t="s">
        <v>512</v>
      </c>
      <c r="BB1094" s="314"/>
    </row>
    <row r="1095" ht="15.75" customHeight="1">
      <c r="A1095" s="585">
        <v>1094.0</v>
      </c>
      <c r="B1095" s="1004" t="str">
        <f>Settings!$A$9</f>
        <v>YARDIES</v>
      </c>
      <c r="C1095" s="596" t="s">
        <v>106</v>
      </c>
      <c r="D1095" s="13" t="str">
        <f>'Entry Sheet'!B132</f>
        <v>D. HENRY</v>
      </c>
      <c r="E1095" s="13">
        <f>'Entry Sheet'!C132</f>
        <v>32</v>
      </c>
      <c r="F1095" s="589" t="s">
        <v>512</v>
      </c>
      <c r="BB1095" s="314"/>
    </row>
    <row r="1096" ht="15.75" customHeight="1">
      <c r="A1096" s="585">
        <v>1095.0</v>
      </c>
      <c r="B1096" s="1004" t="str">
        <f>Settings!$A$9</f>
        <v>YARDIES</v>
      </c>
      <c r="C1096" s="596" t="s">
        <v>106</v>
      </c>
      <c r="D1096" s="13" t="str">
        <f>'Entry Sheet'!B133</f>
        <v>J. FORD</v>
      </c>
      <c r="E1096" s="13">
        <f>'Entry Sheet'!C133</f>
        <v>2.1</v>
      </c>
      <c r="F1096" s="589" t="s">
        <v>512</v>
      </c>
      <c r="BB1096" s="314"/>
    </row>
    <row r="1097" ht="15.75" customHeight="1">
      <c r="A1097" s="585">
        <v>1096.0</v>
      </c>
      <c r="B1097" s="1004" t="str">
        <f>Settings!$A$9</f>
        <v>YARDIES</v>
      </c>
      <c r="C1097" s="596" t="s">
        <v>106</v>
      </c>
      <c r="D1097" s="13" t="str">
        <f>'Entry Sheet'!B134</f>
        <v/>
      </c>
      <c r="E1097" s="13" t="str">
        <f>'Entry Sheet'!C134</f>
        <v/>
      </c>
      <c r="F1097" s="589" t="s">
        <v>512</v>
      </c>
      <c r="BB1097" s="314"/>
    </row>
    <row r="1098" ht="15.75" customHeight="1">
      <c r="A1098" s="585">
        <v>1097.0</v>
      </c>
      <c r="B1098" s="1004" t="str">
        <f>Settings!$A$9</f>
        <v>YARDIES</v>
      </c>
      <c r="C1098" s="712" t="s">
        <v>117</v>
      </c>
      <c r="D1098" s="13" t="str">
        <f>'Entry Sheet'!B135</f>
        <v>J. WILLIAMS</v>
      </c>
      <c r="E1098" s="13">
        <f>'Entry Sheet'!C135</f>
        <v>6.7</v>
      </c>
      <c r="F1098" s="589" t="s">
        <v>512</v>
      </c>
      <c r="BB1098" s="314"/>
    </row>
    <row r="1099" ht="15.75" customHeight="1">
      <c r="A1099" s="585">
        <v>1098.0</v>
      </c>
      <c r="B1099" s="1004" t="str">
        <f>Settings!$A$9</f>
        <v>YARDIES</v>
      </c>
      <c r="C1099" s="712" t="s">
        <v>117</v>
      </c>
      <c r="D1099" s="13" t="str">
        <f>'Entry Sheet'!B136</f>
        <v>Z. FLOWERS</v>
      </c>
      <c r="E1099" s="13">
        <f>'Entry Sheet'!C136</f>
        <v>29.3</v>
      </c>
      <c r="F1099" s="589" t="s">
        <v>512</v>
      </c>
      <c r="BB1099" s="314"/>
    </row>
    <row r="1100" ht="15.75" customHeight="1">
      <c r="A1100" s="585">
        <v>1099.0</v>
      </c>
      <c r="B1100" s="1004" t="str">
        <f>Settings!$A$9</f>
        <v>YARDIES</v>
      </c>
      <c r="C1100" s="712" t="s">
        <v>117</v>
      </c>
      <c r="D1100" s="13" t="str">
        <f>'Entry Sheet'!B137</f>
        <v>R. ODUNZE</v>
      </c>
      <c r="E1100" s="13">
        <f>'Entry Sheet'!C137</f>
        <v>15.7</v>
      </c>
      <c r="F1100" s="589" t="s">
        <v>512</v>
      </c>
      <c r="BB1100" s="314"/>
    </row>
    <row r="1101" ht="15.75" customHeight="1">
      <c r="A1101" s="585">
        <v>1100.0</v>
      </c>
      <c r="B1101" s="1004" t="str">
        <f>Settings!$A$9</f>
        <v>YARDIES</v>
      </c>
      <c r="C1101" s="712" t="s">
        <v>117</v>
      </c>
      <c r="D1101" s="13" t="str">
        <f>'Entry Sheet'!B138</f>
        <v/>
      </c>
      <c r="E1101" s="13" t="str">
        <f>'Entry Sheet'!C138</f>
        <v/>
      </c>
      <c r="F1101" s="589" t="s">
        <v>512</v>
      </c>
      <c r="BB1101" s="314"/>
    </row>
    <row r="1102" ht="15.75" customHeight="1">
      <c r="A1102" s="585">
        <v>1101.0</v>
      </c>
      <c r="B1102" s="1004" t="str">
        <f>Settings!$A$9</f>
        <v>YARDIES</v>
      </c>
      <c r="C1102" s="764" t="s">
        <v>132</v>
      </c>
      <c r="D1102" s="13" t="str">
        <f>'Entry Sheet'!B139</f>
        <v>B. BOWERS</v>
      </c>
      <c r="E1102" s="13">
        <f>'Entry Sheet'!C139</f>
        <v>16.3</v>
      </c>
      <c r="F1102" s="589" t="s">
        <v>512</v>
      </c>
      <c r="BB1102" s="314"/>
    </row>
    <row r="1103" ht="15.75" customHeight="1">
      <c r="A1103" s="585">
        <v>1102.0</v>
      </c>
      <c r="B1103" s="1004" t="str">
        <f>Settings!$A$9</f>
        <v>YARDIES</v>
      </c>
      <c r="C1103" s="795" t="s">
        <v>136</v>
      </c>
      <c r="D1103" s="13" t="str">
        <f>'Entry Sheet'!B140</f>
        <v>A. EKELER</v>
      </c>
      <c r="E1103" s="13">
        <f>'Entry Sheet'!C140</f>
        <v>9.3</v>
      </c>
      <c r="F1103" s="589" t="s">
        <v>512</v>
      </c>
      <c r="BB1103" s="314"/>
    </row>
    <row r="1104" ht="15.75" customHeight="1">
      <c r="A1104" s="585">
        <v>1103.0</v>
      </c>
      <c r="B1104" s="1004" t="str">
        <f>Settings!$A$9</f>
        <v>YARDIES</v>
      </c>
      <c r="C1104" s="818" t="s">
        <v>139</v>
      </c>
      <c r="D1104" s="13" t="str">
        <f>'Entry Sheet'!B141</f>
        <v>HOU D/ST</v>
      </c>
      <c r="E1104" s="13">
        <f>'Entry Sheet'!C141</f>
        <v>14.15</v>
      </c>
      <c r="F1104" s="589" t="s">
        <v>512</v>
      </c>
      <c r="BB1104" s="314"/>
    </row>
    <row r="1105" ht="15.75" customHeight="1">
      <c r="A1105" s="585">
        <v>1104.0</v>
      </c>
      <c r="B1105" s="1004" t="str">
        <f>Settings!$A$9</f>
        <v>YARDIES</v>
      </c>
      <c r="C1105" s="833" t="s">
        <v>146</v>
      </c>
      <c r="D1105" s="13" t="str">
        <f>'Entry Sheet'!B142</f>
        <v>C. BOSWELL</v>
      </c>
      <c r="E1105" s="13">
        <f>'Entry Sheet'!C142</f>
        <v>19</v>
      </c>
      <c r="F1105" s="589" t="s">
        <v>512</v>
      </c>
      <c r="BB1105" s="314"/>
    </row>
    <row r="1106" ht="15.75" customHeight="1">
      <c r="A1106" s="585">
        <v>1105.0</v>
      </c>
      <c r="B1106" s="1004" t="str">
        <f>Settings!$A$9</f>
        <v>YARDIES</v>
      </c>
      <c r="C1106" s="842" t="s">
        <v>162</v>
      </c>
      <c r="D1106" s="13" t="str">
        <f>'Entry Sheet'!B143</f>
        <v>DET HC</v>
      </c>
      <c r="E1106" s="13">
        <f>'Entry Sheet'!C143</f>
        <v>-0.1</v>
      </c>
      <c r="F1106" s="589" t="s">
        <v>512</v>
      </c>
      <c r="BB1106" s="314"/>
    </row>
    <row r="1107" ht="15.75" customHeight="1">
      <c r="A1107" s="585">
        <v>1106.0</v>
      </c>
      <c r="B1107" s="1004" t="str">
        <f>Settings!$A$9</f>
        <v>YARDIES</v>
      </c>
      <c r="C1107" s="587" t="s">
        <v>100</v>
      </c>
      <c r="D1107" s="13" t="str">
        <f>'Entry Sheet'!D131</f>
        <v>J. BURROW</v>
      </c>
      <c r="E1107" s="13">
        <f>'Entry Sheet'!E131</f>
        <v>9.24</v>
      </c>
      <c r="F1107" s="846" t="s">
        <v>513</v>
      </c>
      <c r="BB1107" s="314"/>
    </row>
    <row r="1108" ht="15.75" customHeight="1">
      <c r="A1108" s="585">
        <v>1107.0</v>
      </c>
      <c r="B1108" s="1004" t="str">
        <f>Settings!$A$9</f>
        <v>YARDIES</v>
      </c>
      <c r="C1108" s="596" t="s">
        <v>106</v>
      </c>
      <c r="D1108" s="13" t="str">
        <f>'Entry Sheet'!D132</f>
        <v>D. HENRY</v>
      </c>
      <c r="E1108" s="13">
        <f>'Entry Sheet'!E132</f>
        <v>3.4</v>
      </c>
      <c r="F1108" s="846" t="s">
        <v>513</v>
      </c>
      <c r="BB1108" s="314"/>
    </row>
    <row r="1109" ht="15.75" customHeight="1">
      <c r="A1109" s="585">
        <v>1108.0</v>
      </c>
      <c r="B1109" s="1004" t="str">
        <f>Settings!$A$9</f>
        <v>YARDIES</v>
      </c>
      <c r="C1109" s="596" t="s">
        <v>106</v>
      </c>
      <c r="D1109" s="13" t="str">
        <f>'Entry Sheet'!D133</f>
        <v>D. SAMPSON</v>
      </c>
      <c r="E1109" s="13">
        <f>'Entry Sheet'!E133</f>
        <v>11.3</v>
      </c>
      <c r="F1109" s="846" t="s">
        <v>513</v>
      </c>
      <c r="BB1109" s="314"/>
    </row>
    <row r="1110" ht="15.75" customHeight="1">
      <c r="A1110" s="585">
        <v>1109.0</v>
      </c>
      <c r="B1110" s="1004" t="str">
        <f>Settings!$A$9</f>
        <v>YARDIES</v>
      </c>
      <c r="C1110" s="596" t="s">
        <v>106</v>
      </c>
      <c r="D1110" s="13" t="str">
        <f>'Entry Sheet'!D134</f>
        <v/>
      </c>
      <c r="E1110" s="13" t="str">
        <f>'Entry Sheet'!E134</f>
        <v/>
      </c>
      <c r="F1110" s="846" t="s">
        <v>513</v>
      </c>
      <c r="BB1110" s="314"/>
    </row>
    <row r="1111" ht="15.75" customHeight="1">
      <c r="A1111" s="585">
        <v>1110.0</v>
      </c>
      <c r="B1111" s="1004" t="str">
        <f>Settings!$A$9</f>
        <v>YARDIES</v>
      </c>
      <c r="C1111" s="712" t="s">
        <v>117</v>
      </c>
      <c r="D1111" s="13" t="str">
        <f>'Entry Sheet'!D135</f>
        <v>J. WILLIAMS</v>
      </c>
      <c r="E1111" s="13">
        <f>'Entry Sheet'!E135</f>
        <v>19.8</v>
      </c>
      <c r="F1111" s="846" t="s">
        <v>513</v>
      </c>
      <c r="BB1111" s="314"/>
    </row>
    <row r="1112" ht="15.75" customHeight="1">
      <c r="A1112" s="585">
        <v>1111.0</v>
      </c>
      <c r="B1112" s="1004" t="str">
        <f>Settings!$A$9</f>
        <v>YARDIES</v>
      </c>
      <c r="C1112" s="712" t="s">
        <v>117</v>
      </c>
      <c r="D1112" s="13" t="str">
        <f>'Entry Sheet'!D136</f>
        <v>R. ODUNZE</v>
      </c>
      <c r="E1112" s="13">
        <f>'Entry Sheet'!E136</f>
        <v>32.8</v>
      </c>
      <c r="F1112" s="846" t="s">
        <v>513</v>
      </c>
      <c r="BB1112" s="314"/>
    </row>
    <row r="1113" ht="15.75" customHeight="1">
      <c r="A1113" s="585">
        <v>1112.0</v>
      </c>
      <c r="B1113" s="1004" t="str">
        <f>Settings!$A$9</f>
        <v>YARDIES</v>
      </c>
      <c r="C1113" s="712" t="s">
        <v>117</v>
      </c>
      <c r="D1113" s="13" t="str">
        <f>'Entry Sheet'!D137</f>
        <v>M. MIMS JR</v>
      </c>
      <c r="E1113" s="13">
        <f>'Entry Sheet'!E137</f>
        <v>13</v>
      </c>
      <c r="F1113" s="846" t="s">
        <v>513</v>
      </c>
      <c r="BB1113" s="314"/>
    </row>
    <row r="1114" ht="15.75" customHeight="1">
      <c r="A1114" s="585">
        <v>1113.0</v>
      </c>
      <c r="B1114" s="1004" t="str">
        <f>Settings!$A$9</f>
        <v>YARDIES</v>
      </c>
      <c r="C1114" s="712" t="s">
        <v>117</v>
      </c>
      <c r="D1114" s="13" t="str">
        <f>'Entry Sheet'!D138</f>
        <v/>
      </c>
      <c r="E1114" s="13" t="str">
        <f>'Entry Sheet'!E138</f>
        <v/>
      </c>
      <c r="F1114" s="846" t="s">
        <v>513</v>
      </c>
      <c r="BB1114" s="314"/>
    </row>
    <row r="1115" ht="15.75" customHeight="1">
      <c r="A1115" s="585">
        <v>1114.0</v>
      </c>
      <c r="B1115" s="1004" t="str">
        <f>Settings!$A$9</f>
        <v>YARDIES</v>
      </c>
      <c r="C1115" s="764" t="s">
        <v>132</v>
      </c>
      <c r="D1115" s="13" t="str">
        <f>'Entry Sheet'!D139</f>
        <v>B. BOWERS</v>
      </c>
      <c r="E1115" s="13">
        <f>'Entry Sheet'!E139</f>
        <v>8.8</v>
      </c>
      <c r="F1115" s="846" t="s">
        <v>513</v>
      </c>
      <c r="BB1115" s="314"/>
    </row>
    <row r="1116" ht="15.75" customHeight="1">
      <c r="A1116" s="585">
        <v>1115.0</v>
      </c>
      <c r="B1116" s="1004" t="str">
        <f>Settings!$A$9</f>
        <v>YARDIES</v>
      </c>
      <c r="C1116" s="795" t="s">
        <v>136</v>
      </c>
      <c r="D1116" s="13" t="str">
        <f>'Entry Sheet'!D140</f>
        <v>Z. FLOWERS</v>
      </c>
      <c r="E1116" s="13">
        <f>'Entry Sheet'!E140</f>
        <v>15</v>
      </c>
      <c r="F1116" s="846" t="s">
        <v>513</v>
      </c>
      <c r="BB1116" s="314"/>
    </row>
    <row r="1117" ht="15.75" customHeight="1">
      <c r="A1117" s="585">
        <v>1116.0</v>
      </c>
      <c r="B1117" s="1004" t="str">
        <f>Settings!$A$9</f>
        <v>YARDIES</v>
      </c>
      <c r="C1117" s="818" t="s">
        <v>139</v>
      </c>
      <c r="D1117" s="13" t="str">
        <f>'Entry Sheet'!D141</f>
        <v>BAL D/ST</v>
      </c>
      <c r="E1117" s="13">
        <f>'Entry Sheet'!E141</f>
        <v>25.79</v>
      </c>
      <c r="F1117" s="846" t="s">
        <v>513</v>
      </c>
      <c r="BB1117" s="314"/>
    </row>
    <row r="1118" ht="15.75" customHeight="1">
      <c r="A1118" s="585">
        <v>1117.0</v>
      </c>
      <c r="B1118" s="1004" t="str">
        <f>Settings!$A$9</f>
        <v>YARDIES</v>
      </c>
      <c r="C1118" s="833" t="s">
        <v>146</v>
      </c>
      <c r="D1118" s="13" t="str">
        <f>'Entry Sheet'!D142</f>
        <v>C. BOSWELL</v>
      </c>
      <c r="E1118" s="13">
        <f>'Entry Sheet'!E142</f>
        <v>12</v>
      </c>
      <c r="F1118" s="846" t="s">
        <v>513</v>
      </c>
      <c r="BB1118" s="314"/>
    </row>
    <row r="1119" ht="15.75" customHeight="1">
      <c r="A1119" s="585">
        <v>1118.0</v>
      </c>
      <c r="B1119" s="1004" t="str">
        <f>Settings!$A$9</f>
        <v>YARDIES</v>
      </c>
      <c r="C1119" s="842" t="s">
        <v>162</v>
      </c>
      <c r="D1119" s="13" t="str">
        <f>'Entry Sheet'!D143</f>
        <v>DET HC</v>
      </c>
      <c r="E1119" s="13">
        <f>'Entry Sheet'!E143</f>
        <v>27.6</v>
      </c>
      <c r="F1119" s="846" t="s">
        <v>513</v>
      </c>
      <c r="BB1119" s="314"/>
    </row>
    <row r="1120" ht="15.75" customHeight="1">
      <c r="A1120" s="585">
        <v>1119.0</v>
      </c>
      <c r="B1120" s="1004" t="str">
        <f>Settings!$A$9</f>
        <v>YARDIES</v>
      </c>
      <c r="C1120" s="587" t="s">
        <v>100</v>
      </c>
      <c r="D1120" s="13" t="str">
        <f>'Entry Sheet'!F131</f>
        <v>J. LOVE</v>
      </c>
      <c r="E1120" s="13">
        <f>'Entry Sheet'!G131</f>
        <v>14.92</v>
      </c>
      <c r="F1120" s="589" t="s">
        <v>514</v>
      </c>
      <c r="BB1120" s="314"/>
    </row>
    <row r="1121" ht="15.75" customHeight="1">
      <c r="A1121" s="585">
        <v>1120.0</v>
      </c>
      <c r="B1121" s="1004" t="str">
        <f>Settings!$A$9</f>
        <v>YARDIES</v>
      </c>
      <c r="C1121" s="596" t="s">
        <v>106</v>
      </c>
      <c r="D1121" s="13" t="str">
        <f>'Entry Sheet'!F132</f>
        <v>D. HENRY</v>
      </c>
      <c r="E1121" s="13">
        <f>'Entry Sheet'!G132</f>
        <v>11.7</v>
      </c>
      <c r="F1121" s="589" t="s">
        <v>514</v>
      </c>
      <c r="BB1121" s="314"/>
    </row>
    <row r="1122" ht="15.75" customHeight="1">
      <c r="A1122" s="585">
        <v>1121.0</v>
      </c>
      <c r="B1122" s="1004" t="str">
        <f>Settings!$A$9</f>
        <v>YARDIES</v>
      </c>
      <c r="C1122" s="596" t="s">
        <v>106</v>
      </c>
      <c r="D1122" s="13" t="str">
        <f>'Entry Sheet'!F133</f>
        <v>K. GAINWELL</v>
      </c>
      <c r="E1122" s="13">
        <f>'Entry Sheet'!G133</f>
        <v>11.35</v>
      </c>
      <c r="F1122" s="589" t="s">
        <v>514</v>
      </c>
      <c r="BB1122" s="314"/>
    </row>
    <row r="1123" ht="15.75" customHeight="1">
      <c r="A1123" s="585">
        <v>1122.0</v>
      </c>
      <c r="B1123" s="1004" t="str">
        <f>Settings!$A$9</f>
        <v>YARDIES</v>
      </c>
      <c r="C1123" s="596" t="s">
        <v>106</v>
      </c>
      <c r="D1123" s="13" t="str">
        <f>'Entry Sheet'!F134</f>
        <v/>
      </c>
      <c r="E1123" s="13" t="str">
        <f>'Entry Sheet'!G134</f>
        <v/>
      </c>
      <c r="F1123" s="589" t="s">
        <v>514</v>
      </c>
      <c r="BB1123" s="314"/>
    </row>
    <row r="1124" ht="15.75" customHeight="1">
      <c r="A1124" s="585">
        <v>1123.0</v>
      </c>
      <c r="B1124" s="1004" t="str">
        <f>Settings!$A$9</f>
        <v>YARDIES</v>
      </c>
      <c r="C1124" s="712" t="s">
        <v>117</v>
      </c>
      <c r="D1124" s="13" t="str">
        <f>'Entry Sheet'!F135</f>
        <v>J. WILLIAMS</v>
      </c>
      <c r="E1124" s="13">
        <f>'Entry Sheet'!G135</f>
        <v>6.3</v>
      </c>
      <c r="F1124" s="589" t="s">
        <v>514</v>
      </c>
      <c r="BB1124" s="314"/>
    </row>
    <row r="1125" ht="15.75" customHeight="1">
      <c r="A1125" s="585">
        <v>1124.0</v>
      </c>
      <c r="B1125" s="1004" t="str">
        <f>Settings!$A$9</f>
        <v>YARDIES</v>
      </c>
      <c r="C1125" s="712" t="s">
        <v>117</v>
      </c>
      <c r="D1125" s="13" t="str">
        <f>'Entry Sheet'!F136</f>
        <v>R. ODUNZE</v>
      </c>
      <c r="E1125" s="13">
        <f>'Entry Sheet'!G136</f>
        <v>15.2</v>
      </c>
      <c r="F1125" s="589" t="s">
        <v>514</v>
      </c>
      <c r="BB1125" s="314"/>
    </row>
    <row r="1126" ht="15.75" customHeight="1">
      <c r="A1126" s="585">
        <v>1125.0</v>
      </c>
      <c r="B1126" s="1004" t="str">
        <f>Settings!$A$9</f>
        <v>YARDIES</v>
      </c>
      <c r="C1126" s="712" t="s">
        <v>117</v>
      </c>
      <c r="D1126" s="13" t="str">
        <f>'Entry Sheet'!F137</f>
        <v>C. RIDLEY</v>
      </c>
      <c r="E1126" s="13">
        <f>'Entry Sheet'!G137</f>
        <v>3.7</v>
      </c>
      <c r="F1126" s="589" t="s">
        <v>514</v>
      </c>
      <c r="BB1126" s="314"/>
    </row>
    <row r="1127" ht="15.75" customHeight="1">
      <c r="A1127" s="585">
        <v>1126.0</v>
      </c>
      <c r="B1127" s="1004" t="str">
        <f>Settings!$A$9</f>
        <v>YARDIES</v>
      </c>
      <c r="C1127" s="712" t="s">
        <v>117</v>
      </c>
      <c r="D1127" s="13" t="str">
        <f>'Entry Sheet'!F138</f>
        <v/>
      </c>
      <c r="E1127" s="13" t="str">
        <f>'Entry Sheet'!G138</f>
        <v/>
      </c>
      <c r="F1127" s="589" t="s">
        <v>514</v>
      </c>
      <c r="BB1127" s="314"/>
    </row>
    <row r="1128" ht="15.75" customHeight="1">
      <c r="A1128" s="585">
        <v>1127.0</v>
      </c>
      <c r="B1128" s="1004" t="str">
        <f>Settings!$A$9</f>
        <v>YARDIES</v>
      </c>
      <c r="C1128" s="764" t="s">
        <v>132</v>
      </c>
      <c r="D1128" s="13" t="str">
        <f>'Entry Sheet'!F139</f>
        <v>B. BOWERS</v>
      </c>
      <c r="E1128" s="13">
        <f>'Entry Sheet'!G139</f>
        <v>9.8</v>
      </c>
      <c r="F1128" s="589" t="s">
        <v>514</v>
      </c>
      <c r="BB1128" s="314"/>
    </row>
    <row r="1129" ht="15.75" customHeight="1">
      <c r="A1129" s="585">
        <v>1128.0</v>
      </c>
      <c r="B1129" s="1004" t="str">
        <f>Settings!$A$9</f>
        <v>YARDIES</v>
      </c>
      <c r="C1129" s="795" t="s">
        <v>136</v>
      </c>
      <c r="D1129" s="13" t="str">
        <f>'Entry Sheet'!F140</f>
        <v>Z. FLOWERS</v>
      </c>
      <c r="E1129" s="13">
        <f>'Entry Sheet'!G140</f>
        <v>3.3</v>
      </c>
      <c r="F1129" s="589" t="s">
        <v>514</v>
      </c>
      <c r="BB1129" s="314"/>
    </row>
    <row r="1130" ht="15.75" customHeight="1">
      <c r="A1130" s="585">
        <v>1129.0</v>
      </c>
      <c r="B1130" s="1004" t="str">
        <f>Settings!$A$9</f>
        <v>YARDIES</v>
      </c>
      <c r="C1130" s="818" t="s">
        <v>139</v>
      </c>
      <c r="D1130" s="13" t="str">
        <f>'Entry Sheet'!F141</f>
        <v>HOU D/ST</v>
      </c>
      <c r="E1130" s="13">
        <f>'Entry Sheet'!G141</f>
        <v>13.53</v>
      </c>
      <c r="F1130" s="589" t="s">
        <v>514</v>
      </c>
      <c r="BB1130" s="314"/>
    </row>
    <row r="1131" ht="15.75" customHeight="1">
      <c r="A1131" s="585">
        <v>1130.0</v>
      </c>
      <c r="B1131" s="1004" t="str">
        <f>Settings!$A$9</f>
        <v>YARDIES</v>
      </c>
      <c r="C1131" s="833" t="s">
        <v>146</v>
      </c>
      <c r="D1131" s="13" t="str">
        <f>'Entry Sheet'!F142</f>
        <v>C. BOSWELL</v>
      </c>
      <c r="E1131" s="13">
        <f>'Entry Sheet'!G142</f>
        <v>3</v>
      </c>
      <c r="F1131" s="589" t="s">
        <v>514</v>
      </c>
      <c r="BB1131" s="314"/>
    </row>
    <row r="1132" ht="15.75" customHeight="1">
      <c r="A1132" s="585">
        <v>1131.0</v>
      </c>
      <c r="B1132" s="1004" t="str">
        <f>Settings!$A$9</f>
        <v>YARDIES</v>
      </c>
      <c r="C1132" s="842" t="s">
        <v>162</v>
      </c>
      <c r="D1132" s="13" t="str">
        <f>'Entry Sheet'!F143</f>
        <v>DET HC</v>
      </c>
      <c r="E1132" s="230">
        <f>'Entry Sheet'!G143</f>
        <v>14.4</v>
      </c>
      <c r="F1132" s="589" t="s">
        <v>514</v>
      </c>
      <c r="BB1132" s="314"/>
    </row>
    <row r="1133" ht="15.75" customHeight="1">
      <c r="A1133" s="585">
        <v>1132.0</v>
      </c>
      <c r="B1133" s="1004" t="str">
        <f>Settings!$A$9</f>
        <v>YARDIES</v>
      </c>
      <c r="C1133" s="587" t="s">
        <v>100</v>
      </c>
      <c r="D1133" s="13" t="str">
        <f>'Entry Sheet'!H131</f>
        <v>J. LOVE</v>
      </c>
      <c r="E1133" s="13">
        <f>'Entry Sheet'!I131</f>
        <v>37.38</v>
      </c>
      <c r="F1133" s="846" t="s">
        <v>515</v>
      </c>
      <c r="BB1133" s="314"/>
    </row>
    <row r="1134" ht="15.75" customHeight="1">
      <c r="A1134" s="585">
        <v>1133.0</v>
      </c>
      <c r="B1134" s="1004" t="str">
        <f>Settings!$A$9</f>
        <v>YARDIES</v>
      </c>
      <c r="C1134" s="596" t="s">
        <v>106</v>
      </c>
      <c r="D1134" s="13" t="str">
        <f>'Entry Sheet'!H132</f>
        <v>D. HENRY</v>
      </c>
      <c r="E1134" s="13">
        <f>'Entry Sheet'!I132</f>
        <v>8.6</v>
      </c>
      <c r="F1134" s="846" t="s">
        <v>515</v>
      </c>
      <c r="BB1134" s="314"/>
    </row>
    <row r="1135" ht="15.75" customHeight="1">
      <c r="A1135" s="585">
        <v>1134.0</v>
      </c>
      <c r="B1135" s="1004" t="str">
        <f>Settings!$A$9</f>
        <v>YARDIES</v>
      </c>
      <c r="C1135" s="596" t="s">
        <v>106</v>
      </c>
      <c r="D1135" s="13" t="str">
        <f>'Entry Sheet'!H133</f>
        <v>Q. JUDKINS</v>
      </c>
      <c r="E1135" s="13">
        <f>'Entry Sheet'!I133</f>
        <v>23.6</v>
      </c>
      <c r="F1135" s="846" t="s">
        <v>515</v>
      </c>
      <c r="BB1135" s="314"/>
    </row>
    <row r="1136" ht="15.75" customHeight="1">
      <c r="A1136" s="585">
        <v>1135.0</v>
      </c>
      <c r="B1136" s="1004" t="str">
        <f>Settings!$A$9</f>
        <v>YARDIES</v>
      </c>
      <c r="C1136" s="596" t="s">
        <v>106</v>
      </c>
      <c r="D1136" s="13" t="str">
        <f>'Entry Sheet'!H134</f>
        <v/>
      </c>
      <c r="E1136" s="13" t="str">
        <f>'Entry Sheet'!I134</f>
        <v/>
      </c>
      <c r="F1136" s="846" t="s">
        <v>515</v>
      </c>
      <c r="BB1136" s="314"/>
    </row>
    <row r="1137" ht="15.75" customHeight="1">
      <c r="A1137" s="585">
        <v>1136.0</v>
      </c>
      <c r="B1137" s="1004" t="str">
        <f>Settings!$A$9</f>
        <v>YARDIES</v>
      </c>
      <c r="C1137" s="712" t="s">
        <v>117</v>
      </c>
      <c r="D1137" s="13" t="str">
        <f>'Entry Sheet'!H135</f>
        <v>J. WILLIAMS</v>
      </c>
      <c r="E1137" s="13">
        <f>'Entry Sheet'!I135</f>
        <v>5.8</v>
      </c>
      <c r="F1137" s="846" t="s">
        <v>515</v>
      </c>
      <c r="BB1137" s="314"/>
    </row>
    <row r="1138" ht="15.75" customHeight="1">
      <c r="A1138" s="585">
        <v>1137.0</v>
      </c>
      <c r="B1138" s="1004" t="str">
        <f>Settings!$A$9</f>
        <v>YARDIES</v>
      </c>
      <c r="C1138" s="712" t="s">
        <v>117</v>
      </c>
      <c r="D1138" s="13" t="str">
        <f>'Entry Sheet'!H136</f>
        <v>Z. FLOWERS</v>
      </c>
      <c r="E1138" s="13">
        <f>'Entry Sheet'!I136</f>
        <v>14.4</v>
      </c>
      <c r="F1138" s="846" t="s">
        <v>515</v>
      </c>
      <c r="BB1138" s="314"/>
    </row>
    <row r="1139" ht="15.75" customHeight="1">
      <c r="A1139" s="585">
        <v>1138.0</v>
      </c>
      <c r="B1139" s="1004" t="str">
        <f>Settings!$A$9</f>
        <v>YARDIES</v>
      </c>
      <c r="C1139" s="712" t="s">
        <v>117</v>
      </c>
      <c r="D1139" s="13" t="str">
        <f>'Entry Sheet'!H137</f>
        <v>C. RIDLEY</v>
      </c>
      <c r="E1139" s="13">
        <f>'Entry Sheet'!I137</f>
        <v>5</v>
      </c>
      <c r="F1139" s="846" t="s">
        <v>515</v>
      </c>
      <c r="BB1139" s="314"/>
    </row>
    <row r="1140" ht="15.75" customHeight="1">
      <c r="A1140" s="585">
        <v>1139.0</v>
      </c>
      <c r="B1140" s="1004" t="str">
        <f>Settings!$A$9</f>
        <v>YARDIES</v>
      </c>
      <c r="C1140" s="712" t="s">
        <v>117</v>
      </c>
      <c r="D1140" s="13" t="str">
        <f>'Entry Sheet'!H138</f>
        <v/>
      </c>
      <c r="E1140" s="13" t="str">
        <f>'Entry Sheet'!I138</f>
        <v/>
      </c>
      <c r="F1140" s="846" t="s">
        <v>515</v>
      </c>
      <c r="BB1140" s="314"/>
    </row>
    <row r="1141" ht="15.75" customHeight="1">
      <c r="A1141" s="585">
        <v>1140.0</v>
      </c>
      <c r="B1141" s="1004" t="str">
        <f>Settings!$A$9</f>
        <v>YARDIES</v>
      </c>
      <c r="C1141" s="764" t="s">
        <v>132</v>
      </c>
      <c r="D1141" s="13" t="str">
        <f>'Entry Sheet'!H139</f>
        <v>B. BOWERS</v>
      </c>
      <c r="E1141" s="13">
        <f>'Entry Sheet'!I139</f>
        <v>9.6</v>
      </c>
      <c r="F1141" s="846" t="s">
        <v>515</v>
      </c>
      <c r="BB1141" s="314"/>
    </row>
    <row r="1142" ht="15.75" customHeight="1">
      <c r="A1142" s="585">
        <v>1141.0</v>
      </c>
      <c r="B1142" s="1004" t="str">
        <f>Settings!$A$9</f>
        <v>YARDIES</v>
      </c>
      <c r="C1142" s="795" t="s">
        <v>136</v>
      </c>
      <c r="D1142" s="13" t="str">
        <f>'Entry Sheet'!H140</f>
        <v>R. ODUNZE</v>
      </c>
      <c r="E1142" s="13">
        <f>'Entry Sheet'!I140</f>
        <v>16.9</v>
      </c>
      <c r="F1142" s="846" t="s">
        <v>515</v>
      </c>
      <c r="BB1142" s="314"/>
    </row>
    <row r="1143" ht="15.75" customHeight="1">
      <c r="A1143" s="585">
        <v>1142.0</v>
      </c>
      <c r="B1143" s="1004" t="str">
        <f>Settings!$A$9</f>
        <v>YARDIES</v>
      </c>
      <c r="C1143" s="818" t="s">
        <v>139</v>
      </c>
      <c r="D1143" s="13" t="str">
        <f>'Entry Sheet'!H141</f>
        <v>HOU D/ST</v>
      </c>
      <c r="E1143" s="13">
        <f>'Entry Sheet'!I141</f>
        <v>17.5</v>
      </c>
      <c r="F1143" s="846" t="s">
        <v>515</v>
      </c>
      <c r="BB1143" s="314"/>
    </row>
    <row r="1144" ht="15.75" customHeight="1">
      <c r="A1144" s="585">
        <v>1143.0</v>
      </c>
      <c r="B1144" s="1004" t="str">
        <f>Settings!$A$9</f>
        <v>YARDIES</v>
      </c>
      <c r="C1144" s="833" t="s">
        <v>146</v>
      </c>
      <c r="D1144" s="13" t="str">
        <f>'Entry Sheet'!H142</f>
        <v>N. FOLK</v>
      </c>
      <c r="E1144" s="13">
        <f>'Entry Sheet'!I142</f>
        <v>13</v>
      </c>
      <c r="F1144" s="846" t="s">
        <v>515</v>
      </c>
      <c r="BB1144" s="314"/>
    </row>
    <row r="1145" ht="15.75" customHeight="1">
      <c r="A1145" s="585">
        <v>1144.0</v>
      </c>
      <c r="B1145" s="1004" t="str">
        <f>Settings!$A$9</f>
        <v>YARDIES</v>
      </c>
      <c r="C1145" s="842" t="s">
        <v>162</v>
      </c>
      <c r="D1145" s="13" t="str">
        <f>'Entry Sheet'!H143</f>
        <v>DET HC</v>
      </c>
      <c r="E1145" s="13">
        <f>'Entry Sheet'!I143</f>
        <v>18.2</v>
      </c>
      <c r="F1145" s="846" t="s">
        <v>515</v>
      </c>
      <c r="BB1145" s="314"/>
    </row>
    <row r="1146" ht="15.75" customHeight="1">
      <c r="A1146" s="585">
        <v>1145.0</v>
      </c>
      <c r="B1146" s="1004" t="str">
        <f>Settings!$A$9</f>
        <v>YARDIES</v>
      </c>
      <c r="C1146" s="587" t="s">
        <v>100</v>
      </c>
      <c r="D1146" s="13" t="str">
        <f>'Entry Sheet'!J131</f>
        <v>C. STROUD</v>
      </c>
      <c r="E1146" s="13">
        <f>'Entry Sheet'!K131</f>
        <v>40.66</v>
      </c>
      <c r="F1146" s="589" t="s">
        <v>516</v>
      </c>
      <c r="BB1146" s="314"/>
    </row>
    <row r="1147" ht="15.75" customHeight="1">
      <c r="A1147" s="585">
        <v>1146.0</v>
      </c>
      <c r="B1147" s="1004" t="str">
        <f>Settings!$A$9</f>
        <v>YARDIES</v>
      </c>
      <c r="C1147" s="596" t="s">
        <v>106</v>
      </c>
      <c r="D1147" s="13" t="str">
        <f>'Entry Sheet'!J132</f>
        <v>D. HENRY</v>
      </c>
      <c r="E1147" s="13">
        <f>'Entry Sheet'!K132</f>
        <v>10.8</v>
      </c>
      <c r="F1147" s="589" t="s">
        <v>516</v>
      </c>
      <c r="BB1147" s="314"/>
    </row>
    <row r="1148" ht="15.75" customHeight="1">
      <c r="A1148" s="585">
        <v>1147.0</v>
      </c>
      <c r="B1148" s="1004" t="str">
        <f>Settings!$A$9</f>
        <v>YARDIES</v>
      </c>
      <c r="C1148" s="596" t="s">
        <v>106</v>
      </c>
      <c r="D1148" s="13" t="str">
        <f>'Entry Sheet'!J133</f>
        <v>Q. JUDKINS</v>
      </c>
      <c r="E1148" s="13">
        <f>'Entry Sheet'!K133</f>
        <v>17.1</v>
      </c>
      <c r="F1148" s="589" t="s">
        <v>516</v>
      </c>
      <c r="BB1148" s="314"/>
    </row>
    <row r="1149" ht="15.75" customHeight="1">
      <c r="A1149" s="585">
        <v>1148.0</v>
      </c>
      <c r="B1149" s="1004" t="str">
        <f>Settings!$A$9</f>
        <v>YARDIES</v>
      </c>
      <c r="C1149" s="596" t="s">
        <v>106</v>
      </c>
      <c r="D1149" s="13" t="str">
        <f>'Entry Sheet'!J134</f>
        <v/>
      </c>
      <c r="E1149" s="13" t="str">
        <f>'Entry Sheet'!K134</f>
        <v/>
      </c>
      <c r="F1149" s="589" t="s">
        <v>516</v>
      </c>
      <c r="BB1149" s="314"/>
    </row>
    <row r="1150" ht="15.75" customHeight="1">
      <c r="A1150" s="585">
        <v>1149.0</v>
      </c>
      <c r="B1150" s="1004" t="str">
        <f>Settings!$A$9</f>
        <v>YARDIES</v>
      </c>
      <c r="C1150" s="712" t="s">
        <v>117</v>
      </c>
      <c r="D1150" s="13" t="str">
        <f>'Entry Sheet'!J135</f>
        <v>J. WILLIAMS</v>
      </c>
      <c r="E1150" s="13">
        <f>'Entry Sheet'!K135</f>
        <v>2.1</v>
      </c>
      <c r="F1150" s="589" t="s">
        <v>516</v>
      </c>
      <c r="BB1150" s="314"/>
    </row>
    <row r="1151" ht="15.75" customHeight="1">
      <c r="A1151" s="585">
        <v>1150.0</v>
      </c>
      <c r="B1151" s="1004" t="str">
        <f>Settings!$A$9</f>
        <v>YARDIES</v>
      </c>
      <c r="C1151" s="712" t="s">
        <v>117</v>
      </c>
      <c r="D1151" s="13" t="str">
        <f>'Entry Sheet'!J136</f>
        <v>Z. FLOWERS</v>
      </c>
      <c r="E1151" s="13">
        <f>'Entry Sheet'!K136</f>
        <v>12.2</v>
      </c>
      <c r="F1151" s="589" t="s">
        <v>516</v>
      </c>
      <c r="BB1151" s="314"/>
    </row>
    <row r="1152" ht="15.75" customHeight="1">
      <c r="A1152" s="585">
        <v>1151.0</v>
      </c>
      <c r="B1152" s="1004" t="str">
        <f>Settings!$A$9</f>
        <v>YARDIES</v>
      </c>
      <c r="C1152" s="712" t="s">
        <v>117</v>
      </c>
      <c r="D1152" s="13" t="str">
        <f>'Entry Sheet'!J137</f>
        <v>S. DIGGS</v>
      </c>
      <c r="E1152" s="13">
        <f>'Entry Sheet'!K137</f>
        <v>25.6</v>
      </c>
      <c r="F1152" s="589" t="s">
        <v>516</v>
      </c>
      <c r="BB1152" s="314"/>
    </row>
    <row r="1153" ht="15.75" customHeight="1">
      <c r="A1153" s="585">
        <v>1152.0</v>
      </c>
      <c r="B1153" s="1004" t="str">
        <f>Settings!$A$9</f>
        <v>YARDIES</v>
      </c>
      <c r="C1153" s="712" t="s">
        <v>117</v>
      </c>
      <c r="D1153" s="13" t="str">
        <f>'Entry Sheet'!J138</f>
        <v/>
      </c>
      <c r="E1153" s="13" t="str">
        <f>'Entry Sheet'!K138</f>
        <v/>
      </c>
      <c r="F1153" s="589" t="s">
        <v>516</v>
      </c>
      <c r="BB1153" s="314"/>
    </row>
    <row r="1154" ht="15.75" customHeight="1">
      <c r="A1154" s="585">
        <v>1153.0</v>
      </c>
      <c r="B1154" s="1004" t="str">
        <f>Settings!$A$9</f>
        <v>YARDIES</v>
      </c>
      <c r="C1154" s="764" t="s">
        <v>132</v>
      </c>
      <c r="D1154" s="13" t="str">
        <f>'Entry Sheet'!J139</f>
        <v>D. KINCAID</v>
      </c>
      <c r="E1154" s="13">
        <f>'Entry Sheet'!K139</f>
        <v>17.8</v>
      </c>
      <c r="F1154" s="589" t="s">
        <v>516</v>
      </c>
      <c r="BB1154" s="314"/>
    </row>
    <row r="1155" ht="15.75" customHeight="1">
      <c r="A1155" s="585">
        <v>1154.0</v>
      </c>
      <c r="B1155" s="1004" t="str">
        <f>Settings!$A$9</f>
        <v>YARDIES</v>
      </c>
      <c r="C1155" s="795" t="s">
        <v>136</v>
      </c>
      <c r="D1155" s="13" t="str">
        <f>'Entry Sheet'!J140</f>
        <v>R. DOWDLE</v>
      </c>
      <c r="E1155" s="13">
        <f>'Entry Sheet'!K140</f>
        <v>36.7</v>
      </c>
      <c r="F1155" s="589" t="s">
        <v>516</v>
      </c>
      <c r="BB1155" s="314"/>
    </row>
    <row r="1156" ht="15.75" customHeight="1">
      <c r="A1156" s="585">
        <v>1155.0</v>
      </c>
      <c r="B1156" s="1004" t="str">
        <f>Settings!$A$9</f>
        <v>YARDIES</v>
      </c>
      <c r="C1156" s="818" t="s">
        <v>139</v>
      </c>
      <c r="D1156" s="13" t="str">
        <f>'Entry Sheet'!J141</f>
        <v>HOU D/ST</v>
      </c>
      <c r="E1156" s="13">
        <f>'Entry Sheet'!K141</f>
        <v>19.86</v>
      </c>
      <c r="F1156" s="589" t="s">
        <v>516</v>
      </c>
      <c r="BB1156" s="314"/>
    </row>
    <row r="1157" ht="15.75" customHeight="1">
      <c r="A1157" s="585">
        <v>1156.0</v>
      </c>
      <c r="B1157" s="1004" t="str">
        <f>Settings!$A$9</f>
        <v>YARDIES</v>
      </c>
      <c r="C1157" s="833" t="s">
        <v>146</v>
      </c>
      <c r="D1157" s="13" t="str">
        <f>'Entry Sheet'!J142</f>
        <v>N. FOLK</v>
      </c>
      <c r="E1157" s="13">
        <f>'Entry Sheet'!K142</f>
        <v>7</v>
      </c>
      <c r="F1157" s="589" t="s">
        <v>516</v>
      </c>
      <c r="BB1157" s="314"/>
    </row>
    <row r="1158" ht="15.75" customHeight="1">
      <c r="A1158" s="585">
        <v>1157.0</v>
      </c>
      <c r="B1158" s="1004" t="str">
        <f>Settings!$A$9</f>
        <v>YARDIES</v>
      </c>
      <c r="C1158" s="842" t="s">
        <v>162</v>
      </c>
      <c r="D1158" s="13" t="str">
        <f>'Entry Sheet'!J143</f>
        <v>DET HC</v>
      </c>
      <c r="E1158" s="13">
        <f>'Entry Sheet'!K143</f>
        <v>15.1</v>
      </c>
      <c r="F1158" s="589" t="s">
        <v>516</v>
      </c>
      <c r="BB1158" s="314"/>
    </row>
    <row r="1159" ht="15.75" customHeight="1">
      <c r="A1159" s="585">
        <v>1158.0</v>
      </c>
      <c r="B1159" s="1004" t="str">
        <f>Settings!$A$9</f>
        <v>YARDIES</v>
      </c>
      <c r="C1159" s="587" t="s">
        <v>100</v>
      </c>
      <c r="D1159" s="13" t="str">
        <f>'Entry Sheet'!L131</f>
        <v>J. LOVE</v>
      </c>
      <c r="E1159" s="13">
        <f>'Entry Sheet'!M131</f>
        <v>19.26</v>
      </c>
      <c r="F1159" s="846" t="s">
        <v>517</v>
      </c>
      <c r="BB1159" s="314"/>
    </row>
    <row r="1160" ht="15.75" customHeight="1">
      <c r="A1160" s="585">
        <v>1159.0</v>
      </c>
      <c r="B1160" s="1004" t="str">
        <f>Settings!$A$9</f>
        <v>YARDIES</v>
      </c>
      <c r="C1160" s="596" t="s">
        <v>106</v>
      </c>
      <c r="D1160" s="13" t="str">
        <f>'Entry Sheet'!L132</f>
        <v>D. HENRY</v>
      </c>
      <c r="E1160" s="13">
        <f>'Entry Sheet'!M132</f>
        <v>17.4</v>
      </c>
      <c r="F1160" s="846" t="s">
        <v>517</v>
      </c>
      <c r="BB1160" s="314"/>
    </row>
    <row r="1161" ht="15.75" customHeight="1">
      <c r="A1161" s="585">
        <v>1160.0</v>
      </c>
      <c r="B1161" s="1004" t="str">
        <f>Settings!$A$9</f>
        <v>YARDIES</v>
      </c>
      <c r="C1161" s="596" t="s">
        <v>106</v>
      </c>
      <c r="D1161" s="13" t="str">
        <f>'Entry Sheet'!L133</f>
        <v>Q. JUDKINS</v>
      </c>
      <c r="E1161" s="13">
        <f>'Entry Sheet'!M133</f>
        <v>4.8</v>
      </c>
      <c r="F1161" s="846" t="s">
        <v>517</v>
      </c>
      <c r="BB1161" s="314"/>
    </row>
    <row r="1162" ht="15.75" customHeight="1">
      <c r="A1162" s="585">
        <v>1161.0</v>
      </c>
      <c r="B1162" s="1004" t="str">
        <f>Settings!$A$9</f>
        <v>YARDIES</v>
      </c>
      <c r="C1162" s="596" t="s">
        <v>106</v>
      </c>
      <c r="D1162" s="13" t="str">
        <f>'Entry Sheet'!L134</f>
        <v/>
      </c>
      <c r="E1162" s="13" t="str">
        <f>'Entry Sheet'!M134</f>
        <v/>
      </c>
      <c r="F1162" s="846" t="s">
        <v>517</v>
      </c>
      <c r="BB1162" s="314"/>
    </row>
    <row r="1163" ht="15.75" customHeight="1">
      <c r="A1163" s="585">
        <v>1162.0</v>
      </c>
      <c r="B1163" s="1004" t="str">
        <f>Settings!$A$9</f>
        <v>YARDIES</v>
      </c>
      <c r="C1163" s="712" t="s">
        <v>117</v>
      </c>
      <c r="D1163" s="13" t="str">
        <f>'Entry Sheet'!L135</f>
        <v>Z. FLOWERS</v>
      </c>
      <c r="E1163" s="13">
        <f>'Entry Sheet'!M135</f>
        <v>8.6</v>
      </c>
      <c r="F1163" s="846" t="s">
        <v>517</v>
      </c>
      <c r="BB1163" s="314"/>
    </row>
    <row r="1164" ht="15.75" customHeight="1">
      <c r="A1164" s="585">
        <v>1163.0</v>
      </c>
      <c r="B1164" s="1004" t="str">
        <f>Settings!$A$9</f>
        <v>YARDIES</v>
      </c>
      <c r="C1164" s="712" t="s">
        <v>117</v>
      </c>
      <c r="D1164" s="13" t="str">
        <f>'Entry Sheet'!L136</f>
        <v>R. ODUNZE</v>
      </c>
      <c r="E1164" s="13">
        <f>'Entry Sheet'!M136</f>
        <v>5.2</v>
      </c>
      <c r="F1164" s="846" t="s">
        <v>517</v>
      </c>
      <c r="BB1164" s="314"/>
    </row>
    <row r="1165" ht="15.75" customHeight="1">
      <c r="A1165" s="585">
        <v>1164.0</v>
      </c>
      <c r="B1165" s="1004" t="str">
        <f>Settings!$A$9</f>
        <v>YARDIES</v>
      </c>
      <c r="C1165" s="712" t="s">
        <v>117</v>
      </c>
      <c r="D1165" s="13" t="str">
        <f>'Entry Sheet'!L137</f>
        <v>S. DIGGS</v>
      </c>
      <c r="E1165" s="13">
        <f>'Entry Sheet'!M137</f>
        <v>5.8</v>
      </c>
      <c r="F1165" s="846" t="s">
        <v>517</v>
      </c>
      <c r="BB1165" s="314"/>
    </row>
    <row r="1166" ht="15.75" customHeight="1">
      <c r="A1166" s="585">
        <v>1165.0</v>
      </c>
      <c r="B1166" s="1004" t="str">
        <f>Settings!$A$9</f>
        <v>YARDIES</v>
      </c>
      <c r="C1166" s="712" t="s">
        <v>117</v>
      </c>
      <c r="D1166" s="13" t="str">
        <f>'Entry Sheet'!L138</f>
        <v/>
      </c>
      <c r="E1166" s="13" t="str">
        <f>'Entry Sheet'!M138</f>
        <v/>
      </c>
      <c r="F1166" s="846" t="s">
        <v>517</v>
      </c>
      <c r="BB1166" s="314"/>
    </row>
    <row r="1167" ht="15.75" customHeight="1">
      <c r="A1167" s="585">
        <v>1166.0</v>
      </c>
      <c r="B1167" s="1004" t="str">
        <f>Settings!$A$9</f>
        <v>YARDIES</v>
      </c>
      <c r="C1167" s="764" t="s">
        <v>132</v>
      </c>
      <c r="D1167" s="13" t="str">
        <f>'Entry Sheet'!L139</f>
        <v>M. TAYLOR</v>
      </c>
      <c r="E1167" s="13">
        <f>'Entry Sheet'!M139</f>
        <v>1.2</v>
      </c>
      <c r="F1167" s="846" t="s">
        <v>517</v>
      </c>
      <c r="BB1167" s="314"/>
    </row>
    <row r="1168" ht="15.75" customHeight="1">
      <c r="A1168" s="585">
        <v>1167.0</v>
      </c>
      <c r="B1168" s="1004" t="str">
        <f>Settings!$A$9</f>
        <v>YARDIES</v>
      </c>
      <c r="C1168" s="795" t="s">
        <v>136</v>
      </c>
      <c r="D1168" s="13" t="str">
        <f>'Entry Sheet'!L140</f>
        <v>R. DOWDLE</v>
      </c>
      <c r="E1168" s="13">
        <f>'Entry Sheet'!M140</f>
        <v>37.9</v>
      </c>
      <c r="F1168" s="846" t="s">
        <v>517</v>
      </c>
      <c r="BB1168" s="314"/>
    </row>
    <row r="1169" ht="15.75" customHeight="1">
      <c r="A1169" s="585">
        <v>1168.0</v>
      </c>
      <c r="B1169" s="1004" t="str">
        <f>Settings!$A$9</f>
        <v>YARDIES</v>
      </c>
      <c r="C1169" s="818" t="s">
        <v>139</v>
      </c>
      <c r="D1169" s="13" t="str">
        <f>'Entry Sheet'!L141</f>
        <v>GB D/ST</v>
      </c>
      <c r="E1169" s="13">
        <f>'Entry Sheet'!M141</f>
        <v>11.72</v>
      </c>
      <c r="F1169" s="846" t="s">
        <v>517</v>
      </c>
      <c r="BB1169" s="314"/>
    </row>
    <row r="1170" ht="15.75" customHeight="1">
      <c r="A1170" s="585">
        <v>1169.0</v>
      </c>
      <c r="B1170" s="1004" t="str">
        <f>Settings!$A$9</f>
        <v>YARDIES</v>
      </c>
      <c r="C1170" s="833" t="s">
        <v>146</v>
      </c>
      <c r="D1170" s="13" t="str">
        <f>'Entry Sheet'!L142</f>
        <v>C. BOSWELL</v>
      </c>
      <c r="E1170" s="13">
        <f>'Entry Sheet'!M142</f>
        <v>15</v>
      </c>
      <c r="F1170" s="846" t="s">
        <v>517</v>
      </c>
      <c r="BB1170" s="314"/>
    </row>
    <row r="1171" ht="15.75" customHeight="1">
      <c r="A1171" s="585">
        <v>1170.0</v>
      </c>
      <c r="B1171" s="1004" t="str">
        <f>Settings!$A$9</f>
        <v>YARDIES</v>
      </c>
      <c r="C1171" s="842" t="s">
        <v>162</v>
      </c>
      <c r="D1171" s="13" t="str">
        <f>'Entry Sheet'!L143</f>
        <v>DET HC</v>
      </c>
      <c r="E1171" s="13">
        <f>'Entry Sheet'!M143</f>
        <v>1.1</v>
      </c>
      <c r="F1171" s="846" t="s">
        <v>517</v>
      </c>
      <c r="BB1171" s="314"/>
    </row>
    <row r="1172" ht="15.75" customHeight="1">
      <c r="A1172" s="585">
        <v>1171.0</v>
      </c>
      <c r="B1172" s="1004" t="str">
        <f>Settings!$A$9</f>
        <v>YARDIES</v>
      </c>
      <c r="C1172" s="587" t="s">
        <v>100</v>
      </c>
      <c r="D1172" s="13" t="str">
        <f>'Entry Sheet'!N131</f>
        <v>C. STROUD</v>
      </c>
      <c r="E1172" s="13">
        <f>'Entry Sheet'!O131</f>
        <v>14.46</v>
      </c>
      <c r="F1172" s="589" t="s">
        <v>518</v>
      </c>
      <c r="BB1172" s="314"/>
    </row>
    <row r="1173" ht="15.75" customHeight="1">
      <c r="A1173" s="585">
        <v>1172.0</v>
      </c>
      <c r="B1173" s="1004" t="str">
        <f>Settings!$A$9</f>
        <v>YARDIES</v>
      </c>
      <c r="C1173" s="596" t="s">
        <v>106</v>
      </c>
      <c r="D1173" s="13" t="str">
        <f>'Entry Sheet'!N132</f>
        <v>Q. JUDKINS</v>
      </c>
      <c r="E1173" s="13">
        <f>'Entry Sheet'!O132</f>
        <v>28.9</v>
      </c>
      <c r="F1173" s="589" t="s">
        <v>518</v>
      </c>
      <c r="BB1173" s="314"/>
    </row>
    <row r="1174" ht="15.75" customHeight="1">
      <c r="A1174" s="585">
        <v>1173.0</v>
      </c>
      <c r="B1174" s="1004" t="str">
        <f>Settings!$A$9</f>
        <v>YARDIES</v>
      </c>
      <c r="C1174" s="596" t="s">
        <v>106</v>
      </c>
      <c r="D1174" s="13" t="str">
        <f>'Entry Sheet'!N133</f>
        <v>R. DOWDLE</v>
      </c>
      <c r="E1174" s="13">
        <f>'Entry Sheet'!O133</f>
        <v>12.3</v>
      </c>
      <c r="F1174" s="589" t="s">
        <v>518</v>
      </c>
      <c r="BB1174" s="314"/>
    </row>
    <row r="1175" ht="15.75" customHeight="1">
      <c r="A1175" s="585">
        <v>1174.0</v>
      </c>
      <c r="B1175" s="1004" t="str">
        <f>Settings!$A$9</f>
        <v>YARDIES</v>
      </c>
      <c r="C1175" s="596" t="s">
        <v>106</v>
      </c>
      <c r="D1175" s="13" t="str">
        <f>'Entry Sheet'!N134</f>
        <v/>
      </c>
      <c r="E1175" s="13" t="str">
        <f>'Entry Sheet'!O134</f>
        <v/>
      </c>
      <c r="F1175" s="589" t="s">
        <v>518</v>
      </c>
      <c r="BB1175" s="314"/>
    </row>
    <row r="1176" ht="15.75" customHeight="1">
      <c r="A1176" s="585">
        <v>1175.0</v>
      </c>
      <c r="B1176" s="1004" t="str">
        <f>Settings!$A$9</f>
        <v>YARDIES</v>
      </c>
      <c r="C1176" s="712" t="s">
        <v>117</v>
      </c>
      <c r="D1176" s="13" t="str">
        <f>'Entry Sheet'!N135</f>
        <v>J. WILLIAMS</v>
      </c>
      <c r="E1176" s="13">
        <f>'Entry Sheet'!O135</f>
        <v>0</v>
      </c>
      <c r="F1176" s="589" t="s">
        <v>518</v>
      </c>
      <c r="BB1176" s="314"/>
    </row>
    <row r="1177" ht="15.75" customHeight="1">
      <c r="A1177" s="585">
        <v>1176.0</v>
      </c>
      <c r="B1177" s="1004" t="str">
        <f>Settings!$A$9</f>
        <v>YARDIES</v>
      </c>
      <c r="C1177" s="712" t="s">
        <v>117</v>
      </c>
      <c r="D1177" s="13" t="str">
        <f>'Entry Sheet'!N136</f>
        <v>R. ODUNZE</v>
      </c>
      <c r="E1177" s="13">
        <f>'Entry Sheet'!O136</f>
        <v>5.1</v>
      </c>
      <c r="F1177" s="589" t="s">
        <v>518</v>
      </c>
      <c r="BB1177" s="314"/>
    </row>
    <row r="1178" ht="15.75" customHeight="1">
      <c r="A1178" s="585">
        <v>1177.0</v>
      </c>
      <c r="B1178" s="1004" t="str">
        <f>Settings!$A$9</f>
        <v>YARDIES</v>
      </c>
      <c r="C1178" s="712" t="s">
        <v>117</v>
      </c>
      <c r="D1178" s="13" t="str">
        <f>'Entry Sheet'!N137</f>
        <v>S. DIGGS</v>
      </c>
      <c r="E1178" s="13">
        <f>'Entry Sheet'!O137</f>
        <v>13.9</v>
      </c>
      <c r="F1178" s="589" t="s">
        <v>518</v>
      </c>
      <c r="BB1178" s="314"/>
    </row>
    <row r="1179" ht="15.75" customHeight="1">
      <c r="A1179" s="585">
        <v>1178.0</v>
      </c>
      <c r="B1179" s="1004" t="str">
        <f>Settings!$A$9</f>
        <v>YARDIES</v>
      </c>
      <c r="C1179" s="712" t="s">
        <v>117</v>
      </c>
      <c r="D1179" s="13" t="str">
        <f>'Entry Sheet'!N138</f>
        <v/>
      </c>
      <c r="E1179" s="13" t="str">
        <f>'Entry Sheet'!O138</f>
        <v/>
      </c>
      <c r="F1179" s="589" t="s">
        <v>518</v>
      </c>
      <c r="BB1179" s="314"/>
    </row>
    <row r="1180" ht="15.75" customHeight="1">
      <c r="A1180" s="585">
        <v>1179.0</v>
      </c>
      <c r="B1180" s="1004" t="str">
        <f>Settings!$A$9</f>
        <v>YARDIES</v>
      </c>
      <c r="C1180" s="764" t="s">
        <v>132</v>
      </c>
      <c r="D1180" s="13" t="str">
        <f>'Entry Sheet'!N139</f>
        <v>H. FANNIN JR.</v>
      </c>
      <c r="E1180" s="13">
        <f>'Entry Sheet'!O139</f>
        <v>7.6</v>
      </c>
      <c r="F1180" s="589" t="s">
        <v>518</v>
      </c>
      <c r="BB1180" s="314"/>
    </row>
    <row r="1181" ht="15.75" customHeight="1">
      <c r="A1181" s="585">
        <v>1180.0</v>
      </c>
      <c r="B1181" s="1004" t="str">
        <f>Settings!$A$9</f>
        <v>YARDIES</v>
      </c>
      <c r="C1181" s="795" t="s">
        <v>136</v>
      </c>
      <c r="D1181" s="13" t="str">
        <f>'Entry Sheet'!N140</f>
        <v>K. VIDAL</v>
      </c>
      <c r="E1181" s="13">
        <f>'Entry Sheet'!O140</f>
        <v>8.4</v>
      </c>
      <c r="F1181" s="589" t="s">
        <v>518</v>
      </c>
      <c r="BB1181" s="314"/>
    </row>
    <row r="1182" ht="15.75" customHeight="1">
      <c r="A1182" s="585">
        <v>1181.0</v>
      </c>
      <c r="B1182" s="1004" t="str">
        <f>Settings!$A$9</f>
        <v>YARDIES</v>
      </c>
      <c r="C1182" s="818" t="s">
        <v>139</v>
      </c>
      <c r="D1182" s="13" t="str">
        <f>'Entry Sheet'!N141</f>
        <v>GB D/ST</v>
      </c>
      <c r="E1182" s="13">
        <f>'Entry Sheet'!O141</f>
        <v>19.75</v>
      </c>
      <c r="F1182" s="589" t="s">
        <v>518</v>
      </c>
      <c r="BB1182" s="314"/>
    </row>
    <row r="1183" ht="15.75" customHeight="1">
      <c r="A1183" s="585">
        <v>1182.0</v>
      </c>
      <c r="B1183" s="1004" t="str">
        <f>Settings!$A$9</f>
        <v>YARDIES</v>
      </c>
      <c r="C1183" s="833" t="s">
        <v>146</v>
      </c>
      <c r="D1183" s="13" t="str">
        <f>'Entry Sheet'!N142</f>
        <v>C. BOSWELL</v>
      </c>
      <c r="E1183" s="13">
        <f>'Entry Sheet'!O142</f>
        <v>8</v>
      </c>
      <c r="F1183" s="589" t="s">
        <v>518</v>
      </c>
      <c r="BB1183" s="314"/>
    </row>
    <row r="1184" ht="15.75" customHeight="1">
      <c r="A1184" s="585">
        <v>1183.0</v>
      </c>
      <c r="B1184" s="1004" t="str">
        <f>Settings!$A$9</f>
        <v>YARDIES</v>
      </c>
      <c r="C1184" s="842" t="s">
        <v>162</v>
      </c>
      <c r="D1184" s="13" t="str">
        <f>'Entry Sheet'!N143</f>
        <v>DET HC</v>
      </c>
      <c r="E1184" s="13">
        <f>'Entry Sheet'!O143</f>
        <v>13.2</v>
      </c>
      <c r="F1184" s="589" t="s">
        <v>518</v>
      </c>
      <c r="BB1184" s="314"/>
    </row>
    <row r="1185" ht="15.75" customHeight="1">
      <c r="A1185" s="585">
        <v>1184.0</v>
      </c>
      <c r="B1185" s="1004" t="str">
        <f>Settings!$A$9</f>
        <v>YARDIES</v>
      </c>
      <c r="C1185" s="587" t="s">
        <v>100</v>
      </c>
      <c r="D1185" s="13" t="str">
        <f>'Entry Sheet'!P131</f>
        <v>J. LOVE</v>
      </c>
      <c r="E1185" s="13">
        <f>'Entry Sheet'!Q131</f>
        <v>39.6</v>
      </c>
      <c r="F1185" s="846" t="s">
        <v>519</v>
      </c>
      <c r="BB1185" s="314"/>
    </row>
    <row r="1186" ht="15.75" customHeight="1">
      <c r="A1186" s="585">
        <v>1185.0</v>
      </c>
      <c r="B1186" s="1004" t="str">
        <f>Settings!$A$9</f>
        <v>YARDIES</v>
      </c>
      <c r="C1186" s="596" t="s">
        <v>106</v>
      </c>
      <c r="D1186" s="13" t="str">
        <f>'Entry Sheet'!P132</f>
        <v>D. HENRY</v>
      </c>
      <c r="E1186" s="13">
        <f>'Entry Sheet'!Q132</f>
        <v>21.2</v>
      </c>
      <c r="F1186" s="846" t="s">
        <v>519</v>
      </c>
      <c r="BB1186" s="314"/>
    </row>
    <row r="1187" ht="15.75" customHeight="1">
      <c r="A1187" s="585">
        <v>1186.0</v>
      </c>
      <c r="B1187" s="1004" t="str">
        <f>Settings!$A$9</f>
        <v>YARDIES</v>
      </c>
      <c r="C1187" s="596" t="s">
        <v>106</v>
      </c>
      <c r="D1187" s="13" t="str">
        <f>'Entry Sheet'!P133</f>
        <v>R. DOWDLE</v>
      </c>
      <c r="E1187" s="13">
        <f>'Entry Sheet'!Q133</f>
        <v>7.65</v>
      </c>
      <c r="F1187" s="846" t="s">
        <v>519</v>
      </c>
      <c r="BB1187" s="314"/>
    </row>
    <row r="1188" ht="15.75" customHeight="1">
      <c r="A1188" s="585">
        <v>1187.0</v>
      </c>
      <c r="B1188" s="1004" t="str">
        <f>Settings!$A$9</f>
        <v>YARDIES</v>
      </c>
      <c r="C1188" s="596" t="s">
        <v>106</v>
      </c>
      <c r="D1188" s="13" t="str">
        <f>'Entry Sheet'!P134</f>
        <v/>
      </c>
      <c r="E1188" s="13" t="str">
        <f>'Entry Sheet'!Q134</f>
        <v/>
      </c>
      <c r="F1188" s="846" t="s">
        <v>519</v>
      </c>
      <c r="BB1188" s="314"/>
    </row>
    <row r="1189" ht="15.75" customHeight="1">
      <c r="A1189" s="585">
        <v>1188.0</v>
      </c>
      <c r="B1189" s="1004" t="str">
        <f>Settings!$A$9</f>
        <v>YARDIES</v>
      </c>
      <c r="C1189" s="712" t="s">
        <v>117</v>
      </c>
      <c r="D1189" s="13" t="str">
        <f>'Entry Sheet'!P135</f>
        <v>Z. FLOWERS</v>
      </c>
      <c r="E1189" s="13">
        <f>'Entry Sheet'!Q135</f>
        <v>14.2</v>
      </c>
      <c r="F1189" s="846" t="s">
        <v>519</v>
      </c>
      <c r="BB1189" s="314"/>
    </row>
    <row r="1190" ht="15.75" customHeight="1">
      <c r="A1190" s="585">
        <v>1189.0</v>
      </c>
      <c r="B1190" s="1004" t="str">
        <f>Settings!$A$9</f>
        <v>YARDIES</v>
      </c>
      <c r="C1190" s="712" t="s">
        <v>117</v>
      </c>
      <c r="D1190" s="13" t="str">
        <f>'Entry Sheet'!P136</f>
        <v>R. ODUNZE</v>
      </c>
      <c r="E1190" s="13">
        <f>'Entry Sheet'!Q136</f>
        <v>19.4</v>
      </c>
      <c r="F1190" s="846" t="s">
        <v>519</v>
      </c>
      <c r="BB1190" s="314"/>
    </row>
    <row r="1191" ht="15.75" customHeight="1">
      <c r="A1191" s="585">
        <v>1190.0</v>
      </c>
      <c r="B1191" s="1004" t="str">
        <f>Settings!$A$9</f>
        <v>YARDIES</v>
      </c>
      <c r="C1191" s="712" t="s">
        <v>117</v>
      </c>
      <c r="D1191" s="13" t="str">
        <f>'Entry Sheet'!P137</f>
        <v>C. DIKE</v>
      </c>
      <c r="E1191" s="13">
        <f>'Entry Sheet'!Q137</f>
        <v>25.25</v>
      </c>
      <c r="F1191" s="846" t="s">
        <v>519</v>
      </c>
      <c r="BB1191" s="314"/>
    </row>
    <row r="1192" ht="15.75" customHeight="1">
      <c r="A1192" s="585">
        <v>1191.0</v>
      </c>
      <c r="B1192" s="1004" t="str">
        <f>Settings!$A$9</f>
        <v>YARDIES</v>
      </c>
      <c r="C1192" s="712" t="s">
        <v>117</v>
      </c>
      <c r="D1192" s="13" t="str">
        <f>'Entry Sheet'!P138</f>
        <v/>
      </c>
      <c r="E1192" s="13" t="str">
        <f>'Entry Sheet'!Q138</f>
        <v/>
      </c>
      <c r="F1192" s="846" t="s">
        <v>519</v>
      </c>
      <c r="BB1192" s="314"/>
    </row>
    <row r="1193" ht="15.75" customHeight="1">
      <c r="A1193" s="585">
        <v>1192.0</v>
      </c>
      <c r="B1193" s="1004" t="str">
        <f>Settings!$A$9</f>
        <v>YARDIES</v>
      </c>
      <c r="C1193" s="764" t="s">
        <v>132</v>
      </c>
      <c r="D1193" s="13" t="str">
        <f>'Entry Sheet'!P139</f>
        <v>O. GADSDEN II</v>
      </c>
      <c r="E1193" s="13">
        <f>'Entry Sheet'!Q139</f>
        <v>18.7</v>
      </c>
      <c r="F1193" s="846" t="s">
        <v>519</v>
      </c>
      <c r="BB1193" s="314"/>
    </row>
    <row r="1194" ht="15.75" customHeight="1">
      <c r="A1194" s="585">
        <v>1193.0</v>
      </c>
      <c r="B1194" s="1004" t="str">
        <f>Settings!$A$9</f>
        <v>YARDIES</v>
      </c>
      <c r="C1194" s="795" t="s">
        <v>136</v>
      </c>
      <c r="D1194" s="13" t="str">
        <f>'Entry Sheet'!P140</f>
        <v>K. VIDAL</v>
      </c>
      <c r="E1194" s="13">
        <f>'Entry Sheet'!Q140</f>
        <v>23</v>
      </c>
      <c r="F1194" s="846" t="s">
        <v>519</v>
      </c>
      <c r="BB1194" s="314"/>
    </row>
    <row r="1195" ht="15.75" customHeight="1">
      <c r="A1195" s="585">
        <v>1194.0</v>
      </c>
      <c r="B1195" s="1004" t="str">
        <f>Settings!$A$9</f>
        <v>YARDIES</v>
      </c>
      <c r="C1195" s="818" t="s">
        <v>139</v>
      </c>
      <c r="D1195" s="13" t="str">
        <f>'Entry Sheet'!P141</f>
        <v>GB D/ST</v>
      </c>
      <c r="E1195" s="13">
        <f>'Entry Sheet'!Q141</f>
        <v>17.31</v>
      </c>
      <c r="F1195" s="846" t="s">
        <v>519</v>
      </c>
      <c r="BB1195" s="314"/>
    </row>
    <row r="1196" ht="15.75" customHeight="1">
      <c r="A1196" s="585">
        <v>1195.0</v>
      </c>
      <c r="B1196" s="1004" t="str">
        <f>Settings!$A$9</f>
        <v>YARDIES</v>
      </c>
      <c r="C1196" s="833" t="s">
        <v>146</v>
      </c>
      <c r="D1196" s="13" t="str">
        <f>'Entry Sheet'!P142</f>
        <v>C. BOSWELL</v>
      </c>
      <c r="E1196" s="13">
        <f>'Entry Sheet'!Q142</f>
        <v>23</v>
      </c>
      <c r="F1196" s="846" t="s">
        <v>519</v>
      </c>
      <c r="BB1196" s="314"/>
    </row>
    <row r="1197" ht="15.75" customHeight="1">
      <c r="A1197" s="585">
        <v>1196.0</v>
      </c>
      <c r="B1197" s="1004" t="str">
        <f>Settings!$A$9</f>
        <v>YARDIES</v>
      </c>
      <c r="C1197" s="842" t="s">
        <v>162</v>
      </c>
      <c r="D1197" s="13" t="str">
        <f>'Entry Sheet'!P143</f>
        <v>ATL HC</v>
      </c>
      <c r="E1197" s="13">
        <f>'Entry Sheet'!Q143</f>
        <v>-5</v>
      </c>
      <c r="F1197" s="846" t="s">
        <v>519</v>
      </c>
      <c r="BB1197" s="314"/>
    </row>
    <row r="1198" ht="15.75" customHeight="1">
      <c r="A1198" s="585">
        <v>1197.0</v>
      </c>
      <c r="B1198" s="1004" t="str">
        <f>Settings!$A$9</f>
        <v>YARDIES</v>
      </c>
      <c r="C1198" s="587" t="s">
        <v>100</v>
      </c>
      <c r="D1198" s="13" t="str">
        <f>'Entry Sheet'!R131</f>
        <v>J. LOVE</v>
      </c>
      <c r="E1198" s="13">
        <f>'Entry Sheet'!S131</f>
        <v>11.32</v>
      </c>
      <c r="F1198" s="589" t="s">
        <v>520</v>
      </c>
      <c r="BB1198" s="314"/>
    </row>
    <row r="1199" ht="15.75" customHeight="1">
      <c r="A1199" s="585">
        <v>1198.0</v>
      </c>
      <c r="B1199" s="1004" t="str">
        <f>Settings!$A$9</f>
        <v>YARDIES</v>
      </c>
      <c r="C1199" s="596" t="s">
        <v>106</v>
      </c>
      <c r="D1199" s="13" t="str">
        <f>'Entry Sheet'!R132</f>
        <v>D. HENRY</v>
      </c>
      <c r="E1199" s="13">
        <f>'Entry Sheet'!S132</f>
        <v>16</v>
      </c>
      <c r="F1199" s="589" t="s">
        <v>520</v>
      </c>
      <c r="BB1199" s="314"/>
    </row>
    <row r="1200" ht="15.75" customHeight="1">
      <c r="A1200" s="585">
        <v>1199.0</v>
      </c>
      <c r="B1200" s="1004" t="str">
        <f>Settings!$A$9</f>
        <v>YARDIES</v>
      </c>
      <c r="C1200" s="596" t="s">
        <v>106</v>
      </c>
      <c r="D1200" s="13" t="str">
        <f>'Entry Sheet'!R133</f>
        <v>R. DOWDLE</v>
      </c>
      <c r="E1200" s="13">
        <f>'Entry Sheet'!S133</f>
        <v>31.6</v>
      </c>
      <c r="F1200" s="589" t="s">
        <v>520</v>
      </c>
      <c r="BB1200" s="314"/>
    </row>
    <row r="1201" ht="15.75" customHeight="1">
      <c r="A1201" s="585">
        <v>1200.0</v>
      </c>
      <c r="B1201" s="1004" t="str">
        <f>Settings!$A$9</f>
        <v>YARDIES</v>
      </c>
      <c r="C1201" s="596" t="s">
        <v>106</v>
      </c>
      <c r="D1201" s="13" t="str">
        <f>'Entry Sheet'!R134</f>
        <v/>
      </c>
      <c r="E1201" s="13" t="str">
        <f>'Entry Sheet'!S134</f>
        <v/>
      </c>
      <c r="F1201" s="589" t="s">
        <v>520</v>
      </c>
      <c r="BB1201" s="314"/>
    </row>
    <row r="1202" ht="15.75" customHeight="1">
      <c r="A1202" s="585">
        <v>1201.0</v>
      </c>
      <c r="B1202" s="1004" t="str">
        <f>Settings!$A$9</f>
        <v>YARDIES</v>
      </c>
      <c r="C1202" s="712" t="s">
        <v>117</v>
      </c>
      <c r="D1202" s="13" t="str">
        <f>'Entry Sheet'!R135</f>
        <v>Z. FLOWERS</v>
      </c>
      <c r="E1202" s="13">
        <f>'Entry Sheet'!S135</f>
        <v>11.4</v>
      </c>
      <c r="F1202" s="589" t="s">
        <v>520</v>
      </c>
      <c r="BB1202" s="314"/>
    </row>
    <row r="1203" ht="15.75" customHeight="1">
      <c r="A1203" s="585">
        <v>1202.0</v>
      </c>
      <c r="B1203" s="1004" t="str">
        <f>Settings!$A$9</f>
        <v>YARDIES</v>
      </c>
      <c r="C1203" s="712" t="s">
        <v>117</v>
      </c>
      <c r="D1203" s="13" t="str">
        <f>'Entry Sheet'!R136</f>
        <v>R. ODUNZE</v>
      </c>
      <c r="E1203" s="13">
        <f>'Entry Sheet'!S136</f>
        <v>0</v>
      </c>
      <c r="F1203" s="589" t="s">
        <v>520</v>
      </c>
      <c r="BB1203" s="314"/>
    </row>
    <row r="1204" ht="15.75" customHeight="1">
      <c r="A1204" s="585">
        <v>1203.0</v>
      </c>
      <c r="B1204" s="1004" t="str">
        <f>Settings!$A$9</f>
        <v>YARDIES</v>
      </c>
      <c r="C1204" s="712" t="s">
        <v>117</v>
      </c>
      <c r="D1204" s="13" t="str">
        <f>'Entry Sheet'!R137</f>
        <v>C. DIKE</v>
      </c>
      <c r="E1204" s="13">
        <f>'Entry Sheet'!S137</f>
        <v>18.25</v>
      </c>
      <c r="F1204" s="589" t="s">
        <v>520</v>
      </c>
      <c r="BB1204" s="314"/>
    </row>
    <row r="1205" ht="15.75" customHeight="1">
      <c r="A1205" s="585">
        <v>1204.0</v>
      </c>
      <c r="B1205" s="1004" t="str">
        <f>Settings!$A$9</f>
        <v>YARDIES</v>
      </c>
      <c r="C1205" s="712" t="s">
        <v>117</v>
      </c>
      <c r="D1205" s="13" t="str">
        <f>'Entry Sheet'!R138</f>
        <v/>
      </c>
      <c r="E1205" s="13" t="str">
        <f>'Entry Sheet'!S138</f>
        <v/>
      </c>
      <c r="F1205" s="589" t="s">
        <v>520</v>
      </c>
      <c r="BB1205" s="314"/>
    </row>
    <row r="1206" ht="15.75" customHeight="1">
      <c r="A1206" s="585">
        <v>1205.0</v>
      </c>
      <c r="B1206" s="1004" t="str">
        <f>Settings!$A$9</f>
        <v>YARDIES</v>
      </c>
      <c r="C1206" s="764" t="s">
        <v>132</v>
      </c>
      <c r="D1206" s="13" t="str">
        <f>'Entry Sheet'!R139</f>
        <v>B. BOWERS</v>
      </c>
      <c r="E1206" s="13">
        <f>'Entry Sheet'!S139</f>
        <v>44.4</v>
      </c>
      <c r="F1206" s="589" t="s">
        <v>520</v>
      </c>
      <c r="BB1206" s="314"/>
    </row>
    <row r="1207" ht="15.75" customHeight="1">
      <c r="A1207" s="585">
        <v>1206.0</v>
      </c>
      <c r="B1207" s="1004" t="str">
        <f>Settings!$A$9</f>
        <v>YARDIES</v>
      </c>
      <c r="C1207" s="795" t="s">
        <v>136</v>
      </c>
      <c r="D1207" s="13" t="str">
        <f>'Entry Sheet'!R140</f>
        <v>K. VIDAL</v>
      </c>
      <c r="E1207" s="13">
        <f>'Entry Sheet'!S140</f>
        <v>4.2</v>
      </c>
      <c r="F1207" s="589" t="s">
        <v>520</v>
      </c>
      <c r="BB1207" s="314"/>
    </row>
    <row r="1208" ht="15.75" customHeight="1">
      <c r="A1208" s="585">
        <v>1207.0</v>
      </c>
      <c r="B1208" s="1004" t="str">
        <f>Settings!$A$9</f>
        <v>YARDIES</v>
      </c>
      <c r="C1208" s="818" t="s">
        <v>139</v>
      </c>
      <c r="D1208" s="13" t="str">
        <f>'Entry Sheet'!R141</f>
        <v>GB D/ST</v>
      </c>
      <c r="E1208" s="13">
        <f>'Entry Sheet'!S141</f>
        <v>13.88</v>
      </c>
      <c r="F1208" s="589" t="s">
        <v>520</v>
      </c>
      <c r="BB1208" s="314"/>
    </row>
    <row r="1209" ht="15.75" customHeight="1">
      <c r="A1209" s="585">
        <v>1208.0</v>
      </c>
      <c r="B1209" s="1004" t="str">
        <f>Settings!$A$9</f>
        <v>YARDIES</v>
      </c>
      <c r="C1209" s="833" t="s">
        <v>146</v>
      </c>
      <c r="D1209" s="13" t="str">
        <f>'Entry Sheet'!R142</f>
        <v>C. BOSWELL</v>
      </c>
      <c r="E1209" s="13">
        <f>'Entry Sheet'!S142</f>
        <v>10</v>
      </c>
      <c r="F1209" s="589" t="s">
        <v>520</v>
      </c>
      <c r="BB1209" s="314"/>
    </row>
    <row r="1210" ht="15.75" customHeight="1">
      <c r="A1210" s="585">
        <v>1209.0</v>
      </c>
      <c r="B1210" s="1004" t="str">
        <f>Settings!$A$9</f>
        <v>YARDIES</v>
      </c>
      <c r="C1210" s="842" t="s">
        <v>162</v>
      </c>
      <c r="D1210" s="13" t="str">
        <f>'Entry Sheet'!R143</f>
        <v>DET HC</v>
      </c>
      <c r="E1210" s="13">
        <f>'Entry Sheet'!S143</f>
        <v>5.2</v>
      </c>
      <c r="F1210" s="589" t="s">
        <v>520</v>
      </c>
      <c r="BB1210" s="314"/>
    </row>
    <row r="1211" ht="15.75" customHeight="1">
      <c r="A1211" s="585">
        <v>1210.0</v>
      </c>
      <c r="B1211" s="1004" t="str">
        <f>Settings!$A$9</f>
        <v>YARDIES</v>
      </c>
      <c r="C1211" s="587" t="s">
        <v>100</v>
      </c>
      <c r="D1211" s="13" t="str">
        <f>'Entry Sheet'!T131</f>
        <v>C. WILLIAMS</v>
      </c>
      <c r="E1211" s="13">
        <f>'Entry Sheet'!U131</f>
        <v>28.7</v>
      </c>
      <c r="F1211" s="846" t="s">
        <v>521</v>
      </c>
      <c r="BB1211" s="314"/>
    </row>
    <row r="1212" ht="15.75" customHeight="1">
      <c r="A1212" s="585">
        <v>1211.0</v>
      </c>
      <c r="B1212" s="1004" t="str">
        <f>Settings!$A$9</f>
        <v>YARDIES</v>
      </c>
      <c r="C1212" s="596" t="s">
        <v>106</v>
      </c>
      <c r="D1212" s="13" t="str">
        <f>'Entry Sheet'!T132</f>
        <v>D. HENRY</v>
      </c>
      <c r="E1212" s="13">
        <f>'Entry Sheet'!U132</f>
        <v>13.4</v>
      </c>
      <c r="F1212" s="846" t="s">
        <v>521</v>
      </c>
      <c r="BB1212" s="314"/>
    </row>
    <row r="1213" ht="15.75" customHeight="1">
      <c r="A1213" s="585">
        <v>1212.0</v>
      </c>
      <c r="B1213" s="1004" t="str">
        <f>Settings!$A$9</f>
        <v>YARDIES</v>
      </c>
      <c r="C1213" s="596" t="s">
        <v>106</v>
      </c>
      <c r="D1213" s="13" t="str">
        <f>'Entry Sheet'!T133</f>
        <v>R. DOWDLE</v>
      </c>
      <c r="E1213" s="13">
        <f>'Entry Sheet'!U133</f>
        <v>17.1</v>
      </c>
      <c r="F1213" s="846" t="s">
        <v>521</v>
      </c>
      <c r="BB1213" s="314"/>
    </row>
    <row r="1214" ht="15.75" customHeight="1">
      <c r="A1214" s="585">
        <v>1213.0</v>
      </c>
      <c r="B1214" s="1004" t="str">
        <f>Settings!$A$9</f>
        <v>YARDIES</v>
      </c>
      <c r="C1214" s="596" t="s">
        <v>106</v>
      </c>
      <c r="D1214" s="13" t="str">
        <f>'Entry Sheet'!T134</f>
        <v/>
      </c>
      <c r="E1214" s="13" t="str">
        <f>'Entry Sheet'!U134</f>
        <v/>
      </c>
      <c r="F1214" s="846" t="s">
        <v>521</v>
      </c>
      <c r="BB1214" s="314"/>
    </row>
    <row r="1215" ht="15.75" customHeight="1">
      <c r="A1215" s="585">
        <v>1214.0</v>
      </c>
      <c r="B1215" s="1004" t="str">
        <f>Settings!$A$9</f>
        <v>YARDIES</v>
      </c>
      <c r="C1215" s="712" t="s">
        <v>117</v>
      </c>
      <c r="D1215" s="13" t="str">
        <f>'Entry Sheet'!T135</f>
        <v>Z. FLOWERS</v>
      </c>
      <c r="E1215" s="13">
        <f>'Entry Sheet'!U135</f>
        <v>12.2</v>
      </c>
      <c r="F1215" s="846" t="s">
        <v>521</v>
      </c>
      <c r="BB1215" s="314"/>
    </row>
    <row r="1216" ht="15.75" customHeight="1">
      <c r="A1216" s="585">
        <v>1215.0</v>
      </c>
      <c r="B1216" s="1004" t="str">
        <f>Settings!$A$9</f>
        <v>YARDIES</v>
      </c>
      <c r="C1216" s="712" t="s">
        <v>117</v>
      </c>
      <c r="D1216" s="13" t="str">
        <f>'Entry Sheet'!T136</f>
        <v>R. ODUNZE</v>
      </c>
      <c r="E1216" s="13">
        <f>'Entry Sheet'!U136</f>
        <v>20.6</v>
      </c>
      <c r="F1216" s="846" t="s">
        <v>521</v>
      </c>
      <c r="BB1216" s="314"/>
    </row>
    <row r="1217" ht="15.75" customHeight="1">
      <c r="A1217" s="585">
        <v>1216.0</v>
      </c>
      <c r="B1217" s="1004" t="str">
        <f>Settings!$A$9</f>
        <v>YARDIES</v>
      </c>
      <c r="C1217" s="712" t="s">
        <v>117</v>
      </c>
      <c r="D1217" s="13" t="str">
        <f>'Entry Sheet'!T137</f>
        <v>S. DIGGS</v>
      </c>
      <c r="E1217" s="13">
        <f>'Entry Sheet'!U137</f>
        <v>15.6</v>
      </c>
      <c r="F1217" s="846" t="s">
        <v>521</v>
      </c>
      <c r="BB1217" s="314"/>
    </row>
    <row r="1218" ht="15.75" customHeight="1">
      <c r="A1218" s="585">
        <v>1217.0</v>
      </c>
      <c r="B1218" s="1004" t="str">
        <f>Settings!$A$9</f>
        <v>YARDIES</v>
      </c>
      <c r="C1218" s="712" t="s">
        <v>117</v>
      </c>
      <c r="D1218" s="13" t="str">
        <f>'Entry Sheet'!T138</f>
        <v/>
      </c>
      <c r="E1218" s="13" t="str">
        <f>'Entry Sheet'!U138</f>
        <v/>
      </c>
      <c r="F1218" s="846" t="s">
        <v>521</v>
      </c>
      <c r="BB1218" s="314"/>
    </row>
    <row r="1219" ht="15.75" customHeight="1">
      <c r="A1219" s="585">
        <v>1218.0</v>
      </c>
      <c r="B1219" s="1004" t="str">
        <f>Settings!$A$9</f>
        <v>YARDIES</v>
      </c>
      <c r="C1219" s="764" t="s">
        <v>132</v>
      </c>
      <c r="D1219" s="13" t="str">
        <f>'Entry Sheet'!T139</f>
        <v>B. BOWERS</v>
      </c>
      <c r="E1219" s="13">
        <f>'Entry Sheet'!U139</f>
        <v>3.8</v>
      </c>
      <c r="F1219" s="846" t="s">
        <v>521</v>
      </c>
      <c r="BB1219" s="314"/>
    </row>
    <row r="1220" ht="15.75" customHeight="1">
      <c r="A1220" s="585">
        <v>1219.0</v>
      </c>
      <c r="B1220" s="1004" t="str">
        <f>Settings!$A$9</f>
        <v>YARDIES</v>
      </c>
      <c r="C1220" s="795" t="s">
        <v>136</v>
      </c>
      <c r="D1220" s="13" t="str">
        <f>'Entry Sheet'!T140</f>
        <v>Q. JUDKINS</v>
      </c>
      <c r="E1220" s="13">
        <f>'Entry Sheet'!U140</f>
        <v>12.7</v>
      </c>
      <c r="F1220" s="846" t="s">
        <v>521</v>
      </c>
      <c r="BB1220" s="314"/>
    </row>
    <row r="1221" ht="15.75" customHeight="1">
      <c r="A1221" s="585">
        <v>1220.0</v>
      </c>
      <c r="B1221" s="1004" t="str">
        <f>Settings!$A$9</f>
        <v>YARDIES</v>
      </c>
      <c r="C1221" s="818" t="s">
        <v>139</v>
      </c>
      <c r="D1221" s="13" t="str">
        <f>'Entry Sheet'!T141</f>
        <v>HOU D/ST</v>
      </c>
      <c r="E1221" s="13">
        <f>'Entry Sheet'!U141</f>
        <v>27.19</v>
      </c>
      <c r="F1221" s="846" t="s">
        <v>521</v>
      </c>
      <c r="BB1221" s="314"/>
    </row>
    <row r="1222" ht="15.75" customHeight="1">
      <c r="A1222" s="585">
        <v>1221.0</v>
      </c>
      <c r="B1222" s="1004" t="str">
        <f>Settings!$A$9</f>
        <v>YARDIES</v>
      </c>
      <c r="C1222" s="833" t="s">
        <v>146</v>
      </c>
      <c r="D1222" s="13" t="str">
        <f>'Entry Sheet'!T142</f>
        <v>C. BOSWELL</v>
      </c>
      <c r="E1222" s="13">
        <f>'Entry Sheet'!U142</f>
        <v>5.5</v>
      </c>
      <c r="F1222" s="846" t="s">
        <v>521</v>
      </c>
      <c r="BB1222" s="314"/>
    </row>
    <row r="1223" ht="15.75" customHeight="1">
      <c r="A1223" s="585">
        <v>1222.0</v>
      </c>
      <c r="B1223" s="1004" t="str">
        <f>Settings!$A$9</f>
        <v>YARDIES</v>
      </c>
      <c r="C1223" s="842" t="s">
        <v>162</v>
      </c>
      <c r="D1223" s="13" t="str">
        <f>'Entry Sheet'!T143</f>
        <v>DET HC</v>
      </c>
      <c r="E1223" s="13">
        <f>'Entry Sheet'!U143</f>
        <v>21.2</v>
      </c>
      <c r="F1223" s="846" t="s">
        <v>521</v>
      </c>
      <c r="BB1223" s="314"/>
    </row>
    <row r="1224" ht="15.75" hidden="1" customHeight="1">
      <c r="A1224" s="585">
        <v>1223.0</v>
      </c>
      <c r="B1224" s="1004" t="str">
        <f>Settings!$A$9</f>
        <v>YARDIES</v>
      </c>
      <c r="C1224" s="587" t="s">
        <v>100</v>
      </c>
      <c r="D1224" s="13" t="str">
        <f>'Entry Sheet'!V131</f>
        <v>C. WILLIAMS</v>
      </c>
      <c r="E1224" s="13">
        <f>'Entry Sheet'!W131</f>
        <v>10.72</v>
      </c>
      <c r="F1224" s="589" t="s">
        <v>522</v>
      </c>
      <c r="BB1224" s="314"/>
    </row>
    <row r="1225" ht="15.75" hidden="1" customHeight="1">
      <c r="A1225" s="585">
        <v>1224.0</v>
      </c>
      <c r="B1225" s="1004" t="str">
        <f>Settings!$A$9</f>
        <v>YARDIES</v>
      </c>
      <c r="C1225" s="596" t="s">
        <v>106</v>
      </c>
      <c r="D1225" s="13" t="str">
        <f>'Entry Sheet'!V132</f>
        <v>D. HENRY</v>
      </c>
      <c r="E1225" s="13">
        <f>'Entry Sheet'!W132</f>
        <v>23</v>
      </c>
      <c r="F1225" s="589" t="s">
        <v>522</v>
      </c>
      <c r="BB1225" s="314"/>
    </row>
    <row r="1226" ht="15.75" hidden="1" customHeight="1">
      <c r="A1226" s="585">
        <v>1225.0</v>
      </c>
      <c r="B1226" s="1004" t="str">
        <f>Settings!$A$9</f>
        <v>YARDIES</v>
      </c>
      <c r="C1226" s="596" t="s">
        <v>106</v>
      </c>
      <c r="D1226" s="13" t="str">
        <f>'Entry Sheet'!V133</f>
        <v>R. DOWDLE</v>
      </c>
      <c r="E1226" s="13">
        <f>'Entry Sheet'!W133</f>
        <v>16.9</v>
      </c>
      <c r="F1226" s="589" t="s">
        <v>522</v>
      </c>
      <c r="BB1226" s="314"/>
    </row>
    <row r="1227" ht="15.75" hidden="1" customHeight="1">
      <c r="A1227" s="585">
        <v>1226.0</v>
      </c>
      <c r="B1227" s="1004" t="str">
        <f>Settings!$A$9</f>
        <v>YARDIES</v>
      </c>
      <c r="C1227" s="596" t="s">
        <v>106</v>
      </c>
      <c r="D1227" s="13" t="str">
        <f>'Entry Sheet'!V134</f>
        <v/>
      </c>
      <c r="E1227" s="13" t="str">
        <f>'Entry Sheet'!W134</f>
        <v/>
      </c>
      <c r="F1227" s="589" t="s">
        <v>522</v>
      </c>
      <c r="BB1227" s="314"/>
    </row>
    <row r="1228" ht="15.75" hidden="1" customHeight="1">
      <c r="A1228" s="585">
        <v>1227.0</v>
      </c>
      <c r="B1228" s="1004" t="str">
        <f>Settings!$A$9</f>
        <v>YARDIES</v>
      </c>
      <c r="C1228" s="712" t="s">
        <v>117</v>
      </c>
      <c r="D1228" s="13" t="str">
        <f>'Entry Sheet'!V135</f>
        <v>Z. FLOWERS</v>
      </c>
      <c r="E1228" s="13">
        <f>'Entry Sheet'!W135</f>
        <v>11.4</v>
      </c>
      <c r="F1228" s="589" t="s">
        <v>522</v>
      </c>
      <c r="BB1228" s="314"/>
    </row>
    <row r="1229" ht="15.75" hidden="1" customHeight="1">
      <c r="A1229" s="585">
        <v>1228.0</v>
      </c>
      <c r="B1229" s="1004" t="str">
        <f>Settings!$A$9</f>
        <v>YARDIES</v>
      </c>
      <c r="C1229" s="712" t="s">
        <v>117</v>
      </c>
      <c r="D1229" s="13" t="str">
        <f>'Entry Sheet'!V136</f>
        <v>R. ODUNZE</v>
      </c>
      <c r="E1229" s="13">
        <f>'Entry Sheet'!W136</f>
        <v>6.1</v>
      </c>
      <c r="F1229" s="589" t="s">
        <v>522</v>
      </c>
      <c r="BB1229" s="314"/>
    </row>
    <row r="1230" ht="15.75" hidden="1" customHeight="1">
      <c r="A1230" s="585">
        <v>1229.0</v>
      </c>
      <c r="B1230" s="1004" t="str">
        <f>Settings!$A$9</f>
        <v>YARDIES</v>
      </c>
      <c r="C1230" s="712" t="s">
        <v>117</v>
      </c>
      <c r="D1230" s="13" t="str">
        <f>'Entry Sheet'!V137</f>
        <v>S. DIGGS</v>
      </c>
      <c r="E1230" s="13">
        <f>'Entry Sheet'!W137</f>
        <v>20.5</v>
      </c>
      <c r="F1230" s="589" t="s">
        <v>522</v>
      </c>
      <c r="BB1230" s="314"/>
    </row>
    <row r="1231" ht="15.75" hidden="1" customHeight="1">
      <c r="A1231" s="585">
        <v>1230.0</v>
      </c>
      <c r="B1231" s="1004" t="str">
        <f>Settings!$A$9</f>
        <v>YARDIES</v>
      </c>
      <c r="C1231" s="712" t="s">
        <v>117</v>
      </c>
      <c r="D1231" s="13" t="str">
        <f>'Entry Sheet'!V138</f>
        <v/>
      </c>
      <c r="E1231" s="13" t="str">
        <f>'Entry Sheet'!W138</f>
        <v/>
      </c>
      <c r="F1231" s="589" t="s">
        <v>522</v>
      </c>
      <c r="BB1231" s="314"/>
    </row>
    <row r="1232" ht="15.75" hidden="1" customHeight="1">
      <c r="A1232" s="585">
        <v>1231.0</v>
      </c>
      <c r="B1232" s="1004" t="str">
        <f>Settings!$A$9</f>
        <v>YARDIES</v>
      </c>
      <c r="C1232" s="764" t="s">
        <v>132</v>
      </c>
      <c r="D1232" s="13" t="str">
        <f>'Entry Sheet'!V139</f>
        <v>B. BOWERS</v>
      </c>
      <c r="E1232" s="13">
        <f>'Entry Sheet'!W139</f>
        <v>14.2</v>
      </c>
      <c r="F1232" s="589" t="s">
        <v>522</v>
      </c>
      <c r="BB1232" s="314"/>
    </row>
    <row r="1233" ht="15.75" hidden="1" customHeight="1">
      <c r="A1233" s="585">
        <v>1232.0</v>
      </c>
      <c r="B1233" s="1004" t="str">
        <f>Settings!$A$9</f>
        <v>YARDIES</v>
      </c>
      <c r="C1233" s="795" t="s">
        <v>136</v>
      </c>
      <c r="D1233" s="13" t="str">
        <f>'Entry Sheet'!V140</f>
        <v>Q. JUDKINS</v>
      </c>
      <c r="E1233" s="13">
        <f>'Entry Sheet'!W140</f>
        <v>7.6</v>
      </c>
      <c r="F1233" s="589" t="s">
        <v>522</v>
      </c>
      <c r="BB1233" s="314"/>
    </row>
    <row r="1234" ht="15.75" hidden="1" customHeight="1">
      <c r="A1234" s="585">
        <v>1233.0</v>
      </c>
      <c r="B1234" s="1004" t="str">
        <f>Settings!$A$9</f>
        <v>YARDIES</v>
      </c>
      <c r="C1234" s="818" t="s">
        <v>139</v>
      </c>
      <c r="D1234" s="13" t="str">
        <f>'Entry Sheet'!V141</f>
        <v>HOU D/ST</v>
      </c>
      <c r="E1234" s="13">
        <f>'Entry Sheet'!W141</f>
        <v>19.59</v>
      </c>
      <c r="F1234" s="589" t="s">
        <v>522</v>
      </c>
      <c r="BB1234" s="314"/>
    </row>
    <row r="1235" ht="15.75" hidden="1" customHeight="1">
      <c r="A1235" s="585">
        <v>1234.0</v>
      </c>
      <c r="B1235" s="1004" t="str">
        <f>Settings!$A$9</f>
        <v>YARDIES</v>
      </c>
      <c r="C1235" s="833" t="s">
        <v>146</v>
      </c>
      <c r="D1235" s="13" t="str">
        <f>'Entry Sheet'!V142</f>
        <v>C. BOSWELL</v>
      </c>
      <c r="E1235" s="13">
        <f>'Entry Sheet'!W142</f>
        <v>10</v>
      </c>
      <c r="F1235" s="589" t="s">
        <v>522</v>
      </c>
      <c r="BB1235" s="314"/>
    </row>
    <row r="1236" ht="15.75" hidden="1" customHeight="1">
      <c r="A1236" s="585">
        <v>1235.0</v>
      </c>
      <c r="B1236" s="1004" t="str">
        <f>Settings!$A$9</f>
        <v>YARDIES</v>
      </c>
      <c r="C1236" s="842" t="s">
        <v>162</v>
      </c>
      <c r="D1236" s="13" t="str">
        <f>'Entry Sheet'!V143</f>
        <v>DET HC</v>
      </c>
      <c r="E1236" s="13">
        <f>'Entry Sheet'!W143</f>
        <v>-0.3</v>
      </c>
      <c r="F1236" s="589" t="s">
        <v>522</v>
      </c>
      <c r="BB1236" s="314"/>
    </row>
    <row r="1237" ht="15.75" customHeight="1">
      <c r="A1237" s="585">
        <v>1236.0</v>
      </c>
      <c r="B1237" s="1004" t="str">
        <f>Settings!$A$9</f>
        <v>YARDIES</v>
      </c>
      <c r="C1237" s="587" t="s">
        <v>100</v>
      </c>
      <c r="D1237" s="13" t="str">
        <f>'Entry Sheet'!X131</f>
        <v>B. PURDY</v>
      </c>
      <c r="E1237" s="13">
        <f>'Entry Sheet'!Y131</f>
        <v>10.32</v>
      </c>
      <c r="F1237" s="846" t="s">
        <v>523</v>
      </c>
      <c r="BB1237" s="314"/>
    </row>
    <row r="1238" ht="15.75" customHeight="1">
      <c r="A1238" s="585">
        <v>1237.0</v>
      </c>
      <c r="B1238" s="1004" t="str">
        <f>Settings!$A$9</f>
        <v>YARDIES</v>
      </c>
      <c r="C1238" s="596" t="s">
        <v>106</v>
      </c>
      <c r="D1238" s="13" t="str">
        <f>'Entry Sheet'!X132</f>
        <v>D. HENRY</v>
      </c>
      <c r="E1238" s="13">
        <f>'Entry Sheet'!Y132</f>
        <v>24.9</v>
      </c>
      <c r="F1238" s="846" t="s">
        <v>523</v>
      </c>
      <c r="BB1238" s="314"/>
    </row>
    <row r="1239" ht="15.75" customHeight="1">
      <c r="A1239" s="585">
        <v>1238.0</v>
      </c>
      <c r="B1239" s="1004" t="str">
        <f>Settings!$A$9</f>
        <v>YARDIES</v>
      </c>
      <c r="C1239" s="596" t="s">
        <v>106</v>
      </c>
      <c r="D1239" s="13" t="str">
        <f>'Entry Sheet'!X133</f>
        <v>R. DOWDLE</v>
      </c>
      <c r="E1239" s="13">
        <f>'Entry Sheet'!Y133</f>
        <v>12</v>
      </c>
      <c r="F1239" s="846" t="s">
        <v>523</v>
      </c>
      <c r="BB1239" s="314"/>
    </row>
    <row r="1240" ht="15.75" customHeight="1">
      <c r="A1240" s="585">
        <v>1239.0</v>
      </c>
      <c r="B1240" s="1004" t="str">
        <f>Settings!$A$9</f>
        <v>YARDIES</v>
      </c>
      <c r="C1240" s="596" t="s">
        <v>106</v>
      </c>
      <c r="D1240" s="13" t="str">
        <f>'Entry Sheet'!X134</f>
        <v/>
      </c>
      <c r="E1240" s="13" t="str">
        <f>'Entry Sheet'!Y134</f>
        <v/>
      </c>
      <c r="F1240" s="846" t="s">
        <v>523</v>
      </c>
      <c r="BB1240" s="314"/>
    </row>
    <row r="1241" ht="15.75" customHeight="1">
      <c r="A1241" s="585">
        <v>1240.0</v>
      </c>
      <c r="B1241" s="1004" t="str">
        <f>Settings!$A$9</f>
        <v>YARDIES</v>
      </c>
      <c r="C1241" s="712" t="s">
        <v>117</v>
      </c>
      <c r="D1241" s="13" t="str">
        <f>'Entry Sheet'!X135</f>
        <v>Z. FLOWERS</v>
      </c>
      <c r="E1241" s="13">
        <f>'Entry Sheet'!Y135</f>
        <v>12.1</v>
      </c>
      <c r="F1241" s="846" t="s">
        <v>523</v>
      </c>
      <c r="BB1241" s="314"/>
    </row>
    <row r="1242" ht="15.75" customHeight="1">
      <c r="A1242" s="585">
        <v>1241.0</v>
      </c>
      <c r="B1242" s="1004" t="str">
        <f>Settings!$A$9</f>
        <v>YARDIES</v>
      </c>
      <c r="C1242" s="712" t="s">
        <v>117</v>
      </c>
      <c r="D1242" s="13" t="str">
        <f>'Entry Sheet'!X136</f>
        <v>S. DIGGS</v>
      </c>
      <c r="E1242" s="13">
        <f>'Entry Sheet'!Y136</f>
        <v>4</v>
      </c>
      <c r="F1242" s="846" t="s">
        <v>523</v>
      </c>
      <c r="BB1242" s="314"/>
    </row>
    <row r="1243" ht="15.75" customHeight="1">
      <c r="A1243" s="585">
        <v>1242.0</v>
      </c>
      <c r="B1243" s="1004" t="str">
        <f>Settings!$A$9</f>
        <v>YARDIES</v>
      </c>
      <c r="C1243" s="712" t="s">
        <v>117</v>
      </c>
      <c r="D1243" s="13" t="str">
        <f>'Entry Sheet'!X137</f>
        <v>C. DIKE</v>
      </c>
      <c r="E1243" s="13">
        <f>'Entry Sheet'!Y137</f>
        <v>30.8</v>
      </c>
      <c r="F1243" s="846" t="s">
        <v>523</v>
      </c>
      <c r="BB1243" s="314"/>
    </row>
    <row r="1244" ht="15.75" customHeight="1">
      <c r="A1244" s="585">
        <v>1243.0</v>
      </c>
      <c r="B1244" s="1004" t="str">
        <f>Settings!$A$9</f>
        <v>YARDIES</v>
      </c>
      <c r="C1244" s="712" t="s">
        <v>117</v>
      </c>
      <c r="D1244" s="13" t="str">
        <f>'Entry Sheet'!X138</f>
        <v/>
      </c>
      <c r="E1244" s="13" t="str">
        <f>'Entry Sheet'!Y138</f>
        <v/>
      </c>
      <c r="F1244" s="846" t="s">
        <v>523</v>
      </c>
      <c r="BB1244" s="314"/>
    </row>
    <row r="1245" ht="15.75" customHeight="1">
      <c r="A1245" s="585">
        <v>1244.0</v>
      </c>
      <c r="B1245" s="1004" t="str">
        <f>Settings!$A$9</f>
        <v>YARDIES</v>
      </c>
      <c r="C1245" s="764" t="s">
        <v>132</v>
      </c>
      <c r="D1245" s="13" t="str">
        <f>'Entry Sheet'!X139</f>
        <v>B. BOWERS</v>
      </c>
      <c r="E1245" s="13">
        <f>'Entry Sheet'!Y139</f>
        <v>11.5</v>
      </c>
      <c r="F1245" s="846" t="s">
        <v>523</v>
      </c>
      <c r="BB1245" s="314"/>
    </row>
    <row r="1246" ht="15.75" customHeight="1">
      <c r="A1246" s="585">
        <v>1245.0</v>
      </c>
      <c r="B1246" s="1004" t="str">
        <f>Settings!$A$9</f>
        <v>YARDIES</v>
      </c>
      <c r="C1246" s="795" t="s">
        <v>136</v>
      </c>
      <c r="D1246" s="13" t="str">
        <f>'Entry Sheet'!X140</f>
        <v>Q. JUDKINS</v>
      </c>
      <c r="E1246" s="13">
        <f>'Entry Sheet'!Y140</f>
        <v>18.3</v>
      </c>
      <c r="F1246" s="846" t="s">
        <v>523</v>
      </c>
      <c r="BB1246" s="314"/>
    </row>
    <row r="1247" ht="15.75" customHeight="1">
      <c r="A1247" s="585">
        <v>1246.0</v>
      </c>
      <c r="B1247" s="1004" t="str">
        <f>Settings!$A$9</f>
        <v>YARDIES</v>
      </c>
      <c r="C1247" s="818" t="s">
        <v>139</v>
      </c>
      <c r="D1247" s="13" t="str">
        <f>'Entry Sheet'!X141</f>
        <v>GB D/ST</v>
      </c>
      <c r="E1247" s="13">
        <f>'Entry Sheet'!Y141</f>
        <v>27.98</v>
      </c>
      <c r="F1247" s="846" t="s">
        <v>523</v>
      </c>
      <c r="BB1247" s="314"/>
    </row>
    <row r="1248" ht="15.75" customHeight="1">
      <c r="A1248" s="585">
        <v>1247.0</v>
      </c>
      <c r="B1248" s="1004" t="str">
        <f>Settings!$A$9</f>
        <v>YARDIES</v>
      </c>
      <c r="C1248" s="833" t="s">
        <v>146</v>
      </c>
      <c r="D1248" s="13" t="str">
        <f>'Entry Sheet'!X142</f>
        <v>C. BOSWELL</v>
      </c>
      <c r="E1248" s="13">
        <f>'Entry Sheet'!Y142</f>
        <v>4</v>
      </c>
      <c r="F1248" s="846" t="s">
        <v>523</v>
      </c>
      <c r="BB1248" s="314"/>
    </row>
    <row r="1249" ht="15.75" customHeight="1">
      <c r="A1249" s="585">
        <v>1248.0</v>
      </c>
      <c r="B1249" s="1004" t="str">
        <f>Settings!$A$9</f>
        <v>YARDIES</v>
      </c>
      <c r="C1249" s="842" t="s">
        <v>162</v>
      </c>
      <c r="D1249" s="13" t="str">
        <f>'Entry Sheet'!X143</f>
        <v>DET HC</v>
      </c>
      <c r="E1249" s="13">
        <f>'Entry Sheet'!Y143</f>
        <v>13.2</v>
      </c>
      <c r="F1249" s="846" t="s">
        <v>523</v>
      </c>
      <c r="BB1249" s="314"/>
    </row>
    <row r="1250" ht="15.75" customHeight="1">
      <c r="A1250" s="585">
        <v>1249.0</v>
      </c>
      <c r="B1250" s="1004" t="str">
        <f>Settings!$A$9</f>
        <v>YARDIES</v>
      </c>
      <c r="C1250" s="587" t="s">
        <v>100</v>
      </c>
      <c r="D1250" s="13" t="str">
        <f>'Entry Sheet'!Z131</f>
        <v>J. BURROW</v>
      </c>
      <c r="E1250" s="13">
        <f>'Entry Sheet'!AA131</f>
        <v>23.94</v>
      </c>
      <c r="F1250" s="589" t="s">
        <v>524</v>
      </c>
      <c r="BB1250" s="314"/>
    </row>
    <row r="1251" ht="15.75" customHeight="1">
      <c r="A1251" s="585">
        <v>1250.0</v>
      </c>
      <c r="B1251" s="1004" t="str">
        <f>Settings!$A$9</f>
        <v>YARDIES</v>
      </c>
      <c r="C1251" s="596" t="s">
        <v>106</v>
      </c>
      <c r="D1251" s="13" t="str">
        <f>'Entry Sheet'!Z132</f>
        <v>D. HENRY</v>
      </c>
      <c r="E1251" s="13">
        <f>'Entry Sheet'!AA132</f>
        <v>18.4</v>
      </c>
      <c r="F1251" s="589" t="s">
        <v>524</v>
      </c>
      <c r="BB1251" s="314"/>
    </row>
    <row r="1252" ht="15.75" customHeight="1">
      <c r="A1252" s="585">
        <v>1251.0</v>
      </c>
      <c r="B1252" s="1004" t="str">
        <f>Settings!$A$9</f>
        <v>YARDIES</v>
      </c>
      <c r="C1252" s="596" t="s">
        <v>106</v>
      </c>
      <c r="D1252" s="13" t="str">
        <f>'Entry Sheet'!Z133</f>
        <v>R. DOWDLE</v>
      </c>
      <c r="E1252" s="13">
        <f>'Entry Sheet'!AA133</f>
        <v>11.7</v>
      </c>
      <c r="F1252" s="589" t="s">
        <v>524</v>
      </c>
      <c r="BB1252" s="314"/>
    </row>
    <row r="1253" ht="15.75" customHeight="1">
      <c r="A1253" s="585">
        <v>1252.0</v>
      </c>
      <c r="B1253" s="1004" t="str">
        <f>Settings!$A$9</f>
        <v>YARDIES</v>
      </c>
      <c r="C1253" s="596" t="s">
        <v>106</v>
      </c>
      <c r="D1253" s="13" t="str">
        <f>'Entry Sheet'!Z134</f>
        <v/>
      </c>
      <c r="E1253" s="13" t="str">
        <f>'Entry Sheet'!AA134</f>
        <v/>
      </c>
      <c r="F1253" s="589" t="s">
        <v>524</v>
      </c>
      <c r="BB1253" s="314"/>
    </row>
    <row r="1254" ht="15.75" customHeight="1">
      <c r="A1254" s="585">
        <v>1253.0</v>
      </c>
      <c r="B1254" s="1004" t="str">
        <f>Settings!$A$9</f>
        <v>YARDIES</v>
      </c>
      <c r="C1254" s="712" t="s">
        <v>117</v>
      </c>
      <c r="D1254" s="13" t="str">
        <f>'Entry Sheet'!Z135</f>
        <v>Z. FLOWERS</v>
      </c>
      <c r="E1254" s="13">
        <f>'Entry Sheet'!AA135</f>
        <v>0.6</v>
      </c>
      <c r="F1254" s="589" t="s">
        <v>524</v>
      </c>
      <c r="BB1254" s="314"/>
    </row>
    <row r="1255" ht="15.75" customHeight="1">
      <c r="A1255" s="585">
        <v>1254.0</v>
      </c>
      <c r="B1255" s="1004" t="str">
        <f>Settings!$A$9</f>
        <v>YARDIES</v>
      </c>
      <c r="C1255" s="712" t="s">
        <v>117</v>
      </c>
      <c r="D1255" s="13" t="str">
        <f>'Entry Sheet'!Z136</f>
        <v>S. DIGGS</v>
      </c>
      <c r="E1255" s="13">
        <f>'Entry Sheet'!AA136</f>
        <v>5.6</v>
      </c>
      <c r="F1255" s="589" t="s">
        <v>524</v>
      </c>
      <c r="BB1255" s="314"/>
    </row>
    <row r="1256" ht="15.75" customHeight="1">
      <c r="A1256" s="585">
        <v>1255.0</v>
      </c>
      <c r="B1256" s="1004" t="str">
        <f>Settings!$A$9</f>
        <v>YARDIES</v>
      </c>
      <c r="C1256" s="712" t="s">
        <v>117</v>
      </c>
      <c r="D1256" s="13" t="str">
        <f>'Entry Sheet'!Z137</f>
        <v>C. DIKE</v>
      </c>
      <c r="E1256" s="13">
        <f>'Entry Sheet'!AA137</f>
        <v>7.6</v>
      </c>
      <c r="F1256" s="589" t="s">
        <v>524</v>
      </c>
      <c r="BB1256" s="314"/>
    </row>
    <row r="1257" ht="15.75" customHeight="1">
      <c r="A1257" s="585">
        <v>1256.0</v>
      </c>
      <c r="B1257" s="1004" t="str">
        <f>Settings!$A$9</f>
        <v>YARDIES</v>
      </c>
      <c r="C1257" s="712" t="s">
        <v>117</v>
      </c>
      <c r="D1257" s="13" t="str">
        <f>'Entry Sheet'!Z138</f>
        <v/>
      </c>
      <c r="E1257" s="13" t="str">
        <f>'Entry Sheet'!AA138</f>
        <v/>
      </c>
      <c r="F1257" s="589" t="s">
        <v>524</v>
      </c>
      <c r="BB1257" s="314"/>
    </row>
    <row r="1258" ht="15.75" customHeight="1">
      <c r="A1258" s="585">
        <v>1257.0</v>
      </c>
      <c r="B1258" s="1004" t="str">
        <f>Settings!$A$9</f>
        <v>YARDIES</v>
      </c>
      <c r="C1258" s="764" t="s">
        <v>132</v>
      </c>
      <c r="D1258" s="13" t="str">
        <f>'Entry Sheet'!Z139</f>
        <v>B. BOWERS</v>
      </c>
      <c r="E1258" s="13">
        <f>'Entry Sheet'!AA139</f>
        <v>22.3</v>
      </c>
      <c r="F1258" s="589" t="s">
        <v>524</v>
      </c>
      <c r="BB1258" s="314"/>
    </row>
    <row r="1259" ht="15.75" customHeight="1">
      <c r="A1259" s="585">
        <v>1258.0</v>
      </c>
      <c r="B1259" s="1004" t="str">
        <f>Settings!$A$9</f>
        <v>YARDIES</v>
      </c>
      <c r="C1259" s="795" t="s">
        <v>136</v>
      </c>
      <c r="D1259" s="13" t="str">
        <f>'Entry Sheet'!Z140</f>
        <v>Q. JUDKINS</v>
      </c>
      <c r="E1259" s="13">
        <f>'Entry Sheet'!AA140</f>
        <v>18.2</v>
      </c>
      <c r="F1259" s="589" t="s">
        <v>524</v>
      </c>
      <c r="BB1259" s="314"/>
    </row>
    <row r="1260" ht="15.75" customHeight="1">
      <c r="A1260" s="585">
        <v>1259.0</v>
      </c>
      <c r="B1260" s="1004" t="str">
        <f>Settings!$A$9</f>
        <v>YARDIES</v>
      </c>
      <c r="C1260" s="818" t="s">
        <v>139</v>
      </c>
      <c r="D1260" s="13" t="str">
        <f>'Entry Sheet'!Z141</f>
        <v>HOU D/ST</v>
      </c>
      <c r="E1260" s="13">
        <f>'Entry Sheet'!AA141</f>
        <v>12.99</v>
      </c>
      <c r="F1260" s="589" t="s">
        <v>524</v>
      </c>
      <c r="BB1260" s="314"/>
    </row>
    <row r="1261" ht="15.75" customHeight="1">
      <c r="A1261" s="585">
        <v>1260.0</v>
      </c>
      <c r="B1261" s="1004" t="str">
        <f>Settings!$A$9</f>
        <v>YARDIES</v>
      </c>
      <c r="C1261" s="833" t="s">
        <v>146</v>
      </c>
      <c r="D1261" s="13" t="str">
        <f>'Entry Sheet'!Z142</f>
        <v>C. BOSWELL</v>
      </c>
      <c r="E1261" s="13">
        <f>'Entry Sheet'!AA142</f>
        <v>1</v>
      </c>
      <c r="F1261" s="589" t="s">
        <v>524</v>
      </c>
      <c r="BB1261" s="314"/>
    </row>
    <row r="1262" ht="15.75" customHeight="1">
      <c r="A1262" s="585">
        <v>1261.0</v>
      </c>
      <c r="B1262" s="1004" t="str">
        <f>Settings!$A$9</f>
        <v>YARDIES</v>
      </c>
      <c r="C1262" s="842" t="s">
        <v>162</v>
      </c>
      <c r="D1262" s="13" t="str">
        <f>'Entry Sheet'!Z143</f>
        <v>DET HC</v>
      </c>
      <c r="E1262" s="13">
        <f>'Entry Sheet'!AA143</f>
        <v>4.2</v>
      </c>
      <c r="F1262" s="589" t="s">
        <v>524</v>
      </c>
      <c r="BB1262" s="314"/>
    </row>
    <row r="1263" ht="15.75" customHeight="1">
      <c r="A1263" s="585">
        <v>1262.0</v>
      </c>
      <c r="B1263" s="1004" t="str">
        <f>Settings!$A$9</f>
        <v>YARDIES</v>
      </c>
      <c r="C1263" s="587" t="s">
        <v>100</v>
      </c>
      <c r="D1263" s="13" t="str">
        <f>'Entry Sheet'!AB131</f>
        <v>J. BURROW</v>
      </c>
      <c r="E1263" s="13">
        <f>'Entry Sheet'!AC131</f>
        <v>32.56</v>
      </c>
      <c r="F1263" s="846" t="s">
        <v>525</v>
      </c>
      <c r="BB1263" s="314"/>
    </row>
    <row r="1264" ht="15.75" customHeight="1">
      <c r="A1264" s="585">
        <v>1263.0</v>
      </c>
      <c r="B1264" s="1004" t="str">
        <f>Settings!$A$9</f>
        <v>YARDIES</v>
      </c>
      <c r="C1264" s="596" t="s">
        <v>106</v>
      </c>
      <c r="D1264" s="13" t="str">
        <f>'Entry Sheet'!AB132</f>
        <v>D. HENRY</v>
      </c>
      <c r="E1264" s="13">
        <f>'Entry Sheet'!AC132</f>
        <v>13.7</v>
      </c>
      <c r="F1264" s="846" t="s">
        <v>525</v>
      </c>
      <c r="BB1264" s="314"/>
    </row>
    <row r="1265" ht="15.75" customHeight="1">
      <c r="A1265" s="585">
        <v>1264.0</v>
      </c>
      <c r="B1265" s="1004" t="str">
        <f>Settings!$A$9</f>
        <v>YARDIES</v>
      </c>
      <c r="C1265" s="596" t="s">
        <v>106</v>
      </c>
      <c r="D1265" s="13" t="str">
        <f>'Entry Sheet'!AB133</f>
        <v>Q. JUDKINS</v>
      </c>
      <c r="E1265" s="13">
        <f>'Entry Sheet'!AC133</f>
        <v>10.8</v>
      </c>
      <c r="F1265" s="846" t="s">
        <v>525</v>
      </c>
      <c r="BB1265" s="314"/>
    </row>
    <row r="1266" ht="15.75" customHeight="1">
      <c r="A1266" s="585">
        <v>1265.0</v>
      </c>
      <c r="B1266" s="1004" t="str">
        <f>Settings!$A$9</f>
        <v>YARDIES</v>
      </c>
      <c r="C1266" s="596" t="s">
        <v>106</v>
      </c>
      <c r="D1266" s="13" t="str">
        <f>'Entry Sheet'!AB134</f>
        <v/>
      </c>
      <c r="E1266" s="13" t="str">
        <f>'Entry Sheet'!AC134</f>
        <v/>
      </c>
      <c r="F1266" s="846" t="s">
        <v>525</v>
      </c>
      <c r="BB1266" s="314"/>
    </row>
    <row r="1267" ht="15.75" customHeight="1">
      <c r="A1267" s="585">
        <v>1266.0</v>
      </c>
      <c r="B1267" s="1004" t="str">
        <f>Settings!$A$9</f>
        <v>YARDIES</v>
      </c>
      <c r="C1267" s="712" t="s">
        <v>117</v>
      </c>
      <c r="D1267" s="13" t="str">
        <f>'Entry Sheet'!AB135</f>
        <v>Z. FLOWERS</v>
      </c>
      <c r="E1267" s="13">
        <f>'Entry Sheet'!AC135</f>
        <v>21.7</v>
      </c>
      <c r="F1267" s="846" t="s">
        <v>525</v>
      </c>
      <c r="BB1267" s="314"/>
    </row>
    <row r="1268" ht="15.75" customHeight="1">
      <c r="A1268" s="585">
        <v>1267.0</v>
      </c>
      <c r="B1268" s="1004" t="str">
        <f>Settings!$A$9</f>
        <v>YARDIES</v>
      </c>
      <c r="C1268" s="712" t="s">
        <v>117</v>
      </c>
      <c r="D1268" s="13" t="str">
        <f>'Entry Sheet'!AB136</f>
        <v>C. DIKE</v>
      </c>
      <c r="E1268" s="13">
        <f>'Entry Sheet'!AC136</f>
        <v>15.35</v>
      </c>
      <c r="F1268" s="846" t="s">
        <v>525</v>
      </c>
      <c r="BB1268" s="314"/>
    </row>
    <row r="1269" ht="15.75" customHeight="1">
      <c r="A1269" s="585">
        <v>1268.0</v>
      </c>
      <c r="B1269" s="1004" t="str">
        <f>Settings!$A$9</f>
        <v>YARDIES</v>
      </c>
      <c r="C1269" s="712" t="s">
        <v>117</v>
      </c>
      <c r="D1269" s="13" t="str">
        <f>'Entry Sheet'!AB137</f>
        <v>T. MCLAURIN</v>
      </c>
      <c r="E1269" s="13">
        <f>'Entry Sheet'!AC137</f>
        <v>7.1</v>
      </c>
      <c r="F1269" s="846" t="s">
        <v>525</v>
      </c>
      <c r="BB1269" s="314"/>
    </row>
    <row r="1270" ht="15.75" customHeight="1">
      <c r="A1270" s="585">
        <v>1269.0</v>
      </c>
      <c r="B1270" s="1004" t="str">
        <f>Settings!$A$9</f>
        <v>YARDIES</v>
      </c>
      <c r="C1270" s="712" t="s">
        <v>117</v>
      </c>
      <c r="D1270" s="13" t="str">
        <f>'Entry Sheet'!AB138</f>
        <v/>
      </c>
      <c r="E1270" s="13" t="str">
        <f>'Entry Sheet'!AC138</f>
        <v/>
      </c>
      <c r="F1270" s="846" t="s">
        <v>525</v>
      </c>
      <c r="BB1270" s="314"/>
    </row>
    <row r="1271" ht="15.75" customHeight="1">
      <c r="A1271" s="585">
        <v>1270.0</v>
      </c>
      <c r="B1271" s="1004" t="str">
        <f>Settings!$A$9</f>
        <v>YARDIES</v>
      </c>
      <c r="C1271" s="764" t="s">
        <v>132</v>
      </c>
      <c r="D1271" s="13" t="str">
        <f>'Entry Sheet'!AB139</f>
        <v>B. BOWERS</v>
      </c>
      <c r="E1271" s="13">
        <f>'Entry Sheet'!AC139</f>
        <v>14.6</v>
      </c>
      <c r="F1271" s="846" t="s">
        <v>525</v>
      </c>
      <c r="BB1271" s="314"/>
    </row>
    <row r="1272" ht="15.75" customHeight="1">
      <c r="A1272" s="585">
        <v>1271.0</v>
      </c>
      <c r="B1272" s="1004" t="str">
        <f>Settings!$A$9</f>
        <v>YARDIES</v>
      </c>
      <c r="C1272" s="795" t="s">
        <v>136</v>
      </c>
      <c r="D1272" s="13" t="str">
        <f>'Entry Sheet'!AB140</f>
        <v>C. SUTTON</v>
      </c>
      <c r="E1272" s="13">
        <f>'Entry Sheet'!AC140</f>
        <v>12.2</v>
      </c>
      <c r="F1272" s="846" t="s">
        <v>525</v>
      </c>
      <c r="BB1272" s="314"/>
    </row>
    <row r="1273" ht="15.75" customHeight="1">
      <c r="A1273" s="585">
        <v>1272.0</v>
      </c>
      <c r="B1273" s="1004" t="str">
        <f>Settings!$A$9</f>
        <v>YARDIES</v>
      </c>
      <c r="C1273" s="818" t="s">
        <v>139</v>
      </c>
      <c r="D1273" s="13" t="str">
        <f>'Entry Sheet'!AB141</f>
        <v>HOU D/ST</v>
      </c>
      <c r="E1273" s="13">
        <f>'Entry Sheet'!AC141</f>
        <v>21.73</v>
      </c>
      <c r="F1273" s="846" t="s">
        <v>525</v>
      </c>
      <c r="BB1273" s="314"/>
    </row>
    <row r="1274" ht="15.75" customHeight="1">
      <c r="A1274" s="585">
        <v>1273.0</v>
      </c>
      <c r="B1274" s="1004" t="str">
        <f>Settings!$A$9</f>
        <v>YARDIES</v>
      </c>
      <c r="C1274" s="833" t="s">
        <v>146</v>
      </c>
      <c r="D1274" s="13" t="str">
        <f>'Entry Sheet'!AB142</f>
        <v>C. BOSWELL</v>
      </c>
      <c r="E1274" s="13">
        <f>'Entry Sheet'!AC142</f>
        <v>9</v>
      </c>
      <c r="F1274" s="846" t="s">
        <v>525</v>
      </c>
      <c r="BB1274" s="314"/>
    </row>
    <row r="1275" ht="15.75" customHeight="1">
      <c r="A1275" s="585">
        <v>1274.0</v>
      </c>
      <c r="B1275" s="1004" t="str">
        <f>Settings!$A$9</f>
        <v>YARDIES</v>
      </c>
      <c r="C1275" s="842" t="s">
        <v>162</v>
      </c>
      <c r="D1275" s="13" t="str">
        <f>'Entry Sheet'!AB143</f>
        <v>DET HC</v>
      </c>
      <c r="E1275" s="13">
        <f>'Entry Sheet'!AC143</f>
        <v>17.2</v>
      </c>
      <c r="F1275" s="846" t="s">
        <v>525</v>
      </c>
      <c r="BB1275" s="314"/>
    </row>
    <row r="1276" ht="15.75" customHeight="1">
      <c r="A1276" s="585">
        <v>1275.0</v>
      </c>
      <c r="B1276" s="1017" t="str">
        <f>Settings!$A$10</f>
        <v>MUTTS</v>
      </c>
      <c r="C1276" s="587" t="s">
        <v>100</v>
      </c>
      <c r="D1276" s="13" t="str">
        <f>'Entry Sheet'!B152</f>
        <v>L. JACKSON</v>
      </c>
      <c r="E1276" s="13">
        <f>'Entry Sheet'!C152</f>
        <v>35.76</v>
      </c>
      <c r="F1276" s="589" t="s">
        <v>512</v>
      </c>
      <c r="BB1276" s="314"/>
    </row>
    <row r="1277" ht="15.75" customHeight="1">
      <c r="A1277" s="585">
        <v>1276.0</v>
      </c>
      <c r="B1277" s="1017" t="str">
        <f>Settings!$A$10</f>
        <v>MUTTS</v>
      </c>
      <c r="C1277" s="596" t="s">
        <v>106</v>
      </c>
      <c r="D1277" s="13" t="str">
        <f>'Entry Sheet'!B153</f>
        <v>C. HUBBARD</v>
      </c>
      <c r="E1277" s="13">
        <f>'Entry Sheet'!C153</f>
        <v>19.5</v>
      </c>
      <c r="F1277" s="589" t="s">
        <v>512</v>
      </c>
      <c r="BB1277" s="314"/>
    </row>
    <row r="1278" ht="15.75" customHeight="1">
      <c r="A1278" s="585">
        <v>1277.0</v>
      </c>
      <c r="B1278" s="1017" t="str">
        <f>Settings!$A$10</f>
        <v>MUTTS</v>
      </c>
      <c r="C1278" s="596" t="s">
        <v>106</v>
      </c>
      <c r="D1278" s="13" t="str">
        <f>'Entry Sheet'!B154</f>
        <v>A. JONES SR</v>
      </c>
      <c r="E1278" s="13">
        <f>'Entry Sheet'!C154</f>
        <v>16.5</v>
      </c>
      <c r="F1278" s="589" t="s">
        <v>512</v>
      </c>
      <c r="BB1278" s="314"/>
    </row>
    <row r="1279" ht="15.75" customHeight="1">
      <c r="A1279" s="585">
        <v>1278.0</v>
      </c>
      <c r="B1279" s="1017" t="str">
        <f>Settings!$A$10</f>
        <v>MUTTS</v>
      </c>
      <c r="C1279" s="596" t="s">
        <v>106</v>
      </c>
      <c r="D1279" s="13" t="str">
        <f>'Entry Sheet'!B155</f>
        <v/>
      </c>
      <c r="E1279" s="13" t="str">
        <f>'Entry Sheet'!C155</f>
        <v/>
      </c>
      <c r="F1279" s="589" t="s">
        <v>512</v>
      </c>
      <c r="BB1279" s="314"/>
    </row>
    <row r="1280" ht="15.75" customHeight="1">
      <c r="A1280" s="585">
        <v>1279.0</v>
      </c>
      <c r="B1280" s="1017" t="str">
        <f>Settings!$A$10</f>
        <v>MUTTS</v>
      </c>
      <c r="C1280" s="712" t="s">
        <v>117</v>
      </c>
      <c r="D1280" s="13" t="str">
        <f>'Entry Sheet'!B156</f>
        <v>A. ST. BROWN</v>
      </c>
      <c r="E1280" s="13">
        <f>'Entry Sheet'!C156</f>
        <v>8.5</v>
      </c>
      <c r="F1280" s="589" t="s">
        <v>512</v>
      </c>
      <c r="BB1280" s="314"/>
    </row>
    <row r="1281" ht="15.75" customHeight="1">
      <c r="A1281" s="585">
        <v>1280.0</v>
      </c>
      <c r="B1281" s="1017" t="str">
        <f>Settings!$A$10</f>
        <v>MUTTS</v>
      </c>
      <c r="C1281" s="712" t="s">
        <v>117</v>
      </c>
      <c r="D1281" s="13" t="str">
        <f>'Entry Sheet'!B157</f>
        <v>M. EVANS</v>
      </c>
      <c r="E1281" s="13">
        <f>'Entry Sheet'!C157</f>
        <v>10.1</v>
      </c>
      <c r="F1281" s="589" t="s">
        <v>512</v>
      </c>
      <c r="BB1281" s="314"/>
    </row>
    <row r="1282" ht="15.75" customHeight="1">
      <c r="A1282" s="585">
        <v>1281.0</v>
      </c>
      <c r="B1282" s="1017" t="str">
        <f>Settings!$A$10</f>
        <v>MUTTS</v>
      </c>
      <c r="C1282" s="712" t="s">
        <v>117</v>
      </c>
      <c r="D1282" s="13" t="str">
        <f>'Entry Sheet'!B158</f>
        <v>D. SAMUEL</v>
      </c>
      <c r="E1282" s="13">
        <f>'Entry Sheet'!C158</f>
        <v>25.2</v>
      </c>
      <c r="F1282" s="589" t="s">
        <v>512</v>
      </c>
      <c r="BB1282" s="314"/>
    </row>
    <row r="1283" ht="15.75" customHeight="1">
      <c r="A1283" s="585">
        <v>1282.0</v>
      </c>
      <c r="B1283" s="1017" t="str">
        <f>Settings!$A$10</f>
        <v>MUTTS</v>
      </c>
      <c r="C1283" s="712" t="s">
        <v>117</v>
      </c>
      <c r="D1283" s="13" t="str">
        <f>'Entry Sheet'!B159</f>
        <v/>
      </c>
      <c r="E1283" s="13" t="str">
        <f>'Entry Sheet'!C159</f>
        <v/>
      </c>
      <c r="F1283" s="589" t="s">
        <v>512</v>
      </c>
      <c r="BB1283" s="314"/>
    </row>
    <row r="1284" ht="15.75" customHeight="1">
      <c r="A1284" s="585">
        <v>1283.0</v>
      </c>
      <c r="B1284" s="1017" t="str">
        <f>Settings!$A$10</f>
        <v>MUTTS</v>
      </c>
      <c r="C1284" s="764" t="s">
        <v>132</v>
      </c>
      <c r="D1284" s="13" t="str">
        <f>'Entry Sheet'!B160</f>
        <v>E. ENGRAM</v>
      </c>
      <c r="E1284" s="13">
        <f>'Entry Sheet'!C160</f>
        <v>5.1</v>
      </c>
      <c r="F1284" s="589" t="s">
        <v>512</v>
      </c>
      <c r="BB1284" s="314"/>
    </row>
    <row r="1285" ht="15.75" customHeight="1">
      <c r="A1285" s="585">
        <v>1284.0</v>
      </c>
      <c r="B1285" s="1017" t="str">
        <f>Settings!$A$10</f>
        <v>MUTTS</v>
      </c>
      <c r="C1285" s="795" t="s">
        <v>136</v>
      </c>
      <c r="D1285" s="13" t="str">
        <f>'Entry Sheet'!B161</f>
        <v>J. COOK</v>
      </c>
      <c r="E1285" s="13">
        <f>'Entry Sheet'!C161</f>
        <v>22.5</v>
      </c>
      <c r="F1285" s="589" t="s">
        <v>512</v>
      </c>
      <c r="BB1285" s="314"/>
    </row>
    <row r="1286" ht="15.75" customHeight="1">
      <c r="A1286" s="585">
        <v>1285.0</v>
      </c>
      <c r="B1286" s="1017" t="str">
        <f>Settings!$A$10</f>
        <v>MUTTS</v>
      </c>
      <c r="C1286" s="818" t="s">
        <v>139</v>
      </c>
      <c r="D1286" s="13" t="str">
        <f>'Entry Sheet'!B162</f>
        <v>PIT D/ST</v>
      </c>
      <c r="E1286" s="13">
        <f>'Entry Sheet'!C162</f>
        <v>8.25</v>
      </c>
      <c r="F1286" s="589" t="s">
        <v>512</v>
      </c>
      <c r="BB1286" s="314"/>
    </row>
    <row r="1287" ht="15.75" customHeight="1">
      <c r="A1287" s="585">
        <v>1286.0</v>
      </c>
      <c r="B1287" s="1017" t="str">
        <f>Settings!$A$10</f>
        <v>MUTTS</v>
      </c>
      <c r="C1287" s="833" t="s">
        <v>146</v>
      </c>
      <c r="D1287" s="13" t="str">
        <f>'Entry Sheet'!B163</f>
        <v>B. AUBREY</v>
      </c>
      <c r="E1287" s="13">
        <f>'Entry Sheet'!C163</f>
        <v>12</v>
      </c>
      <c r="F1287" s="589" t="s">
        <v>512</v>
      </c>
      <c r="BB1287" s="314"/>
    </row>
    <row r="1288" ht="15.75" customHeight="1">
      <c r="A1288" s="585">
        <v>1287.0</v>
      </c>
      <c r="B1288" s="1017" t="str">
        <f>Settings!$A$10</f>
        <v>MUTTS</v>
      </c>
      <c r="C1288" s="842" t="s">
        <v>162</v>
      </c>
      <c r="D1288" s="13" t="str">
        <f>'Entry Sheet'!B164</f>
        <v>PIT HC</v>
      </c>
      <c r="E1288" s="13">
        <f>'Entry Sheet'!C164</f>
        <v>12.2</v>
      </c>
      <c r="F1288" s="589" t="s">
        <v>512</v>
      </c>
      <c r="BB1288" s="314"/>
    </row>
    <row r="1289" ht="15.75" customHeight="1">
      <c r="A1289" s="585">
        <v>1288.0</v>
      </c>
      <c r="B1289" s="1017" t="str">
        <f>Settings!$A$10</f>
        <v>MUTTS</v>
      </c>
      <c r="C1289" s="587" t="s">
        <v>100</v>
      </c>
      <c r="D1289" s="13" t="str">
        <f>'Entry Sheet'!D152</f>
        <v>L. JACKSON</v>
      </c>
      <c r="E1289" s="13">
        <f>'Entry Sheet'!E152</f>
        <v>36.3</v>
      </c>
      <c r="F1289" s="846" t="s">
        <v>513</v>
      </c>
      <c r="BB1289" s="314"/>
    </row>
    <row r="1290" ht="15.75" customHeight="1">
      <c r="A1290" s="585">
        <v>1289.0</v>
      </c>
      <c r="B1290" s="1017" t="str">
        <f>Settings!$A$10</f>
        <v>MUTTS</v>
      </c>
      <c r="C1290" s="596" t="s">
        <v>106</v>
      </c>
      <c r="D1290" s="13" t="str">
        <f>'Entry Sheet'!D153</f>
        <v>C.HUBBARD</v>
      </c>
      <c r="E1290" s="13">
        <f>'Entry Sheet'!E153</f>
        <v>19.7</v>
      </c>
      <c r="F1290" s="846" t="s">
        <v>513</v>
      </c>
      <c r="BB1290" s="314"/>
    </row>
    <row r="1291" ht="15.75" customHeight="1">
      <c r="A1291" s="585">
        <v>1290.0</v>
      </c>
      <c r="B1291" s="1017" t="str">
        <f>Settings!$A$10</f>
        <v>MUTTS</v>
      </c>
      <c r="C1291" s="596" t="s">
        <v>106</v>
      </c>
      <c r="D1291" s="13" t="str">
        <f>'Entry Sheet'!D154</f>
        <v>B. HALL</v>
      </c>
      <c r="E1291" s="13">
        <f>'Entry Sheet'!E154</f>
        <v>6.8</v>
      </c>
      <c r="F1291" s="846" t="s">
        <v>513</v>
      </c>
      <c r="BB1291" s="314"/>
    </row>
    <row r="1292" ht="15.75" customHeight="1">
      <c r="A1292" s="585">
        <v>1291.0</v>
      </c>
      <c r="B1292" s="1017" t="str">
        <f>Settings!$A$10</f>
        <v>MUTTS</v>
      </c>
      <c r="C1292" s="596" t="s">
        <v>106</v>
      </c>
      <c r="D1292" s="13" t="str">
        <f>'Entry Sheet'!D155</f>
        <v/>
      </c>
      <c r="E1292" s="13" t="str">
        <f>'Entry Sheet'!E155</f>
        <v/>
      </c>
      <c r="F1292" s="846" t="s">
        <v>513</v>
      </c>
      <c r="BB1292" s="314"/>
    </row>
    <row r="1293" ht="15.75" customHeight="1">
      <c r="A1293" s="585">
        <v>1292.0</v>
      </c>
      <c r="B1293" s="1017" t="str">
        <f>Settings!$A$10</f>
        <v>MUTTS</v>
      </c>
      <c r="C1293" s="712" t="s">
        <v>117</v>
      </c>
      <c r="D1293" s="13" t="str">
        <f>'Entry Sheet'!D156</f>
        <v>A. ST. BROWN</v>
      </c>
      <c r="E1293" s="13">
        <f>'Entry Sheet'!E156</f>
        <v>40.4</v>
      </c>
      <c r="F1293" s="846" t="s">
        <v>513</v>
      </c>
      <c r="BB1293" s="314"/>
    </row>
    <row r="1294" ht="15.75" customHeight="1">
      <c r="A1294" s="585">
        <v>1293.0</v>
      </c>
      <c r="B1294" s="1017" t="str">
        <f>Settings!$A$10</f>
        <v>MUTTS</v>
      </c>
      <c r="C1294" s="712" t="s">
        <v>117</v>
      </c>
      <c r="D1294" s="13" t="str">
        <f>'Entry Sheet'!D157</f>
        <v>M. EVANS</v>
      </c>
      <c r="E1294" s="13">
        <f>'Entry Sheet'!E157</f>
        <v>10.6</v>
      </c>
      <c r="F1294" s="846" t="s">
        <v>513</v>
      </c>
      <c r="BB1294" s="314"/>
    </row>
    <row r="1295" ht="15.75" customHeight="1">
      <c r="A1295" s="585">
        <v>1294.0</v>
      </c>
      <c r="B1295" s="1017" t="str">
        <f>Settings!$A$10</f>
        <v>MUTTS</v>
      </c>
      <c r="C1295" s="712" t="s">
        <v>117</v>
      </c>
      <c r="D1295" s="13" t="str">
        <f>'Entry Sheet'!D158</f>
        <v>D. SAMUEL</v>
      </c>
      <c r="E1295" s="13">
        <f>'Entry Sheet'!E158</f>
        <v>21.3</v>
      </c>
      <c r="F1295" s="846" t="s">
        <v>513</v>
      </c>
      <c r="BB1295" s="314"/>
    </row>
    <row r="1296" ht="15.75" customHeight="1">
      <c r="A1296" s="585">
        <v>1295.0</v>
      </c>
      <c r="B1296" s="1017" t="str">
        <f>Settings!$A$10</f>
        <v>MUTTS</v>
      </c>
      <c r="C1296" s="712" t="s">
        <v>117</v>
      </c>
      <c r="D1296" s="13" t="str">
        <f>'Entry Sheet'!D159</f>
        <v/>
      </c>
      <c r="E1296" s="13" t="str">
        <f>'Entry Sheet'!E159</f>
        <v/>
      </c>
      <c r="F1296" s="846" t="s">
        <v>513</v>
      </c>
      <c r="BB1296" s="314"/>
    </row>
    <row r="1297" ht="15.75" customHeight="1">
      <c r="A1297" s="585">
        <v>1296.0</v>
      </c>
      <c r="B1297" s="1017" t="str">
        <f>Settings!$A$10</f>
        <v>MUTTS</v>
      </c>
      <c r="C1297" s="764" t="s">
        <v>132</v>
      </c>
      <c r="D1297" s="13" t="str">
        <f>'Entry Sheet'!D160</f>
        <v>J. FERGUSON</v>
      </c>
      <c r="E1297" s="13">
        <f>'Entry Sheet'!E160</f>
        <v>16.8</v>
      </c>
      <c r="F1297" s="846" t="s">
        <v>513</v>
      </c>
      <c r="BB1297" s="314"/>
    </row>
    <row r="1298" ht="15.75" customHeight="1">
      <c r="A1298" s="585">
        <v>1297.0</v>
      </c>
      <c r="B1298" s="1017" t="str">
        <f>Settings!$A$10</f>
        <v>MUTTS</v>
      </c>
      <c r="C1298" s="795" t="s">
        <v>136</v>
      </c>
      <c r="D1298" s="13" t="str">
        <f>'Entry Sheet'!D161</f>
        <v>J. COOK</v>
      </c>
      <c r="E1298" s="13">
        <f>'Entry Sheet'!E161</f>
        <v>29.6</v>
      </c>
      <c r="F1298" s="846" t="s">
        <v>513</v>
      </c>
      <c r="BB1298" s="314"/>
    </row>
    <row r="1299" ht="15.75" customHeight="1">
      <c r="A1299" s="585">
        <v>1298.0</v>
      </c>
      <c r="B1299" s="1017" t="str">
        <f>Settings!$A$10</f>
        <v>MUTTS</v>
      </c>
      <c r="C1299" s="818" t="s">
        <v>139</v>
      </c>
      <c r="D1299" s="13" t="str">
        <f>'Entry Sheet'!D162</f>
        <v>PIT D/ST</v>
      </c>
      <c r="E1299" s="13">
        <f>'Entry Sheet'!E162</f>
        <v>8.9</v>
      </c>
      <c r="F1299" s="846" t="s">
        <v>513</v>
      </c>
      <c r="BB1299" s="314"/>
    </row>
    <row r="1300" ht="15.75" customHeight="1">
      <c r="A1300" s="585">
        <v>1299.0</v>
      </c>
      <c r="B1300" s="1017" t="str">
        <f>Settings!$A$10</f>
        <v>MUTTS</v>
      </c>
      <c r="C1300" s="833" t="s">
        <v>146</v>
      </c>
      <c r="D1300" s="13" t="str">
        <f>'Entry Sheet'!D163</f>
        <v>B. AUBREY</v>
      </c>
      <c r="E1300" s="13">
        <f>'Entry Sheet'!E163</f>
        <v>27</v>
      </c>
      <c r="F1300" s="846" t="s">
        <v>513</v>
      </c>
      <c r="BB1300" s="314"/>
    </row>
    <row r="1301" ht="15.75" customHeight="1">
      <c r="A1301" s="585">
        <v>1300.0</v>
      </c>
      <c r="B1301" s="1017" t="str">
        <f>Settings!$A$10</f>
        <v>MUTTS</v>
      </c>
      <c r="C1301" s="842" t="s">
        <v>162</v>
      </c>
      <c r="D1301" s="13" t="str">
        <f>'Entry Sheet'!D164</f>
        <v>BUF HC</v>
      </c>
      <c r="E1301" s="13">
        <f>'Entry Sheet'!E164</f>
        <v>17</v>
      </c>
      <c r="F1301" s="846" t="s">
        <v>513</v>
      </c>
      <c r="BB1301" s="314"/>
    </row>
    <row r="1302" ht="15.75" customHeight="1">
      <c r="A1302" s="585">
        <v>1301.0</v>
      </c>
      <c r="B1302" s="1017" t="str">
        <f>Settings!$A$10</f>
        <v>MUTTS</v>
      </c>
      <c r="C1302" s="587" t="s">
        <v>100</v>
      </c>
      <c r="D1302" s="13" t="str">
        <f>'Entry Sheet'!F152</f>
        <v>L. JACKSON</v>
      </c>
      <c r="E1302" s="13">
        <f>'Entry Sheet'!G152</f>
        <v>36.72</v>
      </c>
      <c r="F1302" s="589" t="s">
        <v>514</v>
      </c>
      <c r="BB1302" s="314"/>
    </row>
    <row r="1303" ht="15.75" customHeight="1">
      <c r="A1303" s="585">
        <v>1302.0</v>
      </c>
      <c r="B1303" s="1017" t="str">
        <f>Settings!$A$10</f>
        <v>MUTTS</v>
      </c>
      <c r="C1303" s="596" t="s">
        <v>106</v>
      </c>
      <c r="D1303" s="13" t="str">
        <f>'Entry Sheet'!F153</f>
        <v>J. COOK</v>
      </c>
      <c r="E1303" s="13">
        <f>'Entry Sheet'!G153</f>
        <v>23.7</v>
      </c>
      <c r="F1303" s="589" t="s">
        <v>514</v>
      </c>
      <c r="BB1303" s="314"/>
    </row>
    <row r="1304" ht="15.75" customHeight="1">
      <c r="A1304" s="585">
        <v>1303.0</v>
      </c>
      <c r="B1304" s="1017" t="str">
        <f>Settings!$A$10</f>
        <v>MUTTS</v>
      </c>
      <c r="C1304" s="596" t="s">
        <v>106</v>
      </c>
      <c r="D1304" s="13" t="str">
        <f>'Entry Sheet'!F154</f>
        <v>C. HUBBARD</v>
      </c>
      <c r="E1304" s="13">
        <f>'Entry Sheet'!G154</f>
        <v>11.3</v>
      </c>
      <c r="F1304" s="589" t="s">
        <v>514</v>
      </c>
      <c r="BB1304" s="314"/>
    </row>
    <row r="1305" ht="15.75" customHeight="1">
      <c r="A1305" s="585">
        <v>1304.0</v>
      </c>
      <c r="B1305" s="1017" t="str">
        <f>Settings!$A$10</f>
        <v>MUTTS</v>
      </c>
      <c r="C1305" s="596" t="s">
        <v>106</v>
      </c>
      <c r="D1305" s="13" t="str">
        <f>'Entry Sheet'!F155</f>
        <v/>
      </c>
      <c r="E1305" s="13" t="str">
        <f>'Entry Sheet'!G155</f>
        <v/>
      </c>
      <c r="F1305" s="589" t="s">
        <v>514</v>
      </c>
      <c r="BB1305" s="314"/>
    </row>
    <row r="1306" ht="15.75" customHeight="1">
      <c r="A1306" s="585">
        <v>1305.0</v>
      </c>
      <c r="B1306" s="1017" t="str">
        <f>Settings!$A$10</f>
        <v>MUTTS</v>
      </c>
      <c r="C1306" s="712" t="s">
        <v>117</v>
      </c>
      <c r="D1306" s="13" t="str">
        <f>'Entry Sheet'!F156</f>
        <v>A. ST. BROWN</v>
      </c>
      <c r="E1306" s="13">
        <f>'Entry Sheet'!G156</f>
        <v>20.7</v>
      </c>
      <c r="F1306" s="589" t="s">
        <v>514</v>
      </c>
      <c r="BB1306" s="314"/>
    </row>
    <row r="1307" ht="15.75" customHeight="1">
      <c r="A1307" s="585">
        <v>1306.0</v>
      </c>
      <c r="B1307" s="1017" t="str">
        <f>Settings!$A$10</f>
        <v>MUTTS</v>
      </c>
      <c r="C1307" s="712" t="s">
        <v>117</v>
      </c>
      <c r="D1307" s="13" t="str">
        <f>'Entry Sheet'!F157</f>
        <v>M. EVANS</v>
      </c>
      <c r="E1307" s="13">
        <f>'Entry Sheet'!G157</f>
        <v>13.3</v>
      </c>
      <c r="F1307" s="589" t="s">
        <v>514</v>
      </c>
      <c r="BB1307" s="314"/>
    </row>
    <row r="1308" ht="15.75" customHeight="1">
      <c r="A1308" s="585">
        <v>1307.0</v>
      </c>
      <c r="B1308" s="1017" t="str">
        <f>Settings!$A$10</f>
        <v>MUTTS</v>
      </c>
      <c r="C1308" s="712" t="s">
        <v>117</v>
      </c>
      <c r="D1308" s="13" t="str">
        <f>'Entry Sheet'!F158</f>
        <v>D. SAMUEL</v>
      </c>
      <c r="E1308" s="13">
        <f>'Entry Sheet'!G158</f>
        <v>9.85</v>
      </c>
      <c r="F1308" s="589" t="s">
        <v>514</v>
      </c>
      <c r="BB1308" s="314"/>
    </row>
    <row r="1309" ht="15.75" customHeight="1">
      <c r="A1309" s="585">
        <v>1308.0</v>
      </c>
      <c r="B1309" s="1017" t="str">
        <f>Settings!$A$10</f>
        <v>MUTTS</v>
      </c>
      <c r="C1309" s="712" t="s">
        <v>117</v>
      </c>
      <c r="D1309" s="13" t="str">
        <f>'Entry Sheet'!F159</f>
        <v/>
      </c>
      <c r="E1309" s="13" t="str">
        <f>'Entry Sheet'!G159</f>
        <v/>
      </c>
      <c r="F1309" s="589" t="s">
        <v>514</v>
      </c>
      <c r="BB1309" s="314"/>
    </row>
    <row r="1310" ht="15.75" customHeight="1">
      <c r="A1310" s="585">
        <v>1309.0</v>
      </c>
      <c r="B1310" s="1017" t="str">
        <f>Settings!$A$10</f>
        <v>MUTTS</v>
      </c>
      <c r="C1310" s="764" t="s">
        <v>132</v>
      </c>
      <c r="D1310" s="13" t="str">
        <f>'Entry Sheet'!F160</f>
        <v>J. FERGUSON</v>
      </c>
      <c r="E1310" s="13">
        <f>'Entry Sheet'!G160</f>
        <v>21.2</v>
      </c>
      <c r="F1310" s="589" t="s">
        <v>514</v>
      </c>
      <c r="BB1310" s="314"/>
    </row>
    <row r="1311" ht="15.75" customHeight="1">
      <c r="A1311" s="585">
        <v>1310.0</v>
      </c>
      <c r="B1311" s="1017" t="str">
        <f>Settings!$A$10</f>
        <v>MUTTS</v>
      </c>
      <c r="C1311" s="795" t="s">
        <v>136</v>
      </c>
      <c r="D1311" s="13" t="str">
        <f>'Entry Sheet'!F161</f>
        <v>B. HALL</v>
      </c>
      <c r="E1311" s="13">
        <f>'Entry Sheet'!G161</f>
        <v>10.1</v>
      </c>
      <c r="F1311" s="589" t="s">
        <v>514</v>
      </c>
      <c r="BB1311" s="314"/>
    </row>
    <row r="1312" ht="15.75" customHeight="1">
      <c r="A1312" s="585">
        <v>1311.0</v>
      </c>
      <c r="B1312" s="1017" t="str">
        <f>Settings!$A$10</f>
        <v>MUTTS</v>
      </c>
      <c r="C1312" s="818" t="s">
        <v>139</v>
      </c>
      <c r="D1312" s="13" t="str">
        <f>'Entry Sheet'!F162</f>
        <v>GB D/ST</v>
      </c>
      <c r="E1312" s="13">
        <f>'Entry Sheet'!G162</f>
        <v>16.54</v>
      </c>
      <c r="F1312" s="589" t="s">
        <v>514</v>
      </c>
      <c r="BB1312" s="314"/>
    </row>
    <row r="1313" ht="15.75" customHeight="1">
      <c r="A1313" s="585">
        <v>1312.0</v>
      </c>
      <c r="B1313" s="1017" t="str">
        <f>Settings!$A$10</f>
        <v>MUTTS</v>
      </c>
      <c r="C1313" s="833" t="s">
        <v>146</v>
      </c>
      <c r="D1313" s="13" t="str">
        <f>'Entry Sheet'!F163</f>
        <v>B. AUBREY</v>
      </c>
      <c r="E1313" s="13">
        <f>'Entry Sheet'!G163</f>
        <v>9</v>
      </c>
      <c r="F1313" s="589" t="s">
        <v>514</v>
      </c>
      <c r="BB1313" s="314"/>
    </row>
    <row r="1314" ht="15.75" customHeight="1">
      <c r="A1314" s="585">
        <v>1313.0</v>
      </c>
      <c r="B1314" s="1017" t="str">
        <f>Settings!$A$10</f>
        <v>MUTTS</v>
      </c>
      <c r="C1314" s="842" t="s">
        <v>162</v>
      </c>
      <c r="D1314" s="13" t="str">
        <f>'Entry Sheet'!F164</f>
        <v>BUF HC</v>
      </c>
      <c r="E1314" s="13">
        <f>'Entry Sheet'!G164</f>
        <v>13.3</v>
      </c>
      <c r="F1314" s="589" t="s">
        <v>514</v>
      </c>
      <c r="BB1314" s="314"/>
    </row>
    <row r="1315" ht="15.75" customHeight="1">
      <c r="A1315" s="585">
        <v>1314.0</v>
      </c>
      <c r="B1315" s="1017" t="str">
        <f>Settings!$A$10</f>
        <v>MUTTS</v>
      </c>
      <c r="C1315" s="587" t="s">
        <v>100</v>
      </c>
      <c r="D1315" s="13" t="str">
        <f>'Entry Sheet'!H152</f>
        <v>L. JACKSON</v>
      </c>
      <c r="E1315" s="13">
        <f>'Entry Sheet'!I152</f>
        <v>14.08</v>
      </c>
      <c r="F1315" s="846" t="s">
        <v>515</v>
      </c>
      <c r="BB1315" s="314"/>
    </row>
    <row r="1316" ht="15.75" customHeight="1">
      <c r="A1316" s="585">
        <v>1315.0</v>
      </c>
      <c r="B1316" s="1017" t="str">
        <f>Settings!$A$10</f>
        <v>MUTTS</v>
      </c>
      <c r="C1316" s="596" t="s">
        <v>106</v>
      </c>
      <c r="D1316" s="13" t="str">
        <f>'Entry Sheet'!H153</f>
        <v>J. COOK</v>
      </c>
      <c r="E1316" s="13">
        <f>'Entry Sheet'!I153</f>
        <v>25.7</v>
      </c>
      <c r="F1316" s="846" t="s">
        <v>515</v>
      </c>
      <c r="BB1316" s="314"/>
    </row>
    <row r="1317" ht="15.75" customHeight="1">
      <c r="A1317" s="585">
        <v>1316.0</v>
      </c>
      <c r="B1317" s="1017" t="str">
        <f>Settings!$A$10</f>
        <v>MUTTS</v>
      </c>
      <c r="C1317" s="596" t="s">
        <v>106</v>
      </c>
      <c r="D1317" s="13" t="str">
        <f>'Entry Sheet'!H154</f>
        <v>C. SKATTEBO</v>
      </c>
      <c r="E1317" s="13">
        <f>'Entry Sheet'!I154</f>
        <v>15.5</v>
      </c>
      <c r="F1317" s="846" t="s">
        <v>515</v>
      </c>
      <c r="BB1317" s="314"/>
    </row>
    <row r="1318" ht="15.75" customHeight="1">
      <c r="A1318" s="585">
        <v>1317.0</v>
      </c>
      <c r="B1318" s="1017" t="str">
        <f>Settings!$A$10</f>
        <v>MUTTS</v>
      </c>
      <c r="C1318" s="596" t="s">
        <v>106</v>
      </c>
      <c r="D1318" s="13" t="str">
        <f>'Entry Sheet'!H155</f>
        <v/>
      </c>
      <c r="E1318" s="13" t="str">
        <f>'Entry Sheet'!I155</f>
        <v/>
      </c>
      <c r="F1318" s="846" t="s">
        <v>515</v>
      </c>
      <c r="BB1318" s="314"/>
    </row>
    <row r="1319" ht="15.75" customHeight="1">
      <c r="A1319" s="585">
        <v>1318.0</v>
      </c>
      <c r="B1319" s="1017" t="str">
        <f>Settings!$A$10</f>
        <v>MUTTS</v>
      </c>
      <c r="C1319" s="712" t="s">
        <v>117</v>
      </c>
      <c r="D1319" s="13" t="str">
        <f>'Entry Sheet'!H156</f>
        <v>A. ST. BROWN</v>
      </c>
      <c r="E1319" s="13">
        <f>'Entry Sheet'!I156</f>
        <v>26</v>
      </c>
      <c r="F1319" s="846" t="s">
        <v>515</v>
      </c>
      <c r="BB1319" s="314"/>
    </row>
    <row r="1320" ht="15.75" customHeight="1">
      <c r="A1320" s="585">
        <v>1319.0</v>
      </c>
      <c r="B1320" s="1017" t="str">
        <f>Settings!$A$10</f>
        <v>MUTTS</v>
      </c>
      <c r="C1320" s="712" t="s">
        <v>117</v>
      </c>
      <c r="D1320" s="13" t="str">
        <f>'Entry Sheet'!H157</f>
        <v>D. SAMUEL</v>
      </c>
      <c r="E1320" s="13">
        <f>'Entry Sheet'!I157</f>
        <v>20.4</v>
      </c>
      <c r="F1320" s="846" t="s">
        <v>515</v>
      </c>
      <c r="BB1320" s="314"/>
    </row>
    <row r="1321" ht="15.75" customHeight="1">
      <c r="A1321" s="585">
        <v>1320.0</v>
      </c>
      <c r="B1321" s="1017" t="str">
        <f>Settings!$A$10</f>
        <v>MUTTS</v>
      </c>
      <c r="C1321" s="712" t="s">
        <v>117</v>
      </c>
      <c r="D1321" s="13" t="str">
        <f>'Entry Sheet'!H158</f>
        <v>C. OLAVE</v>
      </c>
      <c r="E1321" s="13">
        <f>'Entry Sheet'!I158</f>
        <v>8</v>
      </c>
      <c r="F1321" s="846" t="s">
        <v>515</v>
      </c>
      <c r="BB1321" s="314"/>
    </row>
    <row r="1322" ht="15.75" customHeight="1">
      <c r="A1322" s="585">
        <v>1321.0</v>
      </c>
      <c r="B1322" s="1017" t="str">
        <f>Settings!$A$10</f>
        <v>MUTTS</v>
      </c>
      <c r="C1322" s="712" t="s">
        <v>117</v>
      </c>
      <c r="D1322" s="13" t="str">
        <f>'Entry Sheet'!H159</f>
        <v/>
      </c>
      <c r="E1322" s="13" t="str">
        <f>'Entry Sheet'!I159</f>
        <v/>
      </c>
      <c r="F1322" s="846" t="s">
        <v>515</v>
      </c>
      <c r="BB1322" s="314"/>
    </row>
    <row r="1323" ht="15.75" customHeight="1">
      <c r="A1323" s="585">
        <v>1322.0</v>
      </c>
      <c r="B1323" s="1017" t="str">
        <f>Settings!$A$10</f>
        <v>MUTTS</v>
      </c>
      <c r="C1323" s="764" t="s">
        <v>132</v>
      </c>
      <c r="D1323" s="13" t="str">
        <f>'Entry Sheet'!H160</f>
        <v>J. FERGUSON</v>
      </c>
      <c r="E1323" s="13">
        <f>'Entry Sheet'!I160</f>
        <v>17</v>
      </c>
      <c r="F1323" s="846" t="s">
        <v>515</v>
      </c>
      <c r="BB1323" s="314"/>
    </row>
    <row r="1324" ht="15.75" customHeight="1">
      <c r="A1324" s="585">
        <v>1323.0</v>
      </c>
      <c r="B1324" s="1017" t="str">
        <f>Settings!$A$10</f>
        <v>MUTTS</v>
      </c>
      <c r="C1324" s="795" t="s">
        <v>136</v>
      </c>
      <c r="D1324" s="13" t="str">
        <f>'Entry Sheet'!H161</f>
        <v>B. HALL</v>
      </c>
      <c r="E1324" s="13">
        <f>'Entry Sheet'!I161</f>
        <v>17.5</v>
      </c>
      <c r="F1324" s="846" t="s">
        <v>515</v>
      </c>
      <c r="BB1324" s="314"/>
    </row>
    <row r="1325" ht="15.75" customHeight="1">
      <c r="A1325" s="585">
        <v>1324.0</v>
      </c>
      <c r="B1325" s="1017" t="str">
        <f>Settings!$A$10</f>
        <v>MUTTS</v>
      </c>
      <c r="C1325" s="818" t="s">
        <v>139</v>
      </c>
      <c r="D1325" s="13" t="str">
        <f>'Entry Sheet'!H162</f>
        <v>PIT D/ST</v>
      </c>
      <c r="E1325" s="13">
        <f>'Entry Sheet'!I162</f>
        <v>25.72</v>
      </c>
      <c r="F1325" s="846" t="s">
        <v>515</v>
      </c>
      <c r="BB1325" s="314"/>
    </row>
    <row r="1326" ht="15.75" customHeight="1">
      <c r="A1326" s="585">
        <v>1325.0</v>
      </c>
      <c r="B1326" s="1017" t="str">
        <f>Settings!$A$10</f>
        <v>MUTTS</v>
      </c>
      <c r="C1326" s="833" t="s">
        <v>146</v>
      </c>
      <c r="D1326" s="13" t="str">
        <f>'Entry Sheet'!H163</f>
        <v>DAL D/ST</v>
      </c>
      <c r="E1326" s="13">
        <f>'Entry Sheet'!I163</f>
        <v>8</v>
      </c>
      <c r="F1326" s="846" t="s">
        <v>515</v>
      </c>
      <c r="BB1326" s="314"/>
    </row>
    <row r="1327" ht="15.75" customHeight="1">
      <c r="A1327" s="585">
        <v>1326.0</v>
      </c>
      <c r="B1327" s="1017" t="str">
        <f>Settings!$A$10</f>
        <v>MUTTS</v>
      </c>
      <c r="C1327" s="842" t="s">
        <v>162</v>
      </c>
      <c r="D1327" s="13" t="str">
        <f>'Entry Sheet'!H164</f>
        <v>BUF HC</v>
      </c>
      <c r="E1327" s="13">
        <f>'Entry Sheet'!I164</f>
        <v>13.3</v>
      </c>
      <c r="F1327" s="846" t="s">
        <v>515</v>
      </c>
      <c r="BB1327" s="314"/>
    </row>
    <row r="1328" ht="15.75" customHeight="1">
      <c r="A1328" s="585">
        <v>1327.0</v>
      </c>
      <c r="B1328" s="1017" t="str">
        <f>Settings!$A$10</f>
        <v>MUTTS</v>
      </c>
      <c r="C1328" s="587" t="s">
        <v>100</v>
      </c>
      <c r="D1328" s="13" t="str">
        <f>'Entry Sheet'!J152</f>
        <v>D. JONES</v>
      </c>
      <c r="E1328" s="13">
        <f>'Entry Sheet'!K152</f>
        <v>22.98</v>
      </c>
      <c r="F1328" s="589" t="s">
        <v>516</v>
      </c>
      <c r="BB1328" s="314"/>
    </row>
    <row r="1329" ht="15.75" customHeight="1">
      <c r="A1329" s="585">
        <v>1328.0</v>
      </c>
      <c r="B1329" s="1017" t="str">
        <f>Settings!$A$10</f>
        <v>MUTTS</v>
      </c>
      <c r="C1329" s="596" t="s">
        <v>106</v>
      </c>
      <c r="D1329" s="13" t="str">
        <f>'Entry Sheet'!J153</f>
        <v>J. COOK</v>
      </c>
      <c r="E1329" s="13">
        <f>'Entry Sheet'!K153</f>
        <v>6.4</v>
      </c>
      <c r="F1329" s="589" t="s">
        <v>516</v>
      </c>
      <c r="BB1329" s="314"/>
    </row>
    <row r="1330" ht="15.75" customHeight="1">
      <c r="A1330" s="585">
        <v>1329.0</v>
      </c>
      <c r="B1330" s="1017" t="str">
        <f>Settings!$A$10</f>
        <v>MUTTS</v>
      </c>
      <c r="C1330" s="596" t="s">
        <v>106</v>
      </c>
      <c r="D1330" s="13" t="str">
        <f>'Entry Sheet'!J154</f>
        <v>C. SKATTEBO</v>
      </c>
      <c r="E1330" s="13">
        <f>'Entry Sheet'!K154</f>
        <v>15.9</v>
      </c>
      <c r="F1330" s="589" t="s">
        <v>516</v>
      </c>
      <c r="BB1330" s="314"/>
    </row>
    <row r="1331" ht="15.75" customHeight="1">
      <c r="A1331" s="585">
        <v>1330.0</v>
      </c>
      <c r="B1331" s="1017" t="str">
        <f>Settings!$A$10</f>
        <v>MUTTS</v>
      </c>
      <c r="C1331" s="596" t="s">
        <v>106</v>
      </c>
      <c r="D1331" s="13" t="str">
        <f>'Entry Sheet'!J155</f>
        <v/>
      </c>
      <c r="E1331" s="13" t="str">
        <f>'Entry Sheet'!K155</f>
        <v/>
      </c>
      <c r="F1331" s="589" t="s">
        <v>516</v>
      </c>
      <c r="BB1331" s="314"/>
    </row>
    <row r="1332" ht="15.75" customHeight="1">
      <c r="A1332" s="585">
        <v>1331.0</v>
      </c>
      <c r="B1332" s="1017" t="str">
        <f>Settings!$A$10</f>
        <v>MUTTS</v>
      </c>
      <c r="C1332" s="712" t="s">
        <v>117</v>
      </c>
      <c r="D1332" s="13" t="str">
        <f>'Entry Sheet'!J156</f>
        <v>A. ST. BROWN</v>
      </c>
      <c r="E1332" s="13">
        <f>'Entry Sheet'!K156</f>
        <v>19</v>
      </c>
      <c r="F1332" s="589" t="s">
        <v>516</v>
      </c>
      <c r="BB1332" s="314"/>
    </row>
    <row r="1333" ht="15.75" customHeight="1">
      <c r="A1333" s="585">
        <v>1332.0</v>
      </c>
      <c r="B1333" s="1017" t="str">
        <f>Settings!$A$10</f>
        <v>MUTTS</v>
      </c>
      <c r="C1333" s="712" t="s">
        <v>117</v>
      </c>
      <c r="D1333" s="13" t="str">
        <f>'Entry Sheet'!J157</f>
        <v>D. SAMUEL</v>
      </c>
      <c r="E1333" s="13">
        <f>'Entry Sheet'!K157</f>
        <v>23.6</v>
      </c>
      <c r="F1333" s="589" t="s">
        <v>516</v>
      </c>
      <c r="BB1333" s="314"/>
    </row>
    <row r="1334" ht="15.75" customHeight="1">
      <c r="A1334" s="585">
        <v>1333.0</v>
      </c>
      <c r="B1334" s="1017" t="str">
        <f>Settings!$A$10</f>
        <v>MUTTS</v>
      </c>
      <c r="C1334" s="712" t="s">
        <v>117</v>
      </c>
      <c r="D1334" s="13" t="str">
        <f>'Entry Sheet'!J158</f>
        <v>C. OLAVE</v>
      </c>
      <c r="E1334" s="13">
        <f>'Entry Sheet'!K158</f>
        <v>12.9</v>
      </c>
      <c r="F1334" s="589" t="s">
        <v>516</v>
      </c>
      <c r="BB1334" s="314"/>
    </row>
    <row r="1335" ht="15.75" customHeight="1">
      <c r="A1335" s="585">
        <v>1334.0</v>
      </c>
      <c r="B1335" s="1017" t="str">
        <f>Settings!$A$10</f>
        <v>MUTTS</v>
      </c>
      <c r="C1335" s="712" t="s">
        <v>117</v>
      </c>
      <c r="D1335" s="13" t="str">
        <f>'Entry Sheet'!J159</f>
        <v/>
      </c>
      <c r="E1335" s="13" t="str">
        <f>'Entry Sheet'!K159</f>
        <v/>
      </c>
      <c r="F1335" s="589" t="s">
        <v>516</v>
      </c>
      <c r="BB1335" s="314"/>
    </row>
    <row r="1336" ht="15.75" customHeight="1">
      <c r="A1336" s="585">
        <v>1335.0</v>
      </c>
      <c r="B1336" s="1017" t="str">
        <f>Settings!$A$10</f>
        <v>MUTTS</v>
      </c>
      <c r="C1336" s="764" t="s">
        <v>132</v>
      </c>
      <c r="D1336" s="13" t="str">
        <f>'Entry Sheet'!J160</f>
        <v>J. FERGUSON</v>
      </c>
      <c r="E1336" s="13">
        <f>'Entry Sheet'!K160</f>
        <v>23.9</v>
      </c>
      <c r="F1336" s="589" t="s">
        <v>516</v>
      </c>
      <c r="BB1336" s="314"/>
    </row>
    <row r="1337" ht="15.75" customHeight="1">
      <c r="A1337" s="585">
        <v>1336.0</v>
      </c>
      <c r="B1337" s="1017" t="str">
        <f>Settings!$A$10</f>
        <v>MUTTS</v>
      </c>
      <c r="C1337" s="795" t="s">
        <v>136</v>
      </c>
      <c r="D1337" s="13" t="str">
        <f>'Entry Sheet'!J161</f>
        <v>B. HALL</v>
      </c>
      <c r="E1337" s="13">
        <f>'Entry Sheet'!K161</f>
        <v>19.9</v>
      </c>
      <c r="F1337" s="589" t="s">
        <v>516</v>
      </c>
      <c r="BB1337" s="314"/>
    </row>
    <row r="1338" ht="15.75" customHeight="1">
      <c r="A1338" s="585">
        <v>1337.0</v>
      </c>
      <c r="B1338" s="1017" t="str">
        <f>Settings!$A$10</f>
        <v>MUTTS</v>
      </c>
      <c r="C1338" s="818" t="s">
        <v>139</v>
      </c>
      <c r="D1338" s="13" t="str">
        <f>'Entry Sheet'!J162</f>
        <v>LAC D/ST</v>
      </c>
      <c r="E1338" s="13">
        <f>'Entry Sheet'!K162</f>
        <v>6.4</v>
      </c>
      <c r="F1338" s="589" t="s">
        <v>516</v>
      </c>
      <c r="BB1338" s="314"/>
    </row>
    <row r="1339" ht="15.75" customHeight="1">
      <c r="A1339" s="585">
        <v>1338.0</v>
      </c>
      <c r="B1339" s="1017" t="str">
        <f>Settings!$A$10</f>
        <v>MUTTS</v>
      </c>
      <c r="C1339" s="833" t="s">
        <v>146</v>
      </c>
      <c r="D1339" s="13" t="str">
        <f>'Entry Sheet'!J163</f>
        <v>B. AUBREY</v>
      </c>
      <c r="E1339" s="13">
        <f>'Entry Sheet'!K163</f>
        <v>7</v>
      </c>
      <c r="F1339" s="589" t="s">
        <v>516</v>
      </c>
      <c r="BB1339" s="314"/>
    </row>
    <row r="1340" ht="15.75" customHeight="1">
      <c r="A1340" s="585">
        <v>1339.0</v>
      </c>
      <c r="B1340" s="1017" t="str">
        <f>Settings!$A$10</f>
        <v>MUTTS</v>
      </c>
      <c r="C1340" s="842" t="s">
        <v>162</v>
      </c>
      <c r="D1340" s="13" t="str">
        <f>'Entry Sheet'!J164</f>
        <v>BUF HC</v>
      </c>
      <c r="E1340" s="13">
        <f>'Entry Sheet'!K164</f>
        <v>4</v>
      </c>
      <c r="F1340" s="589" t="s">
        <v>516</v>
      </c>
      <c r="BB1340" s="314"/>
    </row>
    <row r="1341" ht="15.75" customHeight="1">
      <c r="A1341" s="585">
        <v>1340.0</v>
      </c>
      <c r="B1341" s="1017" t="str">
        <f>Settings!$A$10</f>
        <v>MUTTS</v>
      </c>
      <c r="C1341" s="587" t="s">
        <v>100</v>
      </c>
      <c r="D1341" s="13" t="str">
        <f>'Entry Sheet'!L152</f>
        <v>T. LAWRENCE</v>
      </c>
      <c r="E1341" s="13">
        <f>'Entry Sheet'!M152</f>
        <v>25.92</v>
      </c>
      <c r="F1341" s="846" t="s">
        <v>517</v>
      </c>
      <c r="BB1341" s="314"/>
    </row>
    <row r="1342" ht="15.75" customHeight="1">
      <c r="A1342" s="585">
        <v>1341.0</v>
      </c>
      <c r="B1342" s="1017" t="str">
        <f>Settings!$A$10</f>
        <v>MUTTS</v>
      </c>
      <c r="C1342" s="596" t="s">
        <v>106</v>
      </c>
      <c r="D1342" s="13" t="str">
        <f>'Entry Sheet'!L153</f>
        <v>J. COOK III</v>
      </c>
      <c r="E1342" s="13">
        <f>'Entry Sheet'!M153</f>
        <v>10.4</v>
      </c>
      <c r="F1342" s="846" t="s">
        <v>517</v>
      </c>
      <c r="BB1342" s="314"/>
    </row>
    <row r="1343" ht="15.75" customHeight="1">
      <c r="A1343" s="585">
        <v>1342.0</v>
      </c>
      <c r="B1343" s="1017" t="str">
        <f>Settings!$A$10</f>
        <v>MUTTS</v>
      </c>
      <c r="C1343" s="596" t="s">
        <v>106</v>
      </c>
      <c r="D1343" s="13" t="str">
        <f>'Entry Sheet'!L154</f>
        <v>C. SKATTEBO</v>
      </c>
      <c r="E1343" s="13">
        <f>'Entry Sheet'!M154</f>
        <v>32.9</v>
      </c>
      <c r="F1343" s="846" t="s">
        <v>517</v>
      </c>
      <c r="BB1343" s="314"/>
    </row>
    <row r="1344" ht="15.75" customHeight="1">
      <c r="A1344" s="585">
        <v>1343.0</v>
      </c>
      <c r="B1344" s="1017" t="str">
        <f>Settings!$A$10</f>
        <v>MUTTS</v>
      </c>
      <c r="C1344" s="596" t="s">
        <v>106</v>
      </c>
      <c r="D1344" s="13" t="str">
        <f>'Entry Sheet'!L155</f>
        <v/>
      </c>
      <c r="E1344" s="13" t="str">
        <f>'Entry Sheet'!M155</f>
        <v/>
      </c>
      <c r="F1344" s="846" t="s">
        <v>517</v>
      </c>
      <c r="BB1344" s="314"/>
    </row>
    <row r="1345" ht="15.75" customHeight="1">
      <c r="A1345" s="585">
        <v>1344.0</v>
      </c>
      <c r="B1345" s="1017" t="str">
        <f>Settings!$A$10</f>
        <v>MUTTS</v>
      </c>
      <c r="C1345" s="712" t="s">
        <v>117</v>
      </c>
      <c r="D1345" s="13" t="str">
        <f>'Entry Sheet'!L156</f>
        <v>A. ST. BROWN</v>
      </c>
      <c r="E1345" s="13">
        <f>'Entry Sheet'!M156</f>
        <v>13.8</v>
      </c>
      <c r="F1345" s="846" t="s">
        <v>517</v>
      </c>
      <c r="BB1345" s="314"/>
    </row>
    <row r="1346" ht="15.75" customHeight="1">
      <c r="A1346" s="585">
        <v>1345.0</v>
      </c>
      <c r="B1346" s="1017" t="str">
        <f>Settings!$A$10</f>
        <v>MUTTS</v>
      </c>
      <c r="C1346" s="712" t="s">
        <v>117</v>
      </c>
      <c r="D1346" s="13" t="str">
        <f>'Entry Sheet'!L157</f>
        <v>D. SAMUEL</v>
      </c>
      <c r="E1346" s="13">
        <f>'Entry Sheet'!M157</f>
        <v>5.5</v>
      </c>
      <c r="F1346" s="846" t="s">
        <v>517</v>
      </c>
      <c r="BB1346" s="314"/>
    </row>
    <row r="1347" ht="15.75" customHeight="1">
      <c r="A1347" s="585">
        <v>1346.0</v>
      </c>
      <c r="B1347" s="1017" t="str">
        <f>Settings!$A$10</f>
        <v>MUTTS</v>
      </c>
      <c r="C1347" s="712" t="s">
        <v>117</v>
      </c>
      <c r="D1347" s="13" t="str">
        <f>'Entry Sheet'!L158</f>
        <v>C. OLAVE</v>
      </c>
      <c r="E1347" s="13">
        <f>'Entry Sheet'!M158</f>
        <v>15.8</v>
      </c>
      <c r="F1347" s="846" t="s">
        <v>517</v>
      </c>
      <c r="BB1347" s="314"/>
    </row>
    <row r="1348" ht="15.75" customHeight="1">
      <c r="A1348" s="585">
        <v>1347.0</v>
      </c>
      <c r="B1348" s="1017" t="str">
        <f>Settings!$A$10</f>
        <v>MUTTS</v>
      </c>
      <c r="C1348" s="712" t="s">
        <v>117</v>
      </c>
      <c r="D1348" s="13" t="str">
        <f>'Entry Sheet'!L159</f>
        <v/>
      </c>
      <c r="E1348" s="13" t="str">
        <f>'Entry Sheet'!M159</f>
        <v/>
      </c>
      <c r="F1348" s="846" t="s">
        <v>517</v>
      </c>
      <c r="BB1348" s="314"/>
    </row>
    <row r="1349" ht="15.75" customHeight="1">
      <c r="A1349" s="585">
        <v>1348.0</v>
      </c>
      <c r="B1349" s="1017" t="str">
        <f>Settings!$A$10</f>
        <v>MUTTS</v>
      </c>
      <c r="C1349" s="764" t="s">
        <v>132</v>
      </c>
      <c r="D1349" s="13" t="str">
        <f>'Entry Sheet'!L160</f>
        <v>J. FERGUSON</v>
      </c>
      <c r="E1349" s="13">
        <f>'Entry Sheet'!M160</f>
        <v>12.3</v>
      </c>
      <c r="F1349" s="846" t="s">
        <v>517</v>
      </c>
      <c r="BB1349" s="314"/>
    </row>
    <row r="1350" ht="15.75" customHeight="1">
      <c r="A1350" s="585">
        <v>1349.0</v>
      </c>
      <c r="B1350" s="1017" t="str">
        <f>Settings!$A$10</f>
        <v>MUTTS</v>
      </c>
      <c r="C1350" s="795" t="s">
        <v>136</v>
      </c>
      <c r="D1350" s="13" t="str">
        <f>'Entry Sheet'!L161</f>
        <v>B. HALL</v>
      </c>
      <c r="E1350" s="13">
        <f>'Entry Sheet'!M161</f>
        <v>8.1</v>
      </c>
      <c r="F1350" s="846" t="s">
        <v>517</v>
      </c>
      <c r="BB1350" s="314"/>
    </row>
    <row r="1351" ht="15.75" customHeight="1">
      <c r="A1351" s="585">
        <v>1350.0</v>
      </c>
      <c r="B1351" s="1017" t="str">
        <f>Settings!$A$10</f>
        <v>MUTTS</v>
      </c>
      <c r="C1351" s="818" t="s">
        <v>139</v>
      </c>
      <c r="D1351" s="13" t="str">
        <f>'Entry Sheet'!L162</f>
        <v>PIT D/ST</v>
      </c>
      <c r="E1351" s="13">
        <f>'Entry Sheet'!M162</f>
        <v>23.1</v>
      </c>
      <c r="F1351" s="846" t="s">
        <v>517</v>
      </c>
      <c r="BB1351" s="314"/>
    </row>
    <row r="1352" ht="15.75" customHeight="1">
      <c r="A1352" s="585">
        <v>1351.0</v>
      </c>
      <c r="B1352" s="1017" t="str">
        <f>Settings!$A$10</f>
        <v>MUTTS</v>
      </c>
      <c r="C1352" s="833" t="s">
        <v>146</v>
      </c>
      <c r="D1352" s="13" t="str">
        <f>'Entry Sheet'!L163</f>
        <v>B. AUBREY</v>
      </c>
      <c r="E1352" s="13">
        <f>'Entry Sheet'!M163</f>
        <v>9</v>
      </c>
      <c r="F1352" s="846" t="s">
        <v>517</v>
      </c>
      <c r="BB1352" s="314"/>
    </row>
    <row r="1353" ht="15.75" customHeight="1">
      <c r="A1353" s="585">
        <v>1352.0</v>
      </c>
      <c r="B1353" s="1017" t="str">
        <f>Settings!$A$10</f>
        <v>MUTTS</v>
      </c>
      <c r="C1353" s="842" t="s">
        <v>162</v>
      </c>
      <c r="D1353" s="13" t="str">
        <f>'Entry Sheet'!L164</f>
        <v>DAL HC</v>
      </c>
      <c r="E1353" s="13">
        <f>'Entry Sheet'!M164</f>
        <v>6.1</v>
      </c>
      <c r="F1353" s="846" t="s">
        <v>517</v>
      </c>
      <c r="BB1353" s="314"/>
    </row>
    <row r="1354" ht="15.75" customHeight="1">
      <c r="A1354" s="585">
        <v>1353.0</v>
      </c>
      <c r="B1354" s="1017" t="str">
        <f>Settings!$A$10</f>
        <v>MUTTS</v>
      </c>
      <c r="C1354" s="587" t="s">
        <v>100</v>
      </c>
      <c r="D1354" s="13" t="str">
        <f>'Entry Sheet'!N152</f>
        <v>T. LAWRENCE</v>
      </c>
      <c r="E1354" s="13">
        <f>'Entry Sheet'!O152</f>
        <v>19.44</v>
      </c>
      <c r="F1354" s="589" t="s">
        <v>518</v>
      </c>
      <c r="BB1354" s="314"/>
    </row>
    <row r="1355" ht="15.75" customHeight="1">
      <c r="A1355" s="585">
        <v>1354.0</v>
      </c>
      <c r="B1355" s="1017" t="str">
        <f>Settings!$A$10</f>
        <v>MUTTS</v>
      </c>
      <c r="C1355" s="596" t="s">
        <v>106</v>
      </c>
      <c r="D1355" s="13" t="str">
        <f>'Entry Sheet'!N153</f>
        <v>B. HALL</v>
      </c>
      <c r="E1355" s="13">
        <f>'Entry Sheet'!O153</f>
        <v>8.3</v>
      </c>
      <c r="F1355" s="589" t="s">
        <v>518</v>
      </c>
      <c r="BB1355" s="314"/>
    </row>
    <row r="1356" ht="15.75" customHeight="1">
      <c r="A1356" s="585">
        <v>1355.0</v>
      </c>
      <c r="B1356" s="1017" t="str">
        <f>Settings!$A$10</f>
        <v>MUTTS</v>
      </c>
      <c r="C1356" s="596" t="s">
        <v>106</v>
      </c>
      <c r="D1356" s="13" t="str">
        <f>'Entry Sheet'!N154</f>
        <v>C. SKATTEBO</v>
      </c>
      <c r="E1356" s="13">
        <f>'Entry Sheet'!O154</f>
        <v>20</v>
      </c>
      <c r="F1356" s="589" t="s">
        <v>518</v>
      </c>
      <c r="BB1356" s="314"/>
    </row>
    <row r="1357" ht="15.75" customHeight="1">
      <c r="A1357" s="585">
        <v>1356.0</v>
      </c>
      <c r="B1357" s="1017" t="str">
        <f>Settings!$A$10</f>
        <v>MUTTS</v>
      </c>
      <c r="C1357" s="596" t="s">
        <v>106</v>
      </c>
      <c r="D1357" s="13" t="str">
        <f>'Entry Sheet'!N155</f>
        <v/>
      </c>
      <c r="E1357" s="13" t="str">
        <f>'Entry Sheet'!O155</f>
        <v/>
      </c>
      <c r="F1357" s="589" t="s">
        <v>518</v>
      </c>
      <c r="BB1357" s="314"/>
    </row>
    <row r="1358" ht="15.75" customHeight="1">
      <c r="A1358" s="585">
        <v>1357.0</v>
      </c>
      <c r="B1358" s="1017" t="str">
        <f>Settings!$A$10</f>
        <v>MUTTS</v>
      </c>
      <c r="C1358" s="712" t="s">
        <v>117</v>
      </c>
      <c r="D1358" s="13" t="str">
        <f>'Entry Sheet'!N156</f>
        <v>A. ST. BROWN</v>
      </c>
      <c r="E1358" s="13">
        <f>'Entry Sheet'!O156</f>
        <v>20.6</v>
      </c>
      <c r="F1358" s="589" t="s">
        <v>518</v>
      </c>
      <c r="BB1358" s="314"/>
    </row>
    <row r="1359" ht="15.75" customHeight="1">
      <c r="A1359" s="585">
        <v>1358.0</v>
      </c>
      <c r="B1359" s="1017" t="str">
        <f>Settings!$A$10</f>
        <v>MUTTS</v>
      </c>
      <c r="C1359" s="712" t="s">
        <v>117</v>
      </c>
      <c r="D1359" s="13" t="str">
        <f>'Entry Sheet'!N157</f>
        <v>M. EVANS</v>
      </c>
      <c r="E1359" s="13">
        <f>'Entry Sheet'!O157</f>
        <v>0</v>
      </c>
      <c r="F1359" s="589" t="s">
        <v>518</v>
      </c>
      <c r="BB1359" s="314"/>
    </row>
    <row r="1360" ht="15.75" customHeight="1">
      <c r="A1360" s="585">
        <v>1359.0</v>
      </c>
      <c r="B1360" s="1017" t="str">
        <f>Settings!$A$10</f>
        <v>MUTTS</v>
      </c>
      <c r="C1360" s="712" t="s">
        <v>117</v>
      </c>
      <c r="D1360" s="13" t="str">
        <f>'Entry Sheet'!N158</f>
        <v>C. OLAVE</v>
      </c>
      <c r="E1360" s="13">
        <f>'Entry Sheet'!O158</f>
        <v>26.8</v>
      </c>
      <c r="F1360" s="589" t="s">
        <v>518</v>
      </c>
      <c r="BB1360" s="314"/>
    </row>
    <row r="1361" ht="15.75" customHeight="1">
      <c r="A1361" s="585">
        <v>1360.0</v>
      </c>
      <c r="B1361" s="1017" t="str">
        <f>Settings!$A$10</f>
        <v>MUTTS</v>
      </c>
      <c r="C1361" s="712" t="s">
        <v>117</v>
      </c>
      <c r="D1361" s="13" t="str">
        <f>'Entry Sheet'!N159</f>
        <v/>
      </c>
      <c r="E1361" s="13" t="str">
        <f>'Entry Sheet'!O159</f>
        <v/>
      </c>
      <c r="F1361" s="589" t="s">
        <v>518</v>
      </c>
      <c r="BB1361" s="314"/>
    </row>
    <row r="1362" ht="15.75" customHeight="1">
      <c r="A1362" s="585">
        <v>1361.0</v>
      </c>
      <c r="B1362" s="1017" t="str">
        <f>Settings!$A$10</f>
        <v>MUTTS</v>
      </c>
      <c r="C1362" s="764" t="s">
        <v>132</v>
      </c>
      <c r="D1362" s="13" t="str">
        <f>'Entry Sheet'!N160</f>
        <v>J. FERGUSON</v>
      </c>
      <c r="E1362" s="13">
        <f>'Entry Sheet'!O160</f>
        <v>21.9</v>
      </c>
      <c r="F1362" s="589" t="s">
        <v>518</v>
      </c>
      <c r="BB1362" s="314"/>
    </row>
    <row r="1363" ht="15.75" customHeight="1">
      <c r="A1363" s="585">
        <v>1362.0</v>
      </c>
      <c r="B1363" s="1017" t="str">
        <f>Settings!$A$10</f>
        <v>MUTTS</v>
      </c>
      <c r="C1363" s="795" t="s">
        <v>136</v>
      </c>
      <c r="D1363" s="13" t="str">
        <f>'Entry Sheet'!N161</f>
        <v>C. HUBBARD</v>
      </c>
      <c r="E1363" s="13">
        <f>'Entry Sheet'!O161</f>
        <v>8.9</v>
      </c>
      <c r="F1363" s="589" t="s">
        <v>518</v>
      </c>
      <c r="BB1363" s="314"/>
    </row>
    <row r="1364" ht="15.75" customHeight="1">
      <c r="A1364" s="585">
        <v>1363.0</v>
      </c>
      <c r="B1364" s="1017" t="str">
        <f>Settings!$A$10</f>
        <v>MUTTS</v>
      </c>
      <c r="C1364" s="818" t="s">
        <v>139</v>
      </c>
      <c r="D1364" s="13" t="str">
        <f>'Entry Sheet'!N162</f>
        <v>PIT D/ST</v>
      </c>
      <c r="E1364" s="13">
        <f>'Entry Sheet'!O162</f>
        <v>5.11</v>
      </c>
      <c r="F1364" s="589" t="s">
        <v>518</v>
      </c>
      <c r="BB1364" s="314"/>
    </row>
    <row r="1365" ht="15.75" customHeight="1">
      <c r="A1365" s="585">
        <v>1364.0</v>
      </c>
      <c r="B1365" s="1017" t="str">
        <f>Settings!$A$10</f>
        <v>MUTTS</v>
      </c>
      <c r="C1365" s="833" t="s">
        <v>146</v>
      </c>
      <c r="D1365" s="13" t="str">
        <f>'Entry Sheet'!N163</f>
        <v>B. AUBREY</v>
      </c>
      <c r="E1365" s="13">
        <f>'Entry Sheet'!O163</f>
        <v>21</v>
      </c>
      <c r="F1365" s="589" t="s">
        <v>518</v>
      </c>
      <c r="BB1365" s="314"/>
    </row>
    <row r="1366" ht="15.75" customHeight="1">
      <c r="A1366" s="585">
        <v>1365.0</v>
      </c>
      <c r="B1366" s="1017" t="str">
        <f>Settings!$A$10</f>
        <v>MUTTS</v>
      </c>
      <c r="C1366" s="842" t="s">
        <v>162</v>
      </c>
      <c r="D1366" s="13" t="str">
        <f>'Entry Sheet'!N164</f>
        <v>DAL HC</v>
      </c>
      <c r="E1366" s="13">
        <f>'Entry Sheet'!O164</f>
        <v>21.2</v>
      </c>
      <c r="F1366" s="589" t="s">
        <v>518</v>
      </c>
      <c r="BB1366" s="314"/>
    </row>
    <row r="1367" ht="15.75" customHeight="1">
      <c r="A1367" s="585">
        <v>1366.0</v>
      </c>
      <c r="B1367" s="1017" t="str">
        <f>Settings!$A$10</f>
        <v>MUTTS</v>
      </c>
      <c r="C1367" s="587" t="s">
        <v>100</v>
      </c>
      <c r="D1367" s="13" t="str">
        <f>'Entry Sheet'!P152</f>
        <v>T. LAWRENCE</v>
      </c>
      <c r="E1367" s="13">
        <f>'Entry Sheet'!Q152</f>
        <v>0</v>
      </c>
      <c r="F1367" s="846" t="s">
        <v>519</v>
      </c>
      <c r="BB1367" s="314"/>
    </row>
    <row r="1368" ht="15.75" customHeight="1">
      <c r="A1368" s="585">
        <v>1367.0</v>
      </c>
      <c r="B1368" s="1017" t="str">
        <f>Settings!$A$10</f>
        <v>MUTTS</v>
      </c>
      <c r="C1368" s="596" t="s">
        <v>106</v>
      </c>
      <c r="D1368" s="13" t="str">
        <f>'Entry Sheet'!P153</f>
        <v>J. COOK III</v>
      </c>
      <c r="E1368" s="13">
        <f>'Entry Sheet'!Q153</f>
        <v>37.5</v>
      </c>
      <c r="F1368" s="846" t="s">
        <v>519</v>
      </c>
      <c r="BB1368" s="314"/>
    </row>
    <row r="1369" ht="15.75" customHeight="1">
      <c r="A1369" s="585">
        <v>1368.0</v>
      </c>
      <c r="B1369" s="1017" t="str">
        <f>Settings!$A$10</f>
        <v>MUTTS</v>
      </c>
      <c r="C1369" s="596" t="s">
        <v>106</v>
      </c>
      <c r="D1369" s="13" t="str">
        <f>'Entry Sheet'!P154</f>
        <v>B. HALL</v>
      </c>
      <c r="E1369" s="13">
        <f>'Entry Sheet'!Q154</f>
        <v>37.86</v>
      </c>
      <c r="F1369" s="846" t="s">
        <v>519</v>
      </c>
      <c r="BB1369" s="314"/>
    </row>
    <row r="1370" ht="15.75" customHeight="1">
      <c r="A1370" s="585">
        <v>1369.0</v>
      </c>
      <c r="B1370" s="1017" t="str">
        <f>Settings!$A$10</f>
        <v>MUTTS</v>
      </c>
      <c r="C1370" s="596" t="s">
        <v>106</v>
      </c>
      <c r="D1370" s="13" t="str">
        <f>'Entry Sheet'!P155</f>
        <v/>
      </c>
      <c r="E1370" s="13" t="str">
        <f>'Entry Sheet'!Q155</f>
        <v/>
      </c>
      <c r="F1370" s="846" t="s">
        <v>519</v>
      </c>
      <c r="BB1370" s="314"/>
    </row>
    <row r="1371" ht="15.75" customHeight="1">
      <c r="A1371" s="585">
        <v>1370.0</v>
      </c>
      <c r="B1371" s="1017" t="str">
        <f>Settings!$A$10</f>
        <v>MUTTS</v>
      </c>
      <c r="C1371" s="712" t="s">
        <v>117</v>
      </c>
      <c r="D1371" s="13" t="str">
        <f>'Entry Sheet'!P156</f>
        <v>A. ST. BROWN</v>
      </c>
      <c r="E1371" s="13">
        <f>'Entry Sheet'!Q156</f>
        <v>0</v>
      </c>
      <c r="F1371" s="846" t="s">
        <v>519</v>
      </c>
      <c r="BB1371" s="314"/>
    </row>
    <row r="1372" ht="15.75" customHeight="1">
      <c r="A1372" s="585">
        <v>1371.0</v>
      </c>
      <c r="B1372" s="1017" t="str">
        <f>Settings!$A$10</f>
        <v>MUTTS</v>
      </c>
      <c r="C1372" s="712" t="s">
        <v>117</v>
      </c>
      <c r="D1372" s="13" t="str">
        <f>'Entry Sheet'!P157</f>
        <v>D. SAMUEL</v>
      </c>
      <c r="E1372" s="13">
        <f>'Entry Sheet'!Q157</f>
        <v>4.3</v>
      </c>
      <c r="F1372" s="846" t="s">
        <v>519</v>
      </c>
      <c r="BB1372" s="314"/>
    </row>
    <row r="1373" ht="15.75" customHeight="1">
      <c r="A1373" s="585">
        <v>1372.0</v>
      </c>
      <c r="B1373" s="1017" t="str">
        <f>Settings!$A$10</f>
        <v>MUTTS</v>
      </c>
      <c r="C1373" s="712" t="s">
        <v>117</v>
      </c>
      <c r="D1373" s="13" t="str">
        <f>'Entry Sheet'!P158</f>
        <v>C. OLAVE</v>
      </c>
      <c r="E1373" s="13">
        <f>'Entry Sheet'!Q158</f>
        <v>14.1</v>
      </c>
      <c r="F1373" s="846" t="s">
        <v>519</v>
      </c>
      <c r="BB1373" s="314"/>
    </row>
    <row r="1374" ht="15.75" customHeight="1">
      <c r="A1374" s="585">
        <v>1373.0</v>
      </c>
      <c r="B1374" s="1017" t="str">
        <f>Settings!$A$10</f>
        <v>MUTTS</v>
      </c>
      <c r="C1374" s="712" t="s">
        <v>117</v>
      </c>
      <c r="D1374" s="13" t="str">
        <f>'Entry Sheet'!P159</f>
        <v/>
      </c>
      <c r="E1374" s="13" t="str">
        <f>'Entry Sheet'!Q159</f>
        <v/>
      </c>
      <c r="F1374" s="846" t="s">
        <v>519</v>
      </c>
      <c r="BB1374" s="314"/>
    </row>
    <row r="1375" ht="15.75" customHeight="1">
      <c r="A1375" s="585">
        <v>1374.0</v>
      </c>
      <c r="B1375" s="1017" t="str">
        <f>Settings!$A$10</f>
        <v>MUTTS</v>
      </c>
      <c r="C1375" s="764" t="s">
        <v>132</v>
      </c>
      <c r="D1375" s="13" t="str">
        <f>'Entry Sheet'!P160</f>
        <v>J. FERGUSON</v>
      </c>
      <c r="E1375" s="13">
        <f>'Entry Sheet'!Q160</f>
        <v>0</v>
      </c>
      <c r="F1375" s="846" t="s">
        <v>519</v>
      </c>
      <c r="BB1375" s="314"/>
    </row>
    <row r="1376" ht="15.75" customHeight="1">
      <c r="A1376" s="585">
        <v>1375.0</v>
      </c>
      <c r="B1376" s="1017" t="str">
        <f>Settings!$A$10</f>
        <v>MUTTS</v>
      </c>
      <c r="C1376" s="795" t="s">
        <v>136</v>
      </c>
      <c r="D1376" s="13" t="str">
        <f>'Entry Sheet'!P161</f>
        <v>C. SKATTEBO</v>
      </c>
      <c r="E1376" s="13">
        <f>'Entry Sheet'!Q161</f>
        <v>10.3</v>
      </c>
      <c r="F1376" s="846" t="s">
        <v>519</v>
      </c>
      <c r="BB1376" s="314"/>
    </row>
    <row r="1377" ht="15.75" customHeight="1">
      <c r="A1377" s="585">
        <v>1376.0</v>
      </c>
      <c r="B1377" s="1017" t="str">
        <f>Settings!$A$10</f>
        <v>MUTTS</v>
      </c>
      <c r="C1377" s="818" t="s">
        <v>139</v>
      </c>
      <c r="D1377" s="13" t="str">
        <f>'Entry Sheet'!P162</f>
        <v>PIT D/ST</v>
      </c>
      <c r="E1377" s="13">
        <f>'Entry Sheet'!Q162</f>
        <v>-2.17</v>
      </c>
      <c r="F1377" s="846" t="s">
        <v>519</v>
      </c>
      <c r="BB1377" s="314"/>
    </row>
    <row r="1378" ht="15.75" customHeight="1">
      <c r="A1378" s="585">
        <v>1377.0</v>
      </c>
      <c r="B1378" s="1017" t="str">
        <f>Settings!$A$10</f>
        <v>MUTTS</v>
      </c>
      <c r="C1378" s="833" t="s">
        <v>146</v>
      </c>
      <c r="D1378" s="13" t="str">
        <f>'Entry Sheet'!P163</f>
        <v>B. AUBREY</v>
      </c>
      <c r="E1378" s="13">
        <f>'Entry Sheet'!Q163</f>
        <v>6</v>
      </c>
      <c r="F1378" s="846" t="s">
        <v>519</v>
      </c>
      <c r="BB1378" s="314"/>
    </row>
    <row r="1379" ht="15.75" customHeight="1">
      <c r="A1379" s="585">
        <v>1378.0</v>
      </c>
      <c r="B1379" s="1017" t="str">
        <f>Settings!$A$10</f>
        <v>MUTTS</v>
      </c>
      <c r="C1379" s="842" t="s">
        <v>162</v>
      </c>
      <c r="D1379" s="13" t="str">
        <f>'Entry Sheet'!P164</f>
        <v>BUF HC</v>
      </c>
      <c r="E1379" s="13">
        <f>'Entry Sheet'!Q164</f>
        <v>24</v>
      </c>
      <c r="F1379" s="846" t="s">
        <v>519</v>
      </c>
      <c r="BB1379" s="314"/>
    </row>
    <row r="1380" ht="15.75" customHeight="1">
      <c r="A1380" s="585">
        <v>1379.0</v>
      </c>
      <c r="B1380" s="1017" t="str">
        <f>Settings!$A$10</f>
        <v>MUTTS</v>
      </c>
      <c r="C1380" s="587" t="s">
        <v>100</v>
      </c>
      <c r="D1380" s="13" t="str">
        <f>'Entry Sheet'!R152</f>
        <v>L. JACKSON</v>
      </c>
      <c r="E1380" s="13">
        <f>'Entry Sheet'!S152</f>
        <v>36.66</v>
      </c>
      <c r="F1380" s="589" t="s">
        <v>520</v>
      </c>
      <c r="BB1380" s="314"/>
    </row>
    <row r="1381" ht="15.75" customHeight="1">
      <c r="A1381" s="585">
        <v>1380.0</v>
      </c>
      <c r="B1381" s="1017" t="str">
        <f>Settings!$A$10</f>
        <v>MUTTS</v>
      </c>
      <c r="C1381" s="596" t="s">
        <v>106</v>
      </c>
      <c r="D1381" s="13" t="str">
        <f>'Entry Sheet'!R153</f>
        <v>J. COOK</v>
      </c>
      <c r="E1381" s="13">
        <f>'Entry Sheet'!S153</f>
        <v>17.2</v>
      </c>
      <c r="F1381" s="589" t="s">
        <v>520</v>
      </c>
      <c r="BB1381" s="314"/>
    </row>
    <row r="1382" ht="15.75" customHeight="1">
      <c r="A1382" s="585">
        <v>1381.0</v>
      </c>
      <c r="B1382" s="1017" t="str">
        <f>Settings!$A$10</f>
        <v>MUTTS</v>
      </c>
      <c r="C1382" s="596" t="s">
        <v>106</v>
      </c>
      <c r="D1382" s="13" t="str">
        <f>'Entry Sheet'!R154</f>
        <v>A. JONES</v>
      </c>
      <c r="E1382" s="13">
        <f>'Entry Sheet'!S154</f>
        <v>12.7</v>
      </c>
      <c r="F1382" s="589" t="s">
        <v>520</v>
      </c>
      <c r="BB1382" s="314"/>
    </row>
    <row r="1383" ht="15.75" customHeight="1">
      <c r="A1383" s="585">
        <v>1382.0</v>
      </c>
      <c r="B1383" s="1017" t="str">
        <f>Settings!$A$10</f>
        <v>MUTTS</v>
      </c>
      <c r="C1383" s="596" t="s">
        <v>106</v>
      </c>
      <c r="D1383" s="13" t="str">
        <f>'Entry Sheet'!R155</f>
        <v/>
      </c>
      <c r="E1383" s="13" t="str">
        <f>'Entry Sheet'!S155</f>
        <v/>
      </c>
      <c r="F1383" s="589" t="s">
        <v>520</v>
      </c>
      <c r="BB1383" s="314"/>
    </row>
    <row r="1384" ht="15.75" customHeight="1">
      <c r="A1384" s="585">
        <v>1383.0</v>
      </c>
      <c r="B1384" s="1017" t="str">
        <f>Settings!$A$10</f>
        <v>MUTTS</v>
      </c>
      <c r="C1384" s="712" t="s">
        <v>117</v>
      </c>
      <c r="D1384" s="13" t="str">
        <f>'Entry Sheet'!R156</f>
        <v>A. ST. BROWN</v>
      </c>
      <c r="E1384" s="13">
        <f>'Entry Sheet'!S156</f>
        <v>18.7</v>
      </c>
      <c r="F1384" s="589" t="s">
        <v>520</v>
      </c>
      <c r="BB1384" s="314"/>
    </row>
    <row r="1385" ht="15.75" customHeight="1">
      <c r="A1385" s="585">
        <v>1384.0</v>
      </c>
      <c r="B1385" s="1017" t="str">
        <f>Settings!$A$10</f>
        <v>MUTTS</v>
      </c>
      <c r="C1385" s="712" t="s">
        <v>117</v>
      </c>
      <c r="D1385" s="13" t="str">
        <f>'Entry Sheet'!R157</f>
        <v>D. SAMUEL</v>
      </c>
      <c r="E1385" s="13">
        <f>'Entry Sheet'!S157</f>
        <v>11</v>
      </c>
      <c r="F1385" s="589" t="s">
        <v>520</v>
      </c>
      <c r="BB1385" s="314"/>
    </row>
    <row r="1386" ht="15.75" customHeight="1">
      <c r="A1386" s="585">
        <v>1385.0</v>
      </c>
      <c r="B1386" s="1017" t="str">
        <f>Settings!$A$10</f>
        <v>MUTTS</v>
      </c>
      <c r="C1386" s="712" t="s">
        <v>117</v>
      </c>
      <c r="D1386" s="13" t="str">
        <f>'Entry Sheet'!R158</f>
        <v>C. OLAVE</v>
      </c>
      <c r="E1386" s="13">
        <f>'Entry Sheet'!S158</f>
        <v>8.7</v>
      </c>
      <c r="F1386" s="589" t="s">
        <v>520</v>
      </c>
      <c r="BB1386" s="314"/>
    </row>
    <row r="1387" ht="15.75" customHeight="1">
      <c r="A1387" s="585">
        <v>1386.0</v>
      </c>
      <c r="B1387" s="1017" t="str">
        <f>Settings!$A$10</f>
        <v>MUTTS</v>
      </c>
      <c r="C1387" s="712" t="s">
        <v>117</v>
      </c>
      <c r="D1387" s="13" t="str">
        <f>'Entry Sheet'!R159</f>
        <v/>
      </c>
      <c r="E1387" s="13" t="str">
        <f>'Entry Sheet'!S159</f>
        <v/>
      </c>
      <c r="F1387" s="589" t="s">
        <v>520</v>
      </c>
      <c r="BB1387" s="314"/>
    </row>
    <row r="1388" ht="15.75" customHeight="1">
      <c r="A1388" s="585">
        <v>1387.0</v>
      </c>
      <c r="B1388" s="1017" t="str">
        <f>Settings!$A$10</f>
        <v>MUTTS</v>
      </c>
      <c r="C1388" s="764" t="s">
        <v>132</v>
      </c>
      <c r="D1388" s="13" t="str">
        <f>'Entry Sheet'!R160</f>
        <v>J. FERGUSON</v>
      </c>
      <c r="E1388" s="13">
        <f>'Entry Sheet'!S160</f>
        <v>8</v>
      </c>
      <c r="F1388" s="589" t="s">
        <v>520</v>
      </c>
      <c r="BB1388" s="314"/>
    </row>
    <row r="1389" ht="15.75" customHeight="1">
      <c r="A1389" s="585">
        <v>1388.0</v>
      </c>
      <c r="B1389" s="1017" t="str">
        <f>Settings!$A$10</f>
        <v>MUTTS</v>
      </c>
      <c r="C1389" s="795" t="s">
        <v>136</v>
      </c>
      <c r="D1389" s="13" t="str">
        <f>'Entry Sheet'!R161</f>
        <v>C. HUBBARD</v>
      </c>
      <c r="E1389" s="13">
        <f>'Entry Sheet'!S161</f>
        <v>2.2</v>
      </c>
      <c r="F1389" s="589" t="s">
        <v>520</v>
      </c>
      <c r="BB1389" s="314"/>
    </row>
    <row r="1390" ht="15.75" customHeight="1">
      <c r="A1390" s="585">
        <v>1389.0</v>
      </c>
      <c r="B1390" s="1017" t="str">
        <f>Settings!$A$10</f>
        <v>MUTTS</v>
      </c>
      <c r="C1390" s="818" t="s">
        <v>139</v>
      </c>
      <c r="D1390" s="13" t="str">
        <f>'Entry Sheet'!R162</f>
        <v>LAC D/ST</v>
      </c>
      <c r="E1390" s="13">
        <f>'Entry Sheet'!S162</f>
        <v>19.32</v>
      </c>
      <c r="F1390" s="589" t="s">
        <v>520</v>
      </c>
      <c r="BB1390" s="314"/>
    </row>
    <row r="1391" ht="15.75" customHeight="1">
      <c r="A1391" s="585">
        <v>1390.0</v>
      </c>
      <c r="B1391" s="1017" t="str">
        <f>Settings!$A$10</f>
        <v>MUTTS</v>
      </c>
      <c r="C1391" s="833" t="s">
        <v>146</v>
      </c>
      <c r="D1391" s="13" t="str">
        <f>'Entry Sheet'!R163</f>
        <v>B. AUBREY</v>
      </c>
      <c r="E1391" s="13">
        <f>'Entry Sheet'!S163</f>
        <v>4.5</v>
      </c>
      <c r="F1391" s="589" t="s">
        <v>520</v>
      </c>
      <c r="BB1391" s="314"/>
    </row>
    <row r="1392" ht="15.75" customHeight="1">
      <c r="A1392" s="585">
        <v>1391.0</v>
      </c>
      <c r="B1392" s="1017" t="str">
        <f>Settings!$A$10</f>
        <v>MUTTS</v>
      </c>
      <c r="C1392" s="842" t="s">
        <v>162</v>
      </c>
      <c r="D1392" s="13" t="str">
        <f>'Entry Sheet'!R164</f>
        <v>DAL HC</v>
      </c>
      <c r="E1392" s="13">
        <f>'Entry Sheet'!S164</f>
        <v>1.1</v>
      </c>
      <c r="F1392" s="589" t="s">
        <v>520</v>
      </c>
      <c r="BB1392" s="314"/>
    </row>
    <row r="1393" ht="15.75" customHeight="1">
      <c r="A1393" s="585">
        <v>1392.0</v>
      </c>
      <c r="B1393" s="1017" t="str">
        <f>Settings!$A$10</f>
        <v>MUTTS</v>
      </c>
      <c r="C1393" s="587" t="s">
        <v>100</v>
      </c>
      <c r="D1393" s="13" t="str">
        <f>'Entry Sheet'!T152</f>
        <v>L. JACKSON</v>
      </c>
      <c r="E1393" s="13">
        <f>'Entry Sheet'!U152</f>
        <v>20.54</v>
      </c>
      <c r="F1393" s="846" t="s">
        <v>521</v>
      </c>
      <c r="BB1393" s="314"/>
    </row>
    <row r="1394" ht="15.75" customHeight="1">
      <c r="A1394" s="585">
        <v>1393.0</v>
      </c>
      <c r="B1394" s="1017" t="str">
        <f>Settings!$A$10</f>
        <v>MUTTS</v>
      </c>
      <c r="C1394" s="596" t="s">
        <v>106</v>
      </c>
      <c r="D1394" s="13" t="str">
        <f>'Entry Sheet'!T153</f>
        <v>J. COOK</v>
      </c>
      <c r="E1394" s="13">
        <f>'Entry Sheet'!U153</f>
        <v>12</v>
      </c>
      <c r="F1394" s="846" t="s">
        <v>521</v>
      </c>
      <c r="BB1394" s="314"/>
    </row>
    <row r="1395" ht="15.75" customHeight="1">
      <c r="A1395" s="585">
        <v>1394.0</v>
      </c>
      <c r="B1395" s="1017" t="str">
        <f>Settings!$A$10</f>
        <v>MUTTS</v>
      </c>
      <c r="C1395" s="596" t="s">
        <v>106</v>
      </c>
      <c r="D1395" s="13" t="str">
        <f>'Entry Sheet'!T154</f>
        <v>B. HALL</v>
      </c>
      <c r="E1395" s="13">
        <f>'Entry Sheet'!U154</f>
        <v>21.6</v>
      </c>
      <c r="F1395" s="846" t="s">
        <v>521</v>
      </c>
      <c r="BB1395" s="314"/>
    </row>
    <row r="1396" ht="15.75" customHeight="1">
      <c r="A1396" s="585">
        <v>1395.0</v>
      </c>
      <c r="B1396" s="1017" t="str">
        <f>Settings!$A$10</f>
        <v>MUTTS</v>
      </c>
      <c r="C1396" s="596" t="s">
        <v>106</v>
      </c>
      <c r="D1396" s="13" t="str">
        <f>'Entry Sheet'!T155</f>
        <v/>
      </c>
      <c r="E1396" s="13" t="str">
        <f>'Entry Sheet'!U155</f>
        <v/>
      </c>
      <c r="F1396" s="846" t="s">
        <v>521</v>
      </c>
      <c r="BB1396" s="314"/>
    </row>
    <row r="1397" ht="15.75" customHeight="1">
      <c r="A1397" s="585">
        <v>1396.0</v>
      </c>
      <c r="B1397" s="1017" t="str">
        <f>Settings!$A$10</f>
        <v>MUTTS</v>
      </c>
      <c r="C1397" s="712" t="s">
        <v>117</v>
      </c>
      <c r="D1397" s="13" t="str">
        <f>'Entry Sheet'!T156</f>
        <v>A. ST. BROWN</v>
      </c>
      <c r="E1397" s="13">
        <f>'Entry Sheet'!U156</f>
        <v>16.8</v>
      </c>
      <c r="F1397" s="846" t="s">
        <v>521</v>
      </c>
      <c r="BB1397" s="314"/>
    </row>
    <row r="1398" ht="15.75" customHeight="1">
      <c r="A1398" s="585">
        <v>1397.0</v>
      </c>
      <c r="B1398" s="1017" t="str">
        <f>Settings!$A$10</f>
        <v>MUTTS</v>
      </c>
      <c r="C1398" s="712" t="s">
        <v>117</v>
      </c>
      <c r="D1398" s="13" t="str">
        <f>'Entry Sheet'!T157</f>
        <v>D. SAMUEL</v>
      </c>
      <c r="E1398" s="13">
        <f>'Entry Sheet'!U157</f>
        <v>12.9</v>
      </c>
      <c r="F1398" s="846" t="s">
        <v>521</v>
      </c>
      <c r="BB1398" s="314"/>
    </row>
    <row r="1399" ht="15.75" customHeight="1">
      <c r="A1399" s="585">
        <v>1398.0</v>
      </c>
      <c r="B1399" s="1017" t="str">
        <f>Settings!$A$10</f>
        <v>MUTTS</v>
      </c>
      <c r="C1399" s="712" t="s">
        <v>117</v>
      </c>
      <c r="D1399" s="13" t="str">
        <f>'Entry Sheet'!T158</f>
        <v>C. OLAVE</v>
      </c>
      <c r="E1399" s="13">
        <f>'Entry Sheet'!U158</f>
        <v>22.4</v>
      </c>
      <c r="F1399" s="846" t="s">
        <v>521</v>
      </c>
      <c r="BB1399" s="314"/>
    </row>
    <row r="1400" ht="15.75" customHeight="1">
      <c r="A1400" s="585">
        <v>1399.0</v>
      </c>
      <c r="B1400" s="1017" t="str">
        <f>Settings!$A$10</f>
        <v>MUTTS</v>
      </c>
      <c r="C1400" s="712" t="s">
        <v>117</v>
      </c>
      <c r="D1400" s="13" t="str">
        <f>'Entry Sheet'!T159</f>
        <v/>
      </c>
      <c r="E1400" s="13" t="str">
        <f>'Entry Sheet'!U159</f>
        <v/>
      </c>
      <c r="F1400" s="846" t="s">
        <v>521</v>
      </c>
      <c r="BB1400" s="314"/>
    </row>
    <row r="1401" ht="15.75" customHeight="1">
      <c r="A1401" s="585">
        <v>1400.0</v>
      </c>
      <c r="B1401" s="1017" t="str">
        <f>Settings!$A$10</f>
        <v>MUTTS</v>
      </c>
      <c r="C1401" s="764" t="s">
        <v>132</v>
      </c>
      <c r="D1401" s="13" t="str">
        <f>'Entry Sheet'!T160</f>
        <v>E. ENGRAM</v>
      </c>
      <c r="E1401" s="13">
        <f>'Entry Sheet'!U160</f>
        <v>3.2</v>
      </c>
      <c r="F1401" s="846" t="s">
        <v>521</v>
      </c>
      <c r="BB1401" s="314"/>
    </row>
    <row r="1402" ht="15.75" customHeight="1">
      <c r="A1402" s="585">
        <v>1401.0</v>
      </c>
      <c r="B1402" s="1017" t="str">
        <f>Settings!$A$10</f>
        <v>MUTTS</v>
      </c>
      <c r="C1402" s="795" t="s">
        <v>136</v>
      </c>
      <c r="D1402" s="13" t="str">
        <f>'Entry Sheet'!T161</f>
        <v>J. JENNINGS</v>
      </c>
      <c r="E1402" s="13">
        <f>'Entry Sheet'!U161</f>
        <v>17.1</v>
      </c>
      <c r="F1402" s="846" t="s">
        <v>521</v>
      </c>
      <c r="BB1402" s="314"/>
    </row>
    <row r="1403" ht="15.75" customHeight="1">
      <c r="A1403" s="585">
        <v>1402.0</v>
      </c>
      <c r="B1403" s="1017" t="str">
        <f>Settings!$A$10</f>
        <v>MUTTS</v>
      </c>
      <c r="C1403" s="818" t="s">
        <v>139</v>
      </c>
      <c r="D1403" s="13" t="str">
        <f>'Entry Sheet'!T162</f>
        <v>LAC D/ST</v>
      </c>
      <c r="E1403" s="13">
        <f>'Entry Sheet'!U162</f>
        <v>27.2</v>
      </c>
      <c r="F1403" s="846" t="s">
        <v>521</v>
      </c>
      <c r="BB1403" s="314"/>
    </row>
    <row r="1404" ht="15.75" customHeight="1">
      <c r="A1404" s="585">
        <v>1403.0</v>
      </c>
      <c r="B1404" s="1017" t="str">
        <f>Settings!$A$10</f>
        <v>MUTTS</v>
      </c>
      <c r="C1404" s="833" t="s">
        <v>146</v>
      </c>
      <c r="D1404" s="13" t="str">
        <f>'Entry Sheet'!T163</f>
        <v>C. MCLAUGHLIN</v>
      </c>
      <c r="E1404" s="13">
        <f>'Entry Sheet'!U163</f>
        <v>5</v>
      </c>
      <c r="F1404" s="846" t="s">
        <v>521</v>
      </c>
      <c r="BB1404" s="314"/>
    </row>
    <row r="1405" ht="15.75" customHeight="1">
      <c r="A1405" s="585">
        <v>1404.0</v>
      </c>
      <c r="B1405" s="1017" t="str">
        <f>Settings!$A$10</f>
        <v>MUTTS</v>
      </c>
      <c r="C1405" s="842" t="s">
        <v>162</v>
      </c>
      <c r="D1405" s="13" t="str">
        <f>'Entry Sheet'!T164</f>
        <v>BUF HC</v>
      </c>
      <c r="E1405" s="13">
        <f>'Entry Sheet'!U164</f>
        <v>-2.1</v>
      </c>
      <c r="F1405" s="846" t="s">
        <v>521</v>
      </c>
      <c r="BB1405" s="314"/>
    </row>
    <row r="1406" ht="15.75" hidden="1" customHeight="1">
      <c r="A1406" s="585">
        <v>1405.0</v>
      </c>
      <c r="B1406" s="1017" t="str">
        <f>Settings!$A$10</f>
        <v>MUTTS</v>
      </c>
      <c r="C1406" s="587" t="s">
        <v>100</v>
      </c>
      <c r="D1406" s="13" t="str">
        <f>'Entry Sheet'!V152</f>
        <v>L. JACKSON</v>
      </c>
      <c r="E1406" s="13">
        <f>'Entry Sheet'!W152</f>
        <v>4.12</v>
      </c>
      <c r="F1406" s="589" t="s">
        <v>522</v>
      </c>
      <c r="BB1406" s="314"/>
    </row>
    <row r="1407" ht="15.75" hidden="1" customHeight="1">
      <c r="A1407" s="585">
        <v>1406.0</v>
      </c>
      <c r="B1407" s="1017" t="str">
        <f>Settings!$A$10</f>
        <v>MUTTS</v>
      </c>
      <c r="C1407" s="596" t="s">
        <v>106</v>
      </c>
      <c r="D1407" s="13" t="str">
        <f>'Entry Sheet'!V153</f>
        <v>J. COOK</v>
      </c>
      <c r="E1407" s="13">
        <f>'Entry Sheet'!W153</f>
        <v>22</v>
      </c>
      <c r="F1407" s="589" t="s">
        <v>522</v>
      </c>
      <c r="BB1407" s="314"/>
    </row>
    <row r="1408" ht="15.75" hidden="1" customHeight="1">
      <c r="A1408" s="585">
        <v>1407.0</v>
      </c>
      <c r="B1408" s="1017" t="str">
        <f>Settings!$A$10</f>
        <v>MUTTS</v>
      </c>
      <c r="C1408" s="596" t="s">
        <v>106</v>
      </c>
      <c r="D1408" s="13" t="str">
        <f>'Entry Sheet'!V154</f>
        <v>A. JONES</v>
      </c>
      <c r="E1408" s="13">
        <f>'Entry Sheet'!W154</f>
        <v>12.7</v>
      </c>
      <c r="F1408" s="589" t="s">
        <v>522</v>
      </c>
      <c r="BB1408" s="314"/>
    </row>
    <row r="1409" ht="15.75" hidden="1" customHeight="1">
      <c r="A1409" s="585">
        <v>1408.0</v>
      </c>
      <c r="B1409" s="1017" t="str">
        <f>Settings!$A$10</f>
        <v>MUTTS</v>
      </c>
      <c r="C1409" s="596" t="s">
        <v>106</v>
      </c>
      <c r="D1409" s="13" t="str">
        <f>'Entry Sheet'!V155</f>
        <v/>
      </c>
      <c r="E1409" s="13" t="str">
        <f>'Entry Sheet'!W155</f>
        <v/>
      </c>
      <c r="F1409" s="589" t="s">
        <v>522</v>
      </c>
      <c r="BB1409" s="314"/>
    </row>
    <row r="1410" ht="15.75" hidden="1" customHeight="1">
      <c r="A1410" s="585">
        <v>1409.0</v>
      </c>
      <c r="B1410" s="1017" t="str">
        <f>Settings!$A$10</f>
        <v>MUTTS</v>
      </c>
      <c r="C1410" s="712" t="s">
        <v>117</v>
      </c>
      <c r="D1410" s="13" t="str">
        <f>'Entry Sheet'!V156</f>
        <v>A. ST. BROWN</v>
      </c>
      <c r="E1410" s="13">
        <f>'Entry Sheet'!W156</f>
        <v>6.2</v>
      </c>
      <c r="F1410" s="589" t="s">
        <v>522</v>
      </c>
      <c r="BB1410" s="314"/>
    </row>
    <row r="1411" ht="15.75" hidden="1" customHeight="1">
      <c r="A1411" s="585">
        <v>1410.0</v>
      </c>
      <c r="B1411" s="1017" t="str">
        <f>Settings!$A$10</f>
        <v>MUTTS</v>
      </c>
      <c r="C1411" s="712" t="s">
        <v>117</v>
      </c>
      <c r="D1411" s="13" t="str">
        <f>'Entry Sheet'!V157</f>
        <v>D. SAMUEL</v>
      </c>
      <c r="E1411" s="13">
        <f>'Entry Sheet'!W157</f>
        <v>20.8</v>
      </c>
      <c r="F1411" s="589" t="s">
        <v>522</v>
      </c>
      <c r="BB1411" s="314"/>
    </row>
    <row r="1412" ht="15.75" hidden="1" customHeight="1">
      <c r="A1412" s="585">
        <v>1411.0</v>
      </c>
      <c r="B1412" s="1017" t="str">
        <f>Settings!$A$10</f>
        <v>MUTTS</v>
      </c>
      <c r="C1412" s="712" t="s">
        <v>117</v>
      </c>
      <c r="D1412" s="13" t="str">
        <f>'Entry Sheet'!V158</f>
        <v>J. JENNINGS</v>
      </c>
      <c r="E1412" s="13">
        <f>'Entry Sheet'!W158</f>
        <v>9.4</v>
      </c>
      <c r="F1412" s="589" t="s">
        <v>522</v>
      </c>
      <c r="BB1412" s="314"/>
    </row>
    <row r="1413" ht="15.75" hidden="1" customHeight="1">
      <c r="A1413" s="585">
        <v>1412.0</v>
      </c>
      <c r="B1413" s="1017" t="str">
        <f>Settings!$A$10</f>
        <v>MUTTS</v>
      </c>
      <c r="C1413" s="712" t="s">
        <v>117</v>
      </c>
      <c r="D1413" s="13" t="str">
        <f>'Entry Sheet'!V159</f>
        <v/>
      </c>
      <c r="E1413" s="13" t="str">
        <f>'Entry Sheet'!W159</f>
        <v/>
      </c>
      <c r="F1413" s="589" t="s">
        <v>522</v>
      </c>
      <c r="BB1413" s="314"/>
    </row>
    <row r="1414" ht="15.75" hidden="1" customHeight="1">
      <c r="A1414" s="585">
        <v>1413.0</v>
      </c>
      <c r="B1414" s="1017" t="str">
        <f>Settings!$A$10</f>
        <v>MUTTS</v>
      </c>
      <c r="C1414" s="764" t="s">
        <v>132</v>
      </c>
      <c r="D1414" s="13" t="str">
        <f>'Entry Sheet'!V160</f>
        <v>J. FERGUSON</v>
      </c>
      <c r="E1414" s="13">
        <f>'Entry Sheet'!W160</f>
        <v>11.6</v>
      </c>
      <c r="F1414" s="589" t="s">
        <v>522</v>
      </c>
      <c r="BB1414" s="314"/>
    </row>
    <row r="1415" ht="15.75" hidden="1" customHeight="1">
      <c r="A1415" s="585">
        <v>1414.0</v>
      </c>
      <c r="B1415" s="1017" t="str">
        <f>Settings!$A$10</f>
        <v>MUTTS</v>
      </c>
      <c r="C1415" s="795" t="s">
        <v>136</v>
      </c>
      <c r="D1415" s="13" t="str">
        <f>'Entry Sheet'!V161</f>
        <v>B. HALL</v>
      </c>
      <c r="E1415" s="13">
        <f>'Entry Sheet'!W161</f>
        <v>9.8</v>
      </c>
      <c r="F1415" s="589" t="s">
        <v>522</v>
      </c>
      <c r="BB1415" s="314"/>
    </row>
    <row r="1416" ht="15.75" hidden="1" customHeight="1">
      <c r="A1416" s="585">
        <v>1415.0</v>
      </c>
      <c r="B1416" s="1017" t="str">
        <f>Settings!$A$10</f>
        <v>MUTTS</v>
      </c>
      <c r="C1416" s="818" t="s">
        <v>139</v>
      </c>
      <c r="D1416" s="13" t="str">
        <f>'Entry Sheet'!V162</f>
        <v>LAC D/ST</v>
      </c>
      <c r="E1416" s="13">
        <f>'Entry Sheet'!W162</f>
        <v>4.15</v>
      </c>
      <c r="F1416" s="589" t="s">
        <v>522</v>
      </c>
      <c r="BB1416" s="314"/>
    </row>
    <row r="1417" ht="15.75" hidden="1" customHeight="1">
      <c r="A1417" s="585">
        <v>1416.0</v>
      </c>
      <c r="B1417" s="1017" t="str">
        <f>Settings!$A$10</f>
        <v>MUTTS</v>
      </c>
      <c r="C1417" s="833" t="s">
        <v>146</v>
      </c>
      <c r="D1417" s="13" t="str">
        <f>'Entry Sheet'!V163</f>
        <v>B. AUBREY</v>
      </c>
      <c r="E1417" s="13">
        <f>'Entry Sheet'!W163</f>
        <v>10</v>
      </c>
      <c r="F1417" s="589" t="s">
        <v>522</v>
      </c>
      <c r="BB1417" s="314"/>
    </row>
    <row r="1418" ht="15.75" hidden="1" customHeight="1">
      <c r="A1418" s="585">
        <v>1417.0</v>
      </c>
      <c r="B1418" s="1017" t="str">
        <f>Settings!$A$10</f>
        <v>MUTTS</v>
      </c>
      <c r="C1418" s="842" t="s">
        <v>162</v>
      </c>
      <c r="D1418" s="13" t="str">
        <f>'Entry Sheet'!V164</f>
        <v>DAL HC</v>
      </c>
      <c r="E1418" s="13">
        <f>'Entry Sheet'!W164</f>
        <v>15.9</v>
      </c>
      <c r="F1418" s="589" t="s">
        <v>522</v>
      </c>
      <c r="BB1418" s="314"/>
    </row>
    <row r="1419" ht="15.75" customHeight="1">
      <c r="A1419" s="585">
        <v>1418.0</v>
      </c>
      <c r="B1419" s="1017" t="str">
        <f>Settings!$A$10</f>
        <v>MUTTS</v>
      </c>
      <c r="C1419" s="587" t="s">
        <v>100</v>
      </c>
      <c r="D1419" s="13" t="str">
        <f>'Entry Sheet'!X152</f>
        <v>L. JACKSON</v>
      </c>
      <c r="E1419" s="13">
        <f>'Entry Sheet'!Y152</f>
        <v>8.52</v>
      </c>
      <c r="F1419" s="846" t="s">
        <v>523</v>
      </c>
      <c r="BB1419" s="314"/>
    </row>
    <row r="1420" ht="15.75" customHeight="1">
      <c r="A1420" s="585">
        <v>1419.0</v>
      </c>
      <c r="B1420" s="1017" t="str">
        <f>Settings!$A$10</f>
        <v>MUTTS</v>
      </c>
      <c r="C1420" s="596" t="s">
        <v>106</v>
      </c>
      <c r="D1420" s="13" t="str">
        <f>'Entry Sheet'!X153</f>
        <v>J. COOK</v>
      </c>
      <c r="E1420" s="13">
        <f>'Entry Sheet'!Y153</f>
        <v>24.6</v>
      </c>
      <c r="F1420" s="846" t="s">
        <v>523</v>
      </c>
      <c r="BB1420" s="314"/>
    </row>
    <row r="1421" ht="15.75" customHeight="1">
      <c r="A1421" s="585">
        <v>1420.0</v>
      </c>
      <c r="B1421" s="1017" t="str">
        <f>Settings!$A$10</f>
        <v>MUTTS</v>
      </c>
      <c r="C1421" s="596" t="s">
        <v>106</v>
      </c>
      <c r="D1421" s="13" t="str">
        <f>'Entry Sheet'!X154</f>
        <v>A. JONES</v>
      </c>
      <c r="E1421" s="13">
        <f>'Entry Sheet'!Y154</f>
        <v>9.6</v>
      </c>
      <c r="F1421" s="846" t="s">
        <v>523</v>
      </c>
      <c r="BB1421" s="314"/>
    </row>
    <row r="1422" ht="15.75" customHeight="1">
      <c r="A1422" s="585">
        <v>1421.0</v>
      </c>
      <c r="B1422" s="1017" t="str">
        <f>Settings!$A$10</f>
        <v>MUTTS</v>
      </c>
      <c r="C1422" s="596" t="s">
        <v>106</v>
      </c>
      <c r="D1422" s="13" t="str">
        <f>'Entry Sheet'!X155</f>
        <v/>
      </c>
      <c r="E1422" s="13" t="str">
        <f>'Entry Sheet'!Y155</f>
        <v/>
      </c>
      <c r="F1422" s="846" t="s">
        <v>523</v>
      </c>
      <c r="BB1422" s="314"/>
    </row>
    <row r="1423" ht="15.75" customHeight="1">
      <c r="A1423" s="585">
        <v>1422.0</v>
      </c>
      <c r="B1423" s="1017" t="str">
        <f>Settings!$A$10</f>
        <v>MUTTS</v>
      </c>
      <c r="C1423" s="712" t="s">
        <v>117</v>
      </c>
      <c r="D1423" s="13" t="str">
        <f>'Entry Sheet'!X156</f>
        <v>A. ST. BROWN</v>
      </c>
      <c r="E1423" s="13">
        <f>'Entry Sheet'!Y156</f>
        <v>30.9</v>
      </c>
      <c r="F1423" s="846" t="s">
        <v>523</v>
      </c>
      <c r="BB1423" s="314"/>
    </row>
    <row r="1424" ht="15.75" customHeight="1">
      <c r="A1424" s="585">
        <v>1423.0</v>
      </c>
      <c r="B1424" s="1017" t="str">
        <f>Settings!$A$10</f>
        <v>MUTTS</v>
      </c>
      <c r="C1424" s="712" t="s">
        <v>117</v>
      </c>
      <c r="D1424" s="13" t="str">
        <f>'Entry Sheet'!X157</f>
        <v>C. OLAVE</v>
      </c>
      <c r="E1424" s="13">
        <f>'Entry Sheet'!Y157</f>
        <v>16</v>
      </c>
      <c r="F1424" s="846" t="s">
        <v>523</v>
      </c>
      <c r="BB1424" s="314"/>
    </row>
    <row r="1425" ht="15.75" customHeight="1">
      <c r="A1425" s="585">
        <v>1424.0</v>
      </c>
      <c r="B1425" s="1017" t="str">
        <f>Settings!$A$10</f>
        <v>MUTTS</v>
      </c>
      <c r="C1425" s="712" t="s">
        <v>117</v>
      </c>
      <c r="D1425" s="13" t="str">
        <f>'Entry Sheet'!X158</f>
        <v>J. JENNINGS</v>
      </c>
      <c r="E1425" s="13">
        <f>'Entry Sheet'!Y158</f>
        <v>15.1</v>
      </c>
      <c r="F1425" s="846" t="s">
        <v>523</v>
      </c>
      <c r="BB1425" s="314"/>
    </row>
    <row r="1426" ht="15.75" customHeight="1">
      <c r="A1426" s="585">
        <v>1425.0</v>
      </c>
      <c r="B1426" s="1017" t="str">
        <f>Settings!$A$10</f>
        <v>MUTTS</v>
      </c>
      <c r="C1426" s="712" t="s">
        <v>117</v>
      </c>
      <c r="D1426" s="13" t="str">
        <f>'Entry Sheet'!X159</f>
        <v/>
      </c>
      <c r="E1426" s="13" t="str">
        <f>'Entry Sheet'!Y159</f>
        <v/>
      </c>
      <c r="F1426" s="846" t="s">
        <v>523</v>
      </c>
      <c r="BB1426" s="314"/>
    </row>
    <row r="1427" ht="15.75" customHeight="1">
      <c r="A1427" s="585">
        <v>1426.0</v>
      </c>
      <c r="B1427" s="1017" t="str">
        <f>Settings!$A$10</f>
        <v>MUTTS</v>
      </c>
      <c r="C1427" s="764" t="s">
        <v>132</v>
      </c>
      <c r="D1427" s="13" t="str">
        <f>'Entry Sheet'!X160</f>
        <v>J. FERGUSON</v>
      </c>
      <c r="E1427" s="13">
        <f>'Entry Sheet'!Y160</f>
        <v>11.2</v>
      </c>
      <c r="F1427" s="846" t="s">
        <v>523</v>
      </c>
      <c r="BB1427" s="314"/>
    </row>
    <row r="1428" ht="15.75" customHeight="1">
      <c r="A1428" s="585">
        <v>1427.0</v>
      </c>
      <c r="B1428" s="1017" t="str">
        <f>Settings!$A$10</f>
        <v>MUTTS</v>
      </c>
      <c r="C1428" s="795" t="s">
        <v>136</v>
      </c>
      <c r="D1428" s="13" t="str">
        <f>'Entry Sheet'!X161</f>
        <v>B. HALL</v>
      </c>
      <c r="E1428" s="13">
        <f>'Entry Sheet'!Y161</f>
        <v>15.5</v>
      </c>
      <c r="F1428" s="846" t="s">
        <v>523</v>
      </c>
      <c r="BB1428" s="314"/>
    </row>
    <row r="1429" ht="15.75" customHeight="1">
      <c r="A1429" s="585">
        <v>1428.0</v>
      </c>
      <c r="B1429" s="1017" t="str">
        <f>Settings!$A$10</f>
        <v>MUTTS</v>
      </c>
      <c r="C1429" s="818" t="s">
        <v>139</v>
      </c>
      <c r="D1429" s="13" t="str">
        <f>'Entry Sheet'!X162</f>
        <v>PIT D/ST</v>
      </c>
      <c r="E1429" s="13">
        <f>'Entry Sheet'!Y162</f>
        <v>16.07</v>
      </c>
      <c r="F1429" s="846" t="s">
        <v>523</v>
      </c>
      <c r="BB1429" s="314"/>
    </row>
    <row r="1430" ht="15.75" customHeight="1">
      <c r="A1430" s="585">
        <v>1429.0</v>
      </c>
      <c r="B1430" s="1017" t="str">
        <f>Settings!$A$10</f>
        <v>MUTTS</v>
      </c>
      <c r="C1430" s="833" t="s">
        <v>146</v>
      </c>
      <c r="D1430" s="13" t="str">
        <f>'Entry Sheet'!X163</f>
        <v>B. AUBREY</v>
      </c>
      <c r="E1430" s="13">
        <f>'Entry Sheet'!Y163</f>
        <v>6</v>
      </c>
      <c r="F1430" s="846" t="s">
        <v>523</v>
      </c>
      <c r="BB1430" s="314"/>
    </row>
    <row r="1431" ht="15.75" customHeight="1">
      <c r="A1431" s="585">
        <v>1430.0</v>
      </c>
      <c r="B1431" s="1017" t="str">
        <f>Settings!$A$10</f>
        <v>MUTTS</v>
      </c>
      <c r="C1431" s="842" t="s">
        <v>162</v>
      </c>
      <c r="D1431" s="13" t="str">
        <f>'Entry Sheet'!X164</f>
        <v>BUF HC</v>
      </c>
      <c r="E1431" s="13">
        <f>'Entry Sheet'!Y164</f>
        <v>3.7</v>
      </c>
      <c r="F1431" s="846" t="s">
        <v>523</v>
      </c>
      <c r="BB1431" s="314"/>
    </row>
    <row r="1432" ht="15.75" customHeight="1">
      <c r="A1432" s="585">
        <v>1431.0</v>
      </c>
      <c r="B1432" s="1017" t="str">
        <f>Settings!$A$10</f>
        <v>MUTTS</v>
      </c>
      <c r="C1432" s="587" t="s">
        <v>100</v>
      </c>
      <c r="D1432" s="13" t="str">
        <f>'Entry Sheet'!Z152</f>
        <v>L. JACKSON</v>
      </c>
      <c r="E1432" s="13">
        <f>'Entry Sheet'!AA152</f>
        <v>6.74</v>
      </c>
      <c r="F1432" s="589" t="s">
        <v>524</v>
      </c>
      <c r="BB1432" s="314"/>
    </row>
    <row r="1433" ht="15.75" customHeight="1">
      <c r="A1433" s="585">
        <v>1432.0</v>
      </c>
      <c r="B1433" s="1017" t="str">
        <f>Settings!$A$10</f>
        <v>MUTTS</v>
      </c>
      <c r="C1433" s="596" t="s">
        <v>106</v>
      </c>
      <c r="D1433" s="13" t="str">
        <f>'Entry Sheet'!Z153</f>
        <v>J. COOK</v>
      </c>
      <c r="E1433" s="13">
        <f>'Entry Sheet'!AA153</f>
        <v>22.9</v>
      </c>
      <c r="F1433" s="589" t="s">
        <v>524</v>
      </c>
      <c r="BB1433" s="314"/>
    </row>
    <row r="1434" ht="15.75" customHeight="1">
      <c r="A1434" s="585">
        <v>1433.0</v>
      </c>
      <c r="B1434" s="1017" t="str">
        <f>Settings!$A$10</f>
        <v>MUTTS</v>
      </c>
      <c r="C1434" s="596" t="s">
        <v>106</v>
      </c>
      <c r="D1434" s="13" t="str">
        <f>'Entry Sheet'!Z154</f>
        <v>A. JONES</v>
      </c>
      <c r="E1434" s="13">
        <f>'Entry Sheet'!AA154</f>
        <v>5.1</v>
      </c>
      <c r="F1434" s="589" t="s">
        <v>524</v>
      </c>
      <c r="BB1434" s="314"/>
    </row>
    <row r="1435" ht="15.75" customHeight="1">
      <c r="A1435" s="585">
        <v>1434.0</v>
      </c>
      <c r="B1435" s="1017" t="str">
        <f>Settings!$A$10</f>
        <v>MUTTS</v>
      </c>
      <c r="C1435" s="596" t="s">
        <v>106</v>
      </c>
      <c r="D1435" s="13" t="str">
        <f>'Entry Sheet'!Z155</f>
        <v/>
      </c>
      <c r="E1435" s="13" t="str">
        <f>'Entry Sheet'!AA155</f>
        <v/>
      </c>
      <c r="F1435" s="589" t="s">
        <v>524</v>
      </c>
      <c r="BB1435" s="314"/>
    </row>
    <row r="1436" ht="15.75" customHeight="1">
      <c r="A1436" s="585">
        <v>1435.0</v>
      </c>
      <c r="B1436" s="1017" t="str">
        <f>Settings!$A$10</f>
        <v>MUTTS</v>
      </c>
      <c r="C1436" s="712" t="s">
        <v>117</v>
      </c>
      <c r="D1436" s="13" t="str">
        <f>'Entry Sheet'!Z156</f>
        <v>A. ST. BROWN</v>
      </c>
      <c r="E1436" s="13">
        <f>'Entry Sheet'!AA156</f>
        <v>0</v>
      </c>
      <c r="F1436" s="589" t="s">
        <v>524</v>
      </c>
      <c r="BB1436" s="314"/>
    </row>
    <row r="1437" ht="15.75" customHeight="1">
      <c r="A1437" s="585">
        <v>1436.0</v>
      </c>
      <c r="B1437" s="1017" t="str">
        <f>Settings!$A$10</f>
        <v>MUTTS</v>
      </c>
      <c r="C1437" s="712" t="s">
        <v>117</v>
      </c>
      <c r="D1437" s="13" t="str">
        <f>'Entry Sheet'!Z157</f>
        <v>C. OLAVE</v>
      </c>
      <c r="E1437" s="13">
        <f>'Entry Sheet'!AA157</f>
        <v>14.7</v>
      </c>
      <c r="F1437" s="589" t="s">
        <v>524</v>
      </c>
      <c r="BB1437" s="314"/>
    </row>
    <row r="1438" ht="15.75" customHeight="1">
      <c r="A1438" s="585">
        <v>1437.0</v>
      </c>
      <c r="B1438" s="1017" t="str">
        <f>Settings!$A$10</f>
        <v>MUTTS</v>
      </c>
      <c r="C1438" s="712" t="s">
        <v>117</v>
      </c>
      <c r="D1438" s="13" t="str">
        <f>'Entry Sheet'!Z158</f>
        <v>J. JENNINGS</v>
      </c>
      <c r="E1438" s="13">
        <f>'Entry Sheet'!AA158</f>
        <v>13.9</v>
      </c>
      <c r="F1438" s="589" t="s">
        <v>524</v>
      </c>
      <c r="BB1438" s="314"/>
    </row>
    <row r="1439" ht="15.75" customHeight="1">
      <c r="A1439" s="585">
        <v>1438.0</v>
      </c>
      <c r="B1439" s="1017" t="str">
        <f>Settings!$A$10</f>
        <v>MUTTS</v>
      </c>
      <c r="C1439" s="712" t="s">
        <v>117</v>
      </c>
      <c r="D1439" s="13" t="str">
        <f>'Entry Sheet'!Z159</f>
        <v/>
      </c>
      <c r="E1439" s="13" t="str">
        <f>'Entry Sheet'!AA159</f>
        <v/>
      </c>
      <c r="F1439" s="589" t="s">
        <v>524</v>
      </c>
      <c r="BB1439" s="314"/>
    </row>
    <row r="1440" ht="15.75" customHeight="1">
      <c r="A1440" s="585">
        <v>1439.0</v>
      </c>
      <c r="B1440" s="1017" t="str">
        <f>Settings!$A$10</f>
        <v>MUTTS</v>
      </c>
      <c r="C1440" s="764" t="s">
        <v>132</v>
      </c>
      <c r="D1440" s="13" t="str">
        <f>'Entry Sheet'!Z160</f>
        <v>J. FERGUSON</v>
      </c>
      <c r="E1440" s="13">
        <f>'Entry Sheet'!AA160</f>
        <v>8.6</v>
      </c>
      <c r="F1440" s="589" t="s">
        <v>524</v>
      </c>
      <c r="BB1440" s="314"/>
    </row>
    <row r="1441" ht="15.75" customHeight="1">
      <c r="A1441" s="585">
        <v>1440.0</v>
      </c>
      <c r="B1441" s="1017" t="str">
        <f>Settings!$A$10</f>
        <v>MUTTS</v>
      </c>
      <c r="C1441" s="795" t="s">
        <v>136</v>
      </c>
      <c r="D1441" s="13" t="str">
        <f>'Entry Sheet'!Z161</f>
        <v>B. HALL</v>
      </c>
      <c r="E1441" s="13">
        <f>'Entry Sheet'!AA161</f>
        <v>17.5</v>
      </c>
      <c r="F1441" s="589" t="s">
        <v>524</v>
      </c>
      <c r="BB1441" s="314"/>
    </row>
    <row r="1442" ht="15.75" customHeight="1">
      <c r="A1442" s="585">
        <v>1441.0</v>
      </c>
      <c r="B1442" s="1017" t="str">
        <f>Settings!$A$10</f>
        <v>MUTTS</v>
      </c>
      <c r="C1442" s="818" t="s">
        <v>139</v>
      </c>
      <c r="D1442" s="13" t="str">
        <f>'Entry Sheet'!Z162</f>
        <v>LAC D/ST</v>
      </c>
      <c r="E1442" s="13">
        <f>'Entry Sheet'!AA162</f>
        <v>24.84</v>
      </c>
      <c r="F1442" s="589" t="s">
        <v>524</v>
      </c>
      <c r="BB1442" s="314"/>
    </row>
    <row r="1443" ht="15.75" customHeight="1">
      <c r="A1443" s="585">
        <v>1442.0</v>
      </c>
      <c r="B1443" s="1017" t="str">
        <f>Settings!$A$10</f>
        <v>MUTTS</v>
      </c>
      <c r="C1443" s="833" t="s">
        <v>146</v>
      </c>
      <c r="D1443" s="13" t="str">
        <f>'Entry Sheet'!Z163</f>
        <v>B. AUBREY</v>
      </c>
      <c r="E1443" s="13">
        <f>'Entry Sheet'!AA163</f>
        <v>12</v>
      </c>
      <c r="F1443" s="589" t="s">
        <v>524</v>
      </c>
      <c r="BB1443" s="314"/>
    </row>
    <row r="1444" ht="15.75" customHeight="1">
      <c r="A1444" s="585">
        <v>1443.0</v>
      </c>
      <c r="B1444" s="1017" t="str">
        <f>Settings!$A$10</f>
        <v>MUTTS</v>
      </c>
      <c r="C1444" s="842" t="s">
        <v>162</v>
      </c>
      <c r="D1444" s="13" t="str">
        <f>'Entry Sheet'!Z164</f>
        <v>BUF HC</v>
      </c>
      <c r="E1444" s="13">
        <f>'Entry Sheet'!AA164</f>
        <v>13.8</v>
      </c>
      <c r="F1444" s="589" t="s">
        <v>524</v>
      </c>
      <c r="BB1444" s="314"/>
    </row>
    <row r="1445" ht="15.75" customHeight="1">
      <c r="A1445" s="585">
        <v>1444.0</v>
      </c>
      <c r="B1445" s="1017" t="str">
        <f>Settings!$A$10</f>
        <v>MUTTS</v>
      </c>
      <c r="C1445" s="587" t="s">
        <v>100</v>
      </c>
      <c r="D1445" s="13" t="str">
        <f>'Entry Sheet'!AB152</f>
        <v>L. JACKSON</v>
      </c>
      <c r="E1445" s="13">
        <f>'Entry Sheet'!AC152</f>
        <v>23.56</v>
      </c>
      <c r="F1445" s="846" t="s">
        <v>525</v>
      </c>
      <c r="BB1445" s="314"/>
    </row>
    <row r="1446" ht="15.75" customHeight="1">
      <c r="A1446" s="585">
        <v>1445.0</v>
      </c>
      <c r="B1446" s="1017" t="str">
        <f>Settings!$A$10</f>
        <v>MUTTS</v>
      </c>
      <c r="C1446" s="596" t="s">
        <v>106</v>
      </c>
      <c r="D1446" s="13" t="str">
        <f>'Entry Sheet'!AB153</f>
        <v>J. COOK</v>
      </c>
      <c r="E1446" s="13">
        <f>'Entry Sheet'!AC153</f>
        <v>12.9</v>
      </c>
      <c r="F1446" s="846" t="s">
        <v>525</v>
      </c>
      <c r="BB1446" s="314"/>
    </row>
    <row r="1447" ht="15.75" customHeight="1">
      <c r="A1447" s="585">
        <v>1446.0</v>
      </c>
      <c r="B1447" s="1017" t="str">
        <f>Settings!$A$10</f>
        <v>MUTTS</v>
      </c>
      <c r="C1447" s="596" t="s">
        <v>106</v>
      </c>
      <c r="D1447" s="13" t="str">
        <f>'Entry Sheet'!AB154</f>
        <v>A. JONES</v>
      </c>
      <c r="E1447" s="13">
        <f>'Entry Sheet'!AC154</f>
        <v>9</v>
      </c>
      <c r="F1447" s="846" t="s">
        <v>525</v>
      </c>
      <c r="BB1447" s="314"/>
    </row>
    <row r="1448" ht="15.75" customHeight="1">
      <c r="A1448" s="585">
        <v>1447.0</v>
      </c>
      <c r="B1448" s="1017" t="str">
        <f>Settings!$A$10</f>
        <v>MUTTS</v>
      </c>
      <c r="C1448" s="596" t="s">
        <v>106</v>
      </c>
      <c r="D1448" s="13" t="str">
        <f>'Entry Sheet'!AB155</f>
        <v/>
      </c>
      <c r="E1448" s="13" t="str">
        <f>'Entry Sheet'!AC155</f>
        <v/>
      </c>
      <c r="F1448" s="846" t="s">
        <v>525</v>
      </c>
      <c r="BB1448" s="314"/>
    </row>
    <row r="1449" ht="15.75" customHeight="1">
      <c r="A1449" s="585">
        <v>1448.0</v>
      </c>
      <c r="B1449" s="1017" t="str">
        <f>Settings!$A$10</f>
        <v>MUTTS</v>
      </c>
      <c r="C1449" s="712" t="s">
        <v>117</v>
      </c>
      <c r="D1449" s="13" t="str">
        <f>'Entry Sheet'!AB156</f>
        <v>D. SAMUEL</v>
      </c>
      <c r="E1449" s="13">
        <f>'Entry Sheet'!AC156</f>
        <v>11.05</v>
      </c>
      <c r="F1449" s="846" t="s">
        <v>525</v>
      </c>
      <c r="BB1449" s="314"/>
    </row>
    <row r="1450" ht="15.75" customHeight="1">
      <c r="A1450" s="585">
        <v>1449.0</v>
      </c>
      <c r="B1450" s="1017" t="str">
        <f>Settings!$A$10</f>
        <v>MUTTS</v>
      </c>
      <c r="C1450" s="712" t="s">
        <v>117</v>
      </c>
      <c r="D1450" s="13" t="str">
        <f>'Entry Sheet'!AB157</f>
        <v>C. OLAVE</v>
      </c>
      <c r="E1450" s="13">
        <f>'Entry Sheet'!AC157</f>
        <v>6</v>
      </c>
      <c r="F1450" s="846" t="s">
        <v>525</v>
      </c>
      <c r="BB1450" s="314"/>
    </row>
    <row r="1451" ht="15.75" customHeight="1">
      <c r="A1451" s="585">
        <v>1450.0</v>
      </c>
      <c r="B1451" s="1017" t="str">
        <f>Settings!$A$10</f>
        <v>MUTTS</v>
      </c>
      <c r="C1451" s="712" t="s">
        <v>117</v>
      </c>
      <c r="D1451" s="13" t="str">
        <f>'Entry Sheet'!AB158</f>
        <v>B. THOMAS</v>
      </c>
      <c r="E1451" s="13">
        <f>'Entry Sheet'!AC158</f>
        <v>11.7</v>
      </c>
      <c r="F1451" s="846" t="s">
        <v>525</v>
      </c>
      <c r="BB1451" s="314"/>
    </row>
    <row r="1452" ht="15.75" customHeight="1">
      <c r="A1452" s="585">
        <v>1451.0</v>
      </c>
      <c r="B1452" s="1017" t="str">
        <f>Settings!$A$10</f>
        <v>MUTTS</v>
      </c>
      <c r="C1452" s="712" t="s">
        <v>117</v>
      </c>
      <c r="D1452" s="13" t="str">
        <f>'Entry Sheet'!AB159</f>
        <v/>
      </c>
      <c r="E1452" s="13" t="str">
        <f>'Entry Sheet'!AC159</f>
        <v/>
      </c>
      <c r="F1452" s="846" t="s">
        <v>525</v>
      </c>
      <c r="BB1452" s="314"/>
    </row>
    <row r="1453" ht="15.75" customHeight="1">
      <c r="A1453" s="585">
        <v>1452.0</v>
      </c>
      <c r="B1453" s="1017" t="str">
        <f>Settings!$A$10</f>
        <v>MUTTS</v>
      </c>
      <c r="C1453" s="764" t="s">
        <v>132</v>
      </c>
      <c r="D1453" s="13" t="str">
        <f>'Entry Sheet'!AB160</f>
        <v>J. FERGUSON</v>
      </c>
      <c r="E1453" s="13">
        <f>'Entry Sheet'!AC160</f>
        <v>10.8</v>
      </c>
      <c r="F1453" s="846" t="s">
        <v>525</v>
      </c>
      <c r="BB1453" s="314"/>
    </row>
    <row r="1454" ht="15.75" customHeight="1">
      <c r="A1454" s="585">
        <v>1453.0</v>
      </c>
      <c r="B1454" s="1017" t="str">
        <f>Settings!$A$10</f>
        <v>MUTTS</v>
      </c>
      <c r="C1454" s="795" t="s">
        <v>136</v>
      </c>
      <c r="D1454" s="13" t="str">
        <f>'Entry Sheet'!AB161</f>
        <v>B. HALL</v>
      </c>
      <c r="E1454" s="13">
        <f>'Entry Sheet'!AC161</f>
        <v>5.7</v>
      </c>
      <c r="F1454" s="846" t="s">
        <v>525</v>
      </c>
      <c r="BB1454" s="314"/>
    </row>
    <row r="1455" ht="15.75" customHeight="1">
      <c r="A1455" s="585">
        <v>1454.0</v>
      </c>
      <c r="B1455" s="1017" t="str">
        <f>Settings!$A$10</f>
        <v>MUTTS</v>
      </c>
      <c r="C1455" s="818" t="s">
        <v>139</v>
      </c>
      <c r="D1455" s="13" t="str">
        <f>'Entry Sheet'!AB162</f>
        <v>LAC D/ST</v>
      </c>
      <c r="E1455" s="13">
        <f>'Entry Sheet'!AC162</f>
        <v>24.55</v>
      </c>
      <c r="F1455" s="846" t="s">
        <v>525</v>
      </c>
      <c r="BB1455" s="314"/>
    </row>
    <row r="1456" ht="15.75" customHeight="1">
      <c r="A1456" s="585">
        <v>1455.0</v>
      </c>
      <c r="B1456" s="1017" t="str">
        <f>Settings!$A$10</f>
        <v>MUTTS</v>
      </c>
      <c r="C1456" s="833" t="s">
        <v>146</v>
      </c>
      <c r="D1456" s="13" t="str">
        <f>'Entry Sheet'!AB163</f>
        <v>B. AUBREY</v>
      </c>
      <c r="E1456" s="13">
        <f>'Entry Sheet'!AC163</f>
        <v>29</v>
      </c>
      <c r="F1456" s="846" t="s">
        <v>525</v>
      </c>
      <c r="BB1456" s="314"/>
    </row>
    <row r="1457" ht="15.75" customHeight="1">
      <c r="A1457" s="585">
        <v>1456.0</v>
      </c>
      <c r="B1457" s="1017" t="str">
        <f>Settings!$A$10</f>
        <v>MUTTS</v>
      </c>
      <c r="C1457" s="842" t="s">
        <v>162</v>
      </c>
      <c r="D1457" s="13" t="str">
        <f>'Entry Sheet'!AB164</f>
        <v>BUF HC</v>
      </c>
      <c r="E1457" s="13">
        <f>'Entry Sheet'!AC164</f>
        <v>14.7</v>
      </c>
      <c r="F1457" s="846" t="s">
        <v>525</v>
      </c>
      <c r="BB1457" s="314"/>
    </row>
    <row r="1458" ht="15.75" customHeight="1">
      <c r="A1458" s="585">
        <v>1456.0</v>
      </c>
      <c r="B1458" s="1044" t="str">
        <f>Settings!$A$11</f>
        <v>EAGLES</v>
      </c>
      <c r="C1458" s="587" t="s">
        <v>100</v>
      </c>
      <c r="D1458" s="13" t="str">
        <f>'Entry Sheet'!B173</f>
        <v>J. ALLEN</v>
      </c>
      <c r="E1458" s="13">
        <f>'Entry Sheet'!C173</f>
        <v>49.16</v>
      </c>
      <c r="F1458" s="589" t="s">
        <v>512</v>
      </c>
      <c r="BB1458" s="314"/>
    </row>
    <row r="1459" ht="15.75" customHeight="1">
      <c r="A1459" s="585">
        <v>1456.0</v>
      </c>
      <c r="B1459" s="1044" t="str">
        <f>Settings!$A$11</f>
        <v>EAGLES</v>
      </c>
      <c r="C1459" s="596" t="s">
        <v>106</v>
      </c>
      <c r="D1459" s="13" t="str">
        <f>'Entry Sheet'!B174</f>
        <v>A. KAMARA</v>
      </c>
      <c r="E1459" s="13">
        <f>'Entry Sheet'!C174</f>
        <v>14.8</v>
      </c>
      <c r="F1459" s="589" t="s">
        <v>512</v>
      </c>
      <c r="BB1459" s="314"/>
    </row>
    <row r="1460" ht="15.75" customHeight="1">
      <c r="A1460" s="585">
        <v>1456.0</v>
      </c>
      <c r="B1460" s="1044" t="str">
        <f>Settings!$A$11</f>
        <v>EAGLES</v>
      </c>
      <c r="C1460" s="596" t="s">
        <v>106</v>
      </c>
      <c r="D1460" s="13" t="str">
        <f>'Entry Sheet'!B175</f>
        <v>T. POLLARD</v>
      </c>
      <c r="E1460" s="13">
        <f>'Entry Sheet'!C175</f>
        <v>9.7</v>
      </c>
      <c r="F1460" s="589" t="s">
        <v>512</v>
      </c>
      <c r="BB1460" s="314"/>
    </row>
    <row r="1461" ht="15.75" customHeight="1">
      <c r="A1461" s="585">
        <v>1456.0</v>
      </c>
      <c r="B1461" s="1044" t="str">
        <f>Settings!$A$11</f>
        <v>EAGLES</v>
      </c>
      <c r="C1461" s="596" t="s">
        <v>106</v>
      </c>
      <c r="D1461" s="13" t="str">
        <f>'Entry Sheet'!B176</f>
        <v/>
      </c>
      <c r="E1461" s="13" t="str">
        <f>'Entry Sheet'!C176</f>
        <v/>
      </c>
      <c r="F1461" s="589" t="s">
        <v>512</v>
      </c>
      <c r="BB1461" s="314"/>
    </row>
    <row r="1462" ht="15.75" customHeight="1">
      <c r="A1462" s="585">
        <v>1456.0</v>
      </c>
      <c r="B1462" s="1044" t="str">
        <f>Settings!$A$11</f>
        <v>EAGLES</v>
      </c>
      <c r="C1462" s="712" t="s">
        <v>117</v>
      </c>
      <c r="D1462" s="13" t="str">
        <f>'Entry Sheet'!B177</f>
        <v>M. NABERS</v>
      </c>
      <c r="E1462" s="13">
        <f>'Entry Sheet'!C177</f>
        <v>12.1</v>
      </c>
      <c r="F1462" s="589" t="s">
        <v>512</v>
      </c>
      <c r="BB1462" s="314"/>
    </row>
    <row r="1463" ht="15.75" customHeight="1">
      <c r="A1463" s="585">
        <v>1456.0</v>
      </c>
      <c r="B1463" s="1044" t="str">
        <f>Settings!$A$11</f>
        <v>EAGLES</v>
      </c>
      <c r="C1463" s="712" t="s">
        <v>117</v>
      </c>
      <c r="D1463" s="13" t="str">
        <f>'Entry Sheet'!B178</f>
        <v>X. WORTHY</v>
      </c>
      <c r="E1463" s="13">
        <f>'Entry Sheet'!C178</f>
        <v>0.1</v>
      </c>
      <c r="F1463" s="589" t="s">
        <v>512</v>
      </c>
      <c r="BB1463" s="314"/>
    </row>
    <row r="1464" ht="15.75" customHeight="1">
      <c r="A1464" s="585">
        <v>1456.0</v>
      </c>
      <c r="B1464" s="1044" t="str">
        <f>Settings!$A$11</f>
        <v>EAGLES</v>
      </c>
      <c r="C1464" s="712" t="s">
        <v>117</v>
      </c>
      <c r="D1464" s="13" t="str">
        <f>'Entry Sheet'!B179</f>
        <v>D. SMITH</v>
      </c>
      <c r="E1464" s="13">
        <f>'Entry Sheet'!C179</f>
        <v>4.6</v>
      </c>
      <c r="F1464" s="589" t="s">
        <v>512</v>
      </c>
      <c r="BB1464" s="314"/>
    </row>
    <row r="1465" ht="15.75" customHeight="1">
      <c r="A1465" s="585">
        <v>1456.0</v>
      </c>
      <c r="B1465" s="1044" t="str">
        <f>Settings!$A$11</f>
        <v>EAGLES</v>
      </c>
      <c r="C1465" s="712" t="s">
        <v>117</v>
      </c>
      <c r="D1465" s="13" t="str">
        <f>'Entry Sheet'!B180</f>
        <v/>
      </c>
      <c r="E1465" s="13" t="str">
        <f>'Entry Sheet'!C180</f>
        <v/>
      </c>
      <c r="F1465" s="589" t="s">
        <v>512</v>
      </c>
      <c r="BB1465" s="314"/>
    </row>
    <row r="1466" ht="15.75" customHeight="1">
      <c r="A1466" s="585">
        <v>1456.0</v>
      </c>
      <c r="B1466" s="1044" t="str">
        <f>Settings!$A$11</f>
        <v>EAGLES</v>
      </c>
      <c r="C1466" s="764" t="s">
        <v>132</v>
      </c>
      <c r="D1466" s="13" t="str">
        <f>'Entry Sheet'!B181</f>
        <v>G. KITTLE</v>
      </c>
      <c r="E1466" s="13">
        <f>'Entry Sheet'!C181</f>
        <v>12.5</v>
      </c>
      <c r="F1466" s="589" t="s">
        <v>512</v>
      </c>
      <c r="BB1466" s="314"/>
    </row>
    <row r="1467" ht="15.75" customHeight="1">
      <c r="A1467" s="585">
        <v>1456.0</v>
      </c>
      <c r="B1467" s="1044" t="str">
        <f>Settings!$A$11</f>
        <v>EAGLES</v>
      </c>
      <c r="C1467" s="795" t="s">
        <v>136</v>
      </c>
      <c r="D1467" s="13" t="str">
        <f>'Entry Sheet'!B182</f>
        <v>G. PICKENS</v>
      </c>
      <c r="E1467" s="13">
        <f>'Entry Sheet'!C182</f>
        <v>6</v>
      </c>
      <c r="F1467" s="589" t="s">
        <v>512</v>
      </c>
      <c r="BB1467" s="314"/>
    </row>
    <row r="1468" ht="15.75" customHeight="1">
      <c r="A1468" s="585">
        <v>1456.0</v>
      </c>
      <c r="B1468" s="1044" t="str">
        <f>Settings!$A$11</f>
        <v>EAGLES</v>
      </c>
      <c r="C1468" s="818" t="s">
        <v>139</v>
      </c>
      <c r="D1468" s="13" t="str">
        <f>'Entry Sheet'!B183</f>
        <v>DEN D/ST</v>
      </c>
      <c r="E1468" s="13">
        <f>'Entry Sheet'!C183</f>
        <v>31.86</v>
      </c>
      <c r="F1468" s="589" t="s">
        <v>512</v>
      </c>
      <c r="BB1468" s="314"/>
    </row>
    <row r="1469" ht="15.75" customHeight="1">
      <c r="A1469" s="585">
        <v>1456.0</v>
      </c>
      <c r="B1469" s="1044" t="str">
        <f>Settings!$A$11</f>
        <v>EAGLES</v>
      </c>
      <c r="C1469" s="833" t="s">
        <v>146</v>
      </c>
      <c r="D1469" s="13" t="str">
        <f>'Entry Sheet'!B184</f>
        <v>J. BATES</v>
      </c>
      <c r="E1469" s="13">
        <f>'Entry Sheet'!C184</f>
        <v>7</v>
      </c>
      <c r="F1469" s="589" t="s">
        <v>512</v>
      </c>
      <c r="BB1469" s="314"/>
    </row>
    <row r="1470" ht="15.75" customHeight="1">
      <c r="A1470" s="585">
        <v>1456.0</v>
      </c>
      <c r="B1470" s="1044" t="str">
        <f>Settings!$A$11</f>
        <v>EAGLES</v>
      </c>
      <c r="C1470" s="842" t="s">
        <v>162</v>
      </c>
      <c r="D1470" s="13" t="str">
        <f>'Entry Sheet'!B185</f>
        <v>KC HC</v>
      </c>
      <c r="E1470" s="13">
        <f>'Entry Sheet'!C185</f>
        <v>3.3</v>
      </c>
      <c r="F1470" s="589" t="s">
        <v>512</v>
      </c>
      <c r="BB1470" s="314"/>
    </row>
    <row r="1471" ht="15.75" customHeight="1">
      <c r="A1471" s="585">
        <v>1456.0</v>
      </c>
      <c r="B1471" s="1044" t="str">
        <f>Settings!$A$11</f>
        <v>EAGLES</v>
      </c>
      <c r="C1471" s="587" t="s">
        <v>100</v>
      </c>
      <c r="D1471" s="13" t="str">
        <f>'Entry Sheet'!D173</f>
        <v>J. ALLEN</v>
      </c>
      <c r="E1471" s="13">
        <f>'Entry Sheet'!E173</f>
        <v>13.02</v>
      </c>
      <c r="F1471" s="846" t="s">
        <v>513</v>
      </c>
      <c r="BB1471" s="314"/>
    </row>
    <row r="1472" ht="15.75" customHeight="1">
      <c r="A1472" s="585">
        <v>1456.0</v>
      </c>
      <c r="B1472" s="1044" t="str">
        <f>Settings!$A$11</f>
        <v>EAGLES</v>
      </c>
      <c r="C1472" s="596" t="s">
        <v>106</v>
      </c>
      <c r="D1472" s="13" t="str">
        <f>'Entry Sheet'!D174</f>
        <v>A. KAMARA</v>
      </c>
      <c r="E1472" s="13">
        <f>'Entry Sheet'!E174</f>
        <v>18.1</v>
      </c>
      <c r="F1472" s="846" t="s">
        <v>513</v>
      </c>
      <c r="BB1472" s="314"/>
    </row>
    <row r="1473" ht="15.75" customHeight="1">
      <c r="A1473" s="585">
        <v>1456.0</v>
      </c>
      <c r="B1473" s="1044" t="str">
        <f>Settings!$A$11</f>
        <v>EAGLES</v>
      </c>
      <c r="C1473" s="596" t="s">
        <v>106</v>
      </c>
      <c r="D1473" s="13" t="str">
        <f>'Entry Sheet'!D175</f>
        <v>T. POLLARD</v>
      </c>
      <c r="E1473" s="13">
        <f>'Entry Sheet'!E175</f>
        <v>11.2</v>
      </c>
      <c r="F1473" s="846" t="s">
        <v>513</v>
      </c>
      <c r="BB1473" s="314"/>
    </row>
    <row r="1474" ht="15.75" customHeight="1">
      <c r="A1474" s="585">
        <v>1456.0</v>
      </c>
      <c r="B1474" s="1044" t="str">
        <f>Settings!$A$11</f>
        <v>EAGLES</v>
      </c>
      <c r="C1474" s="596" t="s">
        <v>106</v>
      </c>
      <c r="D1474" s="13" t="str">
        <f>'Entry Sheet'!D176</f>
        <v/>
      </c>
      <c r="E1474" s="13" t="str">
        <f>'Entry Sheet'!E176</f>
        <v/>
      </c>
      <c r="F1474" s="846" t="s">
        <v>513</v>
      </c>
      <c r="BB1474" s="314"/>
    </row>
    <row r="1475" ht="15.75" customHeight="1">
      <c r="A1475" s="585">
        <v>1456.0</v>
      </c>
      <c r="B1475" s="1044" t="str">
        <f>Settings!$A$11</f>
        <v>EAGLES</v>
      </c>
      <c r="C1475" s="712" t="s">
        <v>117</v>
      </c>
      <c r="D1475" s="13" t="str">
        <f>'Entry Sheet'!D177</f>
        <v>M. NABERS</v>
      </c>
      <c r="E1475" s="13">
        <f>'Entry Sheet'!E177</f>
        <v>38.7</v>
      </c>
      <c r="F1475" s="846" t="s">
        <v>513</v>
      </c>
      <c r="BB1475" s="314"/>
    </row>
    <row r="1476" ht="15.75" customHeight="1">
      <c r="A1476" s="585">
        <v>1456.0</v>
      </c>
      <c r="B1476" s="1044" t="str">
        <f>Settings!$A$11</f>
        <v>EAGLES</v>
      </c>
      <c r="C1476" s="712" t="s">
        <v>117</v>
      </c>
      <c r="D1476" s="13" t="str">
        <f>'Entry Sheet'!D178</f>
        <v>D. SMITH</v>
      </c>
      <c r="E1476" s="13">
        <f>'Entry Sheet'!E178</f>
        <v>9.3</v>
      </c>
      <c r="F1476" s="846" t="s">
        <v>513</v>
      </c>
      <c r="BB1476" s="314"/>
    </row>
    <row r="1477" ht="15.75" customHeight="1">
      <c r="A1477" s="585">
        <v>1456.0</v>
      </c>
      <c r="B1477" s="1044" t="str">
        <f>Settings!$A$11</f>
        <v>EAGLES</v>
      </c>
      <c r="C1477" s="712" t="s">
        <v>117</v>
      </c>
      <c r="D1477" s="13" t="str">
        <f>'Entry Sheet'!D179</f>
        <v>D. DOUGLAS</v>
      </c>
      <c r="E1477" s="13">
        <f>'Entry Sheet'!E179</f>
        <v>1.8</v>
      </c>
      <c r="F1477" s="846" t="s">
        <v>513</v>
      </c>
      <c r="BB1477" s="314"/>
    </row>
    <row r="1478" ht="15.75" customHeight="1">
      <c r="A1478" s="585">
        <v>1456.0</v>
      </c>
      <c r="B1478" s="1044" t="str">
        <f>Settings!$A$11</f>
        <v>EAGLES</v>
      </c>
      <c r="C1478" s="712" t="s">
        <v>117</v>
      </c>
      <c r="D1478" s="13" t="str">
        <f>'Entry Sheet'!D180</f>
        <v/>
      </c>
      <c r="E1478" s="13" t="str">
        <f>'Entry Sheet'!E180</f>
        <v/>
      </c>
      <c r="F1478" s="846" t="s">
        <v>513</v>
      </c>
      <c r="BB1478" s="314"/>
    </row>
    <row r="1479" ht="15.75" customHeight="1">
      <c r="A1479" s="585">
        <v>1456.0</v>
      </c>
      <c r="B1479" s="1044" t="str">
        <f>Settings!$A$11</f>
        <v>EAGLES</v>
      </c>
      <c r="C1479" s="764" t="s">
        <v>132</v>
      </c>
      <c r="D1479" s="13" t="str">
        <f>'Entry Sheet'!D181</f>
        <v>G. KITTLE</v>
      </c>
      <c r="E1479" s="13">
        <f>'Entry Sheet'!E181</f>
        <v>0</v>
      </c>
      <c r="F1479" s="846" t="s">
        <v>513</v>
      </c>
      <c r="BB1479" s="314"/>
    </row>
    <row r="1480" ht="15.75" customHeight="1">
      <c r="A1480" s="585">
        <v>1456.0</v>
      </c>
      <c r="B1480" s="1044" t="str">
        <f>Settings!$A$11</f>
        <v>EAGLES</v>
      </c>
      <c r="C1480" s="795" t="s">
        <v>136</v>
      </c>
      <c r="D1480" s="13" t="str">
        <f>'Entry Sheet'!D182</f>
        <v>G. PICKENS</v>
      </c>
      <c r="E1480" s="13">
        <f>'Entry Sheet'!E182</f>
        <v>17.8</v>
      </c>
      <c r="F1480" s="846" t="s">
        <v>513</v>
      </c>
      <c r="BB1480" s="314"/>
    </row>
    <row r="1481" ht="15.75" customHeight="1">
      <c r="A1481" s="585">
        <v>1456.0</v>
      </c>
      <c r="B1481" s="1044" t="str">
        <f>Settings!$A$11</f>
        <v>EAGLES</v>
      </c>
      <c r="C1481" s="818" t="s">
        <v>139</v>
      </c>
      <c r="D1481" s="13" t="str">
        <f>'Entry Sheet'!D183</f>
        <v>DEN D/ST</v>
      </c>
      <c r="E1481" s="13">
        <f>'Entry Sheet'!E183</f>
        <v>-1.9</v>
      </c>
      <c r="F1481" s="846" t="s">
        <v>513</v>
      </c>
      <c r="BB1481" s="314"/>
    </row>
    <row r="1482" ht="15.75" customHeight="1">
      <c r="A1482" s="585">
        <v>1456.0</v>
      </c>
      <c r="B1482" s="1044" t="str">
        <f>Settings!$A$11</f>
        <v>EAGLES</v>
      </c>
      <c r="C1482" s="833" t="s">
        <v>146</v>
      </c>
      <c r="D1482" s="13" t="str">
        <f>'Entry Sheet'!D184</f>
        <v>J. BATES</v>
      </c>
      <c r="E1482" s="13">
        <f>'Entry Sheet'!E184</f>
        <v>9</v>
      </c>
      <c r="F1482" s="846" t="s">
        <v>513</v>
      </c>
      <c r="BB1482" s="314"/>
    </row>
    <row r="1483" ht="15.75" customHeight="1">
      <c r="A1483" s="585">
        <v>1456.0</v>
      </c>
      <c r="B1483" s="1044" t="str">
        <f>Settings!$A$11</f>
        <v>EAGLES</v>
      </c>
      <c r="C1483" s="842" t="s">
        <v>162</v>
      </c>
      <c r="D1483" s="13" t="str">
        <f>'Entry Sheet'!D185</f>
        <v>KC HC</v>
      </c>
      <c r="E1483" s="13">
        <f>'Entry Sheet'!E185</f>
        <v>3.1</v>
      </c>
      <c r="F1483" s="846" t="s">
        <v>513</v>
      </c>
      <c r="BB1483" s="314"/>
    </row>
    <row r="1484" ht="15.75" customHeight="1">
      <c r="A1484" s="585">
        <v>1456.0</v>
      </c>
      <c r="B1484" s="1044" t="str">
        <f>Settings!$A$11</f>
        <v>EAGLES</v>
      </c>
      <c r="C1484" s="587" t="s">
        <v>100</v>
      </c>
      <c r="D1484" s="13" t="str">
        <f>'Entry Sheet'!F173</f>
        <v>J. ALLEN</v>
      </c>
      <c r="E1484" s="13">
        <f>'Entry Sheet'!G173</f>
        <v>32.62</v>
      </c>
      <c r="F1484" s="589" t="s">
        <v>514</v>
      </c>
      <c r="BB1484" s="314"/>
    </row>
    <row r="1485" ht="15.75" customHeight="1">
      <c r="A1485" s="585">
        <v>1456.0</v>
      </c>
      <c r="B1485" s="1044" t="str">
        <f>Settings!$A$11</f>
        <v>EAGLES</v>
      </c>
      <c r="C1485" s="596" t="s">
        <v>106</v>
      </c>
      <c r="D1485" s="13" t="str">
        <f>'Entry Sheet'!F174</f>
        <v>A. KAMARA</v>
      </c>
      <c r="E1485" s="13">
        <f>'Entry Sheet'!G174</f>
        <v>8.4</v>
      </c>
      <c r="F1485" s="589" t="s">
        <v>514</v>
      </c>
      <c r="BB1485" s="314"/>
    </row>
    <row r="1486" ht="15.75" customHeight="1">
      <c r="A1486" s="585">
        <v>1456.0</v>
      </c>
      <c r="B1486" s="1044" t="str">
        <f>Settings!$A$11</f>
        <v>EAGLES</v>
      </c>
      <c r="C1486" s="596" t="s">
        <v>106</v>
      </c>
      <c r="D1486" s="13" t="str">
        <f>'Entry Sheet'!F175</f>
        <v>J. WILLIAMS</v>
      </c>
      <c r="E1486" s="13">
        <f>'Entry Sheet'!G175</f>
        <v>13.2</v>
      </c>
      <c r="F1486" s="589" t="s">
        <v>514</v>
      </c>
      <c r="BB1486" s="314"/>
    </row>
    <row r="1487" ht="15.75" customHeight="1">
      <c r="A1487" s="585">
        <v>1456.0</v>
      </c>
      <c r="B1487" s="1044" t="str">
        <f>Settings!$A$11</f>
        <v>EAGLES</v>
      </c>
      <c r="C1487" s="596" t="s">
        <v>106</v>
      </c>
      <c r="D1487" s="13" t="str">
        <f>'Entry Sheet'!F176</f>
        <v/>
      </c>
      <c r="E1487" s="13" t="str">
        <f>'Entry Sheet'!G176</f>
        <v/>
      </c>
      <c r="F1487" s="589" t="s">
        <v>514</v>
      </c>
      <c r="BB1487" s="314"/>
    </row>
    <row r="1488" ht="15.75" customHeight="1">
      <c r="A1488" s="585">
        <v>1456.0</v>
      </c>
      <c r="B1488" s="1044" t="str">
        <f>Settings!$A$11</f>
        <v>EAGLES</v>
      </c>
      <c r="C1488" s="712" t="s">
        <v>117</v>
      </c>
      <c r="D1488" s="13" t="str">
        <f>'Entry Sheet'!F177</f>
        <v>M. NABERS</v>
      </c>
      <c r="E1488" s="13">
        <f>'Entry Sheet'!G177</f>
        <v>3.3</v>
      </c>
      <c r="F1488" s="589" t="s">
        <v>514</v>
      </c>
      <c r="BB1488" s="314"/>
    </row>
    <row r="1489" ht="15.75" customHeight="1">
      <c r="A1489" s="585">
        <v>1456.0</v>
      </c>
      <c r="B1489" s="1044" t="str">
        <f>Settings!$A$11</f>
        <v>EAGLES</v>
      </c>
      <c r="C1489" s="712" t="s">
        <v>117</v>
      </c>
      <c r="D1489" s="13" t="str">
        <f>'Entry Sheet'!F178</f>
        <v>D. DOUGLAS</v>
      </c>
      <c r="E1489" s="13">
        <f>'Entry Sheet'!G178</f>
        <v>2.7</v>
      </c>
      <c r="F1489" s="589" t="s">
        <v>514</v>
      </c>
      <c r="BB1489" s="314"/>
    </row>
    <row r="1490" ht="15.75" customHeight="1">
      <c r="A1490" s="585">
        <v>1456.0</v>
      </c>
      <c r="B1490" s="1044" t="str">
        <f>Settings!$A$11</f>
        <v>EAGLES</v>
      </c>
      <c r="C1490" s="712" t="s">
        <v>117</v>
      </c>
      <c r="D1490" s="13" t="str">
        <f>'Entry Sheet'!F179</f>
        <v>T. FRANKLIN</v>
      </c>
      <c r="E1490" s="13">
        <f>'Entry Sheet'!G179</f>
        <v>2.8</v>
      </c>
      <c r="F1490" s="589" t="s">
        <v>514</v>
      </c>
      <c r="BB1490" s="314"/>
    </row>
    <row r="1491" ht="15.75" customHeight="1">
      <c r="A1491" s="585">
        <v>1456.0</v>
      </c>
      <c r="B1491" s="1044" t="str">
        <f>Settings!$A$11</f>
        <v>EAGLES</v>
      </c>
      <c r="C1491" s="712" t="s">
        <v>117</v>
      </c>
      <c r="D1491" s="13" t="str">
        <f>'Entry Sheet'!F180</f>
        <v/>
      </c>
      <c r="E1491" s="13" t="str">
        <f>'Entry Sheet'!G180</f>
        <v/>
      </c>
      <c r="F1491" s="589" t="s">
        <v>514</v>
      </c>
      <c r="BB1491" s="314"/>
    </row>
    <row r="1492" ht="15.75" customHeight="1">
      <c r="A1492" s="585">
        <v>1456.0</v>
      </c>
      <c r="B1492" s="1044" t="str">
        <f>Settings!$A$11</f>
        <v>EAGLES</v>
      </c>
      <c r="C1492" s="764" t="s">
        <v>132</v>
      </c>
      <c r="D1492" s="13" t="str">
        <f>'Entry Sheet'!F181</f>
        <v>Z. ERTZ</v>
      </c>
      <c r="E1492" s="13">
        <f>'Entry Sheet'!G181</f>
        <v>6.8</v>
      </c>
      <c r="F1492" s="589" t="s">
        <v>514</v>
      </c>
      <c r="BB1492" s="314"/>
    </row>
    <row r="1493" ht="15.75" customHeight="1">
      <c r="A1493" s="585">
        <v>1456.0</v>
      </c>
      <c r="B1493" s="1044" t="str">
        <f>Settings!$A$11</f>
        <v>EAGLES</v>
      </c>
      <c r="C1493" s="795" t="s">
        <v>136</v>
      </c>
      <c r="D1493" s="13" t="str">
        <f>'Entry Sheet'!F182</f>
        <v>G. PICKENS</v>
      </c>
      <c r="E1493" s="13">
        <f>'Entry Sheet'!G182</f>
        <v>17.8</v>
      </c>
      <c r="F1493" s="589" t="s">
        <v>514</v>
      </c>
      <c r="BB1493" s="314"/>
    </row>
    <row r="1494" ht="15.75" customHeight="1">
      <c r="A1494" s="585">
        <v>1456.0</v>
      </c>
      <c r="B1494" s="1044" t="str">
        <f>Settings!$A$11</f>
        <v>EAGLES</v>
      </c>
      <c r="C1494" s="818" t="s">
        <v>139</v>
      </c>
      <c r="D1494" s="13" t="str">
        <f>'Entry Sheet'!F183</f>
        <v>DEN D/ST</v>
      </c>
      <c r="E1494" s="13">
        <f>'Entry Sheet'!G183</f>
        <v>28.53</v>
      </c>
      <c r="F1494" s="589" t="s">
        <v>514</v>
      </c>
      <c r="BB1494" s="314"/>
    </row>
    <row r="1495" ht="15.75" customHeight="1">
      <c r="A1495" s="585">
        <v>1456.0</v>
      </c>
      <c r="B1495" s="1044" t="str">
        <f>Settings!$A$11</f>
        <v>EAGLES</v>
      </c>
      <c r="C1495" s="833" t="s">
        <v>146</v>
      </c>
      <c r="D1495" s="13" t="str">
        <f>'Entry Sheet'!F184</f>
        <v>J. BATES</v>
      </c>
      <c r="E1495" s="13">
        <f>'Entry Sheet'!G184</f>
        <v>8.5</v>
      </c>
      <c r="F1495" s="589" t="s">
        <v>514</v>
      </c>
      <c r="BB1495" s="314"/>
    </row>
    <row r="1496" ht="15.75" customHeight="1">
      <c r="A1496" s="585">
        <v>1456.0</v>
      </c>
      <c r="B1496" s="1044" t="str">
        <f>Settings!$A$11</f>
        <v>EAGLES</v>
      </c>
      <c r="C1496" s="842" t="s">
        <v>162</v>
      </c>
      <c r="D1496" s="13" t="str">
        <f>'Entry Sheet'!F185</f>
        <v>KC HC</v>
      </c>
      <c r="E1496" s="13">
        <f>'Entry Sheet'!G185</f>
        <v>10.6</v>
      </c>
      <c r="F1496" s="589" t="s">
        <v>514</v>
      </c>
      <c r="BB1496" s="314"/>
    </row>
    <row r="1497" ht="15.75" customHeight="1">
      <c r="A1497" s="585">
        <v>1456.0</v>
      </c>
      <c r="B1497" s="1044" t="str">
        <f>Settings!$A$11</f>
        <v>EAGLES</v>
      </c>
      <c r="C1497" s="587" t="s">
        <v>100</v>
      </c>
      <c r="D1497" s="13" t="str">
        <f>'Entry Sheet'!H173</f>
        <v>J. ALLEN</v>
      </c>
      <c r="E1497" s="13">
        <f>'Entry Sheet'!I173</f>
        <v>30.76</v>
      </c>
      <c r="F1497" s="846" t="s">
        <v>515</v>
      </c>
      <c r="BB1497" s="314"/>
    </row>
    <row r="1498" ht="15.75" customHeight="1">
      <c r="A1498" s="585">
        <v>1456.0</v>
      </c>
      <c r="B1498" s="1044" t="str">
        <f>Settings!$A$11</f>
        <v>EAGLES</v>
      </c>
      <c r="C1498" s="596" t="s">
        <v>106</v>
      </c>
      <c r="D1498" s="13" t="str">
        <f>'Entry Sheet'!H174</f>
        <v>A. KAMARA</v>
      </c>
      <c r="E1498" s="13">
        <f>'Entry Sheet'!I174</f>
        <v>12.7</v>
      </c>
      <c r="F1498" s="846" t="s">
        <v>515</v>
      </c>
      <c r="BB1498" s="314"/>
    </row>
    <row r="1499" ht="15.75" customHeight="1">
      <c r="A1499" s="585">
        <v>1456.0</v>
      </c>
      <c r="B1499" s="1044" t="str">
        <f>Settings!$A$11</f>
        <v>EAGLES</v>
      </c>
      <c r="C1499" s="596" t="s">
        <v>106</v>
      </c>
      <c r="D1499" s="13" t="str">
        <f>'Entry Sheet'!H175</f>
        <v>J. WILLIAMS</v>
      </c>
      <c r="E1499" s="13">
        <f>'Entry Sheet'!I175</f>
        <v>21</v>
      </c>
      <c r="F1499" s="846" t="s">
        <v>515</v>
      </c>
      <c r="BB1499" s="314"/>
    </row>
    <row r="1500" ht="15.75" customHeight="1">
      <c r="A1500" s="585">
        <v>1456.0</v>
      </c>
      <c r="B1500" s="1044" t="str">
        <f>Settings!$A$11</f>
        <v>EAGLES</v>
      </c>
      <c r="C1500" s="596" t="s">
        <v>106</v>
      </c>
      <c r="D1500" s="13" t="str">
        <f>'Entry Sheet'!H176</f>
        <v/>
      </c>
      <c r="E1500" s="13" t="str">
        <f>'Entry Sheet'!I176</f>
        <v/>
      </c>
      <c r="F1500" s="846" t="s">
        <v>515</v>
      </c>
      <c r="BB1500" s="314"/>
    </row>
    <row r="1501" ht="15.75" customHeight="1">
      <c r="A1501" s="585">
        <v>1456.0</v>
      </c>
      <c r="B1501" s="1044" t="str">
        <f>Settings!$A$11</f>
        <v>EAGLES</v>
      </c>
      <c r="C1501" s="712" t="s">
        <v>117</v>
      </c>
      <c r="D1501" s="13" t="str">
        <f>'Entry Sheet'!H177</f>
        <v>X. WORTHY</v>
      </c>
      <c r="E1501" s="13">
        <f>'Entry Sheet'!I177</f>
        <v>17.3</v>
      </c>
      <c r="F1501" s="846" t="s">
        <v>515</v>
      </c>
      <c r="BB1501" s="314"/>
    </row>
    <row r="1502" ht="15.75" customHeight="1">
      <c r="A1502" s="585">
        <v>1456.0</v>
      </c>
      <c r="B1502" s="1044" t="str">
        <f>Settings!$A$11</f>
        <v>EAGLES</v>
      </c>
      <c r="C1502" s="712" t="s">
        <v>117</v>
      </c>
      <c r="D1502" s="13" t="str">
        <f>'Entry Sheet'!H178</f>
        <v>T. FRANKLIN</v>
      </c>
      <c r="E1502" s="13">
        <f>'Entry Sheet'!I178</f>
        <v>9.5</v>
      </c>
      <c r="F1502" s="846" t="s">
        <v>515</v>
      </c>
      <c r="BB1502" s="314"/>
    </row>
    <row r="1503" ht="15.75" customHeight="1">
      <c r="A1503" s="585">
        <v>1456.0</v>
      </c>
      <c r="B1503" s="1044" t="str">
        <f>Settings!$A$11</f>
        <v>EAGLES</v>
      </c>
      <c r="C1503" s="712" t="s">
        <v>117</v>
      </c>
      <c r="D1503" s="13" t="str">
        <f>'Entry Sheet'!H179</f>
        <v>M. WASHINGTON</v>
      </c>
      <c r="E1503" s="13">
        <f>'Entry Sheet'!I179</f>
        <v>9.1</v>
      </c>
      <c r="F1503" s="846" t="s">
        <v>515</v>
      </c>
      <c r="BB1503" s="314"/>
    </row>
    <row r="1504" ht="15.75" customHeight="1">
      <c r="A1504" s="585">
        <v>1456.0</v>
      </c>
      <c r="B1504" s="1044" t="str">
        <f>Settings!$A$11</f>
        <v>EAGLES</v>
      </c>
      <c r="C1504" s="712" t="s">
        <v>117</v>
      </c>
      <c r="D1504" s="13" t="str">
        <f>'Entry Sheet'!H180</f>
        <v/>
      </c>
      <c r="E1504" s="13" t="str">
        <f>'Entry Sheet'!I180</f>
        <v/>
      </c>
      <c r="F1504" s="846" t="s">
        <v>515</v>
      </c>
      <c r="BB1504" s="314"/>
    </row>
    <row r="1505" ht="15.75" customHeight="1">
      <c r="A1505" s="585">
        <v>1456.0</v>
      </c>
      <c r="B1505" s="1044" t="str">
        <f>Settings!$A$11</f>
        <v>EAGLES</v>
      </c>
      <c r="C1505" s="764" t="s">
        <v>132</v>
      </c>
      <c r="D1505" s="13" t="str">
        <f>'Entry Sheet'!H181</f>
        <v>Z. ERTZ</v>
      </c>
      <c r="E1505" s="13">
        <f>'Entry Sheet'!I181</f>
        <v>6.1</v>
      </c>
      <c r="F1505" s="846" t="s">
        <v>515</v>
      </c>
      <c r="BB1505" s="314"/>
    </row>
    <row r="1506" ht="15.75" customHeight="1">
      <c r="A1506" s="585">
        <v>1456.0</v>
      </c>
      <c r="B1506" s="1044" t="str">
        <f>Settings!$A$11</f>
        <v>EAGLES</v>
      </c>
      <c r="C1506" s="795" t="s">
        <v>136</v>
      </c>
      <c r="D1506" s="13" t="str">
        <f>'Entry Sheet'!H182</f>
        <v>G. PICKENS</v>
      </c>
      <c r="E1506" s="13">
        <f>'Entry Sheet'!I182</f>
        <v>34.4</v>
      </c>
      <c r="F1506" s="846" t="s">
        <v>515</v>
      </c>
      <c r="BB1506" s="314"/>
    </row>
    <row r="1507" ht="15.75" customHeight="1">
      <c r="A1507" s="585">
        <v>1456.0</v>
      </c>
      <c r="B1507" s="1044" t="str">
        <f>Settings!$A$11</f>
        <v>EAGLES</v>
      </c>
      <c r="C1507" s="818" t="s">
        <v>139</v>
      </c>
      <c r="D1507" s="13" t="str">
        <f>'Entry Sheet'!H183</f>
        <v>DEN D/ST</v>
      </c>
      <c r="E1507" s="13">
        <f>'Entry Sheet'!I183</f>
        <v>17.82</v>
      </c>
      <c r="F1507" s="846" t="s">
        <v>515</v>
      </c>
      <c r="BB1507" s="314"/>
    </row>
    <row r="1508" ht="15.75" customHeight="1">
      <c r="A1508" s="585">
        <v>1456.0</v>
      </c>
      <c r="B1508" s="1044" t="str">
        <f>Settings!$A$11</f>
        <v>EAGLES</v>
      </c>
      <c r="C1508" s="833" t="s">
        <v>146</v>
      </c>
      <c r="D1508" s="13" t="str">
        <f>'Entry Sheet'!H184</f>
        <v>J. BATES</v>
      </c>
      <c r="E1508" s="13">
        <f>'Entry Sheet'!I184</f>
        <v>14</v>
      </c>
      <c r="F1508" s="846" t="s">
        <v>515</v>
      </c>
      <c r="BB1508" s="314"/>
    </row>
    <row r="1509" ht="15.75" customHeight="1">
      <c r="A1509" s="585">
        <v>1456.0</v>
      </c>
      <c r="B1509" s="1044" t="str">
        <f>Settings!$A$11</f>
        <v>EAGLES</v>
      </c>
      <c r="C1509" s="842" t="s">
        <v>162</v>
      </c>
      <c r="D1509" s="13" t="str">
        <f>'Entry Sheet'!H185</f>
        <v>GB HC</v>
      </c>
      <c r="E1509" s="13">
        <f>'Entry Sheet'!I185</f>
        <v>11</v>
      </c>
      <c r="F1509" s="846" t="s">
        <v>515</v>
      </c>
      <c r="BB1509" s="314"/>
    </row>
    <row r="1510" ht="15.75" customHeight="1">
      <c r="A1510" s="585">
        <v>1456.0</v>
      </c>
      <c r="B1510" s="1044" t="str">
        <f>Settings!$A$11</f>
        <v>EAGLES</v>
      </c>
      <c r="C1510" s="587" t="s">
        <v>100</v>
      </c>
      <c r="D1510" s="13" t="str">
        <f>'Entry Sheet'!J173</f>
        <v>J. ALLEN</v>
      </c>
      <c r="E1510" s="13">
        <f>'Entry Sheet'!K173</f>
        <v>26.12</v>
      </c>
      <c r="F1510" s="589" t="s">
        <v>516</v>
      </c>
      <c r="BB1510" s="314"/>
    </row>
    <row r="1511" ht="15.75" customHeight="1">
      <c r="A1511" s="585">
        <v>1456.0</v>
      </c>
      <c r="B1511" s="1044" t="str">
        <f>Settings!$A$11</f>
        <v>EAGLES</v>
      </c>
      <c r="C1511" s="596" t="s">
        <v>106</v>
      </c>
      <c r="D1511" s="13" t="str">
        <f>'Entry Sheet'!J174</f>
        <v>A. KAMARA</v>
      </c>
      <c r="E1511" s="13">
        <f>'Entry Sheet'!K174</f>
        <v>10.3</v>
      </c>
      <c r="F1511" s="589" t="s">
        <v>516</v>
      </c>
      <c r="BB1511" s="314"/>
    </row>
    <row r="1512" ht="15.75" customHeight="1">
      <c r="A1512" s="585">
        <v>1456.0</v>
      </c>
      <c r="B1512" s="1044" t="str">
        <f>Settings!$A$11</f>
        <v>EAGLES</v>
      </c>
      <c r="C1512" s="596" t="s">
        <v>106</v>
      </c>
      <c r="D1512" s="13" t="str">
        <f>'Entry Sheet'!J175</f>
        <v>J. WILLIAMS</v>
      </c>
      <c r="E1512" s="13">
        <f>'Entry Sheet'!K175</f>
        <v>29.5</v>
      </c>
      <c r="F1512" s="589" t="s">
        <v>516</v>
      </c>
      <c r="BB1512" s="314"/>
    </row>
    <row r="1513" ht="15.75" customHeight="1">
      <c r="A1513" s="585">
        <v>1456.0</v>
      </c>
      <c r="B1513" s="1044" t="str">
        <f>Settings!$A$11</f>
        <v>EAGLES</v>
      </c>
      <c r="C1513" s="596" t="s">
        <v>106</v>
      </c>
      <c r="D1513" s="13" t="str">
        <f>'Entry Sheet'!J176</f>
        <v/>
      </c>
      <c r="E1513" s="13" t="str">
        <f>'Entry Sheet'!K176</f>
        <v/>
      </c>
      <c r="F1513" s="589" t="s">
        <v>516</v>
      </c>
      <c r="BB1513" s="314"/>
    </row>
    <row r="1514" ht="15.75" customHeight="1">
      <c r="A1514" s="585">
        <v>1456.0</v>
      </c>
      <c r="B1514" s="1044" t="str">
        <f>Settings!$A$11</f>
        <v>EAGLES</v>
      </c>
      <c r="C1514" s="712" t="s">
        <v>117</v>
      </c>
      <c r="D1514" s="13" t="str">
        <f>'Entry Sheet'!J177</f>
        <v>X. WORTHY</v>
      </c>
      <c r="E1514" s="13">
        <f>'Entry Sheet'!K177</f>
        <v>11.2</v>
      </c>
      <c r="F1514" s="589" t="s">
        <v>516</v>
      </c>
      <c r="BB1514" s="314"/>
    </row>
    <row r="1515" ht="15.75" customHeight="1">
      <c r="A1515" s="585">
        <v>1456.0</v>
      </c>
      <c r="B1515" s="1044" t="str">
        <f>Settings!$A$11</f>
        <v>EAGLES</v>
      </c>
      <c r="C1515" s="712" t="s">
        <v>117</v>
      </c>
      <c r="D1515" s="13" t="str">
        <f>'Entry Sheet'!J178</f>
        <v>T. FRANKLIN</v>
      </c>
      <c r="E1515" s="13">
        <f>'Entry Sheet'!K178</f>
        <v>8.5</v>
      </c>
      <c r="F1515" s="589" t="s">
        <v>516</v>
      </c>
      <c r="BB1515" s="314"/>
    </row>
    <row r="1516" ht="15.75" customHeight="1">
      <c r="A1516" s="585">
        <v>1456.0</v>
      </c>
      <c r="B1516" s="1044" t="str">
        <f>Settings!$A$11</f>
        <v>EAGLES</v>
      </c>
      <c r="C1516" s="712" t="s">
        <v>117</v>
      </c>
      <c r="D1516" s="13" t="str">
        <f>'Entry Sheet'!J179</f>
        <v>M. WASHINGTON</v>
      </c>
      <c r="E1516" s="13">
        <f>'Entry Sheet'!K179</f>
        <v>10.35</v>
      </c>
      <c r="F1516" s="589" t="s">
        <v>516</v>
      </c>
      <c r="BB1516" s="314"/>
    </row>
    <row r="1517" ht="15.75" customHeight="1">
      <c r="A1517" s="585">
        <v>1456.0</v>
      </c>
      <c r="B1517" s="1044" t="str">
        <f>Settings!$A$11</f>
        <v>EAGLES</v>
      </c>
      <c r="C1517" s="712" t="s">
        <v>117</v>
      </c>
      <c r="D1517" s="13" t="str">
        <f>'Entry Sheet'!J180</f>
        <v/>
      </c>
      <c r="E1517" s="13" t="str">
        <f>'Entry Sheet'!K180</f>
        <v/>
      </c>
      <c r="F1517" s="589" t="s">
        <v>516</v>
      </c>
      <c r="BB1517" s="314"/>
    </row>
    <row r="1518" ht="15.75" customHeight="1">
      <c r="A1518" s="585">
        <v>1456.0</v>
      </c>
      <c r="B1518" s="1044" t="str">
        <f>Settings!$A$11</f>
        <v>EAGLES</v>
      </c>
      <c r="C1518" s="764" t="s">
        <v>132</v>
      </c>
      <c r="D1518" s="13" t="str">
        <f>'Entry Sheet'!J181</f>
        <v>Z. ERTZ</v>
      </c>
      <c r="E1518" s="13">
        <f>'Entry Sheet'!K181</f>
        <v>0</v>
      </c>
      <c r="F1518" s="589" t="s">
        <v>516</v>
      </c>
      <c r="BB1518" s="314"/>
    </row>
    <row r="1519" ht="15.75" customHeight="1">
      <c r="A1519" s="585">
        <v>1456.0</v>
      </c>
      <c r="B1519" s="1044" t="str">
        <f>Settings!$A$11</f>
        <v>EAGLES</v>
      </c>
      <c r="C1519" s="795" t="s">
        <v>136</v>
      </c>
      <c r="D1519" s="13" t="str">
        <f>'Entry Sheet'!J182</f>
        <v>G. PICKENS</v>
      </c>
      <c r="E1519" s="13">
        <f>'Entry Sheet'!K182</f>
        <v>13.7</v>
      </c>
      <c r="F1519" s="589" t="s">
        <v>516</v>
      </c>
      <c r="BB1519" s="314"/>
    </row>
    <row r="1520" ht="15.75" customHeight="1">
      <c r="A1520" s="585">
        <v>1456.0</v>
      </c>
      <c r="B1520" s="1044" t="str">
        <f>Settings!$A$11</f>
        <v>EAGLES</v>
      </c>
      <c r="C1520" s="818" t="s">
        <v>139</v>
      </c>
      <c r="D1520" s="13" t="str">
        <f>'Entry Sheet'!J183</f>
        <v>DEN D/ST</v>
      </c>
      <c r="E1520" s="13">
        <f>'Entry Sheet'!K183</f>
        <v>20.51</v>
      </c>
      <c r="F1520" s="589" t="s">
        <v>516</v>
      </c>
      <c r="BB1520" s="314"/>
    </row>
    <row r="1521" ht="15.75" customHeight="1">
      <c r="A1521" s="585">
        <v>1456.0</v>
      </c>
      <c r="B1521" s="1044" t="str">
        <f>Settings!$A$11</f>
        <v>EAGLES</v>
      </c>
      <c r="C1521" s="833" t="s">
        <v>146</v>
      </c>
      <c r="D1521" s="13" t="str">
        <f>'Entry Sheet'!J184</f>
        <v>J. BATES</v>
      </c>
      <c r="E1521" s="13">
        <f>'Entry Sheet'!K184</f>
        <v>5</v>
      </c>
      <c r="F1521" s="589" t="s">
        <v>516</v>
      </c>
      <c r="BB1521" s="314"/>
    </row>
    <row r="1522" ht="15.75" customHeight="1">
      <c r="A1522" s="585">
        <v>1456.0</v>
      </c>
      <c r="B1522" s="1044" t="str">
        <f>Settings!$A$11</f>
        <v>EAGLES</v>
      </c>
      <c r="C1522" s="842" t="s">
        <v>162</v>
      </c>
      <c r="D1522" s="13" t="str">
        <f>'Entry Sheet'!J185</f>
        <v>KC HC</v>
      </c>
      <c r="E1522" s="13">
        <f>'Entry Sheet'!K185</f>
        <v>6.4</v>
      </c>
      <c r="F1522" s="589" t="s">
        <v>516</v>
      </c>
      <c r="BB1522" s="314"/>
    </row>
    <row r="1523" ht="15.75" customHeight="1">
      <c r="A1523" s="585">
        <v>1456.0</v>
      </c>
      <c r="B1523" s="1044" t="str">
        <f>Settings!$A$11</f>
        <v>EAGLES</v>
      </c>
      <c r="C1523" s="587" t="s">
        <v>100</v>
      </c>
      <c r="D1523" s="13" t="str">
        <f>'Entry Sheet'!L173</f>
        <v>J. ALLEN</v>
      </c>
      <c r="E1523" s="13">
        <f>'Entry Sheet'!M173</f>
        <v>19.2</v>
      </c>
      <c r="F1523" s="846" t="s">
        <v>517</v>
      </c>
      <c r="BB1523" s="314"/>
    </row>
    <row r="1524" ht="15.75" customHeight="1">
      <c r="A1524" s="585">
        <v>1456.0</v>
      </c>
      <c r="B1524" s="1044" t="str">
        <f>Settings!$A$11</f>
        <v>EAGLES</v>
      </c>
      <c r="C1524" s="596" t="s">
        <v>106</v>
      </c>
      <c r="D1524" s="13" t="str">
        <f>'Entry Sheet'!L174</f>
        <v>J. WILLIAMS</v>
      </c>
      <c r="E1524" s="13">
        <f>'Entry Sheet'!M174</f>
        <v>9.7</v>
      </c>
      <c r="F1524" s="846" t="s">
        <v>517</v>
      </c>
      <c r="BB1524" s="314"/>
    </row>
    <row r="1525" ht="15.75" customHeight="1">
      <c r="A1525" s="585">
        <v>1456.0</v>
      </c>
      <c r="B1525" s="1044" t="str">
        <f>Settings!$A$11</f>
        <v>EAGLES</v>
      </c>
      <c r="C1525" s="596" t="s">
        <v>106</v>
      </c>
      <c r="D1525" s="13" t="str">
        <f>'Entry Sheet'!L175</f>
        <v>J. CROSKEY-MERRITT</v>
      </c>
      <c r="E1525" s="13">
        <f>'Entry Sheet'!M175</f>
        <v>7.5</v>
      </c>
      <c r="F1525" s="846" t="s">
        <v>517</v>
      </c>
      <c r="BB1525" s="314"/>
    </row>
    <row r="1526" ht="15.75" customHeight="1">
      <c r="A1526" s="585">
        <v>1456.0</v>
      </c>
      <c r="B1526" s="1044" t="str">
        <f>Settings!$A$11</f>
        <v>EAGLES</v>
      </c>
      <c r="C1526" s="596" t="s">
        <v>106</v>
      </c>
      <c r="D1526" s="13" t="str">
        <f>'Entry Sheet'!L176</f>
        <v/>
      </c>
      <c r="E1526" s="13" t="str">
        <f>'Entry Sheet'!M176</f>
        <v/>
      </c>
      <c r="F1526" s="846" t="s">
        <v>517</v>
      </c>
      <c r="BB1526" s="314"/>
    </row>
    <row r="1527" ht="15.75" customHeight="1">
      <c r="A1527" s="585">
        <v>1456.0</v>
      </c>
      <c r="B1527" s="1044" t="str">
        <f>Settings!$A$11</f>
        <v>EAGLES</v>
      </c>
      <c r="C1527" s="712" t="s">
        <v>117</v>
      </c>
      <c r="D1527" s="13" t="str">
        <f>'Entry Sheet'!L177</f>
        <v>X. WORTHY</v>
      </c>
      <c r="E1527" s="13">
        <f>'Entry Sheet'!M177</f>
        <v>10.7</v>
      </c>
      <c r="F1527" s="846" t="s">
        <v>517</v>
      </c>
      <c r="BB1527" s="314"/>
    </row>
    <row r="1528" ht="15.75" customHeight="1">
      <c r="A1528" s="585">
        <v>1456.0</v>
      </c>
      <c r="B1528" s="1044" t="str">
        <f>Settings!$A$11</f>
        <v>EAGLES</v>
      </c>
      <c r="C1528" s="712" t="s">
        <v>117</v>
      </c>
      <c r="D1528" s="13" t="str">
        <f>'Entry Sheet'!L178</f>
        <v>M. WASHINGTON</v>
      </c>
      <c r="E1528" s="13">
        <f>'Entry Sheet'!M178</f>
        <v>14.45</v>
      </c>
      <c r="F1528" s="846" t="s">
        <v>517</v>
      </c>
      <c r="BB1528" s="314"/>
    </row>
    <row r="1529" ht="15.75" customHeight="1">
      <c r="A1529" s="585">
        <v>1456.0</v>
      </c>
      <c r="B1529" s="1044" t="str">
        <f>Settings!$A$11</f>
        <v>EAGLES</v>
      </c>
      <c r="C1529" s="712" t="s">
        <v>117</v>
      </c>
      <c r="D1529" s="13" t="str">
        <f>'Entry Sheet'!L179</f>
        <v>M. GOLDEN</v>
      </c>
      <c r="E1529" s="13">
        <f>'Entry Sheet'!M179</f>
        <v>13.4</v>
      </c>
      <c r="F1529" s="846" t="s">
        <v>517</v>
      </c>
      <c r="BB1529" s="314"/>
    </row>
    <row r="1530" ht="15.75" customHeight="1">
      <c r="A1530" s="585">
        <v>1456.0</v>
      </c>
      <c r="B1530" s="1044" t="str">
        <f>Settings!$A$11</f>
        <v>EAGLES</v>
      </c>
      <c r="C1530" s="712" t="s">
        <v>117</v>
      </c>
      <c r="D1530" s="13" t="str">
        <f>'Entry Sheet'!L180</f>
        <v/>
      </c>
      <c r="E1530" s="13" t="str">
        <f>'Entry Sheet'!M180</f>
        <v/>
      </c>
      <c r="F1530" s="846" t="s">
        <v>517</v>
      </c>
      <c r="BB1530" s="314"/>
    </row>
    <row r="1531" ht="15.75" customHeight="1">
      <c r="A1531" s="585">
        <v>1456.0</v>
      </c>
      <c r="B1531" s="1044" t="str">
        <f>Settings!$A$11</f>
        <v>EAGLES</v>
      </c>
      <c r="C1531" s="764" t="s">
        <v>132</v>
      </c>
      <c r="D1531" s="13" t="str">
        <f>'Entry Sheet'!L181</f>
        <v>Z. ERTZ</v>
      </c>
      <c r="E1531" s="13">
        <f>'Entry Sheet'!M181</f>
        <v>16.3</v>
      </c>
      <c r="F1531" s="846" t="s">
        <v>517</v>
      </c>
      <c r="BB1531" s="314"/>
    </row>
    <row r="1532" ht="15.75" customHeight="1">
      <c r="A1532" s="585">
        <v>1456.0</v>
      </c>
      <c r="B1532" s="1044" t="str">
        <f>Settings!$A$11</f>
        <v>EAGLES</v>
      </c>
      <c r="C1532" s="795" t="s">
        <v>136</v>
      </c>
      <c r="D1532" s="13" t="str">
        <f>'Entry Sheet'!L182</f>
        <v>G. PICKENS</v>
      </c>
      <c r="E1532" s="13">
        <f>'Entry Sheet'!M182</f>
        <v>32.8</v>
      </c>
      <c r="F1532" s="846" t="s">
        <v>517</v>
      </c>
      <c r="BB1532" s="314"/>
    </row>
    <row r="1533" ht="15.75" customHeight="1">
      <c r="A1533" s="585">
        <v>1456.0</v>
      </c>
      <c r="B1533" s="1044" t="str">
        <f>Settings!$A$11</f>
        <v>EAGLES</v>
      </c>
      <c r="C1533" s="818" t="s">
        <v>139</v>
      </c>
      <c r="D1533" s="13" t="str">
        <f>'Entry Sheet'!L183</f>
        <v>DEN D/ST</v>
      </c>
      <c r="E1533" s="13">
        <f>'Entry Sheet'!M183</f>
        <v>33.08</v>
      </c>
      <c r="F1533" s="846" t="s">
        <v>517</v>
      </c>
      <c r="BB1533" s="314"/>
    </row>
    <row r="1534" ht="15.75" customHeight="1">
      <c r="A1534" s="585">
        <v>1456.0</v>
      </c>
      <c r="B1534" s="1044" t="str">
        <f>Settings!$A$11</f>
        <v>EAGLES</v>
      </c>
      <c r="C1534" s="833" t="s">
        <v>146</v>
      </c>
      <c r="D1534" s="13" t="str">
        <f>'Entry Sheet'!L184</f>
        <v>J. BATES</v>
      </c>
      <c r="E1534" s="13">
        <f>'Entry Sheet'!M184</f>
        <v>5</v>
      </c>
      <c r="F1534" s="846" t="s">
        <v>517</v>
      </c>
      <c r="BB1534" s="314"/>
    </row>
    <row r="1535" ht="15.75" customHeight="1">
      <c r="A1535" s="585">
        <v>1456.0</v>
      </c>
      <c r="B1535" s="1044" t="str">
        <f>Settings!$A$11</f>
        <v>EAGLES</v>
      </c>
      <c r="C1535" s="842" t="s">
        <v>162</v>
      </c>
      <c r="D1535" s="13" t="str">
        <f>'Entry Sheet'!L185</f>
        <v>KC HC</v>
      </c>
      <c r="E1535" s="13">
        <f>'Entry Sheet'!M185</f>
        <v>13</v>
      </c>
      <c r="F1535" s="846" t="s">
        <v>517</v>
      </c>
      <c r="BB1535" s="314"/>
    </row>
    <row r="1536" ht="15.75" customHeight="1">
      <c r="A1536" s="585">
        <v>1456.0</v>
      </c>
      <c r="B1536" s="1044" t="str">
        <f>Settings!$A$11</f>
        <v>EAGLES</v>
      </c>
      <c r="C1536" s="587" t="s">
        <v>100</v>
      </c>
      <c r="D1536" s="13" t="str">
        <f>'Entry Sheet'!N173</f>
        <v>D. JONES</v>
      </c>
      <c r="E1536" s="13">
        <f>'Entry Sheet'!O173</f>
        <v>29.12</v>
      </c>
      <c r="F1536" s="589" t="s">
        <v>518</v>
      </c>
      <c r="BB1536" s="314"/>
    </row>
    <row r="1537" ht="15.75" customHeight="1">
      <c r="A1537" s="585">
        <v>1456.0</v>
      </c>
      <c r="B1537" s="1044" t="str">
        <f>Settings!$A$11</f>
        <v>EAGLES</v>
      </c>
      <c r="C1537" s="596" t="s">
        <v>106</v>
      </c>
      <c r="D1537" s="13" t="str">
        <f>'Entry Sheet'!N174</f>
        <v>J. WILLIAMS</v>
      </c>
      <c r="E1537" s="13">
        <f>'Entry Sheet'!O174</f>
        <v>21.7</v>
      </c>
      <c r="F1537" s="589" t="s">
        <v>518</v>
      </c>
      <c r="BB1537" s="314"/>
    </row>
    <row r="1538" ht="15.75" customHeight="1">
      <c r="A1538" s="585">
        <v>1456.0</v>
      </c>
      <c r="B1538" s="1044" t="str">
        <f>Settings!$A$11</f>
        <v>EAGLES</v>
      </c>
      <c r="C1538" s="596" t="s">
        <v>106</v>
      </c>
      <c r="D1538" s="13" t="str">
        <f>'Entry Sheet'!N175</f>
        <v>J. CROSKEY-MERRITT</v>
      </c>
      <c r="E1538" s="13">
        <f>'Entry Sheet'!O175</f>
        <v>5.5</v>
      </c>
      <c r="F1538" s="589" t="s">
        <v>518</v>
      </c>
      <c r="BB1538" s="314"/>
    </row>
    <row r="1539" ht="15.75" customHeight="1">
      <c r="A1539" s="585">
        <v>1456.0</v>
      </c>
      <c r="B1539" s="1044" t="str">
        <f>Settings!$A$11</f>
        <v>EAGLES</v>
      </c>
      <c r="C1539" s="596" t="s">
        <v>106</v>
      </c>
      <c r="D1539" s="13" t="str">
        <f>'Entry Sheet'!N176</f>
        <v/>
      </c>
      <c r="E1539" s="13" t="str">
        <f>'Entry Sheet'!O176</f>
        <v/>
      </c>
      <c r="F1539" s="589" t="s">
        <v>518</v>
      </c>
      <c r="BB1539" s="314"/>
    </row>
    <row r="1540" ht="15.75" customHeight="1">
      <c r="A1540" s="585">
        <v>1456.0</v>
      </c>
      <c r="B1540" s="1044" t="str">
        <f>Settings!$A$11</f>
        <v>EAGLES</v>
      </c>
      <c r="C1540" s="712" t="s">
        <v>117</v>
      </c>
      <c r="D1540" s="13" t="str">
        <f>'Entry Sheet'!N177</f>
        <v>X. WORTHY</v>
      </c>
      <c r="E1540" s="13">
        <f>'Entry Sheet'!O177</f>
        <v>7.9</v>
      </c>
      <c r="F1540" s="589" t="s">
        <v>518</v>
      </c>
      <c r="BB1540" s="314"/>
    </row>
    <row r="1541" ht="15.75" customHeight="1">
      <c r="A1541" s="585">
        <v>1456.0</v>
      </c>
      <c r="B1541" s="1044" t="str">
        <f>Settings!$A$11</f>
        <v>EAGLES</v>
      </c>
      <c r="C1541" s="712" t="s">
        <v>117</v>
      </c>
      <c r="D1541" s="13" t="str">
        <f>'Entry Sheet'!N178</f>
        <v>M. WASHINGTON</v>
      </c>
      <c r="E1541" s="13">
        <f>'Entry Sheet'!O178</f>
        <v>14.25</v>
      </c>
      <c r="F1541" s="589" t="s">
        <v>518</v>
      </c>
      <c r="BB1541" s="314"/>
    </row>
    <row r="1542" ht="15.75" customHeight="1">
      <c r="A1542" s="585">
        <v>1456.0</v>
      </c>
      <c r="B1542" s="1044" t="str">
        <f>Settings!$A$11</f>
        <v>EAGLES</v>
      </c>
      <c r="C1542" s="712" t="s">
        <v>117</v>
      </c>
      <c r="D1542" s="13" t="str">
        <f>'Entry Sheet'!N179</f>
        <v>M. GOLDEN</v>
      </c>
      <c r="E1542" s="13">
        <f>'Entry Sheet'!O179</f>
        <v>7.7</v>
      </c>
      <c r="F1542" s="589" t="s">
        <v>518</v>
      </c>
      <c r="BB1542" s="314"/>
    </row>
    <row r="1543" ht="15.75" customHeight="1">
      <c r="A1543" s="585">
        <v>1456.0</v>
      </c>
      <c r="B1543" s="1044" t="str">
        <f>Settings!$A$11</f>
        <v>EAGLES</v>
      </c>
      <c r="C1543" s="712" t="s">
        <v>117</v>
      </c>
      <c r="D1543" s="13" t="str">
        <f>'Entry Sheet'!N180</f>
        <v/>
      </c>
      <c r="E1543" s="13" t="str">
        <f>'Entry Sheet'!O180</f>
        <v/>
      </c>
      <c r="F1543" s="589" t="s">
        <v>518</v>
      </c>
      <c r="BB1543" s="314"/>
    </row>
    <row r="1544" ht="15.75" customHeight="1">
      <c r="A1544" s="585">
        <v>1456.0</v>
      </c>
      <c r="B1544" s="1044" t="str">
        <f>Settings!$A$11</f>
        <v>EAGLES</v>
      </c>
      <c r="C1544" s="764" t="s">
        <v>132</v>
      </c>
      <c r="D1544" s="13" t="str">
        <f>'Entry Sheet'!N181</f>
        <v>Z. ERTZ</v>
      </c>
      <c r="E1544" s="13">
        <f>'Entry Sheet'!O181</f>
        <v>12.7</v>
      </c>
      <c r="F1544" s="589" t="s">
        <v>518</v>
      </c>
      <c r="BB1544" s="314"/>
    </row>
    <row r="1545" ht="15.75" customHeight="1">
      <c r="A1545" s="585">
        <v>1456.0</v>
      </c>
      <c r="B1545" s="1044" t="str">
        <f>Settings!$A$11</f>
        <v>EAGLES</v>
      </c>
      <c r="C1545" s="795" t="s">
        <v>136</v>
      </c>
      <c r="D1545" s="13" t="str">
        <f>'Entry Sheet'!N182</f>
        <v>G. PICKENS</v>
      </c>
      <c r="E1545" s="13">
        <f>'Entry Sheet'!O182</f>
        <v>12.2</v>
      </c>
      <c r="F1545" s="589" t="s">
        <v>518</v>
      </c>
      <c r="BB1545" s="314"/>
    </row>
    <row r="1546" ht="15.75" customHeight="1">
      <c r="A1546" s="585">
        <v>1456.0</v>
      </c>
      <c r="B1546" s="1044" t="str">
        <f>Settings!$A$11</f>
        <v>EAGLES</v>
      </c>
      <c r="C1546" s="818" t="s">
        <v>139</v>
      </c>
      <c r="D1546" s="13" t="str">
        <f>'Entry Sheet'!N183</f>
        <v>DEN D/ST</v>
      </c>
      <c r="E1546" s="13">
        <f>'Entry Sheet'!O183</f>
        <v>13.12</v>
      </c>
      <c r="F1546" s="589" t="s">
        <v>518</v>
      </c>
      <c r="BB1546" s="314"/>
    </row>
    <row r="1547" ht="15.75" customHeight="1">
      <c r="A1547" s="585">
        <v>1456.0</v>
      </c>
      <c r="B1547" s="1044" t="str">
        <f>Settings!$A$11</f>
        <v>EAGLES</v>
      </c>
      <c r="C1547" s="833" t="s">
        <v>146</v>
      </c>
      <c r="D1547" s="13" t="str">
        <f>'Entry Sheet'!N184</f>
        <v>J. BATES</v>
      </c>
      <c r="E1547" s="13">
        <f>'Entry Sheet'!O184</f>
        <v>8</v>
      </c>
      <c r="F1547" s="589" t="s">
        <v>518</v>
      </c>
      <c r="BB1547" s="314"/>
    </row>
    <row r="1548" ht="15.75" customHeight="1">
      <c r="A1548" s="585">
        <v>1456.0</v>
      </c>
      <c r="B1548" s="1044" t="str">
        <f>Settings!$A$11</f>
        <v>EAGLES</v>
      </c>
      <c r="C1548" s="842" t="s">
        <v>162</v>
      </c>
      <c r="D1548" s="13" t="str">
        <f>'Entry Sheet'!N185</f>
        <v>KC HC</v>
      </c>
      <c r="E1548" s="13">
        <f>'Entry Sheet'!O185</f>
        <v>21.3</v>
      </c>
      <c r="F1548" s="589" t="s">
        <v>518</v>
      </c>
      <c r="BB1548" s="314"/>
    </row>
    <row r="1549" ht="15.75" customHeight="1">
      <c r="A1549" s="585">
        <v>1456.0</v>
      </c>
      <c r="B1549" s="1044" t="str">
        <f>Settings!$A$11</f>
        <v>EAGLES</v>
      </c>
      <c r="C1549" s="587" t="s">
        <v>100</v>
      </c>
      <c r="D1549" s="13" t="str">
        <f>'Entry Sheet'!P173</f>
        <v>D. JONES</v>
      </c>
      <c r="E1549" s="13">
        <f>'Entry Sheet'!Q173</f>
        <v>31.88</v>
      </c>
      <c r="F1549" s="846" t="s">
        <v>519</v>
      </c>
      <c r="BB1549" s="314"/>
    </row>
    <row r="1550" ht="15.75" customHeight="1">
      <c r="A1550" s="585">
        <v>1456.0</v>
      </c>
      <c r="B1550" s="1044" t="str">
        <f>Settings!$A$11</f>
        <v>EAGLES</v>
      </c>
      <c r="C1550" s="596" t="s">
        <v>106</v>
      </c>
      <c r="D1550" s="13" t="str">
        <f>'Entry Sheet'!P174</f>
        <v>R. STEVENSON</v>
      </c>
      <c r="E1550" s="13">
        <f>'Entry Sheet'!Q174</f>
        <v>7.3</v>
      </c>
      <c r="F1550" s="846" t="s">
        <v>519</v>
      </c>
      <c r="BB1550" s="314"/>
    </row>
    <row r="1551" ht="15.75" customHeight="1">
      <c r="A1551" s="585">
        <v>1456.0</v>
      </c>
      <c r="B1551" s="1044" t="str">
        <f>Settings!$A$11</f>
        <v>EAGLES</v>
      </c>
      <c r="C1551" s="596" t="s">
        <v>106</v>
      </c>
      <c r="D1551" s="13" t="str">
        <f>'Entry Sheet'!P175</f>
        <v>J. WILLIAMS</v>
      </c>
      <c r="E1551" s="13">
        <f>'Entry Sheet'!Q175</f>
        <v>19.2</v>
      </c>
      <c r="F1551" s="846" t="s">
        <v>519</v>
      </c>
      <c r="BB1551" s="314"/>
    </row>
    <row r="1552" ht="15.75" customHeight="1">
      <c r="A1552" s="585">
        <v>1456.0</v>
      </c>
      <c r="B1552" s="1044" t="str">
        <f>Settings!$A$11</f>
        <v>EAGLES</v>
      </c>
      <c r="C1552" s="596" t="s">
        <v>106</v>
      </c>
      <c r="D1552" s="13" t="str">
        <f>'Entry Sheet'!P176</f>
        <v/>
      </c>
      <c r="E1552" s="13" t="str">
        <f>'Entry Sheet'!Q176</f>
        <v/>
      </c>
      <c r="F1552" s="846" t="s">
        <v>519</v>
      </c>
      <c r="BB1552" s="314"/>
    </row>
    <row r="1553" ht="15.75" customHeight="1">
      <c r="A1553" s="585">
        <v>1456.0</v>
      </c>
      <c r="B1553" s="1044" t="str">
        <f>Settings!$A$11</f>
        <v>EAGLES</v>
      </c>
      <c r="C1553" s="712" t="s">
        <v>117</v>
      </c>
      <c r="D1553" s="13" t="str">
        <f>'Entry Sheet'!P177</f>
        <v>X. WORTHY</v>
      </c>
      <c r="E1553" s="13">
        <f>'Entry Sheet'!Q177</f>
        <v>10.3</v>
      </c>
      <c r="F1553" s="846" t="s">
        <v>519</v>
      </c>
      <c r="BB1553" s="314"/>
    </row>
    <row r="1554" ht="15.75" customHeight="1">
      <c r="A1554" s="585">
        <v>1456.0</v>
      </c>
      <c r="B1554" s="1044" t="str">
        <f>Settings!$A$11</f>
        <v>EAGLES</v>
      </c>
      <c r="C1554" s="712" t="s">
        <v>117</v>
      </c>
      <c r="D1554" s="13" t="str">
        <f>'Entry Sheet'!P178</f>
        <v>M. WASHINGTON</v>
      </c>
      <c r="E1554" s="13">
        <f>'Entry Sheet'!Q178</f>
        <v>14.05</v>
      </c>
      <c r="F1554" s="846" t="s">
        <v>519</v>
      </c>
      <c r="BB1554" s="314"/>
    </row>
    <row r="1555" ht="15.75" customHeight="1">
      <c r="A1555" s="585">
        <v>1456.0</v>
      </c>
      <c r="B1555" s="1044" t="str">
        <f>Settings!$A$11</f>
        <v>EAGLES</v>
      </c>
      <c r="C1555" s="712" t="s">
        <v>117</v>
      </c>
      <c r="D1555" s="13" t="str">
        <f>'Entry Sheet'!P179</f>
        <v>J. DOWNS</v>
      </c>
      <c r="E1555" s="13">
        <f>'Entry Sheet'!Q179</f>
        <v>12.9</v>
      </c>
      <c r="F1555" s="846" t="s">
        <v>519</v>
      </c>
      <c r="BB1555" s="314"/>
    </row>
    <row r="1556" ht="15.75" customHeight="1">
      <c r="A1556" s="585">
        <v>1456.0</v>
      </c>
      <c r="B1556" s="1044" t="str">
        <f>Settings!$A$11</f>
        <v>EAGLES</v>
      </c>
      <c r="C1556" s="712" t="s">
        <v>117</v>
      </c>
      <c r="D1556" s="13" t="str">
        <f>'Entry Sheet'!P180</f>
        <v/>
      </c>
      <c r="E1556" s="13" t="str">
        <f>'Entry Sheet'!Q180</f>
        <v/>
      </c>
      <c r="F1556" s="846" t="s">
        <v>519</v>
      </c>
      <c r="BB1556" s="314"/>
    </row>
    <row r="1557" ht="15.75" customHeight="1">
      <c r="A1557" s="585">
        <v>1456.0</v>
      </c>
      <c r="B1557" s="1044" t="str">
        <f>Settings!$A$11</f>
        <v>EAGLES</v>
      </c>
      <c r="C1557" s="764" t="s">
        <v>132</v>
      </c>
      <c r="D1557" s="13" t="str">
        <f>'Entry Sheet'!P181</f>
        <v>G. KITTLE</v>
      </c>
      <c r="E1557" s="13">
        <f>'Entry Sheet'!Q181</f>
        <v>14.3</v>
      </c>
      <c r="F1557" s="846" t="s">
        <v>519</v>
      </c>
      <c r="BB1557" s="314"/>
    </row>
    <row r="1558" ht="15.75" customHeight="1">
      <c r="A1558" s="585">
        <v>1456.0</v>
      </c>
      <c r="B1558" s="1044" t="str">
        <f>Settings!$A$11</f>
        <v>EAGLES</v>
      </c>
      <c r="C1558" s="795" t="s">
        <v>136</v>
      </c>
      <c r="D1558" s="13" t="str">
        <f>'Entry Sheet'!P182</f>
        <v>G. PICKENS</v>
      </c>
      <c r="E1558" s="13">
        <f>'Entry Sheet'!Q182</f>
        <v>14.8</v>
      </c>
      <c r="F1558" s="846" t="s">
        <v>519</v>
      </c>
      <c r="BB1558" s="314"/>
    </row>
    <row r="1559" ht="15.75" customHeight="1">
      <c r="A1559" s="585">
        <v>1456.0</v>
      </c>
      <c r="B1559" s="1044" t="str">
        <f>Settings!$A$11</f>
        <v>EAGLES</v>
      </c>
      <c r="C1559" s="818" t="s">
        <v>139</v>
      </c>
      <c r="D1559" s="13" t="str">
        <f>'Entry Sheet'!P183</f>
        <v>DEN D/ST</v>
      </c>
      <c r="E1559" s="13">
        <f>'Entry Sheet'!Q183</f>
        <v>19.03</v>
      </c>
      <c r="F1559" s="846" t="s">
        <v>519</v>
      </c>
      <c r="BB1559" s="314"/>
    </row>
    <row r="1560" ht="15.75" customHeight="1">
      <c r="A1560" s="585">
        <v>1456.0</v>
      </c>
      <c r="B1560" s="1044" t="str">
        <f>Settings!$A$11</f>
        <v>EAGLES</v>
      </c>
      <c r="C1560" s="833" t="s">
        <v>146</v>
      </c>
      <c r="D1560" s="13" t="str">
        <f>'Entry Sheet'!P184</f>
        <v>W. LUTZ</v>
      </c>
      <c r="E1560" s="13">
        <f>'Entry Sheet'!Q184</f>
        <v>9</v>
      </c>
      <c r="F1560" s="846" t="s">
        <v>519</v>
      </c>
      <c r="BB1560" s="314"/>
    </row>
    <row r="1561" ht="15.75" customHeight="1">
      <c r="A1561" s="585">
        <v>1456.0</v>
      </c>
      <c r="B1561" s="1044" t="str">
        <f>Settings!$A$11</f>
        <v>EAGLES</v>
      </c>
      <c r="C1561" s="842" t="s">
        <v>162</v>
      </c>
      <c r="D1561" s="13" t="str">
        <f>'Entry Sheet'!P185</f>
        <v>KC HC</v>
      </c>
      <c r="E1561" s="13">
        <f>'Entry Sheet'!Q185</f>
        <v>16.4</v>
      </c>
      <c r="F1561" s="846" t="s">
        <v>519</v>
      </c>
      <c r="BB1561" s="314"/>
    </row>
    <row r="1562" ht="15.75" customHeight="1">
      <c r="A1562" s="585">
        <v>1456.0</v>
      </c>
      <c r="B1562" s="1044" t="str">
        <f>Settings!$A$11</f>
        <v>EAGLES</v>
      </c>
      <c r="C1562" s="587" t="s">
        <v>100</v>
      </c>
      <c r="D1562" s="13" t="str">
        <f>'Entry Sheet'!R173</f>
        <v>D. JONES</v>
      </c>
      <c r="E1562" s="13">
        <f>'Entry Sheet'!S173</f>
        <v>17.38</v>
      </c>
      <c r="F1562" s="589" t="s">
        <v>520</v>
      </c>
      <c r="BB1562" s="314"/>
    </row>
    <row r="1563" ht="15.75" customHeight="1">
      <c r="A1563" s="585">
        <v>1456.0</v>
      </c>
      <c r="B1563" s="1044" t="str">
        <f>Settings!$A$11</f>
        <v>EAGLES</v>
      </c>
      <c r="C1563" s="596" t="s">
        <v>106</v>
      </c>
      <c r="D1563" s="13" t="str">
        <f>'Entry Sheet'!R174</f>
        <v>J. WILLIAMS</v>
      </c>
      <c r="E1563" s="13">
        <f>'Entry Sheet'!S174</f>
        <v>8.8</v>
      </c>
      <c r="F1563" s="589" t="s">
        <v>520</v>
      </c>
      <c r="BB1563" s="314"/>
    </row>
    <row r="1564" ht="15.75" customHeight="1">
      <c r="A1564" s="585">
        <v>1456.0</v>
      </c>
      <c r="B1564" s="1044" t="str">
        <f>Settings!$A$11</f>
        <v>EAGLES</v>
      </c>
      <c r="C1564" s="596" t="s">
        <v>106</v>
      </c>
      <c r="D1564" s="13" t="str">
        <f>'Entry Sheet'!R175</f>
        <v>J. CROSKEY-MERRITT</v>
      </c>
      <c r="E1564" s="13">
        <f>'Entry Sheet'!S175</f>
        <v>6.3</v>
      </c>
      <c r="F1564" s="589" t="s">
        <v>520</v>
      </c>
      <c r="BB1564" s="314"/>
    </row>
    <row r="1565" ht="15.75" customHeight="1">
      <c r="A1565" s="585">
        <v>1456.0</v>
      </c>
      <c r="B1565" s="1044" t="str">
        <f>Settings!$A$11</f>
        <v>EAGLES</v>
      </c>
      <c r="C1565" s="596" t="s">
        <v>106</v>
      </c>
      <c r="D1565" s="13" t="str">
        <f>'Entry Sheet'!R176</f>
        <v/>
      </c>
      <c r="E1565" s="13" t="str">
        <f>'Entry Sheet'!S176</f>
        <v/>
      </c>
      <c r="F1565" s="589" t="s">
        <v>520</v>
      </c>
      <c r="BB1565" s="314"/>
    </row>
    <row r="1566" ht="15.75" customHeight="1">
      <c r="A1566" s="585">
        <v>1456.0</v>
      </c>
      <c r="B1566" s="1044" t="str">
        <f>Settings!$A$11</f>
        <v>EAGLES</v>
      </c>
      <c r="C1566" s="712" t="s">
        <v>117</v>
      </c>
      <c r="D1566" s="13" t="str">
        <f>'Entry Sheet'!R177</f>
        <v>X. WORTHY</v>
      </c>
      <c r="E1566" s="13">
        <f>'Entry Sheet'!S177</f>
        <v>6.1</v>
      </c>
      <c r="F1566" s="589" t="s">
        <v>520</v>
      </c>
      <c r="BB1566" s="314"/>
    </row>
    <row r="1567" ht="15.75" customHeight="1">
      <c r="A1567" s="585">
        <v>1456.0</v>
      </c>
      <c r="B1567" s="1044" t="str">
        <f>Settings!$A$11</f>
        <v>EAGLES</v>
      </c>
      <c r="C1567" s="712" t="s">
        <v>117</v>
      </c>
      <c r="D1567" s="13" t="str">
        <f>'Entry Sheet'!R178</f>
        <v>M. WASHINGTON</v>
      </c>
      <c r="E1567" s="13">
        <f>'Entry Sheet'!S178</f>
        <v>9.3</v>
      </c>
      <c r="F1567" s="589" t="s">
        <v>520</v>
      </c>
      <c r="BB1567" s="314"/>
    </row>
    <row r="1568" ht="15.75" customHeight="1">
      <c r="A1568" s="585">
        <v>1456.0</v>
      </c>
      <c r="B1568" s="1044" t="str">
        <f>Settings!$A$11</f>
        <v>EAGLES</v>
      </c>
      <c r="C1568" s="712" t="s">
        <v>117</v>
      </c>
      <c r="D1568" s="13" t="str">
        <f>'Entry Sheet'!R179</f>
        <v>J. DOWNS</v>
      </c>
      <c r="E1568" s="13">
        <f>'Entry Sheet'!S179</f>
        <v>16.85</v>
      </c>
      <c r="F1568" s="589" t="s">
        <v>520</v>
      </c>
      <c r="BB1568" s="314"/>
    </row>
    <row r="1569" ht="15.75" customHeight="1">
      <c r="A1569" s="585">
        <v>1456.0</v>
      </c>
      <c r="B1569" s="1044" t="str">
        <f>Settings!$A$11</f>
        <v>EAGLES</v>
      </c>
      <c r="C1569" s="712" t="s">
        <v>117</v>
      </c>
      <c r="D1569" s="13" t="str">
        <f>'Entry Sheet'!R180</f>
        <v/>
      </c>
      <c r="E1569" s="13" t="str">
        <f>'Entry Sheet'!S180</f>
        <v/>
      </c>
      <c r="F1569" s="589" t="s">
        <v>520</v>
      </c>
      <c r="BB1569" s="314"/>
    </row>
    <row r="1570" ht="15.75" customHeight="1">
      <c r="A1570" s="585">
        <v>1456.0</v>
      </c>
      <c r="B1570" s="1044" t="str">
        <f>Settings!$A$11</f>
        <v>EAGLES</v>
      </c>
      <c r="C1570" s="764" t="s">
        <v>132</v>
      </c>
      <c r="D1570" s="13" t="str">
        <f>'Entry Sheet'!R181</f>
        <v>G. KITTLE</v>
      </c>
      <c r="E1570" s="13">
        <f>'Entry Sheet'!S181</f>
        <v>7</v>
      </c>
      <c r="F1570" s="589" t="s">
        <v>520</v>
      </c>
      <c r="BB1570" s="314"/>
    </row>
    <row r="1571" ht="15.75" customHeight="1">
      <c r="A1571" s="585">
        <v>1456.0</v>
      </c>
      <c r="B1571" s="1044" t="str">
        <f>Settings!$A$11</f>
        <v>EAGLES</v>
      </c>
      <c r="C1571" s="795" t="s">
        <v>136</v>
      </c>
      <c r="D1571" s="13" t="str">
        <f>'Entry Sheet'!R182</f>
        <v>G. PICKENS</v>
      </c>
      <c r="E1571" s="13">
        <f>'Entry Sheet'!S182</f>
        <v>13.9</v>
      </c>
      <c r="F1571" s="589" t="s">
        <v>520</v>
      </c>
      <c r="BB1571" s="314"/>
    </row>
    <row r="1572" ht="15.75" customHeight="1">
      <c r="A1572" s="585">
        <v>1456.0</v>
      </c>
      <c r="B1572" s="1044" t="str">
        <f>Settings!$A$11</f>
        <v>EAGLES</v>
      </c>
      <c r="C1572" s="818" t="s">
        <v>139</v>
      </c>
      <c r="D1572" s="13" t="str">
        <f>'Entry Sheet'!R183</f>
        <v>DEN D/ST</v>
      </c>
      <c r="E1572" s="13">
        <f>'Entry Sheet'!S183</f>
        <v>17.2</v>
      </c>
      <c r="F1572" s="589" t="s">
        <v>520</v>
      </c>
      <c r="BB1572" s="314"/>
    </row>
    <row r="1573" ht="15.75" customHeight="1">
      <c r="A1573" s="585">
        <v>1456.0</v>
      </c>
      <c r="B1573" s="1044" t="str">
        <f>Settings!$A$11</f>
        <v>EAGLES</v>
      </c>
      <c r="C1573" s="833" t="s">
        <v>146</v>
      </c>
      <c r="D1573" s="13" t="str">
        <f>'Entry Sheet'!R184</f>
        <v>W. LUTZ</v>
      </c>
      <c r="E1573" s="13">
        <f>'Entry Sheet'!S184</f>
        <v>3</v>
      </c>
      <c r="F1573" s="589" t="s">
        <v>520</v>
      </c>
      <c r="BB1573" s="314"/>
    </row>
    <row r="1574" ht="15.75" customHeight="1">
      <c r="A1574" s="585">
        <v>1456.0</v>
      </c>
      <c r="B1574" s="1044" t="str">
        <f>Settings!$A$11</f>
        <v>EAGLES</v>
      </c>
      <c r="C1574" s="842" t="s">
        <v>162</v>
      </c>
      <c r="D1574" s="13" t="str">
        <f>'Entry Sheet'!R185</f>
        <v>KC HC</v>
      </c>
      <c r="E1574" s="13">
        <f>'Entry Sheet'!S185</f>
        <v>3.3</v>
      </c>
      <c r="F1574" s="589" t="s">
        <v>520</v>
      </c>
      <c r="BB1574" s="314"/>
    </row>
    <row r="1575" ht="15.75" customHeight="1">
      <c r="A1575" s="585">
        <v>1456.0</v>
      </c>
      <c r="B1575" s="1044" t="str">
        <f>Settings!$A$11</f>
        <v>EAGLES</v>
      </c>
      <c r="C1575" s="587" t="s">
        <v>100</v>
      </c>
      <c r="D1575" s="13" t="str">
        <f>'Entry Sheet'!T173</f>
        <v>J. ALLEN</v>
      </c>
      <c r="E1575" s="13">
        <f>'Entry Sheet'!U173</f>
        <v>27.14</v>
      </c>
      <c r="F1575" s="846" t="s">
        <v>521</v>
      </c>
      <c r="BB1575" s="314"/>
    </row>
    <row r="1576" ht="15.75" customHeight="1">
      <c r="A1576" s="585">
        <v>1456.0</v>
      </c>
      <c r="B1576" s="1044" t="str">
        <f>Settings!$A$11</f>
        <v>EAGLES</v>
      </c>
      <c r="C1576" s="596" t="s">
        <v>106</v>
      </c>
      <c r="D1576" s="13" t="str">
        <f>'Entry Sheet'!T174</f>
        <v>J. CROSKEY-MERRITT</v>
      </c>
      <c r="E1576" s="13">
        <f>'Entry Sheet'!U174</f>
        <v>4.1</v>
      </c>
      <c r="F1576" s="846" t="s">
        <v>521</v>
      </c>
      <c r="BB1576" s="314"/>
    </row>
    <row r="1577" ht="15.75" customHeight="1">
      <c r="A1577" s="585">
        <v>1456.0</v>
      </c>
      <c r="B1577" s="1044" t="str">
        <f>Settings!$A$11</f>
        <v>EAGLES</v>
      </c>
      <c r="C1577" s="596" t="s">
        <v>106</v>
      </c>
      <c r="D1577" s="13" t="str">
        <f>'Entry Sheet'!T175</f>
        <v>W. MARKS</v>
      </c>
      <c r="E1577" s="13">
        <f>'Entry Sheet'!U175</f>
        <v>17.5</v>
      </c>
      <c r="F1577" s="846" t="s">
        <v>521</v>
      </c>
      <c r="BB1577" s="314"/>
    </row>
    <row r="1578" ht="15.75" customHeight="1">
      <c r="A1578" s="585">
        <v>1456.0</v>
      </c>
      <c r="B1578" s="1044" t="str">
        <f>Settings!$A$11</f>
        <v>EAGLES</v>
      </c>
      <c r="C1578" s="596" t="s">
        <v>106</v>
      </c>
      <c r="D1578" s="13" t="str">
        <f>'Entry Sheet'!T176</f>
        <v/>
      </c>
      <c r="E1578" s="13" t="str">
        <f>'Entry Sheet'!U176</f>
        <v/>
      </c>
      <c r="F1578" s="846" t="s">
        <v>521</v>
      </c>
      <c r="BB1578" s="314"/>
    </row>
    <row r="1579" ht="15.75" customHeight="1">
      <c r="A1579" s="585">
        <v>1456.0</v>
      </c>
      <c r="B1579" s="1044" t="str">
        <f>Settings!$A$11</f>
        <v>EAGLES</v>
      </c>
      <c r="C1579" s="712" t="s">
        <v>117</v>
      </c>
      <c r="D1579" s="13" t="str">
        <f>'Entry Sheet'!T177</f>
        <v>M. WASHINGTON</v>
      </c>
      <c r="E1579" s="13">
        <f>'Entry Sheet'!U177</f>
        <v>11.25</v>
      </c>
      <c r="F1579" s="846" t="s">
        <v>521</v>
      </c>
      <c r="BB1579" s="314"/>
    </row>
    <row r="1580" ht="15.75" customHeight="1">
      <c r="A1580" s="585">
        <v>1456.0</v>
      </c>
      <c r="B1580" s="1044" t="str">
        <f>Settings!$A$11</f>
        <v>EAGLES</v>
      </c>
      <c r="C1580" s="712" t="s">
        <v>117</v>
      </c>
      <c r="D1580" s="13" t="str">
        <f>'Entry Sheet'!T178</f>
        <v>J. DOWNS</v>
      </c>
      <c r="E1580" s="13">
        <f>'Entry Sheet'!U178</f>
        <v>2.9</v>
      </c>
      <c r="F1580" s="846" t="s">
        <v>521</v>
      </c>
      <c r="BB1580" s="314"/>
    </row>
    <row r="1581" ht="15.75" customHeight="1">
      <c r="A1581" s="585">
        <v>1456.0</v>
      </c>
      <c r="B1581" s="1044" t="str">
        <f>Settings!$A$11</f>
        <v>EAGLES</v>
      </c>
      <c r="C1581" s="712" t="s">
        <v>117</v>
      </c>
      <c r="D1581" s="13" t="str">
        <f>'Entry Sheet'!T179</f>
        <v>J. WILLIAMS</v>
      </c>
      <c r="E1581" s="13">
        <f>'Entry Sheet'!U179</f>
        <v>24.9</v>
      </c>
      <c r="F1581" s="846" t="s">
        <v>521</v>
      </c>
      <c r="BB1581" s="314"/>
    </row>
    <row r="1582" ht="15.75" customHeight="1">
      <c r="A1582" s="585">
        <v>1456.0</v>
      </c>
      <c r="B1582" s="1044" t="str">
        <f>Settings!$A$11</f>
        <v>EAGLES</v>
      </c>
      <c r="C1582" s="712" t="s">
        <v>117</v>
      </c>
      <c r="D1582" s="13" t="str">
        <f>'Entry Sheet'!T180</f>
        <v/>
      </c>
      <c r="E1582" s="13" t="str">
        <f>'Entry Sheet'!U180</f>
        <v/>
      </c>
      <c r="F1582" s="846" t="s">
        <v>521</v>
      </c>
      <c r="BB1582" s="314"/>
    </row>
    <row r="1583" ht="15.75" customHeight="1">
      <c r="A1583" s="585">
        <v>1456.0</v>
      </c>
      <c r="B1583" s="1044" t="str">
        <f>Settings!$A$11</f>
        <v>EAGLES</v>
      </c>
      <c r="C1583" s="764" t="s">
        <v>132</v>
      </c>
      <c r="D1583" s="13" t="str">
        <f>'Entry Sheet'!T181</f>
        <v>G. KITTLE</v>
      </c>
      <c r="E1583" s="13">
        <f>'Entry Sheet'!U181</f>
        <v>23.4</v>
      </c>
      <c r="F1583" s="846" t="s">
        <v>521</v>
      </c>
      <c r="BB1583" s="314"/>
    </row>
    <row r="1584" ht="15.75" customHeight="1">
      <c r="A1584" s="585">
        <v>1456.0</v>
      </c>
      <c r="B1584" s="1044" t="str">
        <f>Settings!$A$11</f>
        <v>EAGLES</v>
      </c>
      <c r="C1584" s="795" t="s">
        <v>136</v>
      </c>
      <c r="D1584" s="13" t="str">
        <f>'Entry Sheet'!T182</f>
        <v>Z. ERTZ</v>
      </c>
      <c r="E1584" s="13">
        <f>'Entry Sheet'!U182</f>
        <v>9.4</v>
      </c>
      <c r="F1584" s="846" t="s">
        <v>521</v>
      </c>
      <c r="BB1584" s="314"/>
    </row>
    <row r="1585" ht="15.75" customHeight="1">
      <c r="A1585" s="585">
        <v>1456.0</v>
      </c>
      <c r="B1585" s="1044" t="str">
        <f>Settings!$A$11</f>
        <v>EAGLES</v>
      </c>
      <c r="C1585" s="818" t="s">
        <v>139</v>
      </c>
      <c r="D1585" s="13" t="str">
        <f>'Entry Sheet'!T183</f>
        <v>DEN D/ST</v>
      </c>
      <c r="E1585" s="13">
        <f>'Entry Sheet'!U183</f>
        <v>27.67</v>
      </c>
      <c r="F1585" s="846" t="s">
        <v>521</v>
      </c>
      <c r="BB1585" s="314"/>
    </row>
    <row r="1586" ht="15.75" customHeight="1">
      <c r="A1586" s="585">
        <v>1456.0</v>
      </c>
      <c r="B1586" s="1044" t="str">
        <f>Settings!$A$11</f>
        <v>EAGLES</v>
      </c>
      <c r="C1586" s="833" t="s">
        <v>146</v>
      </c>
      <c r="D1586" s="13" t="str">
        <f>'Entry Sheet'!T184</f>
        <v>W. LUTZ</v>
      </c>
      <c r="E1586" s="13">
        <f>'Entry Sheet'!U184</f>
        <v>3</v>
      </c>
      <c r="F1586" s="846" t="s">
        <v>521</v>
      </c>
      <c r="BB1586" s="314"/>
    </row>
    <row r="1587" ht="15.75" customHeight="1">
      <c r="A1587" s="585">
        <v>1456.0</v>
      </c>
      <c r="B1587" s="1044" t="str">
        <f>Settings!$A$11</f>
        <v>EAGLES</v>
      </c>
      <c r="C1587" s="842" t="s">
        <v>162</v>
      </c>
      <c r="D1587" s="13" t="str">
        <f>'Entry Sheet'!T185</f>
        <v>GB HC</v>
      </c>
      <c r="E1587" s="13">
        <f>'Entry Sheet'!U185</f>
        <v>0.1</v>
      </c>
      <c r="F1587" s="846" t="s">
        <v>521</v>
      </c>
      <c r="BB1587" s="314"/>
    </row>
    <row r="1588" ht="15.75" hidden="1" customHeight="1">
      <c r="A1588" s="585">
        <v>1456.0</v>
      </c>
      <c r="B1588" s="1044" t="str">
        <f>Settings!$A$11</f>
        <v>EAGLES</v>
      </c>
      <c r="C1588" s="587" t="s">
        <v>100</v>
      </c>
      <c r="D1588" s="13" t="str">
        <f>'Entry Sheet'!V173</f>
        <v>J. ALLEN</v>
      </c>
      <c r="E1588" s="13">
        <f>'Entry Sheet'!W173</f>
        <v>50.28</v>
      </c>
      <c r="F1588" s="589" t="s">
        <v>522</v>
      </c>
      <c r="BB1588" s="314"/>
    </row>
    <row r="1589" ht="15.75" hidden="1" customHeight="1">
      <c r="A1589" s="585">
        <v>1456.0</v>
      </c>
      <c r="B1589" s="1044" t="str">
        <f>Settings!$A$11</f>
        <v>EAGLES</v>
      </c>
      <c r="C1589" s="596" t="s">
        <v>106</v>
      </c>
      <c r="D1589" s="13" t="str">
        <f>'Entry Sheet'!V174</f>
        <v>J. WILLIAMS</v>
      </c>
      <c r="E1589" s="13">
        <f>'Entry Sheet'!W174</f>
        <v>12.5</v>
      </c>
      <c r="F1589" s="589" t="s">
        <v>522</v>
      </c>
      <c r="BB1589" s="314"/>
    </row>
    <row r="1590" ht="15.75" hidden="1" customHeight="1">
      <c r="A1590" s="585">
        <v>1456.0</v>
      </c>
      <c r="B1590" s="1044" t="str">
        <f>Settings!$A$11</f>
        <v>EAGLES</v>
      </c>
      <c r="C1590" s="596" t="s">
        <v>106</v>
      </c>
      <c r="D1590" s="13" t="str">
        <f>'Entry Sheet'!V175</f>
        <v>W. MARKS</v>
      </c>
      <c r="E1590" s="13">
        <f>'Entry Sheet'!W175</f>
        <v>7.9</v>
      </c>
      <c r="F1590" s="589" t="s">
        <v>522</v>
      </c>
      <c r="BB1590" s="314"/>
    </row>
    <row r="1591" ht="15.75" hidden="1" customHeight="1">
      <c r="A1591" s="585">
        <v>1456.0</v>
      </c>
      <c r="B1591" s="1044" t="str">
        <f>Settings!$A$11</f>
        <v>EAGLES</v>
      </c>
      <c r="C1591" s="596" t="s">
        <v>106</v>
      </c>
      <c r="D1591" s="13" t="str">
        <f>'Entry Sheet'!V176</f>
        <v/>
      </c>
      <c r="E1591" s="13" t="str">
        <f>'Entry Sheet'!W176</f>
        <v/>
      </c>
      <c r="F1591" s="589" t="s">
        <v>522</v>
      </c>
      <c r="BB1591" s="314"/>
    </row>
    <row r="1592" ht="15.75" hidden="1" customHeight="1">
      <c r="A1592" s="585">
        <v>1456.0</v>
      </c>
      <c r="B1592" s="1044" t="str">
        <f>Settings!$A$11</f>
        <v>EAGLES</v>
      </c>
      <c r="C1592" s="712" t="s">
        <v>117</v>
      </c>
      <c r="D1592" s="13" t="str">
        <f>'Entry Sheet'!V177</f>
        <v>G. PICKENS</v>
      </c>
      <c r="E1592" s="13">
        <f>'Entry Sheet'!W177</f>
        <v>30.4</v>
      </c>
      <c r="F1592" s="589" t="s">
        <v>522</v>
      </c>
      <c r="BB1592" s="314"/>
    </row>
    <row r="1593" ht="15.75" hidden="1" customHeight="1">
      <c r="A1593" s="585">
        <v>1456.0</v>
      </c>
      <c r="B1593" s="1044" t="str">
        <f>Settings!$A$11</f>
        <v>EAGLES</v>
      </c>
      <c r="C1593" s="712" t="s">
        <v>117</v>
      </c>
      <c r="D1593" s="13" t="str">
        <f>'Entry Sheet'!V178</f>
        <v>M. WASHINGTON</v>
      </c>
      <c r="E1593" s="13">
        <f>'Entry Sheet'!W178</f>
        <v>8.4</v>
      </c>
      <c r="F1593" s="589" t="s">
        <v>522</v>
      </c>
      <c r="BB1593" s="314"/>
    </row>
    <row r="1594" ht="15.75" hidden="1" customHeight="1">
      <c r="A1594" s="585">
        <v>1456.0</v>
      </c>
      <c r="B1594" s="1044" t="str">
        <f>Settings!$A$11</f>
        <v>EAGLES</v>
      </c>
      <c r="C1594" s="712" t="s">
        <v>117</v>
      </c>
      <c r="D1594" s="13" t="str">
        <f>'Entry Sheet'!V179</f>
        <v>J. WILLIAMS</v>
      </c>
      <c r="E1594" s="13">
        <f>'Entry Sheet'!W179</f>
        <v>19.8</v>
      </c>
      <c r="F1594" s="589" t="s">
        <v>522</v>
      </c>
      <c r="BB1594" s="314"/>
    </row>
    <row r="1595" ht="15.75" hidden="1" customHeight="1">
      <c r="A1595" s="585">
        <v>1456.0</v>
      </c>
      <c r="B1595" s="1044" t="str">
        <f>Settings!$A$11</f>
        <v>EAGLES</v>
      </c>
      <c r="C1595" s="712" t="s">
        <v>117</v>
      </c>
      <c r="D1595" s="13" t="str">
        <f>'Entry Sheet'!V180</f>
        <v/>
      </c>
      <c r="E1595" s="13" t="str">
        <f>'Entry Sheet'!W180</f>
        <v/>
      </c>
      <c r="F1595" s="589" t="s">
        <v>522</v>
      </c>
      <c r="BB1595" s="314"/>
    </row>
    <row r="1596" ht="15.75" hidden="1" customHeight="1">
      <c r="A1596" s="585">
        <v>1456.0</v>
      </c>
      <c r="B1596" s="1044" t="str">
        <f>Settings!$A$11</f>
        <v>EAGLES</v>
      </c>
      <c r="C1596" s="764" t="s">
        <v>132</v>
      </c>
      <c r="D1596" s="13" t="str">
        <f>'Entry Sheet'!V181</f>
        <v>G. KITTLE</v>
      </c>
      <c r="E1596" s="13">
        <f>'Entry Sheet'!W181</f>
        <v>24.7</v>
      </c>
      <c r="F1596" s="589" t="s">
        <v>522</v>
      </c>
      <c r="BB1596" s="314"/>
    </row>
    <row r="1597" ht="15.75" hidden="1" customHeight="1">
      <c r="A1597" s="585">
        <v>1456.0</v>
      </c>
      <c r="B1597" s="1044" t="str">
        <f>Settings!$A$11</f>
        <v>EAGLES</v>
      </c>
      <c r="C1597" s="795" t="s">
        <v>136</v>
      </c>
      <c r="D1597" s="13" t="str">
        <f>'Entry Sheet'!V182</f>
        <v>Z. ERTZ</v>
      </c>
      <c r="E1597" s="13">
        <f>'Entry Sheet'!W182</f>
        <v>8.2</v>
      </c>
      <c r="F1597" s="589" t="s">
        <v>522</v>
      </c>
      <c r="BB1597" s="314"/>
    </row>
    <row r="1598" ht="15.75" hidden="1" customHeight="1">
      <c r="A1598" s="585">
        <v>1456.0</v>
      </c>
      <c r="B1598" s="1044" t="str">
        <f>Settings!$A$11</f>
        <v>EAGLES</v>
      </c>
      <c r="C1598" s="818" t="s">
        <v>139</v>
      </c>
      <c r="D1598" s="13" t="str">
        <f>'Entry Sheet'!V183</f>
        <v>DEN D/ST</v>
      </c>
      <c r="E1598" s="13">
        <f>'Entry Sheet'!W183</f>
        <v>24.03</v>
      </c>
      <c r="F1598" s="589" t="s">
        <v>522</v>
      </c>
      <c r="BB1598" s="314"/>
    </row>
    <row r="1599" ht="15.75" hidden="1" customHeight="1">
      <c r="A1599" s="585">
        <v>1456.0</v>
      </c>
      <c r="B1599" s="1044" t="str">
        <f>Settings!$A$11</f>
        <v>EAGLES</v>
      </c>
      <c r="C1599" s="833" t="s">
        <v>146</v>
      </c>
      <c r="D1599" s="13" t="str">
        <f>'Entry Sheet'!V184</f>
        <v>W. LUTZ</v>
      </c>
      <c r="E1599" s="13">
        <f>'Entry Sheet'!W184</f>
        <v>19</v>
      </c>
      <c r="F1599" s="589" t="s">
        <v>522</v>
      </c>
      <c r="BB1599" s="314"/>
    </row>
    <row r="1600" ht="15.75" hidden="1" customHeight="1">
      <c r="A1600" s="585">
        <v>1456.0</v>
      </c>
      <c r="B1600" s="1044" t="str">
        <f>Settings!$A$11</f>
        <v>EAGLES</v>
      </c>
      <c r="C1600" s="842" t="s">
        <v>162</v>
      </c>
      <c r="D1600" s="13" t="str">
        <f>'Entry Sheet'!V185</f>
        <v>GB HC</v>
      </c>
      <c r="E1600" s="13">
        <f>'Entry Sheet'!W185</f>
        <v>11.1</v>
      </c>
      <c r="F1600" s="589" t="s">
        <v>522</v>
      </c>
      <c r="BB1600" s="314"/>
    </row>
    <row r="1601" ht="15.75" customHeight="1">
      <c r="A1601" s="585">
        <v>1456.0</v>
      </c>
      <c r="B1601" s="1044" t="str">
        <f>Settings!$A$11</f>
        <v>EAGLES</v>
      </c>
      <c r="C1601" s="587" t="s">
        <v>100</v>
      </c>
      <c r="D1601" s="13" t="str">
        <f>'Entry Sheet'!X173</f>
        <v>J. ALLEN</v>
      </c>
      <c r="E1601" s="13">
        <f>'Entry Sheet'!Y173</f>
        <v>9.82</v>
      </c>
      <c r="F1601" s="846" t="s">
        <v>523</v>
      </c>
      <c r="BB1601" s="314"/>
    </row>
    <row r="1602" ht="15.75" customHeight="1">
      <c r="A1602" s="585">
        <v>1456.0</v>
      </c>
      <c r="B1602" s="1044" t="str">
        <f>Settings!$A$11</f>
        <v>EAGLES</v>
      </c>
      <c r="C1602" s="596" t="s">
        <v>106</v>
      </c>
      <c r="D1602" s="13" t="str">
        <f>'Entry Sheet'!X174</f>
        <v>JA. WILLIAMS</v>
      </c>
      <c r="E1602" s="13">
        <f>'Entry Sheet'!Y174</f>
        <v>14.1</v>
      </c>
      <c r="F1602" s="846" t="s">
        <v>523</v>
      </c>
      <c r="BB1602" s="314"/>
    </row>
    <row r="1603" ht="15.75" customHeight="1">
      <c r="A1603" s="585">
        <v>1456.0</v>
      </c>
      <c r="B1603" s="1044" t="str">
        <f>Settings!$A$11</f>
        <v>EAGLES</v>
      </c>
      <c r="C1603" s="596" t="s">
        <v>106</v>
      </c>
      <c r="D1603" s="13" t="str">
        <f>'Entry Sheet'!X175</f>
        <v>W. MARKS</v>
      </c>
      <c r="E1603" s="13">
        <f>'Entry Sheet'!Y175</f>
        <v>9.5</v>
      </c>
      <c r="F1603" s="846" t="s">
        <v>523</v>
      </c>
      <c r="BB1603" s="314"/>
    </row>
    <row r="1604" ht="15.75" customHeight="1">
      <c r="A1604" s="585">
        <v>1456.0</v>
      </c>
      <c r="B1604" s="1044" t="str">
        <f>Settings!$A$11</f>
        <v>EAGLES</v>
      </c>
      <c r="C1604" s="596" t="s">
        <v>106</v>
      </c>
      <c r="D1604" s="13" t="str">
        <f>'Entry Sheet'!X176</f>
        <v/>
      </c>
      <c r="E1604" s="13" t="str">
        <f>'Entry Sheet'!Y176</f>
        <v/>
      </c>
      <c r="F1604" s="846" t="s">
        <v>523</v>
      </c>
      <c r="BB1604" s="314"/>
    </row>
    <row r="1605" ht="15.75" customHeight="1">
      <c r="A1605" s="585">
        <v>1456.0</v>
      </c>
      <c r="B1605" s="1044" t="str">
        <f>Settings!$A$11</f>
        <v>EAGLES</v>
      </c>
      <c r="C1605" s="712" t="s">
        <v>117</v>
      </c>
      <c r="D1605" s="13" t="str">
        <f>'Entry Sheet'!X177</f>
        <v>G. PICKENS</v>
      </c>
      <c r="E1605" s="13">
        <f>'Entry Sheet'!Y177</f>
        <v>30.6</v>
      </c>
      <c r="F1605" s="846" t="s">
        <v>523</v>
      </c>
      <c r="BB1605" s="314"/>
    </row>
    <row r="1606" ht="15.75" customHeight="1">
      <c r="A1606" s="585">
        <v>1456.0</v>
      </c>
      <c r="B1606" s="1044" t="str">
        <f>Settings!$A$11</f>
        <v>EAGLES</v>
      </c>
      <c r="C1606" s="712" t="s">
        <v>117</v>
      </c>
      <c r="D1606" s="13" t="str">
        <f>'Entry Sheet'!X178</f>
        <v>J. DOWNS</v>
      </c>
      <c r="E1606" s="13">
        <f>'Entry Sheet'!Y178</f>
        <v>3</v>
      </c>
      <c r="F1606" s="846" t="s">
        <v>523</v>
      </c>
      <c r="BB1606" s="314"/>
    </row>
    <row r="1607" ht="15.75" customHeight="1">
      <c r="A1607" s="585">
        <v>1456.0</v>
      </c>
      <c r="B1607" s="1044" t="str">
        <f>Settings!$A$11</f>
        <v>EAGLES</v>
      </c>
      <c r="C1607" s="712" t="s">
        <v>117</v>
      </c>
      <c r="D1607" s="13" t="str">
        <f>'Entry Sheet'!X179</f>
        <v>JM. WILLIAMS</v>
      </c>
      <c r="E1607" s="13">
        <f>'Entry Sheet'!Y179</f>
        <v>0</v>
      </c>
      <c r="F1607" s="846" t="s">
        <v>523</v>
      </c>
      <c r="BB1607" s="314"/>
    </row>
    <row r="1608" ht="15.75" customHeight="1">
      <c r="A1608" s="585">
        <v>1456.0</v>
      </c>
      <c r="B1608" s="1044" t="str">
        <f>Settings!$A$11</f>
        <v>EAGLES</v>
      </c>
      <c r="C1608" s="712" t="s">
        <v>117</v>
      </c>
      <c r="D1608" s="13" t="str">
        <f>'Entry Sheet'!X180</f>
        <v/>
      </c>
      <c r="E1608" s="13" t="str">
        <f>'Entry Sheet'!Y180</f>
        <v/>
      </c>
      <c r="F1608" s="846" t="s">
        <v>523</v>
      </c>
      <c r="BB1608" s="314"/>
    </row>
    <row r="1609" ht="15.75" customHeight="1">
      <c r="A1609" s="585">
        <v>1456.0</v>
      </c>
      <c r="B1609" s="1044" t="str">
        <f>Settings!$A$11</f>
        <v>EAGLES</v>
      </c>
      <c r="C1609" s="764" t="s">
        <v>132</v>
      </c>
      <c r="D1609" s="13" t="str">
        <f>'Entry Sheet'!X181</f>
        <v>G. KITTLE</v>
      </c>
      <c r="E1609" s="13">
        <f>'Entry Sheet'!Y181</f>
        <v>13.8</v>
      </c>
      <c r="F1609" s="846" t="s">
        <v>523</v>
      </c>
      <c r="BB1609" s="314"/>
    </row>
    <row r="1610" ht="15.75" customHeight="1">
      <c r="A1610" s="585">
        <v>1456.0</v>
      </c>
      <c r="B1610" s="1044" t="str">
        <f>Settings!$A$11</f>
        <v>EAGLES</v>
      </c>
      <c r="C1610" s="795" t="s">
        <v>136</v>
      </c>
      <c r="D1610" s="13" t="str">
        <f>'Entry Sheet'!X182</f>
        <v>C. WATSON</v>
      </c>
      <c r="E1610" s="13">
        <f>'Entry Sheet'!Y182</f>
        <v>9.9</v>
      </c>
      <c r="F1610" s="846" t="s">
        <v>523</v>
      </c>
      <c r="BB1610" s="314"/>
    </row>
    <row r="1611" ht="15.75" customHeight="1">
      <c r="A1611" s="585">
        <v>1456.0</v>
      </c>
      <c r="B1611" s="1044" t="str">
        <f>Settings!$A$11</f>
        <v>EAGLES</v>
      </c>
      <c r="C1611" s="818" t="s">
        <v>139</v>
      </c>
      <c r="D1611" s="13" t="str">
        <f>'Entry Sheet'!X183</f>
        <v>NYG D/ST</v>
      </c>
      <c r="E1611" s="13">
        <f>'Entry Sheet'!Y183</f>
        <v>5.1</v>
      </c>
      <c r="F1611" s="846" t="s">
        <v>523</v>
      </c>
      <c r="BB1611" s="314"/>
    </row>
    <row r="1612" ht="15.75" customHeight="1">
      <c r="A1612" s="585">
        <v>1456.0</v>
      </c>
      <c r="B1612" s="1044" t="str">
        <f>Settings!$A$11</f>
        <v>EAGLES</v>
      </c>
      <c r="C1612" s="833" t="s">
        <v>146</v>
      </c>
      <c r="D1612" s="13" t="str">
        <f>'Entry Sheet'!X184</f>
        <v>H. MEVIS</v>
      </c>
      <c r="E1612" s="13">
        <f>'Entry Sheet'!Y184</f>
        <v>14</v>
      </c>
      <c r="F1612" s="846" t="s">
        <v>523</v>
      </c>
      <c r="BB1612" s="314"/>
    </row>
    <row r="1613" ht="15.75" customHeight="1">
      <c r="A1613" s="585">
        <v>1456.0</v>
      </c>
      <c r="B1613" s="1044" t="str">
        <f>Settings!$A$11</f>
        <v>EAGLES</v>
      </c>
      <c r="C1613" s="842" t="s">
        <v>162</v>
      </c>
      <c r="D1613" s="13" t="str">
        <f>'Entry Sheet'!X185</f>
        <v>GB HC</v>
      </c>
      <c r="E1613" s="13">
        <f>'Entry Sheet'!Y185</f>
        <v>12.9</v>
      </c>
      <c r="F1613" s="846" t="s">
        <v>523</v>
      </c>
      <c r="BB1613" s="314"/>
    </row>
    <row r="1614" ht="15.75" customHeight="1">
      <c r="A1614" s="585">
        <v>1456.0</v>
      </c>
      <c r="B1614" s="1044" t="str">
        <f>Settings!$A$11</f>
        <v>EAGLES</v>
      </c>
      <c r="C1614" s="587" t="s">
        <v>100</v>
      </c>
      <c r="D1614" s="13" t="str">
        <f>'Entry Sheet'!Z173</f>
        <v>J. ALLEN</v>
      </c>
      <c r="E1614" s="13">
        <f>'Entry Sheet'!AA173</f>
        <v>20.12</v>
      </c>
      <c r="F1614" s="589" t="s">
        <v>524</v>
      </c>
      <c r="BB1614" s="314"/>
    </row>
    <row r="1615" ht="15.75" customHeight="1">
      <c r="A1615" s="585">
        <v>1456.0</v>
      </c>
      <c r="B1615" s="1044" t="str">
        <f>Settings!$A$11</f>
        <v>EAGLES</v>
      </c>
      <c r="C1615" s="596" t="s">
        <v>106</v>
      </c>
      <c r="D1615" s="13" t="str">
        <f>'Entry Sheet'!Z174</f>
        <v>JA. WILLIAMS</v>
      </c>
      <c r="E1615" s="13">
        <f>'Entry Sheet'!AA174</f>
        <v>18.7</v>
      </c>
      <c r="F1615" s="589" t="s">
        <v>524</v>
      </c>
      <c r="BB1615" s="314"/>
    </row>
    <row r="1616" ht="15.75" customHeight="1">
      <c r="A1616" s="585">
        <v>1456.0</v>
      </c>
      <c r="B1616" s="1044" t="str">
        <f>Settings!$A$11</f>
        <v>EAGLES</v>
      </c>
      <c r="C1616" s="596" t="s">
        <v>106</v>
      </c>
      <c r="D1616" s="13" t="str">
        <f>'Entry Sheet'!Z175</f>
        <v>W. MARKS</v>
      </c>
      <c r="E1616" s="13">
        <f>'Entry Sheet'!AA175</f>
        <v>9.6</v>
      </c>
      <c r="F1616" s="589" t="s">
        <v>524</v>
      </c>
      <c r="BB1616" s="314"/>
    </row>
    <row r="1617" ht="15.75" customHeight="1">
      <c r="A1617" s="585">
        <v>1456.0</v>
      </c>
      <c r="B1617" s="1044" t="str">
        <f>Settings!$A$11</f>
        <v>EAGLES</v>
      </c>
      <c r="C1617" s="596" t="s">
        <v>106</v>
      </c>
      <c r="D1617" s="13" t="str">
        <f>'Entry Sheet'!Z176</f>
        <v/>
      </c>
      <c r="E1617" s="13" t="str">
        <f>'Entry Sheet'!AA176</f>
        <v/>
      </c>
      <c r="F1617" s="589" t="s">
        <v>524</v>
      </c>
      <c r="BB1617" s="314"/>
    </row>
    <row r="1618" ht="15.75" customHeight="1">
      <c r="A1618" s="585">
        <v>1456.0</v>
      </c>
      <c r="B1618" s="1044" t="str">
        <f>Settings!$A$11</f>
        <v>EAGLES</v>
      </c>
      <c r="C1618" s="712" t="s">
        <v>117</v>
      </c>
      <c r="D1618" s="13" t="str">
        <f>'Entry Sheet'!Z177</f>
        <v>G. PICKENS</v>
      </c>
      <c r="E1618" s="13">
        <f>'Entry Sheet'!AA177</f>
        <v>16.8</v>
      </c>
      <c r="F1618" s="589" t="s">
        <v>524</v>
      </c>
      <c r="BB1618" s="314"/>
    </row>
    <row r="1619" ht="15.75" customHeight="1">
      <c r="A1619" s="585">
        <v>1456.0</v>
      </c>
      <c r="B1619" s="1044" t="str">
        <f>Settings!$A$11</f>
        <v>EAGLES</v>
      </c>
      <c r="C1619" s="712" t="s">
        <v>117</v>
      </c>
      <c r="D1619" s="13" t="str">
        <f>'Entry Sheet'!Z178</f>
        <v>M. WASHINGTON</v>
      </c>
      <c r="E1619" s="13">
        <f>'Entry Sheet'!AA178</f>
        <v>9.5</v>
      </c>
      <c r="F1619" s="589" t="s">
        <v>524</v>
      </c>
      <c r="BB1619" s="314"/>
    </row>
    <row r="1620" ht="15.75" customHeight="1">
      <c r="A1620" s="585">
        <v>1456.0</v>
      </c>
      <c r="B1620" s="1044" t="str">
        <f>Settings!$A$11</f>
        <v>EAGLES</v>
      </c>
      <c r="C1620" s="712" t="s">
        <v>117</v>
      </c>
      <c r="D1620" s="13" t="str">
        <f>'Entry Sheet'!Z179</f>
        <v>JM. WILLIAMS</v>
      </c>
      <c r="E1620" s="13">
        <f>'Entry Sheet'!AA179</f>
        <v>28</v>
      </c>
      <c r="F1620" s="589" t="s">
        <v>524</v>
      </c>
      <c r="BB1620" s="314"/>
    </row>
    <row r="1621" ht="15.75" customHeight="1">
      <c r="A1621" s="585">
        <v>1456.0</v>
      </c>
      <c r="B1621" s="1044" t="str">
        <f>Settings!$A$11</f>
        <v>EAGLES</v>
      </c>
      <c r="C1621" s="712" t="s">
        <v>117</v>
      </c>
      <c r="D1621" s="13" t="str">
        <f>'Entry Sheet'!Z180</f>
        <v/>
      </c>
      <c r="E1621" s="13" t="str">
        <f>'Entry Sheet'!AA180</f>
        <v/>
      </c>
      <c r="F1621" s="589" t="s">
        <v>524</v>
      </c>
      <c r="BB1621" s="314"/>
    </row>
    <row r="1622" ht="15.75" customHeight="1">
      <c r="A1622" s="585">
        <v>1456.0</v>
      </c>
      <c r="B1622" s="1044" t="str">
        <f>Settings!$A$11</f>
        <v>EAGLES</v>
      </c>
      <c r="C1622" s="764" t="s">
        <v>132</v>
      </c>
      <c r="D1622" s="13" t="str">
        <f>'Entry Sheet'!Z181</f>
        <v>G. KITTLE</v>
      </c>
      <c r="E1622" s="13">
        <f>'Entry Sheet'!AA181</f>
        <v>10.7</v>
      </c>
      <c r="F1622" s="589" t="s">
        <v>524</v>
      </c>
      <c r="BB1622" s="314"/>
    </row>
    <row r="1623" ht="15.75" customHeight="1">
      <c r="A1623" s="585">
        <v>1456.0</v>
      </c>
      <c r="B1623" s="1044" t="str">
        <f>Settings!$A$11</f>
        <v>EAGLES</v>
      </c>
      <c r="C1623" s="795" t="s">
        <v>136</v>
      </c>
      <c r="D1623" s="13" t="str">
        <f>'Entry Sheet'!Z182</f>
        <v>C. WATSON</v>
      </c>
      <c r="E1623" s="13">
        <f>'Entry Sheet'!AA182</f>
        <v>18.4</v>
      </c>
      <c r="F1623" s="589" t="s">
        <v>524</v>
      </c>
      <c r="BB1623" s="314"/>
    </row>
    <row r="1624" ht="15.75" customHeight="1">
      <c r="A1624" s="585">
        <v>1456.0</v>
      </c>
      <c r="B1624" s="1044" t="str">
        <f>Settings!$A$11</f>
        <v>EAGLES</v>
      </c>
      <c r="C1624" s="818" t="s">
        <v>139</v>
      </c>
      <c r="D1624" s="13" t="str">
        <f>'Entry Sheet'!Z183</f>
        <v>DEN D/ST</v>
      </c>
      <c r="E1624" s="13">
        <f>'Entry Sheet'!AA183</f>
        <v>12.7</v>
      </c>
      <c r="F1624" s="589" t="s">
        <v>524</v>
      </c>
      <c r="BB1624" s="314"/>
    </row>
    <row r="1625" ht="15.75" customHeight="1">
      <c r="A1625" s="585">
        <v>1456.0</v>
      </c>
      <c r="B1625" s="1044" t="str">
        <f>Settings!$A$11</f>
        <v>EAGLES</v>
      </c>
      <c r="C1625" s="833" t="s">
        <v>146</v>
      </c>
      <c r="D1625" s="13" t="str">
        <f>'Entry Sheet'!Z184</f>
        <v>H. MEVIS</v>
      </c>
      <c r="E1625" s="13">
        <f>'Entry Sheet'!AA184</f>
        <v>4</v>
      </c>
      <c r="F1625" s="589" t="s">
        <v>524</v>
      </c>
      <c r="BB1625" s="314"/>
    </row>
    <row r="1626" ht="15.75" customHeight="1">
      <c r="A1626" s="585">
        <v>1456.0</v>
      </c>
      <c r="B1626" s="1044" t="str">
        <f>Settings!$A$11</f>
        <v>EAGLES</v>
      </c>
      <c r="C1626" s="842" t="s">
        <v>162</v>
      </c>
      <c r="D1626" s="13" t="str">
        <f>'Entry Sheet'!Z185</f>
        <v>GB HC</v>
      </c>
      <c r="E1626" s="13">
        <f>'Entry Sheet'!AA185</f>
        <v>12.3</v>
      </c>
      <c r="F1626" s="589" t="s">
        <v>524</v>
      </c>
      <c r="BB1626" s="314"/>
    </row>
    <row r="1627" ht="15.75" customHeight="1">
      <c r="A1627" s="585">
        <v>1456.0</v>
      </c>
      <c r="B1627" s="1044" t="str">
        <f>Settings!$A$11</f>
        <v>EAGLES</v>
      </c>
      <c r="C1627" s="587" t="s">
        <v>100</v>
      </c>
      <c r="D1627" s="13" t="str">
        <f>'Entry Sheet'!AB173</f>
        <v>J. ALLEN</v>
      </c>
      <c r="E1627" s="13">
        <f>'Entry Sheet'!AC173</f>
        <v>47.94</v>
      </c>
      <c r="F1627" s="846" t="s">
        <v>525</v>
      </c>
      <c r="BB1627" s="314"/>
    </row>
    <row r="1628" ht="15.75" customHeight="1">
      <c r="A1628" s="585">
        <v>1456.0</v>
      </c>
      <c r="B1628" s="1044" t="str">
        <f>Settings!$A$11</f>
        <v>EAGLES</v>
      </c>
      <c r="C1628" s="596" t="s">
        <v>106</v>
      </c>
      <c r="D1628" s="13" t="str">
        <f>'Entry Sheet'!AB174</f>
        <v>JA. WILLIAMS</v>
      </c>
      <c r="E1628" s="13">
        <f>'Entry Sheet'!AC174</f>
        <v>16.4</v>
      </c>
      <c r="F1628" s="846" t="s">
        <v>525</v>
      </c>
      <c r="BB1628" s="314"/>
    </row>
    <row r="1629" ht="15.75" customHeight="1">
      <c r="A1629" s="585">
        <v>1456.0</v>
      </c>
      <c r="B1629" s="1044" t="str">
        <f>Settings!$A$11</f>
        <v>EAGLES</v>
      </c>
      <c r="C1629" s="596" t="s">
        <v>106</v>
      </c>
      <c r="D1629" s="13" t="str">
        <f>'Entry Sheet'!AB175</f>
        <v>W. MARKS</v>
      </c>
      <c r="E1629" s="13">
        <f>'Entry Sheet'!AC175</f>
        <v>18.2</v>
      </c>
      <c r="F1629" s="846" t="s">
        <v>525</v>
      </c>
      <c r="BB1629" s="314"/>
    </row>
    <row r="1630" ht="15.75" customHeight="1">
      <c r="A1630" s="585">
        <v>1456.0</v>
      </c>
      <c r="B1630" s="1044" t="str">
        <f>Settings!$A$11</f>
        <v>EAGLES</v>
      </c>
      <c r="C1630" s="596" t="s">
        <v>106</v>
      </c>
      <c r="D1630" s="13" t="str">
        <f>'Entry Sheet'!AB176</f>
        <v/>
      </c>
      <c r="E1630" s="13" t="str">
        <f>'Entry Sheet'!AC176</f>
        <v/>
      </c>
      <c r="F1630" s="846" t="s">
        <v>525</v>
      </c>
      <c r="BB1630" s="314"/>
    </row>
    <row r="1631" ht="15.75" customHeight="1">
      <c r="A1631" s="585">
        <v>1456.0</v>
      </c>
      <c r="B1631" s="1044" t="str">
        <f>Settings!$A$11</f>
        <v>EAGLES</v>
      </c>
      <c r="C1631" s="712" t="s">
        <v>117</v>
      </c>
      <c r="D1631" s="13" t="str">
        <f>'Entry Sheet'!AB177</f>
        <v>G. PICKENS</v>
      </c>
      <c r="E1631" s="13">
        <f>'Entry Sheet'!AC177</f>
        <v>8.7</v>
      </c>
      <c r="F1631" s="846" t="s">
        <v>525</v>
      </c>
      <c r="BB1631" s="314"/>
    </row>
    <row r="1632" ht="15.75" customHeight="1">
      <c r="A1632" s="585">
        <v>1456.0</v>
      </c>
      <c r="B1632" s="1044" t="str">
        <f>Settings!$A$11</f>
        <v>EAGLES</v>
      </c>
      <c r="C1632" s="712" t="s">
        <v>117</v>
      </c>
      <c r="D1632" s="13" t="str">
        <f>'Entry Sheet'!AB178</f>
        <v>M. WASHINGTON</v>
      </c>
      <c r="E1632" s="13">
        <f>'Entry Sheet'!AC178</f>
        <v>6.85</v>
      </c>
      <c r="F1632" s="846" t="s">
        <v>525</v>
      </c>
      <c r="BB1632" s="314"/>
    </row>
    <row r="1633" ht="15.75" customHeight="1">
      <c r="A1633" s="585">
        <v>1456.0</v>
      </c>
      <c r="B1633" s="1044" t="str">
        <f>Settings!$A$11</f>
        <v>EAGLES</v>
      </c>
      <c r="C1633" s="712" t="s">
        <v>117</v>
      </c>
      <c r="D1633" s="13" t="str">
        <f>'Entry Sheet'!AB179</f>
        <v>JM. WILLIAMS</v>
      </c>
      <c r="E1633" s="13">
        <f>'Entry Sheet'!AC179</f>
        <v>17.4</v>
      </c>
      <c r="F1633" s="846" t="s">
        <v>525</v>
      </c>
      <c r="BB1633" s="314"/>
    </row>
    <row r="1634" ht="15.75" customHeight="1">
      <c r="A1634" s="585">
        <v>1456.0</v>
      </c>
      <c r="B1634" s="1044" t="str">
        <f>Settings!$A$11</f>
        <v>EAGLES</v>
      </c>
      <c r="C1634" s="712" t="s">
        <v>117</v>
      </c>
      <c r="D1634" s="13" t="str">
        <f>'Entry Sheet'!AB180</f>
        <v/>
      </c>
      <c r="E1634" s="13" t="str">
        <f>'Entry Sheet'!AC180</f>
        <v/>
      </c>
      <c r="F1634" s="846" t="s">
        <v>525</v>
      </c>
      <c r="BB1634" s="314"/>
    </row>
    <row r="1635" ht="15.75" customHeight="1">
      <c r="A1635" s="585">
        <v>1456.0</v>
      </c>
      <c r="B1635" s="1044" t="str">
        <f>Settings!$A$11</f>
        <v>EAGLES</v>
      </c>
      <c r="C1635" s="764" t="s">
        <v>132</v>
      </c>
      <c r="D1635" s="13" t="str">
        <f>'Entry Sheet'!AB181</f>
        <v>Z. ERTZ</v>
      </c>
      <c r="E1635" s="13">
        <f>'Entry Sheet'!AC181</f>
        <v>2.1</v>
      </c>
      <c r="F1635" s="846" t="s">
        <v>525</v>
      </c>
      <c r="BB1635" s="314"/>
    </row>
    <row r="1636" ht="15.75" customHeight="1">
      <c r="A1636" s="585">
        <v>1456.0</v>
      </c>
      <c r="B1636" s="1044" t="str">
        <f>Settings!$A$11</f>
        <v>EAGLES</v>
      </c>
      <c r="C1636" s="795" t="s">
        <v>136</v>
      </c>
      <c r="D1636" s="13" t="str">
        <f>'Entry Sheet'!AB182</f>
        <v>C. WATSON</v>
      </c>
      <c r="E1636" s="13">
        <f>'Entry Sheet'!AC182</f>
        <v>24.9</v>
      </c>
      <c r="F1636" s="846" t="s">
        <v>525</v>
      </c>
      <c r="BB1636" s="314"/>
    </row>
    <row r="1637" ht="15.75" customHeight="1">
      <c r="A1637" s="585">
        <v>1456.0</v>
      </c>
      <c r="B1637" s="1044" t="str">
        <f>Settings!$A$11</f>
        <v>EAGLES</v>
      </c>
      <c r="C1637" s="818" t="s">
        <v>139</v>
      </c>
      <c r="D1637" s="13" t="str">
        <f>'Entry Sheet'!AB183</f>
        <v>DEN D/ST</v>
      </c>
      <c r="E1637" s="13">
        <f>'Entry Sheet'!AC183</f>
        <v>22.79</v>
      </c>
      <c r="F1637" s="846" t="s">
        <v>525</v>
      </c>
      <c r="BB1637" s="314"/>
    </row>
    <row r="1638" ht="15.75" customHeight="1">
      <c r="A1638" s="585">
        <v>1456.0</v>
      </c>
      <c r="B1638" s="1044" t="str">
        <f>Settings!$A$11</f>
        <v>EAGLES</v>
      </c>
      <c r="C1638" s="833" t="s">
        <v>146</v>
      </c>
      <c r="D1638" s="13" t="str">
        <f>'Entry Sheet'!AB184</f>
        <v>H. MEVIS</v>
      </c>
      <c r="E1638" s="13">
        <f>'Entry Sheet'!AC184</f>
        <v>9</v>
      </c>
      <c r="F1638" s="846" t="s">
        <v>525</v>
      </c>
      <c r="BB1638" s="314"/>
    </row>
    <row r="1639" ht="15.75" customHeight="1">
      <c r="A1639" s="585">
        <v>1456.0</v>
      </c>
      <c r="B1639" s="1044" t="str">
        <f>Settings!$A$11</f>
        <v>EAGLES</v>
      </c>
      <c r="C1639" s="842" t="s">
        <v>162</v>
      </c>
      <c r="D1639" s="13" t="str">
        <f>'Entry Sheet'!AB185</f>
        <v>GB HC</v>
      </c>
      <c r="E1639" s="13">
        <f>'Entry Sheet'!AC185</f>
        <v>11.4</v>
      </c>
      <c r="F1639" s="846" t="s">
        <v>525</v>
      </c>
      <c r="BB1639" s="314"/>
    </row>
    <row r="1640" ht="15.75" customHeight="1">
      <c r="A1640" s="585">
        <v>1456.0</v>
      </c>
      <c r="B1640" s="1089" t="str">
        <f>Settings!$A$12</f>
        <v>KINGS</v>
      </c>
      <c r="C1640" s="587" t="s">
        <v>100</v>
      </c>
      <c r="D1640" s="13" t="str">
        <f>'Entry Sheet'!B194</f>
        <v>P. MAHOMES</v>
      </c>
      <c r="E1640" s="13">
        <f>'Entry Sheet'!C194</f>
        <v>30.42</v>
      </c>
      <c r="F1640" s="589" t="s">
        <v>512</v>
      </c>
      <c r="BB1640" s="314"/>
    </row>
    <row r="1641" ht="15.75" customHeight="1">
      <c r="A1641" s="585">
        <v>1456.0</v>
      </c>
      <c r="B1641" s="1089" t="str">
        <f>Settings!$A$12</f>
        <v>KINGS</v>
      </c>
      <c r="C1641" s="596" t="s">
        <v>106</v>
      </c>
      <c r="D1641" s="13" t="str">
        <f>'Entry Sheet'!B195</f>
        <v>C. MCCAFFREY</v>
      </c>
      <c r="E1641" s="13">
        <f>'Entry Sheet'!C195</f>
        <v>25.4</v>
      </c>
      <c r="F1641" s="589" t="s">
        <v>512</v>
      </c>
      <c r="BB1641" s="314"/>
    </row>
    <row r="1642" ht="15.75" customHeight="1">
      <c r="A1642" s="585">
        <v>1456.0</v>
      </c>
      <c r="B1642" s="1089" t="str">
        <f>Settings!$A$12</f>
        <v>KINGS</v>
      </c>
      <c r="C1642" s="596" t="s">
        <v>106</v>
      </c>
      <c r="D1642" s="13" t="str">
        <f>'Entry Sheet'!B196</f>
        <v>N. CHUBB</v>
      </c>
      <c r="E1642" s="13">
        <f>'Entry Sheet'!C196</f>
        <v>7.3</v>
      </c>
      <c r="F1642" s="589" t="s">
        <v>512</v>
      </c>
      <c r="BB1642" s="314"/>
    </row>
    <row r="1643" ht="15.75" customHeight="1">
      <c r="A1643" s="585">
        <v>1456.0</v>
      </c>
      <c r="B1643" s="1089" t="str">
        <f>Settings!$A$12</f>
        <v>KINGS</v>
      </c>
      <c r="C1643" s="596" t="s">
        <v>106</v>
      </c>
      <c r="D1643" s="13" t="str">
        <f>'Entry Sheet'!B197</f>
        <v/>
      </c>
      <c r="E1643" s="13" t="str">
        <f>'Entry Sheet'!C197</f>
        <v/>
      </c>
      <c r="F1643" s="589" t="s">
        <v>512</v>
      </c>
      <c r="BB1643" s="314"/>
    </row>
    <row r="1644" ht="15.75" customHeight="1">
      <c r="A1644" s="585">
        <v>1456.0</v>
      </c>
      <c r="B1644" s="1089" t="str">
        <f>Settings!$A$12</f>
        <v>KINGS</v>
      </c>
      <c r="C1644" s="712" t="s">
        <v>117</v>
      </c>
      <c r="D1644" s="13" t="str">
        <f>'Entry Sheet'!B198</f>
        <v>T. HILL</v>
      </c>
      <c r="E1644" s="13">
        <f>'Entry Sheet'!C198</f>
        <v>8</v>
      </c>
      <c r="F1644" s="589" t="s">
        <v>512</v>
      </c>
      <c r="BB1644" s="314"/>
    </row>
    <row r="1645" ht="15.75" customHeight="1">
      <c r="A1645" s="585">
        <v>1456.0</v>
      </c>
      <c r="B1645" s="1089" t="str">
        <f>Settings!$A$12</f>
        <v>KINGS</v>
      </c>
      <c r="C1645" s="712" t="s">
        <v>117</v>
      </c>
      <c r="D1645" s="13" t="str">
        <f>'Entry Sheet'!B199</f>
        <v>L. MCCONKEY</v>
      </c>
      <c r="E1645" s="13">
        <f>'Entry Sheet'!C199</f>
        <v>13.4</v>
      </c>
      <c r="F1645" s="589" t="s">
        <v>512</v>
      </c>
      <c r="BB1645" s="314"/>
    </row>
    <row r="1646" ht="15.75" customHeight="1">
      <c r="A1646" s="585">
        <v>1456.0</v>
      </c>
      <c r="B1646" s="1089" t="str">
        <f>Settings!$A$12</f>
        <v>KINGS</v>
      </c>
      <c r="C1646" s="712" t="s">
        <v>117</v>
      </c>
      <c r="D1646" s="13" t="str">
        <f>'Entry Sheet'!B200</f>
        <v>D. MOORE</v>
      </c>
      <c r="E1646" s="13">
        <f>'Entry Sheet'!C200</f>
        <v>8.9</v>
      </c>
      <c r="F1646" s="589" t="s">
        <v>512</v>
      </c>
      <c r="BB1646" s="314"/>
    </row>
    <row r="1647" ht="15.75" customHeight="1">
      <c r="A1647" s="585">
        <v>1456.0</v>
      </c>
      <c r="B1647" s="1089" t="str">
        <f>Settings!$A$12</f>
        <v>KINGS</v>
      </c>
      <c r="C1647" s="712" t="s">
        <v>117</v>
      </c>
      <c r="D1647" s="13" t="str">
        <f>'Entry Sheet'!B201</f>
        <v/>
      </c>
      <c r="E1647" s="13" t="str">
        <f>'Entry Sheet'!C201</f>
        <v/>
      </c>
      <c r="F1647" s="589" t="s">
        <v>512</v>
      </c>
      <c r="BB1647" s="314"/>
    </row>
    <row r="1648" ht="15.75" customHeight="1">
      <c r="A1648" s="585">
        <v>1456.0</v>
      </c>
      <c r="B1648" s="1089" t="str">
        <f>Settings!$A$12</f>
        <v>KINGS</v>
      </c>
      <c r="C1648" s="764" t="s">
        <v>132</v>
      </c>
      <c r="D1648" s="13" t="str">
        <f>'Entry Sheet'!B202</f>
        <v>H. HENRY</v>
      </c>
      <c r="E1648" s="13">
        <f>'Entry Sheet'!C202</f>
        <v>10.6</v>
      </c>
      <c r="F1648" s="589" t="s">
        <v>512</v>
      </c>
      <c r="BB1648" s="314"/>
    </row>
    <row r="1649" ht="15.75" customHeight="1">
      <c r="A1649" s="585">
        <v>1456.0</v>
      </c>
      <c r="B1649" s="1089" t="str">
        <f>Settings!$A$12</f>
        <v>KINGS</v>
      </c>
      <c r="C1649" s="795" t="s">
        <v>136</v>
      </c>
      <c r="D1649" s="13" t="str">
        <f>'Entry Sheet'!B203</f>
        <v>T. HUNTER</v>
      </c>
      <c r="E1649" s="13">
        <f>'Entry Sheet'!C203</f>
        <v>9.3</v>
      </c>
      <c r="F1649" s="589" t="s">
        <v>512</v>
      </c>
      <c r="BB1649" s="314"/>
    </row>
    <row r="1650" ht="15.75" customHeight="1">
      <c r="A1650" s="585">
        <v>1456.0</v>
      </c>
      <c r="B1650" s="1089" t="str">
        <f>Settings!$A$12</f>
        <v>KINGS</v>
      </c>
      <c r="C1650" s="818" t="s">
        <v>139</v>
      </c>
      <c r="D1650" s="13" t="str">
        <f>'Entry Sheet'!B204</f>
        <v>PHI D/ST</v>
      </c>
      <c r="E1650" s="13">
        <f>'Entry Sheet'!C204</f>
        <v>4.6</v>
      </c>
      <c r="F1650" s="589" t="s">
        <v>512</v>
      </c>
      <c r="BB1650" s="314"/>
    </row>
    <row r="1651" ht="15.75" customHeight="1">
      <c r="A1651" s="585">
        <v>1456.0</v>
      </c>
      <c r="B1651" s="1089" t="str">
        <f>Settings!$A$12</f>
        <v>KINGS</v>
      </c>
      <c r="C1651" s="833" t="s">
        <v>146</v>
      </c>
      <c r="D1651" s="13" t="str">
        <f>'Entry Sheet'!B205</f>
        <v>H. BUTKER</v>
      </c>
      <c r="E1651" s="13">
        <f>'Entry Sheet'!C205</f>
        <v>12</v>
      </c>
      <c r="F1651" s="589" t="s">
        <v>512</v>
      </c>
      <c r="BB1651" s="314"/>
    </row>
    <row r="1652" ht="15.75" customHeight="1">
      <c r="A1652" s="585">
        <v>1456.0</v>
      </c>
      <c r="B1652" s="1089" t="str">
        <f>Settings!$A$12</f>
        <v>KINGS</v>
      </c>
      <c r="C1652" s="842" t="s">
        <v>162</v>
      </c>
      <c r="D1652" s="13" t="str">
        <f>'Entry Sheet'!B206</f>
        <v>WSH HC</v>
      </c>
      <c r="E1652" s="13">
        <f>'Entry Sheet'!C206</f>
        <v>12.3</v>
      </c>
      <c r="F1652" s="589" t="s">
        <v>512</v>
      </c>
      <c r="BB1652" s="314"/>
    </row>
    <row r="1653" ht="15.75" customHeight="1">
      <c r="A1653" s="585">
        <v>1456.0</v>
      </c>
      <c r="B1653" s="1089" t="str">
        <f>Settings!$A$12</f>
        <v>KINGS</v>
      </c>
      <c r="C1653" s="587" t="s">
        <v>100</v>
      </c>
      <c r="D1653" s="13" t="str">
        <f>'Entry Sheet'!D194</f>
        <v>P. MAHOMES</v>
      </c>
      <c r="E1653" s="13">
        <f>'Entry Sheet'!E194</f>
        <v>24.58</v>
      </c>
      <c r="F1653" s="846" t="s">
        <v>513</v>
      </c>
      <c r="BB1653" s="314"/>
    </row>
    <row r="1654" ht="15.75" customHeight="1">
      <c r="A1654" s="585">
        <v>1456.0</v>
      </c>
      <c r="B1654" s="1089" t="str">
        <f>Settings!$A$12</f>
        <v>KINGS</v>
      </c>
      <c r="C1654" s="596" t="s">
        <v>106</v>
      </c>
      <c r="D1654" s="13" t="str">
        <f>'Entry Sheet'!D195</f>
        <v>C. MCCAFFREY</v>
      </c>
      <c r="E1654" s="13">
        <f>'Entry Sheet'!E195</f>
        <v>24</v>
      </c>
      <c r="F1654" s="846" t="s">
        <v>513</v>
      </c>
      <c r="BB1654" s="314"/>
    </row>
    <row r="1655" ht="15.75" customHeight="1">
      <c r="A1655" s="585">
        <v>1456.0</v>
      </c>
      <c r="B1655" s="1089" t="str">
        <f>Settings!$A$12</f>
        <v>KINGS</v>
      </c>
      <c r="C1655" s="596" t="s">
        <v>106</v>
      </c>
      <c r="D1655" s="13" t="str">
        <f>'Entry Sheet'!D196</f>
        <v>N. CHUBB</v>
      </c>
      <c r="E1655" s="13">
        <f>'Entry Sheet'!E196</f>
        <v>16.4</v>
      </c>
      <c r="F1655" s="846" t="s">
        <v>513</v>
      </c>
      <c r="BB1655" s="314"/>
    </row>
    <row r="1656" ht="15.75" customHeight="1">
      <c r="A1656" s="585">
        <v>1456.0</v>
      </c>
      <c r="B1656" s="1089" t="str">
        <f>Settings!$A$12</f>
        <v>KINGS</v>
      </c>
      <c r="C1656" s="596" t="s">
        <v>106</v>
      </c>
      <c r="D1656" s="13" t="str">
        <f>'Entry Sheet'!D197</f>
        <v/>
      </c>
      <c r="E1656" s="13" t="str">
        <f>'Entry Sheet'!E197</f>
        <v/>
      </c>
      <c r="F1656" s="846" t="s">
        <v>513</v>
      </c>
      <c r="BB1656" s="314"/>
    </row>
    <row r="1657" ht="15.75" customHeight="1">
      <c r="A1657" s="585">
        <v>1456.0</v>
      </c>
      <c r="B1657" s="1089" t="str">
        <f>Settings!$A$12</f>
        <v>KINGS</v>
      </c>
      <c r="C1657" s="712" t="s">
        <v>117</v>
      </c>
      <c r="D1657" s="13" t="str">
        <f>'Entry Sheet'!D198</f>
        <v>T. HILL</v>
      </c>
      <c r="E1657" s="13">
        <f>'Entry Sheet'!E198</f>
        <v>18.85</v>
      </c>
      <c r="F1657" s="846" t="s">
        <v>513</v>
      </c>
      <c r="BB1657" s="314"/>
    </row>
    <row r="1658" ht="15.75" customHeight="1">
      <c r="A1658" s="585">
        <v>1456.0</v>
      </c>
      <c r="B1658" s="1089" t="str">
        <f>Settings!$A$12</f>
        <v>KINGS</v>
      </c>
      <c r="C1658" s="712" t="s">
        <v>117</v>
      </c>
      <c r="D1658" s="13" t="str">
        <f>'Entry Sheet'!D199</f>
        <v>L. MCCONKEY</v>
      </c>
      <c r="E1658" s="13">
        <f>'Entry Sheet'!E199</f>
        <v>9.8</v>
      </c>
      <c r="F1658" s="846" t="s">
        <v>513</v>
      </c>
      <c r="BB1658" s="314"/>
    </row>
    <row r="1659" ht="15.75" customHeight="1">
      <c r="A1659" s="585">
        <v>1456.0</v>
      </c>
      <c r="B1659" s="1089" t="str">
        <f>Settings!$A$12</f>
        <v>KINGS</v>
      </c>
      <c r="C1659" s="712" t="s">
        <v>117</v>
      </c>
      <c r="D1659" s="13" t="str">
        <f>'Entry Sheet'!D200</f>
        <v>D. MOORE</v>
      </c>
      <c r="E1659" s="13">
        <f>'Entry Sheet'!E200</f>
        <v>9.6</v>
      </c>
      <c r="F1659" s="846" t="s">
        <v>513</v>
      </c>
      <c r="BB1659" s="314"/>
    </row>
    <row r="1660" ht="15.75" customHeight="1">
      <c r="A1660" s="585">
        <v>1456.0</v>
      </c>
      <c r="B1660" s="1089" t="str">
        <f>Settings!$A$12</f>
        <v>KINGS</v>
      </c>
      <c r="C1660" s="712" t="s">
        <v>117</v>
      </c>
      <c r="D1660" s="13" t="str">
        <f>'Entry Sheet'!D201</f>
        <v/>
      </c>
      <c r="E1660" s="13" t="str">
        <f>'Entry Sheet'!E201</f>
        <v/>
      </c>
      <c r="F1660" s="846" t="s">
        <v>513</v>
      </c>
      <c r="BB1660" s="314"/>
    </row>
    <row r="1661" ht="15.75" customHeight="1">
      <c r="A1661" s="585">
        <v>1456.0</v>
      </c>
      <c r="B1661" s="1089" t="str">
        <f>Settings!$A$12</f>
        <v>KINGS</v>
      </c>
      <c r="C1661" s="764" t="s">
        <v>132</v>
      </c>
      <c r="D1661" s="13" t="str">
        <f>'Entry Sheet'!D202</f>
        <v>H. HENRY</v>
      </c>
      <c r="E1661" s="13">
        <f>'Entry Sheet'!E202</f>
        <v>1.9</v>
      </c>
      <c r="F1661" s="846" t="s">
        <v>513</v>
      </c>
      <c r="BB1661" s="314"/>
    </row>
    <row r="1662" ht="15.75" customHeight="1">
      <c r="A1662" s="585">
        <v>1456.0</v>
      </c>
      <c r="B1662" s="1089" t="str">
        <f>Settings!$A$12</f>
        <v>KINGS</v>
      </c>
      <c r="C1662" s="795" t="s">
        <v>136</v>
      </c>
      <c r="D1662" s="13" t="str">
        <f>'Entry Sheet'!D203</f>
        <v>T. HUNTER</v>
      </c>
      <c r="E1662" s="13">
        <f>'Entry Sheet'!E203</f>
        <v>5.2</v>
      </c>
      <c r="F1662" s="846" t="s">
        <v>513</v>
      </c>
      <c r="BB1662" s="314"/>
    </row>
    <row r="1663" ht="15.75" customHeight="1">
      <c r="A1663" s="585">
        <v>1456.0</v>
      </c>
      <c r="B1663" s="1089" t="str">
        <f>Settings!$A$12</f>
        <v>KINGS</v>
      </c>
      <c r="C1663" s="818" t="s">
        <v>139</v>
      </c>
      <c r="D1663" s="13" t="str">
        <f>'Entry Sheet'!D204</f>
        <v>PHI D/ST</v>
      </c>
      <c r="E1663" s="13">
        <f>'Entry Sheet'!E204</f>
        <v>16.57</v>
      </c>
      <c r="F1663" s="846" t="s">
        <v>513</v>
      </c>
      <c r="BB1663" s="314"/>
    </row>
    <row r="1664" ht="15.75" customHeight="1">
      <c r="A1664" s="585">
        <v>1456.0</v>
      </c>
      <c r="B1664" s="1089" t="str">
        <f>Settings!$A$12</f>
        <v>KINGS</v>
      </c>
      <c r="C1664" s="833" t="s">
        <v>146</v>
      </c>
      <c r="D1664" s="13" t="str">
        <f>'Entry Sheet'!D205</f>
        <v>H. BUTKER</v>
      </c>
      <c r="E1664" s="13">
        <f>'Entry Sheet'!E205</f>
        <v>7</v>
      </c>
      <c r="F1664" s="846" t="s">
        <v>513</v>
      </c>
      <c r="BB1664" s="314"/>
    </row>
    <row r="1665" ht="15.75" customHeight="1">
      <c r="A1665" s="585">
        <v>1456.0</v>
      </c>
      <c r="B1665" s="1089" t="str">
        <f>Settings!$A$12</f>
        <v>KINGS</v>
      </c>
      <c r="C1665" s="842" t="s">
        <v>162</v>
      </c>
      <c r="D1665" s="13" t="str">
        <f>'Entry Sheet'!D206</f>
        <v>WSH HC</v>
      </c>
      <c r="E1665" s="13">
        <f>'Entry Sheet'!E206</f>
        <v>2.4</v>
      </c>
      <c r="F1665" s="846" t="s">
        <v>513</v>
      </c>
      <c r="BB1665" s="314"/>
    </row>
    <row r="1666" ht="15.75" customHeight="1">
      <c r="A1666" s="585">
        <v>1456.0</v>
      </c>
      <c r="B1666" s="1089" t="str">
        <f>Settings!$A$12</f>
        <v>KINGS</v>
      </c>
      <c r="C1666" s="587" t="s">
        <v>100</v>
      </c>
      <c r="D1666" s="13" t="str">
        <f>'Entry Sheet'!F194</f>
        <v>P. MAHOMES</v>
      </c>
      <c r="E1666" s="13">
        <f>'Entry Sheet'!G194</f>
        <v>17.06</v>
      </c>
      <c r="F1666" s="589" t="s">
        <v>514</v>
      </c>
      <c r="BB1666" s="314"/>
    </row>
    <row r="1667" ht="15.75" customHeight="1">
      <c r="A1667" s="585">
        <v>1456.0</v>
      </c>
      <c r="B1667" s="1089" t="str">
        <f>Settings!$A$12</f>
        <v>KINGS</v>
      </c>
      <c r="C1667" s="596" t="s">
        <v>106</v>
      </c>
      <c r="D1667" s="13" t="str">
        <f>'Entry Sheet'!F195</f>
        <v>C. MCCAFFREY</v>
      </c>
      <c r="E1667" s="13">
        <f>'Entry Sheet'!G195</f>
        <v>25.7</v>
      </c>
      <c r="F1667" s="589" t="s">
        <v>514</v>
      </c>
      <c r="BB1667" s="314"/>
    </row>
    <row r="1668" ht="15.75" customHeight="1">
      <c r="A1668" s="585">
        <v>1456.0</v>
      </c>
      <c r="B1668" s="1089" t="str">
        <f>Settings!$A$12</f>
        <v>KINGS</v>
      </c>
      <c r="C1668" s="596" t="s">
        <v>106</v>
      </c>
      <c r="D1668" s="13" t="str">
        <f>'Entry Sheet'!F196</f>
        <v>N. CHUBB</v>
      </c>
      <c r="E1668" s="13">
        <f>'Entry Sheet'!G196</f>
        <v>7.9</v>
      </c>
      <c r="F1668" s="589" t="s">
        <v>514</v>
      </c>
      <c r="BB1668" s="314"/>
    </row>
    <row r="1669" ht="15.75" customHeight="1">
      <c r="A1669" s="585">
        <v>1456.0</v>
      </c>
      <c r="B1669" s="1089" t="str">
        <f>Settings!$A$12</f>
        <v>KINGS</v>
      </c>
      <c r="C1669" s="596" t="s">
        <v>106</v>
      </c>
      <c r="D1669" s="13" t="str">
        <f>'Entry Sheet'!F197</f>
        <v/>
      </c>
      <c r="E1669" s="13" t="str">
        <f>'Entry Sheet'!G197</f>
        <v/>
      </c>
      <c r="F1669" s="589" t="s">
        <v>514</v>
      </c>
      <c r="BB1669" s="314"/>
    </row>
    <row r="1670" ht="15.75" customHeight="1">
      <c r="A1670" s="585">
        <v>1456.0</v>
      </c>
      <c r="B1670" s="1089" t="str">
        <f>Settings!$A$12</f>
        <v>KINGS</v>
      </c>
      <c r="C1670" s="712" t="s">
        <v>117</v>
      </c>
      <c r="D1670" s="13" t="str">
        <f>'Entry Sheet'!F198</f>
        <v>T. HILL</v>
      </c>
      <c r="E1670" s="13">
        <f>'Entry Sheet'!G198</f>
        <v>15.9</v>
      </c>
      <c r="F1670" s="589" t="s">
        <v>514</v>
      </c>
      <c r="BB1670" s="314"/>
    </row>
    <row r="1671" ht="15.75" customHeight="1">
      <c r="A1671" s="585">
        <v>1456.0</v>
      </c>
      <c r="B1671" s="1089" t="str">
        <f>Settings!$A$12</f>
        <v>KINGS</v>
      </c>
      <c r="C1671" s="712" t="s">
        <v>117</v>
      </c>
      <c r="D1671" s="13" t="str">
        <f>'Entry Sheet'!F199</f>
        <v>L. MCCONKEY</v>
      </c>
      <c r="E1671" s="13">
        <f>'Entry Sheet'!G199</f>
        <v>8.6</v>
      </c>
      <c r="F1671" s="589" t="s">
        <v>514</v>
      </c>
      <c r="BB1671" s="314"/>
    </row>
    <row r="1672" ht="15.75" customHeight="1">
      <c r="A1672" s="585">
        <v>1456.0</v>
      </c>
      <c r="B1672" s="1089" t="str">
        <f>Settings!$A$12</f>
        <v>KINGS</v>
      </c>
      <c r="C1672" s="712" t="s">
        <v>117</v>
      </c>
      <c r="D1672" s="13" t="str">
        <f>'Entry Sheet'!F200</f>
        <v>D. MOORE</v>
      </c>
      <c r="E1672" s="13">
        <f>'Entry Sheet'!G200</f>
        <v>13.1</v>
      </c>
      <c r="F1672" s="589" t="s">
        <v>514</v>
      </c>
      <c r="BB1672" s="314"/>
    </row>
    <row r="1673" ht="15.75" customHeight="1">
      <c r="A1673" s="585">
        <v>1456.0</v>
      </c>
      <c r="B1673" s="1089" t="str">
        <f>Settings!$A$12</f>
        <v>KINGS</v>
      </c>
      <c r="C1673" s="712" t="s">
        <v>117</v>
      </c>
      <c r="D1673" s="13" t="str">
        <f>'Entry Sheet'!F201</f>
        <v/>
      </c>
      <c r="E1673" s="13" t="str">
        <f>'Entry Sheet'!G201</f>
        <v/>
      </c>
      <c r="F1673" s="589" t="s">
        <v>514</v>
      </c>
      <c r="BB1673" s="314"/>
    </row>
    <row r="1674" ht="15.75" customHeight="1">
      <c r="A1674" s="585">
        <v>1456.0</v>
      </c>
      <c r="B1674" s="1089" t="str">
        <f>Settings!$A$12</f>
        <v>KINGS</v>
      </c>
      <c r="C1674" s="764" t="s">
        <v>132</v>
      </c>
      <c r="D1674" s="13" t="str">
        <f>'Entry Sheet'!F202</f>
        <v>H. HENRY</v>
      </c>
      <c r="E1674" s="13">
        <f>'Entry Sheet'!G202</f>
        <v>29</v>
      </c>
      <c r="F1674" s="589" t="s">
        <v>514</v>
      </c>
      <c r="BB1674" s="314"/>
    </row>
    <row r="1675" ht="15.75" customHeight="1">
      <c r="A1675" s="585">
        <v>1456.0</v>
      </c>
      <c r="B1675" s="1089" t="str">
        <f>Settings!$A$12</f>
        <v>KINGS</v>
      </c>
      <c r="C1675" s="795" t="s">
        <v>136</v>
      </c>
      <c r="D1675" s="13" t="str">
        <f>'Entry Sheet'!F203</f>
        <v>T. HUNTER</v>
      </c>
      <c r="E1675" s="13">
        <f>'Entry Sheet'!G203</f>
        <v>3.1</v>
      </c>
      <c r="F1675" s="589" t="s">
        <v>514</v>
      </c>
      <c r="BB1675" s="314"/>
    </row>
    <row r="1676" ht="15.75" customHeight="1">
      <c r="A1676" s="585">
        <v>1456.0</v>
      </c>
      <c r="B1676" s="1089" t="str">
        <f>Settings!$A$12</f>
        <v>KINGS</v>
      </c>
      <c r="C1676" s="818" t="s">
        <v>139</v>
      </c>
      <c r="D1676" s="13" t="str">
        <f>'Entry Sheet'!F204</f>
        <v>PHI D/ST</v>
      </c>
      <c r="E1676" s="13">
        <f>'Entry Sheet'!G204</f>
        <v>16.75</v>
      </c>
      <c r="F1676" s="589" t="s">
        <v>514</v>
      </c>
      <c r="BB1676" s="314"/>
    </row>
    <row r="1677" ht="15.75" customHeight="1">
      <c r="A1677" s="585">
        <v>1456.0</v>
      </c>
      <c r="B1677" s="1089" t="str">
        <f>Settings!$A$12</f>
        <v>KINGS</v>
      </c>
      <c r="C1677" s="833" t="s">
        <v>146</v>
      </c>
      <c r="D1677" s="13" t="str">
        <f>'Entry Sheet'!F205</f>
        <v>H. BUTKER</v>
      </c>
      <c r="E1677" s="13">
        <f>'Entry Sheet'!G205</f>
        <v>12.5</v>
      </c>
      <c r="F1677" s="589" t="s">
        <v>514</v>
      </c>
      <c r="BB1677" s="314"/>
    </row>
    <row r="1678" ht="15.75" customHeight="1">
      <c r="A1678" s="585">
        <v>1456.0</v>
      </c>
      <c r="B1678" s="1089" t="str">
        <f>Settings!$A$12</f>
        <v>KINGS</v>
      </c>
      <c r="C1678" s="842" t="s">
        <v>162</v>
      </c>
      <c r="D1678" s="13" t="str">
        <f>'Entry Sheet'!F206</f>
        <v>WSH HC</v>
      </c>
      <c r="E1678" s="13">
        <f>'Entry Sheet'!G206</f>
        <v>18.3</v>
      </c>
      <c r="F1678" s="589" t="s">
        <v>514</v>
      </c>
      <c r="BB1678" s="314"/>
    </row>
    <row r="1679" ht="15.75" customHeight="1">
      <c r="A1679" s="585">
        <v>1456.0</v>
      </c>
      <c r="B1679" s="1089" t="str">
        <f>Settings!$A$12</f>
        <v>KINGS</v>
      </c>
      <c r="C1679" s="587" t="s">
        <v>100</v>
      </c>
      <c r="D1679" s="13" t="str">
        <f>'Entry Sheet'!H194</f>
        <v>P. MAHOMES</v>
      </c>
      <c r="E1679" s="13">
        <f>'Entry Sheet'!I194</f>
        <v>38.3</v>
      </c>
      <c r="F1679" s="846" t="s">
        <v>515</v>
      </c>
      <c r="BB1679" s="314"/>
    </row>
    <row r="1680" ht="15.75" customHeight="1">
      <c r="A1680" s="585">
        <v>1456.0</v>
      </c>
      <c r="B1680" s="1089" t="str">
        <f>Settings!$A$12</f>
        <v>KINGS</v>
      </c>
      <c r="C1680" s="596" t="s">
        <v>106</v>
      </c>
      <c r="D1680" s="13" t="str">
        <f>'Entry Sheet'!H195</f>
        <v>C. MCCAFFREY</v>
      </c>
      <c r="E1680" s="13">
        <f>'Entry Sheet'!I195</f>
        <v>27.8</v>
      </c>
      <c r="F1680" s="846" t="s">
        <v>515</v>
      </c>
      <c r="BB1680" s="314"/>
    </row>
    <row r="1681" ht="15.75" customHeight="1">
      <c r="A1681" s="585">
        <v>1456.0</v>
      </c>
      <c r="B1681" s="1089" t="str">
        <f>Settings!$A$12</f>
        <v>KINGS</v>
      </c>
      <c r="C1681" s="596" t="s">
        <v>106</v>
      </c>
      <c r="D1681" s="13" t="str">
        <f>'Entry Sheet'!H196</f>
        <v>N. CHUBB</v>
      </c>
      <c r="E1681" s="13">
        <f>'Entry Sheet'!I196</f>
        <v>9.5</v>
      </c>
      <c r="F1681" s="846" t="s">
        <v>515</v>
      </c>
      <c r="BB1681" s="314"/>
    </row>
    <row r="1682" ht="15.75" customHeight="1">
      <c r="A1682" s="585">
        <v>1456.0</v>
      </c>
      <c r="B1682" s="1089" t="str">
        <f>Settings!$A$12</f>
        <v>KINGS</v>
      </c>
      <c r="C1682" s="596" t="s">
        <v>106</v>
      </c>
      <c r="D1682" s="13" t="str">
        <f>'Entry Sheet'!H197</f>
        <v/>
      </c>
      <c r="E1682" s="13" t="str">
        <f>'Entry Sheet'!I197</f>
        <v/>
      </c>
      <c r="F1682" s="846" t="s">
        <v>515</v>
      </c>
      <c r="BB1682" s="314"/>
    </row>
    <row r="1683" ht="15.75" customHeight="1">
      <c r="A1683" s="585">
        <v>1456.0</v>
      </c>
      <c r="B1683" s="1089" t="str">
        <f>Settings!$A$12</f>
        <v>KINGS</v>
      </c>
      <c r="C1683" s="712" t="s">
        <v>117</v>
      </c>
      <c r="D1683" s="13" t="str">
        <f>'Entry Sheet'!H198</f>
        <v>T. HILL</v>
      </c>
      <c r="E1683" s="13">
        <f>'Entry Sheet'!I198</f>
        <v>12.7</v>
      </c>
      <c r="F1683" s="846" t="s">
        <v>515</v>
      </c>
      <c r="BB1683" s="314"/>
    </row>
    <row r="1684" ht="15.75" customHeight="1">
      <c r="A1684" s="585">
        <v>1456.0</v>
      </c>
      <c r="B1684" s="1089" t="str">
        <f>Settings!$A$12</f>
        <v>KINGS</v>
      </c>
      <c r="C1684" s="712" t="s">
        <v>117</v>
      </c>
      <c r="D1684" s="13" t="str">
        <f>'Entry Sheet'!H199</f>
        <v>L. MCCONKEY</v>
      </c>
      <c r="E1684" s="13">
        <f>'Entry Sheet'!I199</f>
        <v>2.1</v>
      </c>
      <c r="F1684" s="846" t="s">
        <v>515</v>
      </c>
      <c r="BB1684" s="314"/>
    </row>
    <row r="1685" ht="15.75" customHeight="1">
      <c r="A1685" s="585">
        <v>1456.0</v>
      </c>
      <c r="B1685" s="1089" t="str">
        <f>Settings!$A$12</f>
        <v>KINGS</v>
      </c>
      <c r="C1685" s="712" t="s">
        <v>117</v>
      </c>
      <c r="D1685" s="13" t="str">
        <f>'Entry Sheet'!H200</f>
        <v>D. MOORE</v>
      </c>
      <c r="E1685" s="13">
        <f>'Entry Sheet'!I200</f>
        <v>7.8</v>
      </c>
      <c r="F1685" s="846" t="s">
        <v>515</v>
      </c>
      <c r="BB1685" s="314"/>
    </row>
    <row r="1686" ht="15.75" customHeight="1">
      <c r="A1686" s="585">
        <v>1456.0</v>
      </c>
      <c r="B1686" s="1089" t="str">
        <f>Settings!$A$12</f>
        <v>KINGS</v>
      </c>
      <c r="C1686" s="712" t="s">
        <v>117</v>
      </c>
      <c r="D1686" s="13" t="str">
        <f>'Entry Sheet'!H201</f>
        <v/>
      </c>
      <c r="E1686" s="13" t="str">
        <f>'Entry Sheet'!I201</f>
        <v/>
      </c>
      <c r="F1686" s="846" t="s">
        <v>515</v>
      </c>
      <c r="BB1686" s="314"/>
    </row>
    <row r="1687" ht="15.75" customHeight="1">
      <c r="A1687" s="585">
        <v>1456.0</v>
      </c>
      <c r="B1687" s="1089" t="str">
        <f>Settings!$A$12</f>
        <v>KINGS</v>
      </c>
      <c r="C1687" s="764" t="s">
        <v>132</v>
      </c>
      <c r="D1687" s="13" t="str">
        <f>'Entry Sheet'!H202</f>
        <v>H. HENRY</v>
      </c>
      <c r="E1687" s="13">
        <f>'Entry Sheet'!I202</f>
        <v>11.9</v>
      </c>
      <c r="F1687" s="846" t="s">
        <v>515</v>
      </c>
      <c r="BB1687" s="314"/>
    </row>
    <row r="1688" ht="15.75" customHeight="1">
      <c r="A1688" s="585">
        <v>1456.0</v>
      </c>
      <c r="B1688" s="1089" t="str">
        <f>Settings!$A$12</f>
        <v>KINGS</v>
      </c>
      <c r="C1688" s="795" t="s">
        <v>136</v>
      </c>
      <c r="D1688" s="13" t="str">
        <f>'Entry Sheet'!H203</f>
        <v>T. TUCKER</v>
      </c>
      <c r="E1688" s="13">
        <f>'Entry Sheet'!I203</f>
        <v>4.75</v>
      </c>
      <c r="F1688" s="846" t="s">
        <v>515</v>
      </c>
      <c r="BB1688" s="314"/>
    </row>
    <row r="1689" ht="15.75" customHeight="1">
      <c r="A1689" s="585">
        <v>1456.0</v>
      </c>
      <c r="B1689" s="1089" t="str">
        <f>Settings!$A$12</f>
        <v>KINGS</v>
      </c>
      <c r="C1689" s="818" t="s">
        <v>139</v>
      </c>
      <c r="D1689" s="13" t="str">
        <f>'Entry Sheet'!H204</f>
        <v>PHI D/ST</v>
      </c>
      <c r="E1689" s="13">
        <f>'Entry Sheet'!I204</f>
        <v>25.64</v>
      </c>
      <c r="F1689" s="846" t="s">
        <v>515</v>
      </c>
      <c r="BB1689" s="314"/>
    </row>
    <row r="1690" ht="15.75" customHeight="1">
      <c r="A1690" s="585">
        <v>1456.0</v>
      </c>
      <c r="B1690" s="1089" t="str">
        <f>Settings!$A$12</f>
        <v>KINGS</v>
      </c>
      <c r="C1690" s="833" t="s">
        <v>146</v>
      </c>
      <c r="D1690" s="13" t="str">
        <f>'Entry Sheet'!H205</f>
        <v>H. BUTKER</v>
      </c>
      <c r="E1690" s="13">
        <f>'Entry Sheet'!I205</f>
        <v>12</v>
      </c>
      <c r="F1690" s="846" t="s">
        <v>515</v>
      </c>
      <c r="BB1690" s="314"/>
    </row>
    <row r="1691" ht="15.75" customHeight="1">
      <c r="A1691" s="585">
        <v>1456.0</v>
      </c>
      <c r="B1691" s="1089" t="str">
        <f>Settings!$A$12</f>
        <v>KINGS</v>
      </c>
      <c r="C1691" s="842" t="s">
        <v>162</v>
      </c>
      <c r="D1691" s="13" t="str">
        <f>'Entry Sheet'!H206</f>
        <v>WSH HC</v>
      </c>
      <c r="E1691" s="13">
        <f>'Entry Sheet'!I206</f>
        <v>5.1</v>
      </c>
      <c r="F1691" s="846" t="s">
        <v>515</v>
      </c>
      <c r="BB1691" s="314"/>
    </row>
    <row r="1692" ht="15.75" customHeight="1">
      <c r="A1692" s="585">
        <v>1456.0</v>
      </c>
      <c r="B1692" s="1089" t="str">
        <f>Settings!$A$12</f>
        <v>KINGS</v>
      </c>
      <c r="C1692" s="587" t="s">
        <v>100</v>
      </c>
      <c r="D1692" s="13" t="str">
        <f>'Entry Sheet'!J194</f>
        <v>P. MAHOMES</v>
      </c>
      <c r="E1692" s="13">
        <f>'Entry Sheet'!K194</f>
        <v>32.92</v>
      </c>
      <c r="F1692" s="589" t="s">
        <v>516</v>
      </c>
      <c r="BB1692" s="314"/>
    </row>
    <row r="1693" ht="15.75" customHeight="1">
      <c r="A1693" s="585">
        <v>1456.0</v>
      </c>
      <c r="B1693" s="1089" t="str">
        <f>Settings!$A$12</f>
        <v>KINGS</v>
      </c>
      <c r="C1693" s="596" t="s">
        <v>106</v>
      </c>
      <c r="D1693" s="13" t="str">
        <f>'Entry Sheet'!J195</f>
        <v>C. MCCAFFREY</v>
      </c>
      <c r="E1693" s="13">
        <f>'Entry Sheet'!K195</f>
        <v>30.1</v>
      </c>
      <c r="F1693" s="589" t="s">
        <v>516</v>
      </c>
      <c r="BB1693" s="314"/>
    </row>
    <row r="1694" ht="15.75" customHeight="1">
      <c r="A1694" s="585">
        <v>1456.0</v>
      </c>
      <c r="B1694" s="1089" t="str">
        <f>Settings!$A$12</f>
        <v>KINGS</v>
      </c>
      <c r="C1694" s="596" t="s">
        <v>106</v>
      </c>
      <c r="D1694" s="13" t="str">
        <f>'Entry Sheet'!J196</f>
        <v>N. CHUBB</v>
      </c>
      <c r="E1694" s="13">
        <f>'Entry Sheet'!K196</f>
        <v>13.2</v>
      </c>
      <c r="F1694" s="589" t="s">
        <v>516</v>
      </c>
      <c r="BB1694" s="314"/>
    </row>
    <row r="1695" ht="15.75" customHeight="1">
      <c r="A1695" s="585">
        <v>1456.0</v>
      </c>
      <c r="B1695" s="1089" t="str">
        <f>Settings!$A$12</f>
        <v>KINGS</v>
      </c>
      <c r="C1695" s="596" t="s">
        <v>106</v>
      </c>
      <c r="D1695" s="13" t="str">
        <f>'Entry Sheet'!J197</f>
        <v/>
      </c>
      <c r="E1695" s="13" t="str">
        <f>'Entry Sheet'!K197</f>
        <v/>
      </c>
      <c r="F1695" s="589" t="s">
        <v>516</v>
      </c>
      <c r="BB1695" s="314"/>
    </row>
    <row r="1696" ht="15.75" customHeight="1">
      <c r="A1696" s="585">
        <v>1456.0</v>
      </c>
      <c r="B1696" s="1089" t="str">
        <f>Settings!$A$12</f>
        <v>KINGS</v>
      </c>
      <c r="C1696" s="712" t="s">
        <v>117</v>
      </c>
      <c r="D1696" s="13" t="str">
        <f>'Entry Sheet'!J198</f>
        <v>L. MCCONKEY</v>
      </c>
      <c r="E1696" s="13">
        <f>'Entry Sheet'!K198</f>
        <v>14.9</v>
      </c>
      <c r="F1696" s="589" t="s">
        <v>516</v>
      </c>
      <c r="BB1696" s="314"/>
    </row>
    <row r="1697" ht="15.75" customHeight="1">
      <c r="A1697" s="585">
        <v>1456.0</v>
      </c>
      <c r="B1697" s="1089" t="str">
        <f>Settings!$A$12</f>
        <v>KINGS</v>
      </c>
      <c r="C1697" s="712" t="s">
        <v>117</v>
      </c>
      <c r="D1697" s="13" t="str">
        <f>'Entry Sheet'!J199</f>
        <v>J. ADDISON</v>
      </c>
      <c r="E1697" s="13">
        <f>'Entry Sheet'!K199</f>
        <v>15.1</v>
      </c>
      <c r="F1697" s="589" t="s">
        <v>516</v>
      </c>
      <c r="BB1697" s="314"/>
    </row>
    <row r="1698" ht="15.75" customHeight="1">
      <c r="A1698" s="585">
        <v>1456.0</v>
      </c>
      <c r="B1698" s="1089" t="str">
        <f>Settings!$A$12</f>
        <v>KINGS</v>
      </c>
      <c r="C1698" s="712" t="s">
        <v>117</v>
      </c>
      <c r="D1698" s="13" t="str">
        <f>'Entry Sheet'!J200</f>
        <v>K. SHAKIR</v>
      </c>
      <c r="E1698" s="13">
        <f>'Entry Sheet'!K200</f>
        <v>11.1</v>
      </c>
      <c r="F1698" s="589" t="s">
        <v>516</v>
      </c>
      <c r="BB1698" s="314"/>
    </row>
    <row r="1699" ht="15.75" customHeight="1">
      <c r="A1699" s="585">
        <v>1456.0</v>
      </c>
      <c r="B1699" s="1089" t="str">
        <f>Settings!$A$12</f>
        <v>KINGS</v>
      </c>
      <c r="C1699" s="712" t="s">
        <v>117</v>
      </c>
      <c r="D1699" s="13" t="str">
        <f>'Entry Sheet'!J201</f>
        <v/>
      </c>
      <c r="E1699" s="13" t="str">
        <f>'Entry Sheet'!K201</f>
        <v/>
      </c>
      <c r="F1699" s="589" t="s">
        <v>516</v>
      </c>
      <c r="BB1699" s="314"/>
    </row>
    <row r="1700" ht="15.75" customHeight="1">
      <c r="A1700" s="585">
        <v>1456.0</v>
      </c>
      <c r="B1700" s="1089" t="str">
        <f>Settings!$A$12</f>
        <v>KINGS</v>
      </c>
      <c r="C1700" s="764" t="s">
        <v>132</v>
      </c>
      <c r="D1700" s="13" t="str">
        <f>'Entry Sheet'!J202</f>
        <v>H. HENRY</v>
      </c>
      <c r="E1700" s="13">
        <f>'Entry Sheet'!K202</f>
        <v>6.6</v>
      </c>
      <c r="F1700" s="589" t="s">
        <v>516</v>
      </c>
      <c r="BB1700" s="314"/>
    </row>
    <row r="1701" ht="15.75" customHeight="1">
      <c r="A1701" s="585">
        <v>1456.0</v>
      </c>
      <c r="B1701" s="1089" t="str">
        <f>Settings!$A$12</f>
        <v>KINGS</v>
      </c>
      <c r="C1701" s="795" t="s">
        <v>136</v>
      </c>
      <c r="D1701" s="13" t="str">
        <f>'Entry Sheet'!J203</f>
        <v>T. TUCKER</v>
      </c>
      <c r="E1701" s="13">
        <f>'Entry Sheet'!K203</f>
        <v>11.2</v>
      </c>
      <c r="F1701" s="589" t="s">
        <v>516</v>
      </c>
      <c r="BB1701" s="314"/>
    </row>
    <row r="1702" ht="15.75" customHeight="1">
      <c r="A1702" s="585">
        <v>1456.0</v>
      </c>
      <c r="B1702" s="1089" t="str">
        <f>Settings!$A$12</f>
        <v>KINGS</v>
      </c>
      <c r="C1702" s="818" t="s">
        <v>139</v>
      </c>
      <c r="D1702" s="13" t="str">
        <f>'Entry Sheet'!J204</f>
        <v>PHI D/ST</v>
      </c>
      <c r="E1702" s="13">
        <f>'Entry Sheet'!K204</f>
        <v>9.7</v>
      </c>
      <c r="F1702" s="589" t="s">
        <v>516</v>
      </c>
      <c r="BB1702" s="314"/>
    </row>
    <row r="1703" ht="15.75" customHeight="1">
      <c r="A1703" s="585">
        <v>1456.0</v>
      </c>
      <c r="B1703" s="1089" t="str">
        <f>Settings!$A$12</f>
        <v>KINGS</v>
      </c>
      <c r="C1703" s="833" t="s">
        <v>146</v>
      </c>
      <c r="D1703" s="13" t="str">
        <f>'Entry Sheet'!J205</f>
        <v>H. BUTKER</v>
      </c>
      <c r="E1703" s="13">
        <f>'Entry Sheet'!K205</f>
        <v>4</v>
      </c>
      <c r="F1703" s="589" t="s">
        <v>516</v>
      </c>
      <c r="BB1703" s="314"/>
    </row>
    <row r="1704" ht="15.75" customHeight="1">
      <c r="A1704" s="585">
        <v>1456.0</v>
      </c>
      <c r="B1704" s="1089" t="str">
        <f>Settings!$A$12</f>
        <v>KINGS</v>
      </c>
      <c r="C1704" s="842" t="s">
        <v>162</v>
      </c>
      <c r="D1704" s="13" t="str">
        <f>'Entry Sheet'!J206</f>
        <v>IND HC</v>
      </c>
      <c r="E1704" s="13">
        <f>'Entry Sheet'!K206</f>
        <v>24</v>
      </c>
      <c r="F1704" s="589" t="s">
        <v>516</v>
      </c>
      <c r="BB1704" s="314"/>
    </row>
    <row r="1705" ht="15.75" customHeight="1">
      <c r="A1705" s="585">
        <v>1456.0</v>
      </c>
      <c r="B1705" s="1089" t="str">
        <f>Settings!$A$12</f>
        <v>KINGS</v>
      </c>
      <c r="C1705" s="587" t="s">
        <v>100</v>
      </c>
      <c r="D1705" s="13" t="str">
        <f>'Entry Sheet'!L194</f>
        <v>P. MAHOMES</v>
      </c>
      <c r="E1705" s="13">
        <f>'Entry Sheet'!M194</f>
        <v>41.28</v>
      </c>
      <c r="F1705" s="846" t="s">
        <v>517</v>
      </c>
      <c r="BB1705" s="314"/>
    </row>
    <row r="1706" ht="15.75" customHeight="1">
      <c r="A1706" s="585">
        <v>1456.0</v>
      </c>
      <c r="B1706" s="1089" t="str">
        <f>Settings!$A$12</f>
        <v>KINGS</v>
      </c>
      <c r="C1706" s="596" t="s">
        <v>106</v>
      </c>
      <c r="D1706" s="13" t="str">
        <f>'Entry Sheet'!L195</f>
        <v>C. MCCAFFREY</v>
      </c>
      <c r="E1706" s="13">
        <f>'Entry Sheet'!M195</f>
        <v>25.8</v>
      </c>
      <c r="F1706" s="846" t="s">
        <v>517</v>
      </c>
      <c r="BB1706" s="314"/>
    </row>
    <row r="1707" ht="15.75" customHeight="1">
      <c r="A1707" s="585">
        <v>1456.0</v>
      </c>
      <c r="B1707" s="1089" t="str">
        <f>Settings!$A$12</f>
        <v>KINGS</v>
      </c>
      <c r="C1707" s="596" t="s">
        <v>106</v>
      </c>
      <c r="D1707" s="13" t="str">
        <f>'Entry Sheet'!L196</f>
        <v>Z. CHARBONNET</v>
      </c>
      <c r="E1707" s="13">
        <f>'Entry Sheet'!M196</f>
        <v>5.9</v>
      </c>
      <c r="F1707" s="846" t="s">
        <v>517</v>
      </c>
      <c r="BB1707" s="314"/>
    </row>
    <row r="1708" ht="15.75" customHeight="1">
      <c r="A1708" s="585">
        <v>1456.0</v>
      </c>
      <c r="B1708" s="1089" t="str">
        <f>Settings!$A$12</f>
        <v>KINGS</v>
      </c>
      <c r="C1708" s="596" t="s">
        <v>106</v>
      </c>
      <c r="D1708" s="13" t="str">
        <f>'Entry Sheet'!L197</f>
        <v/>
      </c>
      <c r="E1708" s="13" t="str">
        <f>'Entry Sheet'!M197</f>
        <v/>
      </c>
      <c r="F1708" s="846" t="s">
        <v>517</v>
      </c>
      <c r="BB1708" s="314"/>
    </row>
    <row r="1709" ht="15.75" customHeight="1">
      <c r="A1709" s="585">
        <v>1456.0</v>
      </c>
      <c r="B1709" s="1089" t="str">
        <f>Settings!$A$12</f>
        <v>KINGS</v>
      </c>
      <c r="C1709" s="712" t="s">
        <v>117</v>
      </c>
      <c r="D1709" s="13" t="str">
        <f>'Entry Sheet'!L198</f>
        <v>L. MCCONKEY</v>
      </c>
      <c r="E1709" s="13">
        <f>'Entry Sheet'!M198</f>
        <v>24</v>
      </c>
      <c r="F1709" s="846" t="s">
        <v>517</v>
      </c>
      <c r="BB1709" s="314"/>
    </row>
    <row r="1710" ht="15.75" customHeight="1">
      <c r="A1710" s="585">
        <v>1456.0</v>
      </c>
      <c r="B1710" s="1089" t="str">
        <f>Settings!$A$12</f>
        <v>KINGS</v>
      </c>
      <c r="C1710" s="712" t="s">
        <v>117</v>
      </c>
      <c r="D1710" s="13" t="str">
        <f>'Entry Sheet'!L199</f>
        <v>T. TUCKER</v>
      </c>
      <c r="E1710" s="13">
        <f>'Entry Sheet'!M199</f>
        <v>12</v>
      </c>
      <c r="F1710" s="846" t="s">
        <v>517</v>
      </c>
      <c r="BB1710" s="314"/>
    </row>
    <row r="1711" ht="15.75" customHeight="1">
      <c r="A1711" s="585">
        <v>1456.0</v>
      </c>
      <c r="B1711" s="1089" t="str">
        <f>Settings!$A$12</f>
        <v>KINGS</v>
      </c>
      <c r="C1711" s="712" t="s">
        <v>117</v>
      </c>
      <c r="D1711" s="13" t="str">
        <f>'Entry Sheet'!L200</f>
        <v>K. SHAKIR</v>
      </c>
      <c r="E1711" s="13">
        <f>'Entry Sheet'!M200</f>
        <v>6.3</v>
      </c>
      <c r="F1711" s="846" t="s">
        <v>517</v>
      </c>
      <c r="BB1711" s="314"/>
    </row>
    <row r="1712" ht="15.75" customHeight="1">
      <c r="A1712" s="585">
        <v>1456.0</v>
      </c>
      <c r="B1712" s="1089" t="str">
        <f>Settings!$A$12</f>
        <v>KINGS</v>
      </c>
      <c r="C1712" s="712" t="s">
        <v>117</v>
      </c>
      <c r="D1712" s="13" t="str">
        <f>'Entry Sheet'!L201</f>
        <v/>
      </c>
      <c r="E1712" s="13" t="str">
        <f>'Entry Sheet'!M201</f>
        <v/>
      </c>
      <c r="F1712" s="846" t="s">
        <v>517</v>
      </c>
      <c r="BB1712" s="314"/>
    </row>
    <row r="1713" ht="15.75" customHeight="1">
      <c r="A1713" s="585">
        <v>1456.0</v>
      </c>
      <c r="B1713" s="1089" t="str">
        <f>Settings!$A$12</f>
        <v>KINGS</v>
      </c>
      <c r="C1713" s="764" t="s">
        <v>132</v>
      </c>
      <c r="D1713" s="13" t="str">
        <f>'Entry Sheet'!L202</f>
        <v>H. HENRY</v>
      </c>
      <c r="E1713" s="13">
        <f>'Entry Sheet'!M202</f>
        <v>5.7</v>
      </c>
      <c r="F1713" s="846" t="s">
        <v>517</v>
      </c>
      <c r="BB1713" s="314"/>
    </row>
    <row r="1714" ht="15.75" customHeight="1">
      <c r="A1714" s="585">
        <v>1456.0</v>
      </c>
      <c r="B1714" s="1089" t="str">
        <f>Settings!$A$12</f>
        <v>KINGS</v>
      </c>
      <c r="C1714" s="795" t="s">
        <v>136</v>
      </c>
      <c r="D1714" s="13" t="str">
        <f>'Entry Sheet'!L203</f>
        <v>K. GAINWELL</v>
      </c>
      <c r="E1714" s="13">
        <f>'Entry Sheet'!M203</f>
        <v>11.4</v>
      </c>
      <c r="F1714" s="846" t="s">
        <v>517</v>
      </c>
      <c r="BB1714" s="314"/>
    </row>
    <row r="1715" ht="15.75" customHeight="1">
      <c r="A1715" s="585">
        <v>1456.0</v>
      </c>
      <c r="B1715" s="1089" t="str">
        <f>Settings!$A$12</f>
        <v>KINGS</v>
      </c>
      <c r="C1715" s="818" t="s">
        <v>139</v>
      </c>
      <c r="D1715" s="13" t="str">
        <f>'Entry Sheet'!L204</f>
        <v>PHI D/ST</v>
      </c>
      <c r="E1715" s="13">
        <f>'Entry Sheet'!M204</f>
        <v>4.48</v>
      </c>
      <c r="F1715" s="846" t="s">
        <v>517</v>
      </c>
      <c r="BB1715" s="314"/>
    </row>
    <row r="1716" ht="15.75" customHeight="1">
      <c r="A1716" s="585">
        <v>1456.0</v>
      </c>
      <c r="B1716" s="1089" t="str">
        <f>Settings!$A$12</f>
        <v>KINGS</v>
      </c>
      <c r="C1716" s="833" t="s">
        <v>146</v>
      </c>
      <c r="D1716" s="13" t="str">
        <f>'Entry Sheet'!L205</f>
        <v>H. BUTKER</v>
      </c>
      <c r="E1716" s="13">
        <f>'Entry Sheet'!M205</f>
        <v>6</v>
      </c>
      <c r="F1716" s="846" t="s">
        <v>517</v>
      </c>
      <c r="BB1716" s="314"/>
    </row>
    <row r="1717" ht="15.75" customHeight="1">
      <c r="A1717" s="585">
        <v>1456.0</v>
      </c>
      <c r="B1717" s="1089" t="str">
        <f>Settings!$A$12</f>
        <v>KINGS</v>
      </c>
      <c r="C1717" s="842" t="s">
        <v>162</v>
      </c>
      <c r="D1717" s="13" t="str">
        <f>'Entry Sheet'!L206</f>
        <v>IND HC</v>
      </c>
      <c r="E1717" s="13">
        <f>'Entry Sheet'!M206</f>
        <v>11.3</v>
      </c>
      <c r="F1717" s="846" t="s">
        <v>517</v>
      </c>
      <c r="BB1717" s="314"/>
    </row>
    <row r="1718" ht="15.75" customHeight="1">
      <c r="A1718" s="585">
        <v>1456.0</v>
      </c>
      <c r="B1718" s="1089" t="str">
        <f>Settings!$A$12</f>
        <v>KINGS</v>
      </c>
      <c r="C1718" s="587" t="s">
        <v>100</v>
      </c>
      <c r="D1718" s="13" t="str">
        <f>'Entry Sheet'!N194</f>
        <v>P. MAHOMES</v>
      </c>
      <c r="E1718" s="13">
        <f>'Entry Sheet'!O194</f>
        <v>36.04</v>
      </c>
      <c r="F1718" s="589" t="s">
        <v>518</v>
      </c>
      <c r="BB1718" s="314"/>
    </row>
    <row r="1719" ht="15.75" customHeight="1">
      <c r="A1719" s="585">
        <v>1456.0</v>
      </c>
      <c r="B1719" s="1089" t="str">
        <f>Settings!$A$12</f>
        <v>KINGS</v>
      </c>
      <c r="C1719" s="596" t="s">
        <v>106</v>
      </c>
      <c r="D1719" s="13" t="str">
        <f>'Entry Sheet'!N195</f>
        <v>C. MCCAFFREY</v>
      </c>
      <c r="E1719" s="13">
        <f>'Entry Sheet'!O195</f>
        <v>42.5</v>
      </c>
      <c r="F1719" s="589" t="s">
        <v>518</v>
      </c>
      <c r="BB1719" s="314"/>
    </row>
    <row r="1720" ht="15.75" customHeight="1">
      <c r="A1720" s="585">
        <v>1456.0</v>
      </c>
      <c r="B1720" s="1089" t="str">
        <f>Settings!$A$12</f>
        <v>KINGS</v>
      </c>
      <c r="C1720" s="596" t="s">
        <v>106</v>
      </c>
      <c r="D1720" s="13" t="str">
        <f>'Entry Sheet'!N196</f>
        <v>Z. CHARBONNET</v>
      </c>
      <c r="E1720" s="13">
        <f>'Entry Sheet'!O196</f>
        <v>20.7</v>
      </c>
      <c r="F1720" s="589" t="s">
        <v>518</v>
      </c>
      <c r="BB1720" s="314"/>
    </row>
    <row r="1721" ht="15.75" customHeight="1">
      <c r="A1721" s="585">
        <v>1456.0</v>
      </c>
      <c r="B1721" s="1089" t="str">
        <f>Settings!$A$12</f>
        <v>KINGS</v>
      </c>
      <c r="C1721" s="596" t="s">
        <v>106</v>
      </c>
      <c r="D1721" s="13" t="str">
        <f>'Entry Sheet'!N197</f>
        <v/>
      </c>
      <c r="E1721" s="13" t="str">
        <f>'Entry Sheet'!O197</f>
        <v/>
      </c>
      <c r="F1721" s="589" t="s">
        <v>518</v>
      </c>
      <c r="BB1721" s="314"/>
    </row>
    <row r="1722" ht="15.75" customHeight="1">
      <c r="A1722" s="585">
        <v>1456.0</v>
      </c>
      <c r="B1722" s="1089" t="str">
        <f>Settings!$A$12</f>
        <v>KINGS</v>
      </c>
      <c r="C1722" s="712" t="s">
        <v>117</v>
      </c>
      <c r="D1722" s="13" t="str">
        <f>'Entry Sheet'!N198</f>
        <v>L. MCCONKEY</v>
      </c>
      <c r="E1722" s="13">
        <f>'Entry Sheet'!O198</f>
        <v>15.7</v>
      </c>
      <c r="F1722" s="589" t="s">
        <v>518</v>
      </c>
      <c r="BB1722" s="314"/>
    </row>
    <row r="1723" ht="15.75" customHeight="1">
      <c r="A1723" s="585">
        <v>1456.0</v>
      </c>
      <c r="B1723" s="1089" t="str">
        <f>Settings!$A$12</f>
        <v>KINGS</v>
      </c>
      <c r="C1723" s="712" t="s">
        <v>117</v>
      </c>
      <c r="D1723" s="13" t="str">
        <f>'Entry Sheet'!N199</f>
        <v>J. ADDISON</v>
      </c>
      <c r="E1723" s="13">
        <f>'Entry Sheet'!O199</f>
        <v>22.8</v>
      </c>
      <c r="F1723" s="589" t="s">
        <v>518</v>
      </c>
      <c r="BB1723" s="314"/>
    </row>
    <row r="1724" ht="15.75" customHeight="1">
      <c r="A1724" s="585">
        <v>1456.0</v>
      </c>
      <c r="B1724" s="1089" t="str">
        <f>Settings!$A$12</f>
        <v>KINGS</v>
      </c>
      <c r="C1724" s="712" t="s">
        <v>117</v>
      </c>
      <c r="D1724" s="13" t="str">
        <f>'Entry Sheet'!N200</f>
        <v>T. TUCKER</v>
      </c>
      <c r="E1724" s="13">
        <f>'Entry Sheet'!O200</f>
        <v>8.3</v>
      </c>
      <c r="F1724" s="589" t="s">
        <v>518</v>
      </c>
      <c r="BB1724" s="314"/>
    </row>
    <row r="1725" ht="15.75" customHeight="1">
      <c r="A1725" s="585">
        <v>1456.0</v>
      </c>
      <c r="B1725" s="1089" t="str">
        <f>Settings!$A$12</f>
        <v>KINGS</v>
      </c>
      <c r="C1725" s="712" t="s">
        <v>117</v>
      </c>
      <c r="D1725" s="13" t="str">
        <f>'Entry Sheet'!N201</f>
        <v/>
      </c>
      <c r="E1725" s="13" t="str">
        <f>'Entry Sheet'!O201</f>
        <v/>
      </c>
      <c r="F1725" s="589" t="s">
        <v>518</v>
      </c>
      <c r="BB1725" s="314"/>
    </row>
    <row r="1726" ht="15.75" customHeight="1">
      <c r="A1726" s="585">
        <v>1456.0</v>
      </c>
      <c r="B1726" s="1089" t="str">
        <f>Settings!$A$12</f>
        <v>KINGS</v>
      </c>
      <c r="C1726" s="764" t="s">
        <v>132</v>
      </c>
      <c r="D1726" s="13" t="str">
        <f>'Entry Sheet'!N202</f>
        <v>H. HENRY</v>
      </c>
      <c r="E1726" s="13">
        <f>'Entry Sheet'!O202</f>
        <v>7.3</v>
      </c>
      <c r="F1726" s="589" t="s">
        <v>518</v>
      </c>
      <c r="BB1726" s="314"/>
    </row>
    <row r="1727" ht="15.75" customHeight="1">
      <c r="A1727" s="585">
        <v>1456.0</v>
      </c>
      <c r="B1727" s="1089" t="str">
        <f>Settings!$A$12</f>
        <v>KINGS</v>
      </c>
      <c r="C1727" s="795" t="s">
        <v>136</v>
      </c>
      <c r="D1727" s="13" t="str">
        <f>'Entry Sheet'!N203</f>
        <v>K. GAINWELL</v>
      </c>
      <c r="E1727" s="13">
        <f>'Entry Sheet'!O203</f>
        <v>8.2</v>
      </c>
      <c r="F1727" s="589" t="s">
        <v>518</v>
      </c>
      <c r="BB1727" s="314"/>
    </row>
    <row r="1728" ht="15.75" customHeight="1">
      <c r="A1728" s="585">
        <v>1456.0</v>
      </c>
      <c r="B1728" s="1089" t="str">
        <f>Settings!$A$12</f>
        <v>KINGS</v>
      </c>
      <c r="C1728" s="818" t="s">
        <v>139</v>
      </c>
      <c r="D1728" s="13" t="str">
        <f>'Entry Sheet'!N204</f>
        <v>PHI D/ST</v>
      </c>
      <c r="E1728" s="13">
        <f>'Entry Sheet'!O204</f>
        <v>22.3</v>
      </c>
      <c r="F1728" s="589" t="s">
        <v>518</v>
      </c>
      <c r="BB1728" s="314"/>
    </row>
    <row r="1729" ht="15.75" customHeight="1">
      <c r="A1729" s="585">
        <v>1456.0</v>
      </c>
      <c r="B1729" s="1089" t="str">
        <f>Settings!$A$12</f>
        <v>KINGS</v>
      </c>
      <c r="C1729" s="833" t="s">
        <v>146</v>
      </c>
      <c r="D1729" s="13" t="str">
        <f>'Entry Sheet'!N205</f>
        <v>H. BUTKER</v>
      </c>
      <c r="E1729" s="13">
        <f>'Entry Sheet'!O205</f>
        <v>7</v>
      </c>
      <c r="F1729" s="589" t="s">
        <v>518</v>
      </c>
      <c r="BB1729" s="314"/>
    </row>
    <row r="1730" ht="15.75" customHeight="1">
      <c r="A1730" s="585">
        <v>1456.0</v>
      </c>
      <c r="B1730" s="1089" t="str">
        <f>Settings!$A$12</f>
        <v>KINGS</v>
      </c>
      <c r="C1730" s="842" t="s">
        <v>162</v>
      </c>
      <c r="D1730" s="13" t="str">
        <f>'Entry Sheet'!N206</f>
        <v>IND HC</v>
      </c>
      <c r="E1730" s="13">
        <f>'Entry Sheet'!O206</f>
        <v>15.4</v>
      </c>
      <c r="F1730" s="589" t="s">
        <v>518</v>
      </c>
      <c r="BB1730" s="314"/>
    </row>
    <row r="1731" ht="15.75" customHeight="1">
      <c r="A1731" s="585">
        <v>1456.0</v>
      </c>
      <c r="B1731" s="1089" t="str">
        <f>Settings!$A$12</f>
        <v>KINGS</v>
      </c>
      <c r="C1731" s="587" t="s">
        <v>100</v>
      </c>
      <c r="D1731" s="13" t="str">
        <f>'Entry Sheet'!P194</f>
        <v>P. MAHOMES</v>
      </c>
      <c r="E1731" s="13">
        <f>'Entry Sheet'!Q194</f>
        <v>30.96</v>
      </c>
      <c r="F1731" s="846" t="s">
        <v>519</v>
      </c>
      <c r="BB1731" s="314"/>
    </row>
    <row r="1732" ht="15.75" customHeight="1">
      <c r="A1732" s="585">
        <v>1456.0</v>
      </c>
      <c r="B1732" s="1089" t="str">
        <f>Settings!$A$12</f>
        <v>KINGS</v>
      </c>
      <c r="C1732" s="596" t="s">
        <v>106</v>
      </c>
      <c r="D1732" s="13" t="str">
        <f>'Entry Sheet'!P195</f>
        <v>C. MCCAFFREY</v>
      </c>
      <c r="E1732" s="13">
        <f>'Entry Sheet'!Q195</f>
        <v>10.6</v>
      </c>
      <c r="F1732" s="846" t="s">
        <v>519</v>
      </c>
      <c r="BB1732" s="314"/>
    </row>
    <row r="1733" ht="15.75" customHeight="1">
      <c r="A1733" s="585">
        <v>1456.0</v>
      </c>
      <c r="B1733" s="1089" t="str">
        <f>Settings!$A$12</f>
        <v>KINGS</v>
      </c>
      <c r="C1733" s="596" t="s">
        <v>106</v>
      </c>
      <c r="D1733" s="13" t="str">
        <f>'Entry Sheet'!P196</f>
        <v>K. GAINWELL</v>
      </c>
      <c r="E1733" s="13">
        <f>'Entry Sheet'!Q196</f>
        <v>8.5</v>
      </c>
      <c r="F1733" s="846" t="s">
        <v>519</v>
      </c>
      <c r="BB1733" s="314"/>
    </row>
    <row r="1734" ht="15.75" customHeight="1">
      <c r="A1734" s="585">
        <v>1456.0</v>
      </c>
      <c r="B1734" s="1089" t="str">
        <f>Settings!$A$12</f>
        <v>KINGS</v>
      </c>
      <c r="C1734" s="596" t="s">
        <v>106</v>
      </c>
      <c r="D1734" s="13" t="str">
        <f>'Entry Sheet'!P197</f>
        <v/>
      </c>
      <c r="E1734" s="13" t="str">
        <f>'Entry Sheet'!Q197</f>
        <v/>
      </c>
      <c r="F1734" s="846" t="s">
        <v>519</v>
      </c>
      <c r="BB1734" s="314"/>
    </row>
    <row r="1735" ht="15.75" customHeight="1">
      <c r="A1735" s="585">
        <v>1456.0</v>
      </c>
      <c r="B1735" s="1089" t="str">
        <f>Settings!$A$12</f>
        <v>KINGS</v>
      </c>
      <c r="C1735" s="712" t="s">
        <v>117</v>
      </c>
      <c r="D1735" s="13" t="str">
        <f>'Entry Sheet'!P198</f>
        <v>L. MCCONKEY</v>
      </c>
      <c r="E1735" s="13">
        <f>'Entry Sheet'!Q198</f>
        <v>20.8</v>
      </c>
      <c r="F1735" s="846" t="s">
        <v>519</v>
      </c>
      <c r="BB1735" s="314"/>
    </row>
    <row r="1736" ht="15.75" customHeight="1">
      <c r="A1736" s="585">
        <v>1456.0</v>
      </c>
      <c r="B1736" s="1089" t="str">
        <f>Settings!$A$12</f>
        <v>KINGS</v>
      </c>
      <c r="C1736" s="712" t="s">
        <v>117</v>
      </c>
      <c r="D1736" s="13" t="str">
        <f>'Entry Sheet'!P199</f>
        <v>J. ADDISON</v>
      </c>
      <c r="E1736" s="13">
        <f>'Entry Sheet'!Q199</f>
        <v>11.6</v>
      </c>
      <c r="F1736" s="846" t="s">
        <v>519</v>
      </c>
      <c r="BB1736" s="314"/>
    </row>
    <row r="1737" ht="15.75" customHeight="1">
      <c r="A1737" s="585">
        <v>1456.0</v>
      </c>
      <c r="B1737" s="1089" t="str">
        <f>Settings!$A$12</f>
        <v>KINGS</v>
      </c>
      <c r="C1737" s="712" t="s">
        <v>117</v>
      </c>
      <c r="D1737" s="13" t="str">
        <f>'Entry Sheet'!P200</f>
        <v>K. SHAKIR</v>
      </c>
      <c r="E1737" s="13">
        <f>'Entry Sheet'!Q200</f>
        <v>21.2</v>
      </c>
      <c r="F1737" s="846" t="s">
        <v>519</v>
      </c>
      <c r="BB1737" s="314"/>
    </row>
    <row r="1738" ht="15.75" customHeight="1">
      <c r="A1738" s="585">
        <v>1456.0</v>
      </c>
      <c r="B1738" s="1089" t="str">
        <f>Settings!$A$12</f>
        <v>KINGS</v>
      </c>
      <c r="C1738" s="712" t="s">
        <v>117</v>
      </c>
      <c r="D1738" s="13" t="str">
        <f>'Entry Sheet'!P201</f>
        <v/>
      </c>
      <c r="E1738" s="13" t="str">
        <f>'Entry Sheet'!Q201</f>
        <v/>
      </c>
      <c r="F1738" s="846" t="s">
        <v>519</v>
      </c>
      <c r="BB1738" s="314"/>
    </row>
    <row r="1739" ht="15.75" customHeight="1">
      <c r="A1739" s="585">
        <v>1456.0</v>
      </c>
      <c r="B1739" s="1089" t="str">
        <f>Settings!$A$12</f>
        <v>KINGS</v>
      </c>
      <c r="C1739" s="764" t="s">
        <v>132</v>
      </c>
      <c r="D1739" s="13" t="str">
        <f>'Entry Sheet'!P202</f>
        <v>C. OTTON</v>
      </c>
      <c r="E1739" s="13">
        <f>'Entry Sheet'!Q202</f>
        <v>8</v>
      </c>
      <c r="F1739" s="846" t="s">
        <v>519</v>
      </c>
      <c r="BB1739" s="314"/>
    </row>
    <row r="1740" ht="15.75" customHeight="1">
      <c r="A1740" s="585">
        <v>1456.0</v>
      </c>
      <c r="B1740" s="1089" t="str">
        <f>Settings!$A$12</f>
        <v>KINGS</v>
      </c>
      <c r="C1740" s="795" t="s">
        <v>136</v>
      </c>
      <c r="D1740" s="13" t="str">
        <f>'Entry Sheet'!P203</f>
        <v>D.J. MOORE</v>
      </c>
      <c r="E1740" s="13">
        <f>'Entry Sheet'!Q203</f>
        <v>11.8</v>
      </c>
      <c r="F1740" s="846" t="s">
        <v>519</v>
      </c>
      <c r="BB1740" s="314"/>
    </row>
    <row r="1741" ht="15.75" customHeight="1">
      <c r="A1741" s="585">
        <v>1456.0</v>
      </c>
      <c r="B1741" s="1089" t="str">
        <f>Settings!$A$12</f>
        <v>KINGS</v>
      </c>
      <c r="C1741" s="818" t="s">
        <v>139</v>
      </c>
      <c r="D1741" s="13" t="str">
        <f>'Entry Sheet'!P204</f>
        <v>PHI D/ST</v>
      </c>
      <c r="E1741" s="13">
        <f>'Entry Sheet'!Q204</f>
        <v>18.31</v>
      </c>
      <c r="F1741" s="846" t="s">
        <v>519</v>
      </c>
      <c r="BB1741" s="314"/>
    </row>
    <row r="1742" ht="15.75" customHeight="1">
      <c r="A1742" s="585">
        <v>1456.0</v>
      </c>
      <c r="B1742" s="1089" t="str">
        <f>Settings!$A$12</f>
        <v>KINGS</v>
      </c>
      <c r="C1742" s="833" t="s">
        <v>146</v>
      </c>
      <c r="D1742" s="13" t="str">
        <f>'Entry Sheet'!P205</f>
        <v>H. BUTKER</v>
      </c>
      <c r="E1742" s="13">
        <f>'Entry Sheet'!Q205</f>
        <v>4</v>
      </c>
      <c r="F1742" s="846" t="s">
        <v>519</v>
      </c>
      <c r="BB1742" s="314"/>
    </row>
    <row r="1743" ht="15.75" customHeight="1">
      <c r="A1743" s="585">
        <v>1456.0</v>
      </c>
      <c r="B1743" s="1089" t="str">
        <f>Settings!$A$12</f>
        <v>KINGS</v>
      </c>
      <c r="C1743" s="842" t="s">
        <v>162</v>
      </c>
      <c r="D1743" s="13" t="str">
        <f>'Entry Sheet'!P206</f>
        <v>IND HC</v>
      </c>
      <c r="E1743" s="13">
        <f>'Entry Sheet'!Q206</f>
        <v>19.4</v>
      </c>
      <c r="F1743" s="846" t="s">
        <v>519</v>
      </c>
      <c r="BB1743" s="314"/>
    </row>
    <row r="1744" ht="15.75" customHeight="1">
      <c r="A1744" s="585">
        <v>1456.0</v>
      </c>
      <c r="B1744" s="1089" t="str">
        <f>Settings!$A$12</f>
        <v>KINGS</v>
      </c>
      <c r="C1744" s="587" t="s">
        <v>100</v>
      </c>
      <c r="D1744" s="13" t="str">
        <f>'Entry Sheet'!R194</f>
        <v>P. MAHOMES</v>
      </c>
      <c r="E1744" s="13">
        <f>'Entry Sheet'!S194</f>
        <v>9</v>
      </c>
      <c r="F1744" s="589" t="s">
        <v>520</v>
      </c>
      <c r="BB1744" s="314"/>
    </row>
    <row r="1745" ht="15.75" customHeight="1">
      <c r="A1745" s="585">
        <v>1456.0</v>
      </c>
      <c r="B1745" s="1089" t="str">
        <f>Settings!$A$12</f>
        <v>KINGS</v>
      </c>
      <c r="C1745" s="596" t="s">
        <v>106</v>
      </c>
      <c r="D1745" s="13" t="str">
        <f>'Entry Sheet'!R195</f>
        <v>C. MCCAFFREY</v>
      </c>
      <c r="E1745" s="13">
        <f>'Entry Sheet'!S195</f>
        <v>38.1</v>
      </c>
      <c r="F1745" s="589" t="s">
        <v>520</v>
      </c>
      <c r="BB1745" s="314"/>
    </row>
    <row r="1746" ht="15.75" customHeight="1">
      <c r="A1746" s="585">
        <v>1456.0</v>
      </c>
      <c r="B1746" s="1089" t="str">
        <f>Settings!$A$12</f>
        <v>KINGS</v>
      </c>
      <c r="C1746" s="596" t="s">
        <v>106</v>
      </c>
      <c r="D1746" s="13" t="str">
        <f>'Entry Sheet'!R196</f>
        <v>K. GAINWELL</v>
      </c>
      <c r="E1746" s="13">
        <f>'Entry Sheet'!S196</f>
        <v>7.7</v>
      </c>
      <c r="F1746" s="589" t="s">
        <v>520</v>
      </c>
      <c r="BB1746" s="314"/>
    </row>
    <row r="1747" ht="15.75" customHeight="1">
      <c r="A1747" s="585">
        <v>1456.0</v>
      </c>
      <c r="B1747" s="1089" t="str">
        <f>Settings!$A$12</f>
        <v>KINGS</v>
      </c>
      <c r="C1747" s="596" t="s">
        <v>106</v>
      </c>
      <c r="D1747" s="13" t="str">
        <f>'Entry Sheet'!R197</f>
        <v/>
      </c>
      <c r="E1747" s="13" t="str">
        <f>'Entry Sheet'!S197</f>
        <v/>
      </c>
      <c r="F1747" s="589" t="s">
        <v>520</v>
      </c>
      <c r="BB1747" s="314"/>
    </row>
    <row r="1748" ht="15.75" customHeight="1">
      <c r="A1748" s="585">
        <v>1456.0</v>
      </c>
      <c r="B1748" s="1089" t="str">
        <f>Settings!$A$12</f>
        <v>KINGS</v>
      </c>
      <c r="C1748" s="712" t="s">
        <v>117</v>
      </c>
      <c r="D1748" s="13" t="str">
        <f>'Entry Sheet'!R198</f>
        <v>L. MCCONKEY</v>
      </c>
      <c r="E1748" s="13">
        <f>'Entry Sheet'!S198</f>
        <v>9.6</v>
      </c>
      <c r="F1748" s="589" t="s">
        <v>520</v>
      </c>
      <c r="BB1748" s="314"/>
    </row>
    <row r="1749" ht="15.75" customHeight="1">
      <c r="A1749" s="585">
        <v>1456.0</v>
      </c>
      <c r="B1749" s="1089" t="str">
        <f>Settings!$A$12</f>
        <v>KINGS</v>
      </c>
      <c r="C1749" s="712" t="s">
        <v>117</v>
      </c>
      <c r="D1749" s="13" t="str">
        <f>'Entry Sheet'!R199</f>
        <v>D.J. MOORE</v>
      </c>
      <c r="E1749" s="13">
        <f>'Entry Sheet'!S199</f>
        <v>25.28</v>
      </c>
      <c r="F1749" s="589" t="s">
        <v>520</v>
      </c>
      <c r="BB1749" s="314"/>
    </row>
    <row r="1750" ht="15.75" customHeight="1">
      <c r="A1750" s="585">
        <v>1456.0</v>
      </c>
      <c r="B1750" s="1089" t="str">
        <f>Settings!$A$12</f>
        <v>KINGS</v>
      </c>
      <c r="C1750" s="712" t="s">
        <v>117</v>
      </c>
      <c r="D1750" s="13" t="str">
        <f>'Entry Sheet'!R200</f>
        <v>J. ADDISON</v>
      </c>
      <c r="E1750" s="13">
        <f>'Entry Sheet'!S200</f>
        <v>8.5</v>
      </c>
      <c r="F1750" s="589" t="s">
        <v>520</v>
      </c>
      <c r="BB1750" s="314"/>
    </row>
    <row r="1751" ht="15.75" customHeight="1">
      <c r="A1751" s="585">
        <v>1456.0</v>
      </c>
      <c r="B1751" s="1089" t="str">
        <f>Settings!$A$12</f>
        <v>KINGS</v>
      </c>
      <c r="C1751" s="712" t="s">
        <v>117</v>
      </c>
      <c r="D1751" s="13" t="str">
        <f>'Entry Sheet'!R201</f>
        <v/>
      </c>
      <c r="E1751" s="13" t="str">
        <f>'Entry Sheet'!S201</f>
        <v/>
      </c>
      <c r="F1751" s="589" t="s">
        <v>520</v>
      </c>
      <c r="BB1751" s="314"/>
    </row>
    <row r="1752" ht="15.75" customHeight="1">
      <c r="A1752" s="585">
        <v>1456.0</v>
      </c>
      <c r="B1752" s="1089" t="str">
        <f>Settings!$A$12</f>
        <v>KINGS</v>
      </c>
      <c r="C1752" s="764" t="s">
        <v>132</v>
      </c>
      <c r="D1752" s="13" t="str">
        <f>'Entry Sheet'!R202</f>
        <v>H. HENRY</v>
      </c>
      <c r="E1752" s="13">
        <f>'Entry Sheet'!S202</f>
        <v>9.1</v>
      </c>
      <c r="F1752" s="589" t="s">
        <v>520</v>
      </c>
      <c r="BB1752" s="314"/>
    </row>
    <row r="1753" ht="15.75" customHeight="1">
      <c r="A1753" s="585">
        <v>1456.0</v>
      </c>
      <c r="B1753" s="1089" t="str">
        <f>Settings!$A$12</f>
        <v>KINGS</v>
      </c>
      <c r="C1753" s="795" t="s">
        <v>136</v>
      </c>
      <c r="D1753" s="13" t="str">
        <f>'Entry Sheet'!R203</f>
        <v>K. SHAKIR</v>
      </c>
      <c r="E1753" s="13">
        <f>'Entry Sheet'!S203</f>
        <v>12</v>
      </c>
      <c r="F1753" s="589" t="s">
        <v>520</v>
      </c>
      <c r="BB1753" s="314"/>
    </row>
    <row r="1754" ht="15.75" customHeight="1">
      <c r="A1754" s="585">
        <v>1456.0</v>
      </c>
      <c r="B1754" s="1089" t="str">
        <f>Settings!$A$12</f>
        <v>KINGS</v>
      </c>
      <c r="C1754" s="818" t="s">
        <v>139</v>
      </c>
      <c r="D1754" s="13" t="str">
        <f>'Entry Sheet'!R204</f>
        <v>SF D/ST</v>
      </c>
      <c r="E1754" s="13">
        <f>'Entry Sheet'!S204</f>
        <v>12.32</v>
      </c>
      <c r="F1754" s="589" t="s">
        <v>520</v>
      </c>
      <c r="BB1754" s="314"/>
    </row>
    <row r="1755" ht="15.75" customHeight="1">
      <c r="A1755" s="585">
        <v>1456.0</v>
      </c>
      <c r="B1755" s="1089" t="str">
        <f>Settings!$A$12</f>
        <v>KINGS</v>
      </c>
      <c r="C1755" s="833" t="s">
        <v>146</v>
      </c>
      <c r="D1755" s="13" t="str">
        <f>'Entry Sheet'!R205</f>
        <v>H. BUTKER</v>
      </c>
      <c r="E1755" s="13">
        <f>'Entry Sheet'!S205</f>
        <v>8</v>
      </c>
      <c r="F1755" s="589" t="s">
        <v>520</v>
      </c>
      <c r="BB1755" s="314"/>
    </row>
    <row r="1756" ht="15.75" customHeight="1">
      <c r="A1756" s="585">
        <v>1456.0</v>
      </c>
      <c r="B1756" s="1089" t="str">
        <f>Settings!$A$12</f>
        <v>KINGS</v>
      </c>
      <c r="C1756" s="842" t="s">
        <v>162</v>
      </c>
      <c r="D1756" s="13" t="str">
        <f>'Entry Sheet'!R206</f>
        <v>IND HC</v>
      </c>
      <c r="E1756" s="13">
        <f>'Entry Sheet'!S206</f>
        <v>3</v>
      </c>
      <c r="F1756" s="589" t="s">
        <v>520</v>
      </c>
      <c r="BB1756" s="314"/>
    </row>
    <row r="1757" ht="15.75" customHeight="1">
      <c r="A1757" s="585">
        <v>1456.0</v>
      </c>
      <c r="B1757" s="1089" t="str">
        <f>Settings!$A$12</f>
        <v>KINGS</v>
      </c>
      <c r="C1757" s="587" t="s">
        <v>100</v>
      </c>
      <c r="D1757" s="13" t="str">
        <f>'Entry Sheet'!T194</f>
        <v>J. MCCARTHY</v>
      </c>
      <c r="E1757" s="13">
        <f>'Entry Sheet'!U194</f>
        <v>15.22</v>
      </c>
      <c r="F1757" s="846" t="s">
        <v>521</v>
      </c>
      <c r="BB1757" s="314"/>
    </row>
    <row r="1758" ht="15.75" customHeight="1">
      <c r="A1758" s="585">
        <v>1456.0</v>
      </c>
      <c r="B1758" s="1089" t="str">
        <f>Settings!$A$12</f>
        <v>KINGS</v>
      </c>
      <c r="C1758" s="596" t="s">
        <v>106</v>
      </c>
      <c r="D1758" s="13" t="str">
        <f>'Entry Sheet'!T195</f>
        <v>C. MCCAFFREY</v>
      </c>
      <c r="E1758" s="13">
        <f>'Entry Sheet'!U195</f>
        <v>18.8</v>
      </c>
      <c r="F1758" s="846" t="s">
        <v>521</v>
      </c>
      <c r="BB1758" s="314"/>
    </row>
    <row r="1759" ht="15.75" customHeight="1">
      <c r="A1759" s="585">
        <v>1456.0</v>
      </c>
      <c r="B1759" s="1089" t="str">
        <f>Settings!$A$12</f>
        <v>KINGS</v>
      </c>
      <c r="C1759" s="596" t="s">
        <v>106</v>
      </c>
      <c r="D1759" s="13" t="str">
        <f>'Entry Sheet'!T196</f>
        <v>K. GAINWELL</v>
      </c>
      <c r="E1759" s="13">
        <f>'Entry Sheet'!U196</f>
        <v>5.45</v>
      </c>
      <c r="F1759" s="846" t="s">
        <v>521</v>
      </c>
      <c r="BB1759" s="314"/>
    </row>
    <row r="1760" ht="15.75" customHeight="1">
      <c r="A1760" s="585">
        <v>1456.0</v>
      </c>
      <c r="B1760" s="1089" t="str">
        <f>Settings!$A$12</f>
        <v>KINGS</v>
      </c>
      <c r="C1760" s="596" t="s">
        <v>106</v>
      </c>
      <c r="D1760" s="13" t="str">
        <f>'Entry Sheet'!T197</f>
        <v/>
      </c>
      <c r="E1760" s="13" t="str">
        <f>'Entry Sheet'!U197</f>
        <v/>
      </c>
      <c r="F1760" s="846" t="s">
        <v>521</v>
      </c>
      <c r="BB1760" s="314"/>
    </row>
    <row r="1761" ht="15.75" customHeight="1">
      <c r="A1761" s="585">
        <v>1456.0</v>
      </c>
      <c r="B1761" s="1089" t="str">
        <f>Settings!$A$12</f>
        <v>KINGS</v>
      </c>
      <c r="C1761" s="712" t="s">
        <v>117</v>
      </c>
      <c r="D1761" s="13" t="str">
        <f>'Entry Sheet'!T198</f>
        <v>L. MCCONKEY</v>
      </c>
      <c r="E1761" s="13">
        <f>'Entry Sheet'!U198</f>
        <v>21.7</v>
      </c>
      <c r="F1761" s="846" t="s">
        <v>521</v>
      </c>
      <c r="BB1761" s="314"/>
    </row>
    <row r="1762" ht="15.75" customHeight="1">
      <c r="A1762" s="585">
        <v>1456.0</v>
      </c>
      <c r="B1762" s="1089" t="str">
        <f>Settings!$A$12</f>
        <v>KINGS</v>
      </c>
      <c r="C1762" s="712" t="s">
        <v>117</v>
      </c>
      <c r="D1762" s="13" t="str">
        <f>'Entry Sheet'!T199</f>
        <v>D. MOORE</v>
      </c>
      <c r="E1762" s="13">
        <f>'Entry Sheet'!U199</f>
        <v>0</v>
      </c>
      <c r="F1762" s="846" t="s">
        <v>521</v>
      </c>
      <c r="BB1762" s="314"/>
    </row>
    <row r="1763" ht="15.75" customHeight="1">
      <c r="A1763" s="585">
        <v>1456.0</v>
      </c>
      <c r="B1763" s="1089" t="str">
        <f>Settings!$A$12</f>
        <v>KINGS</v>
      </c>
      <c r="C1763" s="712" t="s">
        <v>117</v>
      </c>
      <c r="D1763" s="13" t="str">
        <f>'Entry Sheet'!T200</f>
        <v>J. ADDISON</v>
      </c>
      <c r="E1763" s="13">
        <f>'Entry Sheet'!U200</f>
        <v>6.5</v>
      </c>
      <c r="F1763" s="846" t="s">
        <v>521</v>
      </c>
      <c r="BB1763" s="314"/>
    </row>
    <row r="1764" ht="15.75" customHeight="1">
      <c r="A1764" s="585">
        <v>1456.0</v>
      </c>
      <c r="B1764" s="1089" t="str">
        <f>Settings!$A$12</f>
        <v>KINGS</v>
      </c>
      <c r="C1764" s="712" t="s">
        <v>117</v>
      </c>
      <c r="D1764" s="13" t="str">
        <f>'Entry Sheet'!T201</f>
        <v/>
      </c>
      <c r="E1764" s="13" t="str">
        <f>'Entry Sheet'!U201</f>
        <v/>
      </c>
      <c r="F1764" s="846" t="s">
        <v>521</v>
      </c>
      <c r="BB1764" s="314"/>
    </row>
    <row r="1765" ht="15.75" customHeight="1">
      <c r="A1765" s="585">
        <v>1456.0</v>
      </c>
      <c r="B1765" s="1089" t="str">
        <f>Settings!$A$12</f>
        <v>KINGS</v>
      </c>
      <c r="C1765" s="764" t="s">
        <v>132</v>
      </c>
      <c r="D1765" s="13" t="str">
        <f>'Entry Sheet'!T202</f>
        <v>H. HENRY</v>
      </c>
      <c r="E1765" s="13">
        <f>'Entry Sheet'!U202</f>
        <v>1.9</v>
      </c>
      <c r="F1765" s="846" t="s">
        <v>521</v>
      </c>
      <c r="BB1765" s="314"/>
    </row>
    <row r="1766" ht="15.75" customHeight="1">
      <c r="A1766" s="585">
        <v>1456.0</v>
      </c>
      <c r="B1766" s="1089" t="str">
        <f>Settings!$A$12</f>
        <v>KINGS</v>
      </c>
      <c r="C1766" s="795" t="s">
        <v>136</v>
      </c>
      <c r="D1766" s="13" t="str">
        <f>'Entry Sheet'!T203</f>
        <v>K. SHAKIR</v>
      </c>
      <c r="E1766" s="13">
        <f>'Entry Sheet'!U203</f>
        <v>13.15</v>
      </c>
      <c r="F1766" s="846" t="s">
        <v>521</v>
      </c>
      <c r="BB1766" s="314"/>
    </row>
    <row r="1767" ht="15.75" customHeight="1">
      <c r="A1767" s="585">
        <v>1456.0</v>
      </c>
      <c r="B1767" s="1089" t="str">
        <f>Settings!$A$12</f>
        <v>KINGS</v>
      </c>
      <c r="C1767" s="818" t="s">
        <v>139</v>
      </c>
      <c r="D1767" s="13" t="str">
        <f>'Entry Sheet'!T204</f>
        <v>SF D/ST</v>
      </c>
      <c r="E1767" s="13">
        <f>'Entry Sheet'!U204</f>
        <v>-4.04</v>
      </c>
      <c r="F1767" s="846" t="s">
        <v>521</v>
      </c>
      <c r="BB1767" s="314"/>
    </row>
    <row r="1768" ht="15.75" customHeight="1">
      <c r="A1768" s="585">
        <v>1456.0</v>
      </c>
      <c r="B1768" s="1089" t="str">
        <f>Settings!$A$12</f>
        <v>KINGS</v>
      </c>
      <c r="C1768" s="833" t="s">
        <v>146</v>
      </c>
      <c r="D1768" s="13" t="str">
        <f>'Entry Sheet'!T205</f>
        <v>J. MYERS</v>
      </c>
      <c r="E1768" s="13">
        <f>'Entry Sheet'!U205</f>
        <v>15</v>
      </c>
      <c r="F1768" s="846" t="s">
        <v>521</v>
      </c>
      <c r="BB1768" s="314"/>
    </row>
    <row r="1769" ht="15.75" customHeight="1">
      <c r="A1769" s="585">
        <v>1456.0</v>
      </c>
      <c r="B1769" s="1089" t="str">
        <f>Settings!$A$12</f>
        <v>KINGS</v>
      </c>
      <c r="C1769" s="842" t="s">
        <v>162</v>
      </c>
      <c r="D1769" s="13" t="str">
        <f>'Entry Sheet'!T206</f>
        <v>IND HC</v>
      </c>
      <c r="E1769" s="13">
        <f>'Entry Sheet'!U206</f>
        <v>12.3</v>
      </c>
      <c r="F1769" s="846" t="s">
        <v>521</v>
      </c>
      <c r="BB1769" s="314"/>
    </row>
    <row r="1770" ht="15.75" hidden="1" customHeight="1">
      <c r="A1770" s="585">
        <v>1456.0</v>
      </c>
      <c r="B1770" s="1089" t="str">
        <f>Settings!$A$12</f>
        <v>KINGS</v>
      </c>
      <c r="C1770" s="587" t="s">
        <v>100</v>
      </c>
      <c r="D1770" s="13" t="str">
        <f>'Entry Sheet'!V194</f>
        <v>P. MAHOMES</v>
      </c>
      <c r="E1770" s="13">
        <f>'Entry Sheet'!W194</f>
        <v>17.24</v>
      </c>
      <c r="F1770" s="589" t="s">
        <v>522</v>
      </c>
      <c r="BB1770" s="314"/>
    </row>
    <row r="1771" ht="15.75" hidden="1" customHeight="1">
      <c r="A1771" s="585">
        <v>1456.0</v>
      </c>
      <c r="B1771" s="1089" t="str">
        <f>Settings!$A$12</f>
        <v>KINGS</v>
      </c>
      <c r="C1771" s="596" t="s">
        <v>106</v>
      </c>
      <c r="D1771" s="13" t="str">
        <f>'Entry Sheet'!V195</f>
        <v>C. MCCAFFREY</v>
      </c>
      <c r="E1771" s="13">
        <f>'Entry Sheet'!W195</f>
        <v>36.4</v>
      </c>
      <c r="F1771" s="589" t="s">
        <v>522</v>
      </c>
      <c r="BB1771" s="314"/>
    </row>
    <row r="1772" ht="15.75" hidden="1" customHeight="1">
      <c r="A1772" s="585">
        <v>1456.0</v>
      </c>
      <c r="B1772" s="1089" t="str">
        <f>Settings!$A$12</f>
        <v>KINGS</v>
      </c>
      <c r="C1772" s="596" t="s">
        <v>106</v>
      </c>
      <c r="D1772" s="13" t="str">
        <f>'Entry Sheet'!V196</f>
        <v>K. GAINWELL</v>
      </c>
      <c r="E1772" s="13">
        <f>'Entry Sheet'!W196</f>
        <v>31.6</v>
      </c>
      <c r="F1772" s="589" t="s">
        <v>522</v>
      </c>
      <c r="BB1772" s="314"/>
    </row>
    <row r="1773" ht="15.75" hidden="1" customHeight="1">
      <c r="A1773" s="585">
        <v>1456.0</v>
      </c>
      <c r="B1773" s="1089" t="str">
        <f>Settings!$A$12</f>
        <v>KINGS</v>
      </c>
      <c r="C1773" s="596" t="s">
        <v>106</v>
      </c>
      <c r="D1773" s="13" t="str">
        <f>'Entry Sheet'!V197</f>
        <v/>
      </c>
      <c r="E1773" s="13" t="str">
        <f>'Entry Sheet'!W197</f>
        <v/>
      </c>
      <c r="F1773" s="589" t="s">
        <v>522</v>
      </c>
      <c r="BB1773" s="314"/>
    </row>
    <row r="1774" ht="15.75" hidden="1" customHeight="1">
      <c r="A1774" s="585">
        <v>1456.0</v>
      </c>
      <c r="B1774" s="1089" t="str">
        <f>Settings!$A$12</f>
        <v>KINGS</v>
      </c>
      <c r="C1774" s="712" t="s">
        <v>117</v>
      </c>
      <c r="D1774" s="13" t="str">
        <f>'Entry Sheet'!V198</f>
        <v>L. MCCONKEY</v>
      </c>
      <c r="E1774" s="13">
        <f>'Entry Sheet'!W198</f>
        <v>4.3</v>
      </c>
      <c r="F1774" s="589" t="s">
        <v>522</v>
      </c>
      <c r="BB1774" s="314"/>
    </row>
    <row r="1775" ht="15.75" hidden="1" customHeight="1">
      <c r="A1775" s="585">
        <v>1456.0</v>
      </c>
      <c r="B1775" s="1089" t="str">
        <f>Settings!$A$12</f>
        <v>KINGS</v>
      </c>
      <c r="C1775" s="712" t="s">
        <v>117</v>
      </c>
      <c r="D1775" s="13" t="str">
        <f>'Entry Sheet'!V199</f>
        <v>J. ADDISON</v>
      </c>
      <c r="E1775" s="13">
        <f>'Entry Sheet'!W199</f>
        <v>10</v>
      </c>
      <c r="F1775" s="589" t="s">
        <v>522</v>
      </c>
      <c r="BB1775" s="314"/>
    </row>
    <row r="1776" ht="15.75" hidden="1" customHeight="1">
      <c r="A1776" s="585">
        <v>1456.0</v>
      </c>
      <c r="B1776" s="1089" t="str">
        <f>Settings!$A$12</f>
        <v>KINGS</v>
      </c>
      <c r="C1776" s="712" t="s">
        <v>117</v>
      </c>
      <c r="D1776" s="13" t="str">
        <f>'Entry Sheet'!V200</f>
        <v>T. TUCKER</v>
      </c>
      <c r="E1776" s="13">
        <f>'Entry Sheet'!W200</f>
        <v>14.9</v>
      </c>
      <c r="F1776" s="589" t="s">
        <v>522</v>
      </c>
      <c r="BB1776" s="314"/>
    </row>
    <row r="1777" ht="15.75" hidden="1" customHeight="1">
      <c r="A1777" s="585">
        <v>1456.0</v>
      </c>
      <c r="B1777" s="1089" t="str">
        <f>Settings!$A$12</f>
        <v>KINGS</v>
      </c>
      <c r="C1777" s="712" t="s">
        <v>117</v>
      </c>
      <c r="D1777" s="13" t="str">
        <f>'Entry Sheet'!V201</f>
        <v/>
      </c>
      <c r="E1777" s="13" t="str">
        <f>'Entry Sheet'!W201</f>
        <v/>
      </c>
      <c r="F1777" s="589" t="s">
        <v>522</v>
      </c>
      <c r="BB1777" s="314"/>
    </row>
    <row r="1778" ht="15.75" hidden="1" customHeight="1">
      <c r="A1778" s="585">
        <v>1456.0</v>
      </c>
      <c r="B1778" s="1089" t="str">
        <f>Settings!$A$12</f>
        <v>KINGS</v>
      </c>
      <c r="C1778" s="764" t="s">
        <v>132</v>
      </c>
      <c r="D1778" s="13" t="str">
        <f>'Entry Sheet'!V202</f>
        <v>H. HENRY</v>
      </c>
      <c r="E1778" s="13">
        <f>'Entry Sheet'!W202</f>
        <v>8.5</v>
      </c>
      <c r="F1778" s="589" t="s">
        <v>522</v>
      </c>
      <c r="BB1778" s="314"/>
    </row>
    <row r="1779" ht="15.75" hidden="1" customHeight="1">
      <c r="A1779" s="585">
        <v>1456.0</v>
      </c>
      <c r="B1779" s="1089" t="str">
        <f>Settings!$A$12</f>
        <v>KINGS</v>
      </c>
      <c r="C1779" s="795" t="s">
        <v>136</v>
      </c>
      <c r="D1779" s="13" t="str">
        <f>'Entry Sheet'!V203</f>
        <v>K. SHAKIR</v>
      </c>
      <c r="E1779" s="13">
        <f>'Entry Sheet'!W203</f>
        <v>0.7</v>
      </c>
      <c r="F1779" s="589" t="s">
        <v>522</v>
      </c>
      <c r="BB1779" s="314"/>
    </row>
    <row r="1780" ht="15.75" hidden="1" customHeight="1">
      <c r="A1780" s="585">
        <v>1456.0</v>
      </c>
      <c r="B1780" s="1089" t="str">
        <f>Settings!$A$12</f>
        <v>KINGS</v>
      </c>
      <c r="C1780" s="818" t="s">
        <v>139</v>
      </c>
      <c r="D1780" s="13" t="str">
        <f>'Entry Sheet'!V204</f>
        <v>SF D/ST</v>
      </c>
      <c r="E1780" s="13">
        <f>'Entry Sheet'!W204</f>
        <v>8.72</v>
      </c>
      <c r="F1780" s="589" t="s">
        <v>522</v>
      </c>
      <c r="BB1780" s="314"/>
    </row>
    <row r="1781" ht="15.75" hidden="1" customHeight="1">
      <c r="A1781" s="585">
        <v>1456.0</v>
      </c>
      <c r="B1781" s="1089" t="str">
        <f>Settings!$A$12</f>
        <v>KINGS</v>
      </c>
      <c r="C1781" s="833" t="s">
        <v>146</v>
      </c>
      <c r="D1781" s="13" t="str">
        <f>'Entry Sheet'!V205</f>
        <v>J. MYERS</v>
      </c>
      <c r="E1781" s="13">
        <f>'Entry Sheet'!W205</f>
        <v>15.5</v>
      </c>
      <c r="F1781" s="589" t="s">
        <v>522</v>
      </c>
      <c r="BB1781" s="314"/>
    </row>
    <row r="1782" ht="15.75" hidden="1" customHeight="1">
      <c r="A1782" s="585">
        <v>1456.0</v>
      </c>
      <c r="B1782" s="1089" t="str">
        <f>Settings!$A$12</f>
        <v>KINGS</v>
      </c>
      <c r="C1782" s="842" t="s">
        <v>162</v>
      </c>
      <c r="D1782" s="13" t="str">
        <f>'Entry Sheet'!V206</f>
        <v>WSH HC</v>
      </c>
      <c r="E1782" s="13">
        <f>'Entry Sheet'!W206</f>
        <v>1.9</v>
      </c>
      <c r="F1782" s="589" t="s">
        <v>522</v>
      </c>
      <c r="BB1782" s="314"/>
    </row>
    <row r="1783" ht="15.75" customHeight="1">
      <c r="A1783" s="585">
        <v>1456.0</v>
      </c>
      <c r="B1783" s="1089" t="str">
        <f>Settings!$A$12</f>
        <v>KINGS</v>
      </c>
      <c r="C1783" s="587" t="s">
        <v>100</v>
      </c>
      <c r="D1783" s="13" t="str">
        <f>'Entry Sheet'!X194</f>
        <v>P. MAHOMES</v>
      </c>
      <c r="E1783" s="13">
        <f>'Entry Sheet'!Y194</f>
        <v>20.08</v>
      </c>
      <c r="F1783" s="846" t="s">
        <v>523</v>
      </c>
      <c r="BB1783" s="314"/>
    </row>
    <row r="1784" ht="15.75" customHeight="1">
      <c r="A1784" s="585">
        <v>1456.0</v>
      </c>
      <c r="B1784" s="1089" t="str">
        <f>Settings!$A$12</f>
        <v>KINGS</v>
      </c>
      <c r="C1784" s="596" t="s">
        <v>106</v>
      </c>
      <c r="D1784" s="13" t="str">
        <f>'Entry Sheet'!X195</f>
        <v>C. MCCAFFREY</v>
      </c>
      <c r="E1784" s="13">
        <f>'Entry Sheet'!Y195</f>
        <v>29.6</v>
      </c>
      <c r="F1784" s="846" t="s">
        <v>523</v>
      </c>
      <c r="BB1784" s="314"/>
    </row>
    <row r="1785" ht="15.75" customHeight="1">
      <c r="A1785" s="585">
        <v>1456.0</v>
      </c>
      <c r="B1785" s="1089" t="str">
        <f>Settings!$A$12</f>
        <v>KINGS</v>
      </c>
      <c r="C1785" s="596" t="s">
        <v>106</v>
      </c>
      <c r="D1785" s="13" t="str">
        <f>'Entry Sheet'!X196</f>
        <v>K. GAINWELL</v>
      </c>
      <c r="E1785" s="13">
        <f>'Entry Sheet'!Y196</f>
        <v>20.1</v>
      </c>
      <c r="F1785" s="846" t="s">
        <v>523</v>
      </c>
      <c r="BB1785" s="314"/>
    </row>
    <row r="1786" ht="15.75" customHeight="1">
      <c r="A1786" s="585">
        <v>1456.0</v>
      </c>
      <c r="B1786" s="1089" t="str">
        <f>Settings!$A$12</f>
        <v>KINGS</v>
      </c>
      <c r="C1786" s="596" t="s">
        <v>106</v>
      </c>
      <c r="D1786" s="13" t="str">
        <f>'Entry Sheet'!X197</f>
        <v/>
      </c>
      <c r="E1786" s="13" t="str">
        <f>'Entry Sheet'!Y197</f>
        <v/>
      </c>
      <c r="F1786" s="846" t="s">
        <v>523</v>
      </c>
      <c r="BB1786" s="314"/>
    </row>
    <row r="1787" ht="15.75" customHeight="1">
      <c r="A1787" s="585">
        <v>1456.0</v>
      </c>
      <c r="B1787" s="1089" t="str">
        <f>Settings!$A$12</f>
        <v>KINGS</v>
      </c>
      <c r="C1787" s="712" t="s">
        <v>117</v>
      </c>
      <c r="D1787" s="13" t="str">
        <f>'Entry Sheet'!X198</f>
        <v>D. MOORE</v>
      </c>
      <c r="E1787" s="13">
        <f>'Entry Sheet'!Y198</f>
        <v>23.4</v>
      </c>
      <c r="F1787" s="846" t="s">
        <v>523</v>
      </c>
      <c r="BB1787" s="314"/>
    </row>
    <row r="1788" ht="15.75" customHeight="1">
      <c r="A1788" s="585">
        <v>1456.0</v>
      </c>
      <c r="B1788" s="1089" t="str">
        <f>Settings!$A$12</f>
        <v>KINGS</v>
      </c>
      <c r="C1788" s="712" t="s">
        <v>117</v>
      </c>
      <c r="D1788" s="13" t="str">
        <f>'Entry Sheet'!X199</f>
        <v>J. ADDISON</v>
      </c>
      <c r="E1788" s="13">
        <f>'Entry Sheet'!Y199</f>
        <v>0</v>
      </c>
      <c r="F1788" s="846" t="s">
        <v>523</v>
      </c>
      <c r="BB1788" s="314"/>
    </row>
    <row r="1789" ht="15.75" customHeight="1">
      <c r="A1789" s="585">
        <v>1456.0</v>
      </c>
      <c r="B1789" s="1089" t="str">
        <f>Settings!$A$12</f>
        <v>KINGS</v>
      </c>
      <c r="C1789" s="712" t="s">
        <v>117</v>
      </c>
      <c r="D1789" s="13" t="str">
        <f>'Entry Sheet'!X200</f>
        <v>T. TUCKER</v>
      </c>
      <c r="E1789" s="13">
        <f>'Entry Sheet'!Y200</f>
        <v>5.8</v>
      </c>
      <c r="F1789" s="846" t="s">
        <v>523</v>
      </c>
      <c r="BB1789" s="314"/>
    </row>
    <row r="1790" ht="15.75" customHeight="1">
      <c r="A1790" s="585">
        <v>1456.0</v>
      </c>
      <c r="B1790" s="1089" t="str">
        <f>Settings!$A$12</f>
        <v>KINGS</v>
      </c>
      <c r="C1790" s="712" t="s">
        <v>117</v>
      </c>
      <c r="D1790" s="13" t="str">
        <f>'Entry Sheet'!X201</f>
        <v/>
      </c>
      <c r="E1790" s="13" t="str">
        <f>'Entry Sheet'!Y201</f>
        <v/>
      </c>
      <c r="F1790" s="846" t="s">
        <v>523</v>
      </c>
      <c r="BB1790" s="314"/>
    </row>
    <row r="1791" ht="15.75" customHeight="1">
      <c r="A1791" s="585">
        <v>1456.0</v>
      </c>
      <c r="B1791" s="1089" t="str">
        <f>Settings!$A$12</f>
        <v>KINGS</v>
      </c>
      <c r="C1791" s="764" t="s">
        <v>132</v>
      </c>
      <c r="D1791" s="13" t="str">
        <f>'Entry Sheet'!X202</f>
        <v>H. HENRY</v>
      </c>
      <c r="E1791" s="13">
        <f>'Entry Sheet'!Y202</f>
        <v>25.5</v>
      </c>
      <c r="F1791" s="846" t="s">
        <v>523</v>
      </c>
      <c r="BB1791" s="314"/>
    </row>
    <row r="1792" ht="15.75" customHeight="1">
      <c r="A1792" s="585">
        <v>1456.0</v>
      </c>
      <c r="B1792" s="1089" t="str">
        <f>Settings!$A$12</f>
        <v>KINGS</v>
      </c>
      <c r="C1792" s="795" t="s">
        <v>136</v>
      </c>
      <c r="D1792" s="13" t="str">
        <f>'Entry Sheet'!X203</f>
        <v>K. SHAKIR</v>
      </c>
      <c r="E1792" s="13">
        <f>'Entry Sheet'!Y203</f>
        <v>18.75</v>
      </c>
      <c r="F1792" s="846" t="s">
        <v>523</v>
      </c>
      <c r="BB1792" s="314"/>
    </row>
    <row r="1793" ht="15.75" customHeight="1">
      <c r="A1793" s="585">
        <v>1456.0</v>
      </c>
      <c r="B1793" s="1089" t="str">
        <f>Settings!$A$12</f>
        <v>KINGS</v>
      </c>
      <c r="C1793" s="818" t="s">
        <v>139</v>
      </c>
      <c r="D1793" s="13" t="str">
        <f>'Entry Sheet'!X204</f>
        <v>SF D/ST</v>
      </c>
      <c r="E1793" s="13">
        <f>'Entry Sheet'!Y204</f>
        <v>21</v>
      </c>
      <c r="F1793" s="846" t="s">
        <v>523</v>
      </c>
      <c r="BB1793" s="314"/>
    </row>
    <row r="1794" ht="15.75" customHeight="1">
      <c r="A1794" s="585">
        <v>1456.0</v>
      </c>
      <c r="B1794" s="1089" t="str">
        <f>Settings!$A$12</f>
        <v>KINGS</v>
      </c>
      <c r="C1794" s="833" t="s">
        <v>146</v>
      </c>
      <c r="D1794" s="13" t="str">
        <f>'Entry Sheet'!X205</f>
        <v>J. MYERS</v>
      </c>
      <c r="E1794" s="13">
        <f>'Entry Sheet'!Y205</f>
        <v>13</v>
      </c>
      <c r="F1794" s="846" t="s">
        <v>523</v>
      </c>
      <c r="BB1794" s="314"/>
    </row>
    <row r="1795" ht="15.75" customHeight="1">
      <c r="A1795" s="585">
        <v>1456.0</v>
      </c>
      <c r="B1795" s="1089" t="str">
        <f>Settings!$A$12</f>
        <v>KINGS</v>
      </c>
      <c r="C1795" s="842" t="s">
        <v>162</v>
      </c>
      <c r="D1795" s="13" t="str">
        <f>'Entry Sheet'!X206</f>
        <v>IND HC</v>
      </c>
      <c r="E1795" s="13">
        <f>'Entry Sheet'!Y206</f>
        <v>4</v>
      </c>
      <c r="F1795" s="846" t="s">
        <v>523</v>
      </c>
      <c r="BB1795" s="314"/>
    </row>
    <row r="1796" ht="15.75" customHeight="1">
      <c r="A1796" s="585">
        <v>1456.0</v>
      </c>
      <c r="B1796" s="1089" t="str">
        <f>Settings!$A$12</f>
        <v>KINGS</v>
      </c>
      <c r="C1796" s="587" t="s">
        <v>100</v>
      </c>
      <c r="D1796" s="13" t="str">
        <f>'Entry Sheet'!Z194</f>
        <v>P. MAHOMES</v>
      </c>
      <c r="E1796" s="13">
        <f>'Entry Sheet'!AA194</f>
        <v>40.14</v>
      </c>
      <c r="F1796" s="589" t="s">
        <v>524</v>
      </c>
      <c r="BB1796" s="314"/>
    </row>
    <row r="1797" ht="15.75" customHeight="1">
      <c r="A1797" s="585">
        <v>1456.0</v>
      </c>
      <c r="B1797" s="1089" t="str">
        <f>Settings!$A$12</f>
        <v>KINGS</v>
      </c>
      <c r="C1797" s="596" t="s">
        <v>106</v>
      </c>
      <c r="D1797" s="13" t="str">
        <f>'Entry Sheet'!Z195</f>
        <v>C. MCCAFFREY</v>
      </c>
      <c r="E1797" s="13">
        <f>'Entry Sheet'!AA195</f>
        <v>19.2</v>
      </c>
      <c r="F1797" s="589" t="s">
        <v>524</v>
      </c>
      <c r="BB1797" s="314"/>
    </row>
    <row r="1798" ht="15.75" customHeight="1">
      <c r="A1798" s="585">
        <v>1456.0</v>
      </c>
      <c r="B1798" s="1089" t="str">
        <f>Settings!$A$12</f>
        <v>KINGS</v>
      </c>
      <c r="C1798" s="596" t="s">
        <v>106</v>
      </c>
      <c r="D1798" s="13" t="str">
        <f>'Entry Sheet'!Z196</f>
        <v>K. GAINWELL</v>
      </c>
      <c r="E1798" s="13">
        <f>'Entry Sheet'!AA196</f>
        <v>8.3</v>
      </c>
      <c r="F1798" s="589" t="s">
        <v>524</v>
      </c>
      <c r="BB1798" s="314"/>
    </row>
    <row r="1799" ht="15.75" customHeight="1">
      <c r="A1799" s="585">
        <v>1456.0</v>
      </c>
      <c r="B1799" s="1089" t="str">
        <f>Settings!$A$12</f>
        <v>KINGS</v>
      </c>
      <c r="C1799" s="596" t="s">
        <v>106</v>
      </c>
      <c r="D1799" s="13" t="str">
        <f>'Entry Sheet'!Z197</f>
        <v/>
      </c>
      <c r="E1799" s="13" t="str">
        <f>'Entry Sheet'!AA197</f>
        <v/>
      </c>
      <c r="F1799" s="589" t="s">
        <v>524</v>
      </c>
      <c r="BB1799" s="314"/>
    </row>
    <row r="1800" ht="15.75" customHeight="1">
      <c r="A1800" s="585">
        <v>1456.0</v>
      </c>
      <c r="B1800" s="1089" t="str">
        <f>Settings!$A$12</f>
        <v>KINGS</v>
      </c>
      <c r="C1800" s="712" t="s">
        <v>117</v>
      </c>
      <c r="D1800" s="13" t="str">
        <f>'Entry Sheet'!Z198</f>
        <v>D. MOORE</v>
      </c>
      <c r="E1800" s="13">
        <f>'Entry Sheet'!AA198</f>
        <v>4.8</v>
      </c>
      <c r="F1800" s="589" t="s">
        <v>524</v>
      </c>
      <c r="BB1800" s="314"/>
    </row>
    <row r="1801" ht="15.75" customHeight="1">
      <c r="A1801" s="585">
        <v>1456.0</v>
      </c>
      <c r="B1801" s="1089" t="str">
        <f>Settings!$A$12</f>
        <v>KINGS</v>
      </c>
      <c r="C1801" s="712" t="s">
        <v>117</v>
      </c>
      <c r="D1801" s="13" t="str">
        <f>'Entry Sheet'!Z199</f>
        <v>J. ADDISON</v>
      </c>
      <c r="E1801" s="13">
        <f>'Entry Sheet'!AA199</f>
        <v>8.6</v>
      </c>
      <c r="F1801" s="589" t="s">
        <v>524</v>
      </c>
      <c r="BB1801" s="314"/>
    </row>
    <row r="1802" ht="15.75" customHeight="1">
      <c r="A1802" s="585">
        <v>1456.0</v>
      </c>
      <c r="B1802" s="1089" t="str">
        <f>Settings!$A$12</f>
        <v>KINGS</v>
      </c>
      <c r="C1802" s="712" t="s">
        <v>117</v>
      </c>
      <c r="D1802" s="13" t="str">
        <f>'Entry Sheet'!Z200</f>
        <v>T. TUCKER</v>
      </c>
      <c r="E1802" s="13">
        <f>'Entry Sheet'!AA200</f>
        <v>5</v>
      </c>
      <c r="F1802" s="589" t="s">
        <v>524</v>
      </c>
      <c r="BB1802" s="314"/>
    </row>
    <row r="1803" ht="15.75" customHeight="1">
      <c r="A1803" s="585">
        <v>1456.0</v>
      </c>
      <c r="B1803" s="1089" t="str">
        <f>Settings!$A$12</f>
        <v>KINGS</v>
      </c>
      <c r="C1803" s="712" t="s">
        <v>117</v>
      </c>
      <c r="D1803" s="13" t="str">
        <f>'Entry Sheet'!Z201</f>
        <v/>
      </c>
      <c r="E1803" s="13" t="str">
        <f>'Entry Sheet'!AA201</f>
        <v/>
      </c>
      <c r="F1803" s="589" t="s">
        <v>524</v>
      </c>
      <c r="BB1803" s="314"/>
    </row>
    <row r="1804" ht="15.75" customHeight="1">
      <c r="A1804" s="585">
        <v>1456.0</v>
      </c>
      <c r="B1804" s="1089" t="str">
        <f>Settings!$A$12</f>
        <v>KINGS</v>
      </c>
      <c r="C1804" s="764" t="s">
        <v>132</v>
      </c>
      <c r="D1804" s="13" t="str">
        <f>'Entry Sheet'!Z202</f>
        <v>H. HENRY</v>
      </c>
      <c r="E1804" s="13">
        <f>'Entry Sheet'!AA202</f>
        <v>11.3</v>
      </c>
      <c r="F1804" s="589" t="s">
        <v>524</v>
      </c>
      <c r="BB1804" s="314"/>
    </row>
    <row r="1805" ht="15.75" customHeight="1">
      <c r="A1805" s="585">
        <v>1456.0</v>
      </c>
      <c r="B1805" s="1089" t="str">
        <f>Settings!$A$12</f>
        <v>KINGS</v>
      </c>
      <c r="C1805" s="795" t="s">
        <v>136</v>
      </c>
      <c r="D1805" s="13" t="str">
        <f>'Entry Sheet'!Z203</f>
        <v>K. SHAKIR</v>
      </c>
      <c r="E1805" s="13">
        <f>'Entry Sheet'!AA203</f>
        <v>1.5</v>
      </c>
      <c r="F1805" s="589" t="s">
        <v>524</v>
      </c>
      <c r="BB1805" s="314"/>
    </row>
    <row r="1806" ht="15.75" customHeight="1">
      <c r="A1806" s="585">
        <v>1456.0</v>
      </c>
      <c r="B1806" s="1089" t="str">
        <f>Settings!$A$12</f>
        <v>KINGS</v>
      </c>
      <c r="C1806" s="818" t="s">
        <v>139</v>
      </c>
      <c r="D1806" s="13" t="str">
        <f>'Entry Sheet'!Z204</f>
        <v>SF D/ST</v>
      </c>
      <c r="E1806" s="13">
        <f>'Entry Sheet'!AA204</f>
        <v>21.72</v>
      </c>
      <c r="F1806" s="589" t="s">
        <v>524</v>
      </c>
      <c r="BB1806" s="314"/>
    </row>
    <row r="1807" ht="15.75" customHeight="1">
      <c r="A1807" s="585">
        <v>1456.0</v>
      </c>
      <c r="B1807" s="1089" t="str">
        <f>Settings!$A$12</f>
        <v>KINGS</v>
      </c>
      <c r="C1807" s="833" t="s">
        <v>146</v>
      </c>
      <c r="D1807" s="13" t="str">
        <f>'Entry Sheet'!Z205</f>
        <v>J. MYERS</v>
      </c>
      <c r="E1807" s="13">
        <f>'Entry Sheet'!AA205</f>
        <v>21</v>
      </c>
      <c r="F1807" s="589" t="s">
        <v>524</v>
      </c>
      <c r="BB1807" s="314"/>
    </row>
    <row r="1808" ht="15.75" customHeight="1">
      <c r="A1808" s="585">
        <v>1456.0</v>
      </c>
      <c r="B1808" s="1089" t="str">
        <f>Settings!$A$12</f>
        <v>KINGS</v>
      </c>
      <c r="C1808" s="842" t="s">
        <v>162</v>
      </c>
      <c r="D1808" s="13" t="str">
        <f>'Entry Sheet'!Z206</f>
        <v>IND HC</v>
      </c>
      <c r="E1808" s="13">
        <f>'Entry Sheet'!AA206</f>
        <v>2.8</v>
      </c>
      <c r="F1808" s="589" t="s">
        <v>524</v>
      </c>
      <c r="BB1808" s="314"/>
    </row>
    <row r="1809" ht="15.75" customHeight="1">
      <c r="A1809" s="585">
        <v>1456.0</v>
      </c>
      <c r="B1809" s="1089" t="str">
        <f>Settings!$A$12</f>
        <v>KINGS</v>
      </c>
      <c r="C1809" s="587" t="s">
        <v>100</v>
      </c>
      <c r="D1809" s="13" t="str">
        <f>'Entry Sheet'!AB194</f>
        <v>P. MAHOMES</v>
      </c>
      <c r="E1809" s="13">
        <f>'Entry Sheet'!AC194</f>
        <v>3.6</v>
      </c>
      <c r="F1809" s="846" t="s">
        <v>525</v>
      </c>
      <c r="BB1809" s="314"/>
    </row>
    <row r="1810" ht="15.75" customHeight="1">
      <c r="A1810" s="585">
        <v>1456.0</v>
      </c>
      <c r="B1810" s="1089" t="str">
        <f>Settings!$A$12</f>
        <v>KINGS</v>
      </c>
      <c r="C1810" s="596" t="s">
        <v>106</v>
      </c>
      <c r="D1810" s="13" t="str">
        <f>'Entry Sheet'!AB195</f>
        <v>N. CHUBB</v>
      </c>
      <c r="E1810" s="13">
        <f>'Entry Sheet'!AC195</f>
        <v>0.4</v>
      </c>
      <c r="F1810" s="846" t="s">
        <v>525</v>
      </c>
      <c r="BB1810" s="314"/>
    </row>
    <row r="1811" ht="15.75" customHeight="1">
      <c r="A1811" s="585">
        <v>1456.0</v>
      </c>
      <c r="B1811" s="1089" t="str">
        <f>Settings!$A$12</f>
        <v>KINGS</v>
      </c>
      <c r="C1811" s="596" t="s">
        <v>106</v>
      </c>
      <c r="D1811" s="13" t="str">
        <f>'Entry Sheet'!AB196</f>
        <v>K. GAINWELL</v>
      </c>
      <c r="E1811" s="13">
        <f>'Entry Sheet'!AC196</f>
        <v>20.05</v>
      </c>
      <c r="F1811" s="846" t="s">
        <v>525</v>
      </c>
      <c r="BB1811" s="314"/>
    </row>
    <row r="1812" ht="15.75" customHeight="1">
      <c r="A1812" s="585">
        <v>1456.0</v>
      </c>
      <c r="B1812" s="1089" t="str">
        <f>Settings!$A$12</f>
        <v>KINGS</v>
      </c>
      <c r="C1812" s="596" t="s">
        <v>106</v>
      </c>
      <c r="D1812" s="13" t="str">
        <f>'Entry Sheet'!AB197</f>
        <v/>
      </c>
      <c r="E1812" s="13" t="str">
        <f>'Entry Sheet'!AC197</f>
        <v/>
      </c>
      <c r="F1812" s="846" t="s">
        <v>525</v>
      </c>
      <c r="BB1812" s="314"/>
    </row>
    <row r="1813" ht="15.75" customHeight="1">
      <c r="A1813" s="585">
        <v>1456.0</v>
      </c>
      <c r="B1813" s="1089" t="str">
        <f>Settings!$A$12</f>
        <v>KINGS</v>
      </c>
      <c r="C1813" s="712" t="s">
        <v>117</v>
      </c>
      <c r="D1813" s="13" t="str">
        <f>'Entry Sheet'!AB198</f>
        <v>L. MCCONKEY</v>
      </c>
      <c r="E1813" s="13">
        <f>'Entry Sheet'!AC198</f>
        <v>2.2</v>
      </c>
      <c r="F1813" s="846" t="s">
        <v>525</v>
      </c>
      <c r="BB1813" s="314"/>
    </row>
    <row r="1814" ht="15.75" customHeight="1">
      <c r="A1814" s="585">
        <v>1456.0</v>
      </c>
      <c r="B1814" s="1089" t="str">
        <f>Settings!$A$12</f>
        <v>KINGS</v>
      </c>
      <c r="C1814" s="712" t="s">
        <v>117</v>
      </c>
      <c r="D1814" s="13" t="str">
        <f>'Entry Sheet'!AB199</f>
        <v>D. MOORE</v>
      </c>
      <c r="E1814" s="13">
        <f>'Entry Sheet'!AC199</f>
        <v>0.6</v>
      </c>
      <c r="F1814" s="846" t="s">
        <v>525</v>
      </c>
      <c r="BB1814" s="314"/>
    </row>
    <row r="1815" ht="15.75" customHeight="1">
      <c r="A1815" s="585">
        <v>1456.0</v>
      </c>
      <c r="B1815" s="1089" t="str">
        <f>Settings!$A$12</f>
        <v>KINGS</v>
      </c>
      <c r="C1815" s="712" t="s">
        <v>117</v>
      </c>
      <c r="D1815" s="13" t="str">
        <f>'Entry Sheet'!AB200</f>
        <v>J. ADDISON</v>
      </c>
      <c r="E1815" s="13">
        <f>'Entry Sheet'!AC200</f>
        <v>10.2</v>
      </c>
      <c r="F1815" s="846" t="s">
        <v>525</v>
      </c>
      <c r="BB1815" s="314"/>
    </row>
    <row r="1816" ht="15.75" customHeight="1">
      <c r="A1816" s="585">
        <v>1456.0</v>
      </c>
      <c r="B1816" s="1089" t="str">
        <f>Settings!$A$12</f>
        <v>KINGS</v>
      </c>
      <c r="C1816" s="712" t="s">
        <v>117</v>
      </c>
      <c r="D1816" s="13" t="str">
        <f>'Entry Sheet'!AB201</f>
        <v/>
      </c>
      <c r="E1816" s="13" t="str">
        <f>'Entry Sheet'!AC201</f>
        <v/>
      </c>
      <c r="F1816" s="846" t="s">
        <v>525</v>
      </c>
      <c r="BB1816" s="314"/>
    </row>
    <row r="1817" ht="15.75" customHeight="1">
      <c r="A1817" s="585">
        <v>1456.0</v>
      </c>
      <c r="B1817" s="1089" t="str">
        <f>Settings!$A$12</f>
        <v>KINGS</v>
      </c>
      <c r="C1817" s="764" t="s">
        <v>132</v>
      </c>
      <c r="D1817" s="13" t="str">
        <f>'Entry Sheet'!AB202</f>
        <v>H. HENRY</v>
      </c>
      <c r="E1817" s="13">
        <f>'Entry Sheet'!AC202</f>
        <v>0</v>
      </c>
      <c r="F1817" s="846" t="s">
        <v>525</v>
      </c>
      <c r="BB1817" s="314"/>
    </row>
    <row r="1818" ht="15.75" customHeight="1">
      <c r="A1818" s="585">
        <v>1456.0</v>
      </c>
      <c r="B1818" s="1089" t="str">
        <f>Settings!$A$12</f>
        <v>KINGS</v>
      </c>
      <c r="C1818" s="795" t="s">
        <v>136</v>
      </c>
      <c r="D1818" s="13" t="str">
        <f>'Entry Sheet'!AB203</f>
        <v>K. SHAKIR</v>
      </c>
      <c r="E1818" s="13">
        <f>'Entry Sheet'!AC203</f>
        <v>10.05</v>
      </c>
      <c r="F1818" s="846" t="s">
        <v>525</v>
      </c>
      <c r="BB1818" s="314"/>
    </row>
    <row r="1819" ht="15.75" customHeight="1">
      <c r="A1819" s="585">
        <v>1456.0</v>
      </c>
      <c r="B1819" s="1089" t="str">
        <f>Settings!$A$12</f>
        <v>KINGS</v>
      </c>
      <c r="C1819" s="818" t="s">
        <v>139</v>
      </c>
      <c r="D1819" s="13" t="str">
        <f>'Entry Sheet'!AB204</f>
        <v>PHI D/ST</v>
      </c>
      <c r="E1819" s="13">
        <f>'Entry Sheet'!AC204</f>
        <v>37.27</v>
      </c>
      <c r="F1819" s="846" t="s">
        <v>525</v>
      </c>
      <c r="BB1819" s="314"/>
    </row>
    <row r="1820" ht="15.75" customHeight="1">
      <c r="A1820" s="585">
        <v>1456.0</v>
      </c>
      <c r="B1820" s="1089" t="str">
        <f>Settings!$A$12</f>
        <v>KINGS</v>
      </c>
      <c r="C1820" s="833" t="s">
        <v>146</v>
      </c>
      <c r="D1820" s="13" t="str">
        <f>'Entry Sheet'!AB205</f>
        <v>J. MYERS</v>
      </c>
      <c r="E1820" s="13">
        <f>'Entry Sheet'!AC205</f>
        <v>14</v>
      </c>
      <c r="F1820" s="846" t="s">
        <v>525</v>
      </c>
      <c r="BB1820" s="314"/>
    </row>
    <row r="1821" ht="15.75" customHeight="1">
      <c r="A1821" s="585">
        <v>1456.0</v>
      </c>
      <c r="B1821" s="1089" t="str">
        <f>Settings!$A$12</f>
        <v>KINGS</v>
      </c>
      <c r="C1821" s="842" t="s">
        <v>162</v>
      </c>
      <c r="D1821" s="13" t="str">
        <f>'Entry Sheet'!AB206</f>
        <v>IND HC</v>
      </c>
      <c r="E1821" s="13">
        <f>'Entry Sheet'!AC206</f>
        <v>-0.3</v>
      </c>
      <c r="F1821" s="846" t="s">
        <v>525</v>
      </c>
      <c r="BB1821" s="314"/>
    </row>
  </sheetData>
  <autoFilter ref="$A$1:$F$1821">
    <filterColumn colId="5">
      <filters>
        <filter val="WEEK 10"/>
        <filter val="WEEK 2"/>
        <filter val="WEEK 14"/>
        <filter val="WEEK 3"/>
        <filter val="WEEK 13"/>
        <filter val="WEEK 12"/>
        <filter val="WEEK 1"/>
        <filter val="WEEK 6"/>
        <filter val="WEEK 7"/>
        <filter val="WEEK 4"/>
        <filter val="WEEK 5"/>
        <filter val="WEEK 8"/>
        <filter val="WEEK 9"/>
      </filters>
    </filterColumn>
    <sortState ref="A1:F1821">
      <sortCondition ref="A1:A1821"/>
    </sortState>
  </autoFilter>
  <conditionalFormatting sqref="BB3:BB12">
    <cfRule type="colorScale" priority="1">
      <colorScale>
        <cfvo type="min"/>
        <cfvo type="percentile" val="50"/>
        <cfvo type="max"/>
        <color rgb="FF63BE7B"/>
        <color rgb="FFFCFCFF"/>
        <color rgb="FFF8696B"/>
      </colorScale>
    </cfRule>
  </conditionalFormatting>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44"/>
    <col customWidth="1" min="2" max="6" width="10.78"/>
    <col customWidth="1" min="7" max="10" width="15.78"/>
    <col customWidth="1" hidden="1" min="11" max="11" width="15.78"/>
    <col customWidth="1" min="12" max="16" width="15.78"/>
    <col customWidth="1" min="17" max="17" width="10.56"/>
    <col customWidth="1" min="18" max="18" width="15.78"/>
    <col customWidth="1" hidden="1" min="19" max="26" width="15.78"/>
    <col customWidth="1" min="27" max="27" width="10.78"/>
    <col customWidth="1" min="28" max="28" width="5.78"/>
    <col customWidth="1" min="29" max="29" width="19.0"/>
    <col customWidth="1" min="30" max="30" width="4.44"/>
    <col customWidth="1" min="31" max="31" width="4.78"/>
    <col customWidth="1" min="32" max="32" width="3.67"/>
    <col customWidth="1" min="33" max="33" width="4.11"/>
    <col customWidth="1" min="34" max="34" width="6.78"/>
    <col customWidth="1" min="35" max="35" width="10.56"/>
    <col customWidth="1" min="36" max="46" width="10.78"/>
    <col customWidth="1" min="47" max="55" width="7.44"/>
    <col customWidth="1" min="56" max="64" width="8.44"/>
  </cols>
  <sheetData>
    <row r="1" ht="15.75" customHeight="1">
      <c r="A1" s="777" t="s">
        <v>576</v>
      </c>
      <c r="B1" s="778" t="s">
        <v>30</v>
      </c>
      <c r="C1" s="778" t="s">
        <v>12</v>
      </c>
      <c r="D1" s="778" t="s">
        <v>16</v>
      </c>
      <c r="E1" s="778" t="s">
        <v>577</v>
      </c>
      <c r="F1" s="778" t="s">
        <v>155</v>
      </c>
      <c r="G1" s="778" t="s">
        <v>493</v>
      </c>
      <c r="H1" s="778" t="s">
        <v>495</v>
      </c>
      <c r="I1" s="778" t="s">
        <v>477</v>
      </c>
      <c r="J1" s="778" t="s">
        <v>494</v>
      </c>
      <c r="K1" s="778"/>
      <c r="L1" s="778" t="s">
        <v>497</v>
      </c>
      <c r="M1" s="778" t="s">
        <v>478</v>
      </c>
      <c r="N1" s="778" t="s">
        <v>578</v>
      </c>
      <c r="O1" s="778" t="s">
        <v>538</v>
      </c>
      <c r="P1" s="779" t="s">
        <v>537</v>
      </c>
      <c r="Q1" s="780"/>
      <c r="R1" s="781"/>
      <c r="S1" s="781" t="str">
        <f t="shared" ref="S1:X1" si="1">G1</f>
        <v>DECOUPES</v>
      </c>
      <c r="T1" s="781" t="str">
        <f t="shared" si="1"/>
        <v>GREEN</v>
      </c>
      <c r="U1" s="781" t="str">
        <f t="shared" si="1"/>
        <v>KINGS</v>
      </c>
      <c r="V1" s="781" t="str">
        <f t="shared" si="1"/>
        <v>POPEYES</v>
      </c>
      <c r="W1" s="781" t="str">
        <f t="shared" si="1"/>
        <v/>
      </c>
      <c r="X1" s="781" t="str">
        <f t="shared" si="1"/>
        <v>SAVAGES</v>
      </c>
      <c r="Y1" s="781" t="str">
        <f t="shared" ref="Y1:Z1" si="2">O1</f>
        <v>MUTTS</v>
      </c>
      <c r="Z1" s="780" t="str">
        <f t="shared" si="2"/>
        <v>YARDIES</v>
      </c>
      <c r="AA1" s="780"/>
      <c r="AB1" s="782" t="s">
        <v>579</v>
      </c>
      <c r="AC1" s="783" t="s">
        <v>298</v>
      </c>
      <c r="AD1" s="783" t="s">
        <v>580</v>
      </c>
      <c r="AE1" s="783" t="s">
        <v>581</v>
      </c>
      <c r="AF1" s="783" t="s">
        <v>582</v>
      </c>
      <c r="AG1" s="783" t="s">
        <v>583</v>
      </c>
      <c r="AH1" s="784" t="s">
        <v>584</v>
      </c>
      <c r="AI1" s="780"/>
      <c r="AJ1" s="780" t="s">
        <v>22</v>
      </c>
      <c r="AK1" s="780" t="s">
        <v>585</v>
      </c>
      <c r="AL1" s="780" t="str">
        <f t="array" ref="AL1:AS1">TRANSPOSE(Settings!A3:A10)</f>
        <v>DECOUPES</v>
      </c>
      <c r="AM1" s="780" t="s">
        <v>494</v>
      </c>
      <c r="AN1" s="780" t="s">
        <v>495</v>
      </c>
      <c r="AO1" s="780" t="s">
        <v>497</v>
      </c>
      <c r="AP1" s="780" t="s">
        <v>536</v>
      </c>
      <c r="AQ1" s="780" t="s">
        <v>578</v>
      </c>
      <c r="AR1" s="780" t="s">
        <v>537</v>
      </c>
      <c r="AS1" s="780" t="s">
        <v>538</v>
      </c>
      <c r="AT1" s="785" t="s">
        <v>586</v>
      </c>
      <c r="AU1" s="780" t="s">
        <v>512</v>
      </c>
      <c r="AV1" s="780" t="s">
        <v>513</v>
      </c>
      <c r="AW1" s="780" t="s">
        <v>514</v>
      </c>
      <c r="AX1" s="780" t="s">
        <v>515</v>
      </c>
      <c r="AY1" s="780" t="s">
        <v>516</v>
      </c>
      <c r="AZ1" s="780" t="s">
        <v>517</v>
      </c>
      <c r="BA1" s="780" t="s">
        <v>518</v>
      </c>
      <c r="BB1" s="780" t="s">
        <v>519</v>
      </c>
      <c r="BC1" s="780" t="s">
        <v>520</v>
      </c>
      <c r="BD1" s="780" t="s">
        <v>521</v>
      </c>
      <c r="BE1" s="780" t="s">
        <v>522</v>
      </c>
      <c r="BF1" s="780" t="s">
        <v>523</v>
      </c>
      <c r="BG1" s="780" t="s">
        <v>524</v>
      </c>
      <c r="BH1" s="780" t="s">
        <v>525</v>
      </c>
      <c r="BI1" s="780" t="s">
        <v>587</v>
      </c>
      <c r="BJ1" s="780" t="s">
        <v>588</v>
      </c>
      <c r="BK1" s="780" t="s">
        <v>589</v>
      </c>
      <c r="BL1" s="780" t="s">
        <v>590</v>
      </c>
    </row>
    <row r="2" ht="15.75" customHeight="1">
      <c r="A2" s="788" t="str">
        <f t="shared" ref="A2:A600" si="5">IF(AT2=0, "-", "ERROR")</f>
        <v>-</v>
      </c>
      <c r="B2" s="789" t="s">
        <v>512</v>
      </c>
      <c r="C2" s="331"/>
      <c r="D2" s="331"/>
      <c r="E2" s="790"/>
      <c r="F2" s="791"/>
      <c r="G2" s="331"/>
      <c r="H2" s="331"/>
      <c r="I2" s="331"/>
      <c r="J2" s="331"/>
      <c r="K2" s="331"/>
      <c r="L2" s="331"/>
      <c r="M2" s="331"/>
      <c r="N2" s="331"/>
      <c r="O2" s="331"/>
      <c r="P2" s="792"/>
      <c r="S2" s="13">
        <f t="array" ref="S2">SUM(IF(F2:F999&lt;&gt;"", IF(F2:F999=G2:G999, 1, 0)))</f>
        <v>60</v>
      </c>
      <c r="AB2" s="793">
        <f t="shared" ref="AB2:AB10" si="6">_xlfn.RANK.EQ(AH2,$AH$2:$AH$10,0)+(COUNTIFS($AH$2:$AH$10,AH2,$AG$2:$AG$10,"&gt;"&amp;AG2))</f>
        <v>2</v>
      </c>
      <c r="AC2" s="794" t="str">
        <f>Settings!A3</f>
        <v>DECOUPES</v>
      </c>
      <c r="AD2" s="796">
        <f t="array" ref="AD2">SUM(IF(F2:F999&lt;&gt;"", IF(F2:F999=G2:G999, 1, 0)))</f>
        <v>60</v>
      </c>
      <c r="AE2" s="797">
        <f t="array" ref="AE2">SUM(($F$2:$F$999&lt;&gt;"TIE")*($F$2:$F$999&lt;&gt;"")*($G$2:$G$999&lt;&gt;"TIE")*($G$2:$G$999&lt;&gt;"")*($F$2:$F$999&lt;&gt;$G$2:$G$999))</f>
        <v>30</v>
      </c>
      <c r="AF2" s="798">
        <f t="shared" ref="AF2:AF11" si="7">COUNTIF(F:F,"TIE")</f>
        <v>0</v>
      </c>
      <c r="AG2" s="800">
        <f t="array" ref="AG2">SUM(IF(($G$2:$G$999&lt;&gt;$E$2:$E$999)*($G$2:$G$999=$F$2:$F$999)*($F$2:$F$999&lt;&gt;"TIE")*($F$2:$F$999&lt;&gt;""), 1, 0))</f>
        <v>8</v>
      </c>
      <c r="AH2" s="801">
        <f t="shared" ref="AH2:AH11" si="8">IFERROR(AD2/(AD2+AE2),0)</f>
        <v>0.6666666667</v>
      </c>
      <c r="AJ2" s="13" t="str">
        <f t="shared" ref="AJ2:AQ2" si="3">IF(OR(E2=$C2,E2=$D2,E2=""),"0","1")</f>
        <v>0</v>
      </c>
      <c r="AK2" s="13" t="str">
        <f t="shared" si="3"/>
        <v>0</v>
      </c>
      <c r="AL2" s="13" t="str">
        <f t="shared" si="3"/>
        <v>0</v>
      </c>
      <c r="AM2" s="13" t="str">
        <f t="shared" si="3"/>
        <v>0</v>
      </c>
      <c r="AN2" s="13" t="str">
        <f t="shared" si="3"/>
        <v>0</v>
      </c>
      <c r="AO2" s="13" t="str">
        <f t="shared" si="3"/>
        <v>0</v>
      </c>
      <c r="AP2" s="13" t="str">
        <f t="shared" si="3"/>
        <v>0</v>
      </c>
      <c r="AQ2" s="13" t="str">
        <f t="shared" si="3"/>
        <v>0</v>
      </c>
      <c r="AR2" s="13" t="str">
        <f t="shared" ref="AR2:AS2" si="4">IF(OR(O2=$C2,O2=$D2,O2=""),"0","1")</f>
        <v>0</v>
      </c>
      <c r="AS2" s="13" t="str">
        <f t="shared" si="4"/>
        <v>0</v>
      </c>
      <c r="AT2" s="698">
        <f t="shared" ref="AT2:AT600" si="11">AJ2+AK2+AL2+AM2+AN2+AO2+AP2+AQ2+AR2+AS2</f>
        <v>0</v>
      </c>
    </row>
    <row r="3" ht="15.75" customHeight="1">
      <c r="A3" s="788" t="str">
        <f t="shared" si="5"/>
        <v>-</v>
      </c>
      <c r="B3" s="789" t="s">
        <v>512</v>
      </c>
      <c r="C3" s="331"/>
      <c r="D3" s="331"/>
      <c r="E3" s="790"/>
      <c r="F3" s="791"/>
      <c r="G3" s="331"/>
      <c r="H3" s="331"/>
      <c r="I3" s="331"/>
      <c r="J3" s="331"/>
      <c r="K3" s="331"/>
      <c r="L3" s="331"/>
      <c r="M3" s="331"/>
      <c r="N3" s="331"/>
      <c r="O3" s="331"/>
      <c r="P3" s="792"/>
      <c r="AB3" s="793">
        <f t="shared" si="6"/>
        <v>7</v>
      </c>
      <c r="AC3" s="802" t="s">
        <v>495</v>
      </c>
      <c r="AD3" s="803">
        <f t="array" ref="AD3">SUM(IF(F2:F999&lt;&gt;"", IF(F2:F999=H2:H999, 1, 0)))</f>
        <v>55</v>
      </c>
      <c r="AE3" s="804">
        <f t="array" ref="AE3">SUM(($F$2:$F$999&lt;&gt;"TIE")*($F$2:$F$999&lt;&gt;"")*($H$2:$H$999&lt;&gt;"TIE")*($H$2:$H$999&lt;&gt;"")*($F$2:$F$999&lt;&gt;$H$2:$H$999))</f>
        <v>35</v>
      </c>
      <c r="AF3" s="805">
        <f t="shared" si="7"/>
        <v>0</v>
      </c>
      <c r="AG3" s="806">
        <f t="array" ref="AG3">SUM(IF(($H$2:$H$999&lt;&gt;$E$2:$E$999)*($H$2:$H$999=$F$2:$F$999)*($F$2:$F$999&lt;&gt;"TIE")*($F$2:$F$999&lt;&gt;""), 1, 0))</f>
        <v>8</v>
      </c>
      <c r="AH3" s="801">
        <f t="shared" si="8"/>
        <v>0.6111111111</v>
      </c>
      <c r="AJ3" s="13" t="str">
        <f t="shared" ref="AJ3:AQ3" si="9">IF(OR(E3=$C3,E3=$D3,E3=""),"0","1")</f>
        <v>0</v>
      </c>
      <c r="AK3" s="13" t="str">
        <f t="shared" si="9"/>
        <v>0</v>
      </c>
      <c r="AL3" s="13" t="str">
        <f t="shared" si="9"/>
        <v>0</v>
      </c>
      <c r="AM3" s="13" t="str">
        <f t="shared" si="9"/>
        <v>0</v>
      </c>
      <c r="AN3" s="13" t="str">
        <f t="shared" si="9"/>
        <v>0</v>
      </c>
      <c r="AO3" s="13" t="str">
        <f t="shared" si="9"/>
        <v>0</v>
      </c>
      <c r="AP3" s="13" t="str">
        <f t="shared" si="9"/>
        <v>0</v>
      </c>
      <c r="AQ3" s="13" t="str">
        <f t="shared" si="9"/>
        <v>0</v>
      </c>
      <c r="AR3" s="13" t="str">
        <f t="shared" ref="AR3:AS3" si="10">IF(OR(O3=$C3,O3=$D3,O3=""),"0","1")</f>
        <v>0</v>
      </c>
      <c r="AS3" s="13" t="str">
        <f t="shared" si="10"/>
        <v>0</v>
      </c>
      <c r="AT3" s="698">
        <f t="shared" si="11"/>
        <v>0</v>
      </c>
    </row>
    <row r="4" ht="15.75" customHeight="1">
      <c r="A4" s="788" t="str">
        <f t="shared" si="5"/>
        <v>-</v>
      </c>
      <c r="B4" s="789" t="s">
        <v>512</v>
      </c>
      <c r="C4" s="331"/>
      <c r="D4" s="331"/>
      <c r="E4" s="790"/>
      <c r="F4" s="791"/>
      <c r="G4" s="331"/>
      <c r="H4" s="331"/>
      <c r="I4" s="331"/>
      <c r="J4" s="331"/>
      <c r="K4" s="331"/>
      <c r="L4" s="331"/>
      <c r="M4" s="331"/>
      <c r="N4" s="331"/>
      <c r="O4" s="331"/>
      <c r="P4" s="792"/>
      <c r="AB4" s="793">
        <f t="shared" si="6"/>
        <v>3</v>
      </c>
      <c r="AC4" s="807" t="s">
        <v>477</v>
      </c>
      <c r="AD4" s="803">
        <f t="array" ref="AD4">SUM(IF(F2:F999&lt;&gt;"", IF(F2:F999=I2:I999, 1, 0)))</f>
        <v>58</v>
      </c>
      <c r="AE4" s="804">
        <f t="array" ref="AE4">SUM(($F$2:$F$999&lt;&gt;"TIE")*($F$2:$F$999&lt;&gt;"")*($I$2:$I$999&lt;&gt;"TIE")*($I$2:$I$999&lt;&gt;"")*($F$2:$F$999&lt;&gt;$I$2:$I$999))</f>
        <v>32</v>
      </c>
      <c r="AF4" s="805">
        <f t="shared" si="7"/>
        <v>0</v>
      </c>
      <c r="AG4" s="806">
        <f t="array" ref="AG4">SUM(IF(($I$2:$I$999&lt;&gt;$E$2:$E$999)*($I$2:$I$999=$F$2:$F$999)*($F$2:$F$999&lt;&gt;"TIE")*($F$2:$F$999&lt;&gt;""), 1, 0))</f>
        <v>15</v>
      </c>
      <c r="AH4" s="801">
        <f t="shared" si="8"/>
        <v>0.6444444444</v>
      </c>
      <c r="AJ4" s="13" t="str">
        <f t="shared" ref="AJ4:AQ4" si="12">IF(OR(E4=$C4,E4=$D4,E4=""),"0","1")</f>
        <v>0</v>
      </c>
      <c r="AK4" s="13" t="str">
        <f t="shared" si="12"/>
        <v>0</v>
      </c>
      <c r="AL4" s="13" t="str">
        <f t="shared" si="12"/>
        <v>0</v>
      </c>
      <c r="AM4" s="13" t="str">
        <f t="shared" si="12"/>
        <v>0</v>
      </c>
      <c r="AN4" s="13" t="str">
        <f t="shared" si="12"/>
        <v>0</v>
      </c>
      <c r="AO4" s="13" t="str">
        <f t="shared" si="12"/>
        <v>0</v>
      </c>
      <c r="AP4" s="13" t="str">
        <f t="shared" si="12"/>
        <v>0</v>
      </c>
      <c r="AQ4" s="13" t="str">
        <f t="shared" si="12"/>
        <v>0</v>
      </c>
      <c r="AR4" s="13" t="str">
        <f t="shared" ref="AR4:AS4" si="13">IF(OR(O4=$C4,O4=$D4,O4=""),"0","1")</f>
        <v>0</v>
      </c>
      <c r="AS4" s="13" t="str">
        <f t="shared" si="13"/>
        <v>0</v>
      </c>
      <c r="AT4" s="698">
        <f t="shared" si="11"/>
        <v>0</v>
      </c>
    </row>
    <row r="5" ht="15.75" customHeight="1">
      <c r="A5" s="788" t="str">
        <f t="shared" si="5"/>
        <v>-</v>
      </c>
      <c r="B5" s="789" t="s">
        <v>512</v>
      </c>
      <c r="C5" s="331"/>
      <c r="D5" s="331"/>
      <c r="E5" s="790"/>
      <c r="F5" s="791"/>
      <c r="G5" s="331"/>
      <c r="H5" s="331"/>
      <c r="I5" s="331"/>
      <c r="J5" s="331"/>
      <c r="K5" s="331"/>
      <c r="L5" s="331"/>
      <c r="M5" s="331"/>
      <c r="N5" s="331"/>
      <c r="O5" s="331"/>
      <c r="P5" s="792"/>
      <c r="AB5" s="793">
        <f t="shared" si="6"/>
        <v>1</v>
      </c>
      <c r="AC5" s="808" t="s">
        <v>494</v>
      </c>
      <c r="AD5" s="803">
        <f t="array" ref="AD5">SUM(IF(F2:F999&lt;&gt;"", IF(F2:F999=J2:J999, 1, 0)))</f>
        <v>61</v>
      </c>
      <c r="AE5" s="804">
        <f t="array" ref="AE5">SUM(($F$2:$F$999&lt;&gt;"TIE")*($F$2:$F$999&lt;&gt;"")*($J$2:$J$999&lt;&gt;"TIE")*($J$2:$J$999&lt;&gt;"")*($F$2:$F$999&lt;&gt;$J$2:$J$999))</f>
        <v>29</v>
      </c>
      <c r="AF5" s="805">
        <f t="shared" si="7"/>
        <v>0</v>
      </c>
      <c r="AG5" s="806">
        <f t="array" ref="AG5">SUM(IF(($J$2:$J$999&lt;&gt;$E$2:$E$999)*($J$2:$J$999=$F$2:$F$999)*($F$2:$F$999&lt;&gt;"TIE")*($F$2:$F$999&lt;&gt;""), 1, 0))</f>
        <v>1</v>
      </c>
      <c r="AH5" s="801">
        <f t="shared" si="8"/>
        <v>0.6777777778</v>
      </c>
      <c r="AJ5" s="13" t="str">
        <f t="shared" ref="AJ5:AQ5" si="14">IF(OR(E5=$C5,E5=$D5,E5=""),"0","1")</f>
        <v>0</v>
      </c>
      <c r="AK5" s="13" t="str">
        <f t="shared" si="14"/>
        <v>0</v>
      </c>
      <c r="AL5" s="13" t="str">
        <f t="shared" si="14"/>
        <v>0</v>
      </c>
      <c r="AM5" s="13" t="str">
        <f t="shared" si="14"/>
        <v>0</v>
      </c>
      <c r="AN5" s="13" t="str">
        <f t="shared" si="14"/>
        <v>0</v>
      </c>
      <c r="AO5" s="13" t="str">
        <f t="shared" si="14"/>
        <v>0</v>
      </c>
      <c r="AP5" s="13" t="str">
        <f t="shared" si="14"/>
        <v>0</v>
      </c>
      <c r="AQ5" s="13" t="str">
        <f t="shared" si="14"/>
        <v>0</v>
      </c>
      <c r="AR5" s="13" t="str">
        <f t="shared" ref="AR5:AS5" si="15">IF(OR(O5=$C5,O5=$D5,O5=""),"0","1")</f>
        <v>0</v>
      </c>
      <c r="AS5" s="13" t="str">
        <f t="shared" si="15"/>
        <v>0</v>
      </c>
      <c r="AT5" s="698">
        <f t="shared" si="11"/>
        <v>0</v>
      </c>
    </row>
    <row r="6" ht="15.75" customHeight="1">
      <c r="A6" s="788" t="str">
        <f t="shared" si="5"/>
        <v>-</v>
      </c>
      <c r="B6" s="789" t="s">
        <v>512</v>
      </c>
      <c r="C6" s="331"/>
      <c r="D6" s="331"/>
      <c r="E6" s="790"/>
      <c r="F6" s="791"/>
      <c r="G6" s="331"/>
      <c r="H6" s="331"/>
      <c r="I6" s="331"/>
      <c r="J6" s="331"/>
      <c r="K6" s="331"/>
      <c r="L6" s="331"/>
      <c r="M6" s="331"/>
      <c r="N6" s="331"/>
      <c r="O6" s="331"/>
      <c r="P6" s="792"/>
      <c r="AB6" s="793">
        <f t="shared" si="6"/>
        <v>9</v>
      </c>
      <c r="AC6" s="809" t="s">
        <v>497</v>
      </c>
      <c r="AD6" s="803">
        <f t="array" ref="AD6">SUM(IF(F2:F999&lt;&gt;"", IF(F2:F999=L2:L999, 1, 0)))</f>
        <v>50</v>
      </c>
      <c r="AE6" s="804">
        <f t="array" ref="AE6">SUM(($F$2:$F$999&lt;&gt;"TIE")*($F$2:$F$999&lt;&gt;"")*($L$2:$L$999&lt;&gt;"TIE")*($L$2:$L$999&lt;&gt;"")*($F$2:$F$999&lt;&gt;$L$2:$L$999))</f>
        <v>40</v>
      </c>
      <c r="AF6" s="805">
        <f t="shared" si="7"/>
        <v>0</v>
      </c>
      <c r="AG6" s="806">
        <f t="array" ref="AG6">SUM(IF(($L$2:$L$999&lt;&gt;$E$2:$E$999)*($L$2:$L$999=$F$2:$F$999)*($F$2:$F$999&lt;&gt;"TIE")*($F$2:$F$999&lt;&gt;""), 1, 0))</f>
        <v>7</v>
      </c>
      <c r="AH6" s="801">
        <f t="shared" si="8"/>
        <v>0.5555555556</v>
      </c>
      <c r="AJ6" s="13" t="str">
        <f t="shared" ref="AJ6:AQ6" si="16">IF(OR(E6=$C6,E6=$D6,E6=""),"0","1")</f>
        <v>0</v>
      </c>
      <c r="AK6" s="13" t="str">
        <f t="shared" si="16"/>
        <v>0</v>
      </c>
      <c r="AL6" s="13" t="str">
        <f t="shared" si="16"/>
        <v>0</v>
      </c>
      <c r="AM6" s="13" t="str">
        <f t="shared" si="16"/>
        <v>0</v>
      </c>
      <c r="AN6" s="13" t="str">
        <f t="shared" si="16"/>
        <v>0</v>
      </c>
      <c r="AO6" s="13" t="str">
        <f t="shared" si="16"/>
        <v>0</v>
      </c>
      <c r="AP6" s="13" t="str">
        <f t="shared" si="16"/>
        <v>0</v>
      </c>
      <c r="AQ6" s="13" t="str">
        <f t="shared" si="16"/>
        <v>0</v>
      </c>
      <c r="AR6" s="13" t="str">
        <f t="shared" ref="AR6:AS6" si="17">IF(OR(O6=$C6,O6=$D6,O6=""),"0","1")</f>
        <v>0</v>
      </c>
      <c r="AS6" s="13" t="str">
        <f t="shared" si="17"/>
        <v>0</v>
      </c>
      <c r="AT6" s="698">
        <f t="shared" si="11"/>
        <v>0</v>
      </c>
    </row>
    <row r="7" ht="15.75" customHeight="1">
      <c r="A7" s="788" t="str">
        <f t="shared" si="5"/>
        <v>-</v>
      </c>
      <c r="B7" s="789" t="s">
        <v>512</v>
      </c>
      <c r="C7" s="331"/>
      <c r="D7" s="331"/>
      <c r="E7" s="790"/>
      <c r="F7" s="791"/>
      <c r="G7" s="331"/>
      <c r="H7" s="331"/>
      <c r="I7" s="331"/>
      <c r="J7" s="331"/>
      <c r="K7" s="331"/>
      <c r="L7" s="331"/>
      <c r="M7" s="331"/>
      <c r="N7" s="331"/>
      <c r="O7" s="331"/>
      <c r="P7" s="792"/>
      <c r="AB7" s="793">
        <f t="shared" si="6"/>
        <v>8</v>
      </c>
      <c r="AC7" s="810" t="s">
        <v>478</v>
      </c>
      <c r="AD7" s="803">
        <f t="array" ref="AD7">SUM(IF(F2:F999&lt;&gt;"", IF(F2:F999=M2:M999, 1, 0)))</f>
        <v>54</v>
      </c>
      <c r="AE7" s="804">
        <f t="array" ref="AE7">SUM(($F$2:$F$999&lt;&gt;"TIE")*($F$2:$F$999&lt;&gt;"")*($M$2:$M$999&lt;&gt;"TIE")*($M$2:$M$999&lt;&gt;"")*($F$2:$F$999&lt;&gt;$M$2:$M$999))</f>
        <v>36</v>
      </c>
      <c r="AF7" s="805">
        <f t="shared" si="7"/>
        <v>0</v>
      </c>
      <c r="AG7" s="806">
        <f t="array" ref="AG7">SUM(IF(($M$2:$M$999&lt;&gt;$E$2:$E$999)*($M$2:$M$999=$F$2:$F$999)*($F$2:$F$999&lt;&gt;"TIE")*($F$2:$F$999&lt;&gt;""), 1, 0))</f>
        <v>13</v>
      </c>
      <c r="AH7" s="801">
        <f t="shared" si="8"/>
        <v>0.6</v>
      </c>
      <c r="AJ7" s="13" t="str">
        <f t="shared" ref="AJ7:AQ7" si="18">IF(OR(E7=$C7,E7=$D7,E7=""),"0","1")</f>
        <v>0</v>
      </c>
      <c r="AK7" s="13" t="str">
        <f t="shared" si="18"/>
        <v>0</v>
      </c>
      <c r="AL7" s="13" t="str">
        <f t="shared" si="18"/>
        <v>0</v>
      </c>
      <c r="AM7" s="13" t="str">
        <f t="shared" si="18"/>
        <v>0</v>
      </c>
      <c r="AN7" s="13" t="str">
        <f t="shared" si="18"/>
        <v>0</v>
      </c>
      <c r="AO7" s="13" t="str">
        <f t="shared" si="18"/>
        <v>0</v>
      </c>
      <c r="AP7" s="13" t="str">
        <f t="shared" si="18"/>
        <v>0</v>
      </c>
      <c r="AQ7" s="13" t="str">
        <f t="shared" si="18"/>
        <v>0</v>
      </c>
      <c r="AR7" s="13" t="str">
        <f t="shared" ref="AR7:AS7" si="19">IF(OR(O7=$C7,O7=$D7,O7=""),"0","1")</f>
        <v>0</v>
      </c>
      <c r="AS7" s="13" t="str">
        <f t="shared" si="19"/>
        <v>0</v>
      </c>
      <c r="AT7" s="698">
        <f t="shared" si="11"/>
        <v>0</v>
      </c>
    </row>
    <row r="8" ht="15.75" customHeight="1">
      <c r="A8" s="788" t="str">
        <f t="shared" si="5"/>
        <v>-</v>
      </c>
      <c r="B8" s="789" t="s">
        <v>512</v>
      </c>
      <c r="C8" s="331"/>
      <c r="D8" s="331"/>
      <c r="E8" s="790"/>
      <c r="F8" s="791"/>
      <c r="G8" s="331"/>
      <c r="H8" s="331"/>
      <c r="I8" s="331"/>
      <c r="J8" s="331"/>
      <c r="K8" s="331"/>
      <c r="L8" s="331"/>
      <c r="M8" s="331"/>
      <c r="N8" s="331"/>
      <c r="O8" s="331"/>
      <c r="P8" s="792"/>
      <c r="AB8" s="793">
        <f t="shared" si="6"/>
        <v>5</v>
      </c>
      <c r="AC8" s="811" t="s">
        <v>578</v>
      </c>
      <c r="AD8" s="803">
        <f t="array" ref="AD8">SUM(IF(F2:F999&lt;&gt;"", IF(F2:F999=N2:N999, 1, 0)))</f>
        <v>57</v>
      </c>
      <c r="AE8" s="804">
        <f t="array" ref="AE8">SUM(($F$2:$F$999&lt;&gt;"TIE")*($F$2:$F$999&lt;&gt;"")*($N$2:$N$999&lt;&gt;"TIE")*($N$2:$N$999&lt;&gt;"")*($F$2:$F$999&lt;&gt;$N$2:$N$999))</f>
        <v>33</v>
      </c>
      <c r="AF8" s="805">
        <f t="shared" si="7"/>
        <v>0</v>
      </c>
      <c r="AG8" s="806">
        <f t="array" ref="AG8">SUM(IF(($N$2:$N$999&lt;&gt;$E$2:$E$999)*($N$2:$N$999=$F$2:$F$999)*($F$2:$F$999&lt;&gt;"TIE")*($F$2:$F$999&lt;&gt;""), 1, 0))</f>
        <v>10</v>
      </c>
      <c r="AH8" s="801">
        <f t="shared" si="8"/>
        <v>0.6333333333</v>
      </c>
      <c r="AJ8" s="13" t="str">
        <f t="shared" ref="AJ8:AQ8" si="20">IF(OR(E8=$C8,E8=$D8,E8=""),"0","1")</f>
        <v>0</v>
      </c>
      <c r="AK8" s="13" t="str">
        <f t="shared" si="20"/>
        <v>0</v>
      </c>
      <c r="AL8" s="13" t="str">
        <f t="shared" si="20"/>
        <v>0</v>
      </c>
      <c r="AM8" s="13" t="str">
        <f t="shared" si="20"/>
        <v>0</v>
      </c>
      <c r="AN8" s="13" t="str">
        <f t="shared" si="20"/>
        <v>0</v>
      </c>
      <c r="AO8" s="13" t="str">
        <f t="shared" si="20"/>
        <v>0</v>
      </c>
      <c r="AP8" s="13" t="str">
        <f t="shared" si="20"/>
        <v>0</v>
      </c>
      <c r="AQ8" s="13" t="str">
        <f t="shared" si="20"/>
        <v>0</v>
      </c>
      <c r="AR8" s="13" t="str">
        <f t="shared" ref="AR8:AS8" si="21">IF(OR(O8=$C8,O8=$D8,O8=""),"0","1")</f>
        <v>0</v>
      </c>
      <c r="AS8" s="13" t="str">
        <f t="shared" si="21"/>
        <v>0</v>
      </c>
      <c r="AT8" s="698">
        <f t="shared" si="11"/>
        <v>0</v>
      </c>
    </row>
    <row r="9" ht="15.75" customHeight="1">
      <c r="A9" s="788" t="str">
        <f t="shared" si="5"/>
        <v>-</v>
      </c>
      <c r="B9" s="789" t="s">
        <v>512</v>
      </c>
      <c r="C9" s="331"/>
      <c r="D9" s="331"/>
      <c r="E9" s="790"/>
      <c r="F9" s="791"/>
      <c r="G9" s="331"/>
      <c r="H9" s="331"/>
      <c r="I9" s="331"/>
      <c r="J9" s="331"/>
      <c r="K9" s="331"/>
      <c r="L9" s="331"/>
      <c r="M9" s="331"/>
      <c r="N9" s="331"/>
      <c r="O9" s="331"/>
      <c r="P9" s="792"/>
      <c r="AB9" s="793">
        <f t="shared" si="6"/>
        <v>6</v>
      </c>
      <c r="AC9" s="812" t="s">
        <v>538</v>
      </c>
      <c r="AD9" s="803">
        <f t="array" ref="AD9">SUM(IF(F2:F999&lt;&gt;"", IF(F2:F999=O2:O999, 1, 0)))</f>
        <v>56</v>
      </c>
      <c r="AE9" s="804">
        <f t="array" ref="AE9">SUM(($F$2:$F$999&lt;&gt;"TIE")*($F$2:$F$999&lt;&gt;"")*($O$2:$O$999&lt;&gt;"TIE")*($O$2:$O$999&lt;&gt;"")*($F$2:$F$999&lt;&gt;$O$2:$O$999))</f>
        <v>34</v>
      </c>
      <c r="AF9" s="805">
        <f t="shared" si="7"/>
        <v>0</v>
      </c>
      <c r="AG9" s="806">
        <f t="array" ref="AG9">SUM(IF(($O$2:$O$999&lt;&gt;$E$2:$E$999)*($O$2:$O$999=$F$2:$F$999)*($F$2:$F$999&lt;&gt;"TIE")*($F$2:$F$999&lt;&gt;""), 1, 0))</f>
        <v>6</v>
      </c>
      <c r="AH9" s="801">
        <f t="shared" si="8"/>
        <v>0.6222222222</v>
      </c>
      <c r="AJ9" s="13" t="str">
        <f t="shared" ref="AJ9:AQ9" si="22">IF(OR(E9=$C9,E9=$D9,E9=""),"0","1")</f>
        <v>0</v>
      </c>
      <c r="AK9" s="13" t="str">
        <f t="shared" si="22"/>
        <v>0</v>
      </c>
      <c r="AL9" s="13" t="str">
        <f t="shared" si="22"/>
        <v>0</v>
      </c>
      <c r="AM9" s="13" t="str">
        <f t="shared" si="22"/>
        <v>0</v>
      </c>
      <c r="AN9" s="13" t="str">
        <f t="shared" si="22"/>
        <v>0</v>
      </c>
      <c r="AO9" s="13" t="str">
        <f t="shared" si="22"/>
        <v>0</v>
      </c>
      <c r="AP9" s="13" t="str">
        <f t="shared" si="22"/>
        <v>0</v>
      </c>
      <c r="AQ9" s="13" t="str">
        <f t="shared" si="22"/>
        <v>0</v>
      </c>
      <c r="AR9" s="13" t="str">
        <f t="shared" ref="AR9:AS9" si="23">IF(OR(O9=$C9,O9=$D9,O9=""),"0","1")</f>
        <v>0</v>
      </c>
      <c r="AS9" s="13" t="str">
        <f t="shared" si="23"/>
        <v>0</v>
      </c>
      <c r="AT9" s="698">
        <f t="shared" si="11"/>
        <v>0</v>
      </c>
    </row>
    <row r="10" ht="15.75" customHeight="1">
      <c r="A10" s="788" t="str">
        <f t="shared" si="5"/>
        <v>-</v>
      </c>
      <c r="B10" s="789" t="s">
        <v>512</v>
      </c>
      <c r="C10" s="331"/>
      <c r="D10" s="331"/>
      <c r="E10" s="790"/>
      <c r="F10" s="791"/>
      <c r="G10" s="331"/>
      <c r="H10" s="331"/>
      <c r="I10" s="331"/>
      <c r="J10" s="331"/>
      <c r="K10" s="331"/>
      <c r="L10" s="331"/>
      <c r="M10" s="331"/>
      <c r="N10" s="331"/>
      <c r="O10" s="331"/>
      <c r="P10" s="792"/>
      <c r="AB10" s="793">
        <f t="shared" si="6"/>
        <v>4</v>
      </c>
      <c r="AC10" s="813" t="s">
        <v>537</v>
      </c>
      <c r="AD10" s="803">
        <f t="array" ref="AD10">SUM(IF(F2:F999&lt;&gt;"", IF(F2:F999=P2:P999, 1, 0)))</f>
        <v>58</v>
      </c>
      <c r="AE10" s="804">
        <f t="array" ref="AE10">SUM(($F$2:$F$999&lt;&gt;"TIE")*($F$2:$F$999&lt;&gt;"")*($P$2:$P$999&lt;&gt;"TIE")*($P$2:$P$999&lt;&gt;"")*($F$2:$F$999&lt;&gt;$P$2:$P$999))</f>
        <v>32</v>
      </c>
      <c r="AF10" s="805">
        <f t="shared" si="7"/>
        <v>0</v>
      </c>
      <c r="AG10" s="806">
        <f t="array" ref="AG10">SUM(IF(($P$2:$P$999&lt;&gt;$E$2:$E$999)*($P$2:$P$999=$F$2:$F$999)*($F$2:$F$999&lt;&gt;"TIE")*($F$2:$F$999&lt;&gt;""), 1, 0))</f>
        <v>8</v>
      </c>
      <c r="AH10" s="801">
        <f t="shared" si="8"/>
        <v>0.6444444444</v>
      </c>
      <c r="AJ10" s="13" t="str">
        <f t="shared" ref="AJ10:AQ10" si="24">IF(OR(E10=$C10,E10=$D10,E10=""),"0","1")</f>
        <v>0</v>
      </c>
      <c r="AK10" s="13" t="str">
        <f t="shared" si="24"/>
        <v>0</v>
      </c>
      <c r="AL10" s="13" t="str">
        <f t="shared" si="24"/>
        <v>0</v>
      </c>
      <c r="AM10" s="13" t="str">
        <f t="shared" si="24"/>
        <v>0</v>
      </c>
      <c r="AN10" s="13" t="str">
        <f t="shared" si="24"/>
        <v>0</v>
      </c>
      <c r="AO10" s="13" t="str">
        <f t="shared" si="24"/>
        <v>0</v>
      </c>
      <c r="AP10" s="13" t="str">
        <f t="shared" si="24"/>
        <v>0</v>
      </c>
      <c r="AQ10" s="13" t="str">
        <f t="shared" si="24"/>
        <v>0</v>
      </c>
      <c r="AR10" s="13" t="str">
        <f t="shared" ref="AR10:AS10" si="25">IF(OR(O10=$C10,O10=$D10,O10=""),"0","1")</f>
        <v>0</v>
      </c>
      <c r="AS10" s="13" t="str">
        <f t="shared" si="25"/>
        <v>0</v>
      </c>
      <c r="AT10" s="698">
        <f t="shared" si="11"/>
        <v>0</v>
      </c>
    </row>
    <row r="11" ht="15.75" customHeight="1">
      <c r="A11" s="788" t="str">
        <f t="shared" si="5"/>
        <v>-</v>
      </c>
      <c r="B11" s="789" t="s">
        <v>512</v>
      </c>
      <c r="C11" s="331"/>
      <c r="D11" s="331"/>
      <c r="E11" s="790"/>
      <c r="F11" s="791"/>
      <c r="G11" s="331"/>
      <c r="H11" s="331"/>
      <c r="I11" s="331"/>
      <c r="J11" s="331"/>
      <c r="K11" s="331"/>
      <c r="L11" s="331"/>
      <c r="M11" s="331"/>
      <c r="N11" s="331"/>
      <c r="O11" s="331"/>
      <c r="P11" s="792"/>
      <c r="AB11" s="816"/>
      <c r="AC11" s="817" t="s">
        <v>591</v>
      </c>
      <c r="AD11" s="819">
        <f t="array" ref="AD11">SUM(IF(F2:F999&lt;&gt;"", IF(F2:F999=E2:E999, 1, 0)))</f>
        <v>62</v>
      </c>
      <c r="AE11" s="820">
        <f t="array" ref="AE11">SUM(($F$2:$F$999&lt;&gt;"TIE")*($F$2:$F$999&lt;&gt;"")*($E$2:$E$999&lt;&gt;"TIE")*($E$2:$E$999&lt;&gt;"")*($F$2:$F$999&lt;&gt;$E$2:$E$999))</f>
        <v>28</v>
      </c>
      <c r="AF11" s="821">
        <f t="shared" si="7"/>
        <v>0</v>
      </c>
      <c r="AG11" s="822">
        <v>0.0</v>
      </c>
      <c r="AH11" s="824">
        <f t="shared" si="8"/>
        <v>0.6888888889</v>
      </c>
      <c r="AJ11" s="13" t="str">
        <f t="shared" ref="AJ11:AQ11" si="26">IF(OR(E11=$C11,E11=$D11,E11=""),"0","1")</f>
        <v>0</v>
      </c>
      <c r="AK11" s="13" t="str">
        <f t="shared" si="26"/>
        <v>0</v>
      </c>
      <c r="AL11" s="13" t="str">
        <f t="shared" si="26"/>
        <v>0</v>
      </c>
      <c r="AM11" s="13" t="str">
        <f t="shared" si="26"/>
        <v>0</v>
      </c>
      <c r="AN11" s="13" t="str">
        <f t="shared" si="26"/>
        <v>0</v>
      </c>
      <c r="AO11" s="13" t="str">
        <f t="shared" si="26"/>
        <v>0</v>
      </c>
      <c r="AP11" s="13" t="str">
        <f t="shared" si="26"/>
        <v>0</v>
      </c>
      <c r="AQ11" s="13" t="str">
        <f t="shared" si="26"/>
        <v>0</v>
      </c>
      <c r="AR11" s="13" t="str">
        <f t="shared" ref="AR11:AS11" si="27">IF(OR(O11=$C11,O11=$D11,O11=""),"0","1")</f>
        <v>0</v>
      </c>
      <c r="AS11" s="13" t="str">
        <f t="shared" si="27"/>
        <v>0</v>
      </c>
      <c r="AT11" s="698">
        <f t="shared" si="11"/>
        <v>0</v>
      </c>
    </row>
    <row r="12" ht="15.75" customHeight="1">
      <c r="A12" s="788" t="str">
        <f t="shared" si="5"/>
        <v>-</v>
      </c>
      <c r="B12" s="789" t="s">
        <v>512</v>
      </c>
      <c r="C12" s="331"/>
      <c r="D12" s="331"/>
      <c r="E12" s="790"/>
      <c r="F12" s="791"/>
      <c r="G12" s="331"/>
      <c r="H12" s="331"/>
      <c r="I12" s="331"/>
      <c r="J12" s="331"/>
      <c r="K12" s="331"/>
      <c r="L12" s="331"/>
      <c r="M12" s="331"/>
      <c r="N12" s="331"/>
      <c r="O12" s="331"/>
      <c r="P12" s="792"/>
      <c r="AB12" s="825" t="s">
        <v>592</v>
      </c>
      <c r="AC12" s="826"/>
      <c r="AD12" s="826"/>
      <c r="AE12" s="826"/>
      <c r="AF12" s="826"/>
      <c r="AG12" s="826"/>
      <c r="AH12" s="827"/>
      <c r="AJ12" s="13" t="str">
        <f t="shared" ref="AJ12:AQ12" si="28">IF(OR(E12=$C12,E12=$D12,E12=""),"0","1")</f>
        <v>0</v>
      </c>
      <c r="AK12" s="13" t="str">
        <f t="shared" si="28"/>
        <v>0</v>
      </c>
      <c r="AL12" s="13" t="str">
        <f t="shared" si="28"/>
        <v>0</v>
      </c>
      <c r="AM12" s="13" t="str">
        <f t="shared" si="28"/>
        <v>0</v>
      </c>
      <c r="AN12" s="13" t="str">
        <f t="shared" si="28"/>
        <v>0</v>
      </c>
      <c r="AO12" s="13" t="str">
        <f t="shared" si="28"/>
        <v>0</v>
      </c>
      <c r="AP12" s="13" t="str">
        <f t="shared" si="28"/>
        <v>0</v>
      </c>
      <c r="AQ12" s="13" t="str">
        <f t="shared" si="28"/>
        <v>0</v>
      </c>
      <c r="AR12" s="13" t="str">
        <f t="shared" ref="AR12:AS12" si="29">IF(OR(O12=$C12,O12=$D12,O12=""),"0","1")</f>
        <v>0</v>
      </c>
      <c r="AS12" s="13" t="str">
        <f t="shared" si="29"/>
        <v>0</v>
      </c>
      <c r="AT12" s="698">
        <f t="shared" si="11"/>
        <v>0</v>
      </c>
    </row>
    <row r="13" ht="15.75" customHeight="1">
      <c r="A13" s="788" t="str">
        <f t="shared" si="5"/>
        <v>-</v>
      </c>
      <c r="B13" s="789" t="s">
        <v>512</v>
      </c>
      <c r="C13" s="331"/>
      <c r="D13" s="331"/>
      <c r="E13" s="790"/>
      <c r="F13" s="791"/>
      <c r="G13" s="331"/>
      <c r="H13" s="331"/>
      <c r="I13" s="331"/>
      <c r="J13" s="331"/>
      <c r="K13" s="331"/>
      <c r="L13" s="331"/>
      <c r="M13" s="331"/>
      <c r="N13" s="331"/>
      <c r="O13" s="331"/>
      <c r="P13" s="792"/>
      <c r="AB13" s="828"/>
      <c r="AC13" s="829"/>
      <c r="AD13" s="829"/>
      <c r="AE13" s="829"/>
      <c r="AF13" s="829"/>
      <c r="AG13" s="829"/>
      <c r="AH13" s="666"/>
      <c r="AJ13" s="13" t="str">
        <f t="shared" ref="AJ13:AQ13" si="30">IF(OR(E13=$C13,E13=$D13,E13=""),"0","1")</f>
        <v>0</v>
      </c>
      <c r="AK13" s="13" t="str">
        <f t="shared" si="30"/>
        <v>0</v>
      </c>
      <c r="AL13" s="13" t="str">
        <f t="shared" si="30"/>
        <v>0</v>
      </c>
      <c r="AM13" s="13" t="str">
        <f t="shared" si="30"/>
        <v>0</v>
      </c>
      <c r="AN13" s="13" t="str">
        <f t="shared" si="30"/>
        <v>0</v>
      </c>
      <c r="AO13" s="13" t="str">
        <f t="shared" si="30"/>
        <v>0</v>
      </c>
      <c r="AP13" s="13" t="str">
        <f t="shared" si="30"/>
        <v>0</v>
      </c>
      <c r="AQ13" s="13" t="str">
        <f t="shared" si="30"/>
        <v>0</v>
      </c>
      <c r="AR13" s="13" t="str">
        <f t="shared" ref="AR13:AS13" si="31">IF(OR(O13=$C13,O13=$D13,O13=""),"0","1")</f>
        <v>0</v>
      </c>
      <c r="AS13" s="13" t="str">
        <f t="shared" si="31"/>
        <v>0</v>
      </c>
      <c r="AT13" s="698">
        <f t="shared" si="11"/>
        <v>0</v>
      </c>
    </row>
    <row r="14" ht="15.75" customHeight="1">
      <c r="A14" s="788" t="str">
        <f t="shared" si="5"/>
        <v>-</v>
      </c>
      <c r="B14" s="789" t="s">
        <v>512</v>
      </c>
      <c r="C14" s="331"/>
      <c r="D14" s="331"/>
      <c r="E14" s="790"/>
      <c r="F14" s="791"/>
      <c r="G14" s="331"/>
      <c r="H14" s="331"/>
      <c r="I14" s="331"/>
      <c r="J14" s="331"/>
      <c r="K14" s="331"/>
      <c r="L14" s="331"/>
      <c r="M14" s="331"/>
      <c r="N14" s="331"/>
      <c r="O14" s="331"/>
      <c r="P14" s="792"/>
      <c r="AB14" s="314"/>
      <c r="AC14" s="314"/>
      <c r="AD14" s="314"/>
      <c r="AE14" s="314"/>
      <c r="AF14" s="314"/>
      <c r="AG14" s="314"/>
      <c r="AJ14" s="13" t="str">
        <f t="shared" ref="AJ14:AQ14" si="32">IF(OR(E14=$C14,E14=$D14,E14=""),"0","1")</f>
        <v>0</v>
      </c>
      <c r="AK14" s="13" t="str">
        <f t="shared" si="32"/>
        <v>0</v>
      </c>
      <c r="AL14" s="13" t="str">
        <f t="shared" si="32"/>
        <v>0</v>
      </c>
      <c r="AM14" s="13" t="str">
        <f t="shared" si="32"/>
        <v>0</v>
      </c>
      <c r="AN14" s="13" t="str">
        <f t="shared" si="32"/>
        <v>0</v>
      </c>
      <c r="AO14" s="13" t="str">
        <f t="shared" si="32"/>
        <v>0</v>
      </c>
      <c r="AP14" s="13" t="str">
        <f t="shared" si="32"/>
        <v>0</v>
      </c>
      <c r="AQ14" s="13" t="str">
        <f t="shared" si="32"/>
        <v>0</v>
      </c>
      <c r="AR14" s="13" t="str">
        <f t="shared" ref="AR14:AS14" si="33">IF(OR(O14=$C14,O14=$D14,O14=""),"0","1")</f>
        <v>0</v>
      </c>
      <c r="AS14" s="13" t="str">
        <f t="shared" si="33"/>
        <v>0</v>
      </c>
      <c r="AT14" s="698">
        <f t="shared" si="11"/>
        <v>0</v>
      </c>
    </row>
    <row r="15" ht="15.75" customHeight="1">
      <c r="A15" s="788" t="str">
        <f t="shared" si="5"/>
        <v>-</v>
      </c>
      <c r="B15" s="789" t="s">
        <v>512</v>
      </c>
      <c r="C15" s="331"/>
      <c r="D15" s="331"/>
      <c r="E15" s="790"/>
      <c r="F15" s="791"/>
      <c r="G15" s="331"/>
      <c r="H15" s="331"/>
      <c r="I15" s="331"/>
      <c r="J15" s="331"/>
      <c r="K15" s="331"/>
      <c r="L15" s="331"/>
      <c r="M15" s="331"/>
      <c r="N15" s="331"/>
      <c r="O15" s="331"/>
      <c r="P15" s="792"/>
      <c r="AB15" s="314"/>
      <c r="AC15" s="314"/>
      <c r="AD15" s="314"/>
      <c r="AE15" s="314"/>
      <c r="AF15" s="314"/>
      <c r="AG15" s="314"/>
      <c r="AJ15" s="13" t="str">
        <f t="shared" ref="AJ15:AQ15" si="34">IF(OR(E15=$C15,E15=$D15,E15=""),"0","1")</f>
        <v>0</v>
      </c>
      <c r="AK15" s="13" t="str">
        <f t="shared" si="34"/>
        <v>0</v>
      </c>
      <c r="AL15" s="13" t="str">
        <f t="shared" si="34"/>
        <v>0</v>
      </c>
      <c r="AM15" s="13" t="str">
        <f t="shared" si="34"/>
        <v>0</v>
      </c>
      <c r="AN15" s="13" t="str">
        <f t="shared" si="34"/>
        <v>0</v>
      </c>
      <c r="AO15" s="13" t="str">
        <f t="shared" si="34"/>
        <v>0</v>
      </c>
      <c r="AP15" s="13" t="str">
        <f t="shared" si="34"/>
        <v>0</v>
      </c>
      <c r="AQ15" s="13" t="str">
        <f t="shared" si="34"/>
        <v>0</v>
      </c>
      <c r="AR15" s="13" t="str">
        <f t="shared" ref="AR15:AS15" si="35">IF(OR(O15=$C15,O15=$D15,O15=""),"0","1")</f>
        <v>0</v>
      </c>
      <c r="AS15" s="13" t="str">
        <f t="shared" si="35"/>
        <v>0</v>
      </c>
      <c r="AT15" s="698">
        <f t="shared" si="11"/>
        <v>0</v>
      </c>
    </row>
    <row r="16" ht="15.75" customHeight="1">
      <c r="A16" s="788" t="str">
        <f t="shared" si="5"/>
        <v>-</v>
      </c>
      <c r="B16" s="789" t="s">
        <v>512</v>
      </c>
      <c r="C16" s="331"/>
      <c r="D16" s="331"/>
      <c r="E16" s="790"/>
      <c r="F16" s="791"/>
      <c r="G16" s="331"/>
      <c r="H16" s="331"/>
      <c r="I16" s="331"/>
      <c r="J16" s="331"/>
      <c r="K16" s="331"/>
      <c r="L16" s="331"/>
      <c r="M16" s="331"/>
      <c r="N16" s="331"/>
      <c r="O16" s="331"/>
      <c r="P16" s="792"/>
      <c r="AB16" s="314"/>
      <c r="AC16" s="314"/>
      <c r="AD16" s="314"/>
      <c r="AE16" s="314"/>
      <c r="AF16" s="314"/>
      <c r="AG16" s="314"/>
      <c r="AJ16" s="13" t="str">
        <f t="shared" ref="AJ16:AQ16" si="36">IF(OR(E16=$C16,E16=$D16,E16=""),"0","1")</f>
        <v>0</v>
      </c>
      <c r="AK16" s="13" t="str">
        <f t="shared" si="36"/>
        <v>0</v>
      </c>
      <c r="AL16" s="13" t="str">
        <f t="shared" si="36"/>
        <v>0</v>
      </c>
      <c r="AM16" s="13" t="str">
        <f t="shared" si="36"/>
        <v>0</v>
      </c>
      <c r="AN16" s="13" t="str">
        <f t="shared" si="36"/>
        <v>0</v>
      </c>
      <c r="AO16" s="13" t="str">
        <f t="shared" si="36"/>
        <v>0</v>
      </c>
      <c r="AP16" s="13" t="str">
        <f t="shared" si="36"/>
        <v>0</v>
      </c>
      <c r="AQ16" s="13" t="str">
        <f t="shared" si="36"/>
        <v>0</v>
      </c>
      <c r="AR16" s="13" t="str">
        <f t="shared" ref="AR16:AS16" si="37">IF(OR(O16=$C16,O16=$D16,O16=""),"0","1")</f>
        <v>0</v>
      </c>
      <c r="AS16" s="13" t="str">
        <f t="shared" si="37"/>
        <v>0</v>
      </c>
      <c r="AT16" s="698">
        <f t="shared" si="11"/>
        <v>0</v>
      </c>
    </row>
    <row r="17" ht="15.75" customHeight="1">
      <c r="A17" s="788" t="str">
        <f t="shared" si="5"/>
        <v>-</v>
      </c>
      <c r="B17" s="830" t="s">
        <v>513</v>
      </c>
      <c r="C17" s="331"/>
      <c r="D17" s="331"/>
      <c r="E17" s="790"/>
      <c r="F17" s="791"/>
      <c r="G17" s="331"/>
      <c r="H17" s="331"/>
      <c r="I17" s="331"/>
      <c r="J17" s="331"/>
      <c r="K17" s="331"/>
      <c r="L17" s="331"/>
      <c r="M17" s="331"/>
      <c r="N17" s="331"/>
      <c r="O17" s="331"/>
      <c r="P17" s="792"/>
      <c r="AB17" s="314"/>
      <c r="AC17" s="314"/>
      <c r="AD17" s="314"/>
      <c r="AE17" s="314"/>
      <c r="AF17" s="314"/>
      <c r="AG17" s="314"/>
      <c r="AJ17" s="13" t="str">
        <f t="shared" ref="AJ17:AQ17" si="38">IF(OR(E17=$C17,E17=$D17,E17=""),"0","1")</f>
        <v>0</v>
      </c>
      <c r="AK17" s="13" t="str">
        <f t="shared" si="38"/>
        <v>0</v>
      </c>
      <c r="AL17" s="13" t="str">
        <f t="shared" si="38"/>
        <v>0</v>
      </c>
      <c r="AM17" s="13" t="str">
        <f t="shared" si="38"/>
        <v>0</v>
      </c>
      <c r="AN17" s="13" t="str">
        <f t="shared" si="38"/>
        <v>0</v>
      </c>
      <c r="AO17" s="13" t="str">
        <f t="shared" si="38"/>
        <v>0</v>
      </c>
      <c r="AP17" s="13" t="str">
        <f t="shared" si="38"/>
        <v>0</v>
      </c>
      <c r="AQ17" s="13" t="str">
        <f t="shared" si="38"/>
        <v>0</v>
      </c>
      <c r="AR17" s="13" t="str">
        <f t="shared" ref="AR17:AS17" si="39">IF(OR(O17=$C17,O17=$D17,O17=""),"0","1")</f>
        <v>0</v>
      </c>
      <c r="AS17" s="13" t="str">
        <f t="shared" si="39"/>
        <v>0</v>
      </c>
      <c r="AT17" s="698">
        <f t="shared" si="11"/>
        <v>0</v>
      </c>
    </row>
    <row r="18" ht="15.75" customHeight="1">
      <c r="A18" s="788" t="str">
        <f t="shared" si="5"/>
        <v>-</v>
      </c>
      <c r="B18" s="830" t="s">
        <v>513</v>
      </c>
      <c r="C18" s="331"/>
      <c r="D18" s="331"/>
      <c r="E18" s="790"/>
      <c r="F18" s="791"/>
      <c r="G18" s="331"/>
      <c r="H18" s="331"/>
      <c r="I18" s="331"/>
      <c r="J18" s="331"/>
      <c r="K18" s="331"/>
      <c r="L18" s="331"/>
      <c r="M18" s="331"/>
      <c r="N18" s="331"/>
      <c r="O18" s="331"/>
      <c r="P18" s="792"/>
      <c r="AB18" s="314"/>
      <c r="AC18" s="314"/>
      <c r="AD18" s="314"/>
      <c r="AE18" s="314"/>
      <c r="AF18" s="314"/>
      <c r="AG18" s="314"/>
      <c r="AJ18" s="13" t="str">
        <f t="shared" ref="AJ18:AQ18" si="40">IF(OR(E18=$C18,E18=$D18,E18=""),"0","1")</f>
        <v>0</v>
      </c>
      <c r="AK18" s="13" t="str">
        <f t="shared" si="40"/>
        <v>0</v>
      </c>
      <c r="AL18" s="13" t="str">
        <f t="shared" si="40"/>
        <v>0</v>
      </c>
      <c r="AM18" s="13" t="str">
        <f t="shared" si="40"/>
        <v>0</v>
      </c>
      <c r="AN18" s="13" t="str">
        <f t="shared" si="40"/>
        <v>0</v>
      </c>
      <c r="AO18" s="13" t="str">
        <f t="shared" si="40"/>
        <v>0</v>
      </c>
      <c r="AP18" s="13" t="str">
        <f t="shared" si="40"/>
        <v>0</v>
      </c>
      <c r="AQ18" s="13" t="str">
        <f t="shared" si="40"/>
        <v>0</v>
      </c>
      <c r="AR18" s="13" t="str">
        <f t="shared" ref="AR18:AS18" si="41">IF(OR(O18=$C18,O18=$D18,O18=""),"0","1")</f>
        <v>0</v>
      </c>
      <c r="AS18" s="13" t="str">
        <f t="shared" si="41"/>
        <v>0</v>
      </c>
      <c r="AT18" s="698">
        <f t="shared" si="11"/>
        <v>0</v>
      </c>
    </row>
    <row r="19" ht="15.75" customHeight="1">
      <c r="A19" s="788" t="str">
        <f t="shared" si="5"/>
        <v>-</v>
      </c>
      <c r="B19" s="830" t="s">
        <v>513</v>
      </c>
      <c r="C19" s="331"/>
      <c r="D19" s="331"/>
      <c r="E19" s="790"/>
      <c r="F19" s="791"/>
      <c r="G19" s="331"/>
      <c r="H19" s="331"/>
      <c r="I19" s="331"/>
      <c r="J19" s="331"/>
      <c r="K19" s="331"/>
      <c r="L19" s="331"/>
      <c r="M19" s="331"/>
      <c r="N19" s="331"/>
      <c r="O19" s="331"/>
      <c r="P19" s="792"/>
      <c r="AB19" s="314"/>
      <c r="AC19" s="314"/>
      <c r="AD19" s="314"/>
      <c r="AE19" s="314"/>
      <c r="AF19" s="314"/>
      <c r="AG19" s="314"/>
      <c r="AJ19" s="13" t="str">
        <f t="shared" ref="AJ19:AQ19" si="42">IF(OR(E19=$C19,E19=$D19,E19=""),"0","1")</f>
        <v>0</v>
      </c>
      <c r="AK19" s="13" t="str">
        <f t="shared" si="42"/>
        <v>0</v>
      </c>
      <c r="AL19" s="13" t="str">
        <f t="shared" si="42"/>
        <v>0</v>
      </c>
      <c r="AM19" s="13" t="str">
        <f t="shared" si="42"/>
        <v>0</v>
      </c>
      <c r="AN19" s="13" t="str">
        <f t="shared" si="42"/>
        <v>0</v>
      </c>
      <c r="AO19" s="13" t="str">
        <f t="shared" si="42"/>
        <v>0</v>
      </c>
      <c r="AP19" s="13" t="str">
        <f t="shared" si="42"/>
        <v>0</v>
      </c>
      <c r="AQ19" s="13" t="str">
        <f t="shared" si="42"/>
        <v>0</v>
      </c>
      <c r="AR19" s="13" t="str">
        <f t="shared" ref="AR19:AS19" si="43">IF(OR(O19=$C19,O19=$D19,O19=""),"0","1")</f>
        <v>0</v>
      </c>
      <c r="AS19" s="13" t="str">
        <f t="shared" si="43"/>
        <v>0</v>
      </c>
      <c r="AT19" s="698">
        <f t="shared" si="11"/>
        <v>0</v>
      </c>
    </row>
    <row r="20" ht="15.75" customHeight="1">
      <c r="A20" s="788" t="str">
        <f t="shared" si="5"/>
        <v>-</v>
      </c>
      <c r="B20" s="830" t="s">
        <v>513</v>
      </c>
      <c r="C20" s="331"/>
      <c r="D20" s="331"/>
      <c r="E20" s="790"/>
      <c r="F20" s="791"/>
      <c r="G20" s="331"/>
      <c r="H20" s="331"/>
      <c r="I20" s="331"/>
      <c r="J20" s="331"/>
      <c r="K20" s="331"/>
      <c r="L20" s="331"/>
      <c r="M20" s="331"/>
      <c r="N20" s="331"/>
      <c r="O20" s="331"/>
      <c r="P20" s="792"/>
      <c r="AB20" s="314"/>
      <c r="AC20" s="314"/>
      <c r="AD20" s="314"/>
      <c r="AE20" s="314"/>
      <c r="AF20" s="314"/>
      <c r="AG20" s="314"/>
      <c r="AJ20" s="13" t="str">
        <f t="shared" ref="AJ20:AQ20" si="44">IF(OR(E20=$C20,E20=$D20,E20=""),"0","1")</f>
        <v>0</v>
      </c>
      <c r="AK20" s="13" t="str">
        <f t="shared" si="44"/>
        <v>0</v>
      </c>
      <c r="AL20" s="13" t="str">
        <f t="shared" si="44"/>
        <v>0</v>
      </c>
      <c r="AM20" s="13" t="str">
        <f t="shared" si="44"/>
        <v>0</v>
      </c>
      <c r="AN20" s="13" t="str">
        <f t="shared" si="44"/>
        <v>0</v>
      </c>
      <c r="AO20" s="13" t="str">
        <f t="shared" si="44"/>
        <v>0</v>
      </c>
      <c r="AP20" s="13" t="str">
        <f t="shared" si="44"/>
        <v>0</v>
      </c>
      <c r="AQ20" s="13" t="str">
        <f t="shared" si="44"/>
        <v>0</v>
      </c>
      <c r="AR20" s="13" t="str">
        <f t="shared" ref="AR20:AS20" si="45">IF(OR(O20=$C20,O20=$D20,O20=""),"0","1")</f>
        <v>0</v>
      </c>
      <c r="AS20" s="13" t="str">
        <f t="shared" si="45"/>
        <v>0</v>
      </c>
      <c r="AT20" s="698">
        <f t="shared" si="11"/>
        <v>0</v>
      </c>
    </row>
    <row r="21" ht="15.75" customHeight="1">
      <c r="A21" s="788" t="str">
        <f t="shared" si="5"/>
        <v>-</v>
      </c>
      <c r="B21" s="830" t="s">
        <v>513</v>
      </c>
      <c r="C21" s="331"/>
      <c r="D21" s="331"/>
      <c r="E21" s="790"/>
      <c r="F21" s="791"/>
      <c r="G21" s="331"/>
      <c r="H21" s="331"/>
      <c r="I21" s="331"/>
      <c r="J21" s="331"/>
      <c r="K21" s="331"/>
      <c r="L21" s="331"/>
      <c r="M21" s="331"/>
      <c r="N21" s="331"/>
      <c r="O21" s="331"/>
      <c r="P21" s="792"/>
      <c r="AB21" s="314"/>
      <c r="AC21" s="314"/>
      <c r="AD21" s="314"/>
      <c r="AE21" s="314"/>
      <c r="AF21" s="314"/>
      <c r="AG21" s="314"/>
      <c r="AJ21" s="13" t="str">
        <f t="shared" ref="AJ21:AQ21" si="46">IF(OR(E21=$C21,E21=$D21,E21=""),"0","1")</f>
        <v>0</v>
      </c>
      <c r="AK21" s="13" t="str">
        <f t="shared" si="46"/>
        <v>0</v>
      </c>
      <c r="AL21" s="13" t="str">
        <f t="shared" si="46"/>
        <v>0</v>
      </c>
      <c r="AM21" s="13" t="str">
        <f t="shared" si="46"/>
        <v>0</v>
      </c>
      <c r="AN21" s="13" t="str">
        <f t="shared" si="46"/>
        <v>0</v>
      </c>
      <c r="AO21" s="13" t="str">
        <f t="shared" si="46"/>
        <v>0</v>
      </c>
      <c r="AP21" s="13" t="str">
        <f t="shared" si="46"/>
        <v>0</v>
      </c>
      <c r="AQ21" s="13" t="str">
        <f t="shared" si="46"/>
        <v>0</v>
      </c>
      <c r="AR21" s="13" t="str">
        <f t="shared" ref="AR21:AS21" si="47">IF(OR(O21=$C21,O21=$D21,O21=""),"0","1")</f>
        <v>0</v>
      </c>
      <c r="AS21" s="13" t="str">
        <f t="shared" si="47"/>
        <v>0</v>
      </c>
      <c r="AT21" s="698">
        <f t="shared" si="11"/>
        <v>0</v>
      </c>
    </row>
    <row r="22" ht="15.75" customHeight="1">
      <c r="A22" s="788" t="str">
        <f t="shared" si="5"/>
        <v>-</v>
      </c>
      <c r="B22" s="830" t="s">
        <v>513</v>
      </c>
      <c r="C22" s="331"/>
      <c r="D22" s="331"/>
      <c r="E22" s="790"/>
      <c r="F22" s="791"/>
      <c r="G22" s="331"/>
      <c r="H22" s="331"/>
      <c r="I22" s="331"/>
      <c r="J22" s="331"/>
      <c r="K22" s="331"/>
      <c r="L22" s="331"/>
      <c r="M22" s="331"/>
      <c r="N22" s="331"/>
      <c r="O22" s="331"/>
      <c r="P22" s="792"/>
      <c r="AB22" s="314"/>
      <c r="AC22" s="314"/>
      <c r="AD22" s="314"/>
      <c r="AE22" s="314"/>
      <c r="AF22" s="314"/>
      <c r="AG22" s="314"/>
      <c r="AJ22" s="13" t="str">
        <f t="shared" ref="AJ22:AQ22" si="48">IF(OR(E22=$C22,E22=$D22,E22=""),"0","1")</f>
        <v>0</v>
      </c>
      <c r="AK22" s="13" t="str">
        <f t="shared" si="48"/>
        <v>0</v>
      </c>
      <c r="AL22" s="13" t="str">
        <f t="shared" si="48"/>
        <v>0</v>
      </c>
      <c r="AM22" s="13" t="str">
        <f t="shared" si="48"/>
        <v>0</v>
      </c>
      <c r="AN22" s="13" t="str">
        <f t="shared" si="48"/>
        <v>0</v>
      </c>
      <c r="AO22" s="13" t="str">
        <f t="shared" si="48"/>
        <v>0</v>
      </c>
      <c r="AP22" s="13" t="str">
        <f t="shared" si="48"/>
        <v>0</v>
      </c>
      <c r="AQ22" s="13" t="str">
        <f t="shared" si="48"/>
        <v>0</v>
      </c>
      <c r="AR22" s="13" t="str">
        <f t="shared" ref="AR22:AS22" si="49">IF(OR(O22=$C22,O22=$D22,O22=""),"0","1")</f>
        <v>0</v>
      </c>
      <c r="AS22" s="13" t="str">
        <f t="shared" si="49"/>
        <v>0</v>
      </c>
      <c r="AT22" s="698">
        <f t="shared" si="11"/>
        <v>0</v>
      </c>
    </row>
    <row r="23" ht="15.75" customHeight="1">
      <c r="A23" s="788" t="str">
        <f t="shared" si="5"/>
        <v>-</v>
      </c>
      <c r="B23" s="830" t="s">
        <v>513</v>
      </c>
      <c r="C23" s="331"/>
      <c r="D23" s="331"/>
      <c r="E23" s="790"/>
      <c r="F23" s="791"/>
      <c r="G23" s="331"/>
      <c r="H23" s="331"/>
      <c r="I23" s="331"/>
      <c r="J23" s="331"/>
      <c r="K23" s="331"/>
      <c r="L23" s="331"/>
      <c r="M23" s="331"/>
      <c r="N23" s="331"/>
      <c r="O23" s="331"/>
      <c r="P23" s="792"/>
      <c r="AB23" s="314"/>
      <c r="AC23" s="314"/>
      <c r="AD23" s="314"/>
      <c r="AE23" s="314"/>
      <c r="AF23" s="314"/>
      <c r="AG23" s="314"/>
      <c r="AJ23" s="13" t="str">
        <f t="shared" ref="AJ23:AQ23" si="50">IF(OR(E23=$C23,E23=$D23,E23=""),"0","1")</f>
        <v>0</v>
      </c>
      <c r="AK23" s="13" t="str">
        <f t="shared" si="50"/>
        <v>0</v>
      </c>
      <c r="AL23" s="13" t="str">
        <f t="shared" si="50"/>
        <v>0</v>
      </c>
      <c r="AM23" s="13" t="str">
        <f t="shared" si="50"/>
        <v>0</v>
      </c>
      <c r="AN23" s="13" t="str">
        <f t="shared" si="50"/>
        <v>0</v>
      </c>
      <c r="AO23" s="13" t="str">
        <f t="shared" si="50"/>
        <v>0</v>
      </c>
      <c r="AP23" s="13" t="str">
        <f t="shared" si="50"/>
        <v>0</v>
      </c>
      <c r="AQ23" s="13" t="str">
        <f t="shared" si="50"/>
        <v>0</v>
      </c>
      <c r="AR23" s="13" t="str">
        <f t="shared" ref="AR23:AS23" si="51">IF(OR(O23=$C23,O23=$D23,O23=""),"0","1")</f>
        <v>0</v>
      </c>
      <c r="AS23" s="13" t="str">
        <f t="shared" si="51"/>
        <v>0</v>
      </c>
      <c r="AT23" s="698">
        <f t="shared" si="11"/>
        <v>0</v>
      </c>
    </row>
    <row r="24" ht="15.75" customHeight="1">
      <c r="A24" s="788" t="str">
        <f t="shared" si="5"/>
        <v>-</v>
      </c>
      <c r="B24" s="830" t="s">
        <v>513</v>
      </c>
      <c r="C24" s="331"/>
      <c r="D24" s="331"/>
      <c r="E24" s="790"/>
      <c r="F24" s="791"/>
      <c r="G24" s="331"/>
      <c r="H24" s="331"/>
      <c r="I24" s="331"/>
      <c r="J24" s="331"/>
      <c r="K24" s="331"/>
      <c r="L24" s="331"/>
      <c r="M24" s="331"/>
      <c r="N24" s="331"/>
      <c r="O24" s="331"/>
      <c r="P24" s="792"/>
      <c r="AB24" s="314"/>
      <c r="AC24" s="314"/>
      <c r="AD24" s="314"/>
      <c r="AE24" s="314"/>
      <c r="AF24" s="314"/>
      <c r="AG24" s="314"/>
      <c r="AJ24" s="13" t="str">
        <f t="shared" ref="AJ24:AQ24" si="52">IF(OR(E24=$C24,E24=$D24,E24=""),"0","1")</f>
        <v>0</v>
      </c>
      <c r="AK24" s="13" t="str">
        <f t="shared" si="52"/>
        <v>0</v>
      </c>
      <c r="AL24" s="13" t="str">
        <f t="shared" si="52"/>
        <v>0</v>
      </c>
      <c r="AM24" s="13" t="str">
        <f t="shared" si="52"/>
        <v>0</v>
      </c>
      <c r="AN24" s="13" t="str">
        <f t="shared" si="52"/>
        <v>0</v>
      </c>
      <c r="AO24" s="13" t="str">
        <f t="shared" si="52"/>
        <v>0</v>
      </c>
      <c r="AP24" s="13" t="str">
        <f t="shared" si="52"/>
        <v>0</v>
      </c>
      <c r="AQ24" s="13" t="str">
        <f t="shared" si="52"/>
        <v>0</v>
      </c>
      <c r="AR24" s="13" t="str">
        <f t="shared" ref="AR24:AS24" si="53">IF(OR(O24=$C24,O24=$D24,O24=""),"0","1")</f>
        <v>0</v>
      </c>
      <c r="AS24" s="13" t="str">
        <f t="shared" si="53"/>
        <v>0</v>
      </c>
      <c r="AT24" s="698">
        <f t="shared" si="11"/>
        <v>0</v>
      </c>
    </row>
    <row r="25" ht="16.5" customHeight="1">
      <c r="A25" s="788" t="str">
        <f t="shared" si="5"/>
        <v>-</v>
      </c>
      <c r="B25" s="830" t="s">
        <v>513</v>
      </c>
      <c r="C25" s="331"/>
      <c r="D25" s="331"/>
      <c r="E25" s="790"/>
      <c r="F25" s="791"/>
      <c r="G25" s="331"/>
      <c r="H25" s="331"/>
      <c r="I25" s="331"/>
      <c r="J25" s="331"/>
      <c r="K25" s="331"/>
      <c r="L25" s="331"/>
      <c r="M25" s="331"/>
      <c r="N25" s="331"/>
      <c r="O25" s="331"/>
      <c r="P25" s="792"/>
      <c r="AB25" s="314"/>
      <c r="AC25" s="314"/>
      <c r="AD25" s="314"/>
      <c r="AE25" s="314"/>
      <c r="AF25" s="314"/>
      <c r="AG25" s="314"/>
      <c r="AJ25" s="13" t="str">
        <f t="shared" ref="AJ25:AQ25" si="54">IF(OR(E25=$C25,E25=$D25,E25=""),"0","1")</f>
        <v>0</v>
      </c>
      <c r="AK25" s="13" t="str">
        <f t="shared" si="54"/>
        <v>0</v>
      </c>
      <c r="AL25" s="13" t="str">
        <f t="shared" si="54"/>
        <v>0</v>
      </c>
      <c r="AM25" s="13" t="str">
        <f t="shared" si="54"/>
        <v>0</v>
      </c>
      <c r="AN25" s="13" t="str">
        <f t="shared" si="54"/>
        <v>0</v>
      </c>
      <c r="AO25" s="13" t="str">
        <f t="shared" si="54"/>
        <v>0</v>
      </c>
      <c r="AP25" s="13" t="str">
        <f t="shared" si="54"/>
        <v>0</v>
      </c>
      <c r="AQ25" s="13" t="str">
        <f t="shared" si="54"/>
        <v>0</v>
      </c>
      <c r="AR25" s="13" t="str">
        <f t="shared" ref="AR25:AS25" si="55">IF(OR(O25=$C25,O25=$D25,O25=""),"0","1")</f>
        <v>0</v>
      </c>
      <c r="AS25" s="13" t="str">
        <f t="shared" si="55"/>
        <v>0</v>
      </c>
      <c r="AT25" s="698">
        <f t="shared" si="11"/>
        <v>0</v>
      </c>
    </row>
    <row r="26" ht="16.5" customHeight="1">
      <c r="A26" s="788" t="str">
        <f t="shared" si="5"/>
        <v>-</v>
      </c>
      <c r="B26" s="830" t="s">
        <v>513</v>
      </c>
      <c r="C26" s="331"/>
      <c r="D26" s="331"/>
      <c r="E26" s="790"/>
      <c r="F26" s="791"/>
      <c r="G26" s="331"/>
      <c r="H26" s="331"/>
      <c r="I26" s="331"/>
      <c r="J26" s="331"/>
      <c r="K26" s="331"/>
      <c r="L26" s="331"/>
      <c r="M26" s="331"/>
      <c r="N26" s="331"/>
      <c r="O26" s="331"/>
      <c r="P26" s="792"/>
      <c r="AB26" s="314"/>
      <c r="AC26" s="314"/>
      <c r="AD26" s="314"/>
      <c r="AE26" s="314"/>
      <c r="AF26" s="314"/>
      <c r="AG26" s="314"/>
      <c r="AJ26" s="13" t="str">
        <f t="shared" ref="AJ26:AQ26" si="56">IF(OR(E26=$C26,E26=$D26,E26=""),"0","1")</f>
        <v>0</v>
      </c>
      <c r="AK26" s="13" t="str">
        <f t="shared" si="56"/>
        <v>0</v>
      </c>
      <c r="AL26" s="13" t="str">
        <f t="shared" si="56"/>
        <v>0</v>
      </c>
      <c r="AM26" s="13" t="str">
        <f t="shared" si="56"/>
        <v>0</v>
      </c>
      <c r="AN26" s="13" t="str">
        <f t="shared" si="56"/>
        <v>0</v>
      </c>
      <c r="AO26" s="13" t="str">
        <f t="shared" si="56"/>
        <v>0</v>
      </c>
      <c r="AP26" s="13" t="str">
        <f t="shared" si="56"/>
        <v>0</v>
      </c>
      <c r="AQ26" s="13" t="str">
        <f t="shared" si="56"/>
        <v>0</v>
      </c>
      <c r="AR26" s="13" t="str">
        <f t="shared" ref="AR26:AS26" si="57">IF(OR(O26=$C26,O26=$D26,O26=""),"0","1")</f>
        <v>0</v>
      </c>
      <c r="AS26" s="13" t="str">
        <f t="shared" si="57"/>
        <v>0</v>
      </c>
      <c r="AT26" s="698">
        <f t="shared" si="11"/>
        <v>0</v>
      </c>
    </row>
    <row r="27" ht="15.75" customHeight="1">
      <c r="A27" s="788" t="str">
        <f t="shared" si="5"/>
        <v>-</v>
      </c>
      <c r="B27" s="830" t="s">
        <v>513</v>
      </c>
      <c r="C27" s="331"/>
      <c r="D27" s="331"/>
      <c r="E27" s="790"/>
      <c r="F27" s="791"/>
      <c r="G27" s="331"/>
      <c r="H27" s="331"/>
      <c r="I27" s="331"/>
      <c r="J27" s="331"/>
      <c r="K27" s="331"/>
      <c r="L27" s="331"/>
      <c r="M27" s="331"/>
      <c r="N27" s="331"/>
      <c r="O27" s="331"/>
      <c r="P27" s="792"/>
      <c r="AB27" s="314"/>
      <c r="AC27" s="314"/>
      <c r="AD27" s="314"/>
      <c r="AE27" s="314"/>
      <c r="AF27" s="314"/>
      <c r="AG27" s="314"/>
      <c r="AJ27" s="13" t="str">
        <f t="shared" ref="AJ27:AQ27" si="58">IF(OR(E27=$C27,E27=$D27,E27=""),"0","1")</f>
        <v>0</v>
      </c>
      <c r="AK27" s="13" t="str">
        <f t="shared" si="58"/>
        <v>0</v>
      </c>
      <c r="AL27" s="13" t="str">
        <f t="shared" si="58"/>
        <v>0</v>
      </c>
      <c r="AM27" s="13" t="str">
        <f t="shared" si="58"/>
        <v>0</v>
      </c>
      <c r="AN27" s="13" t="str">
        <f t="shared" si="58"/>
        <v>0</v>
      </c>
      <c r="AO27" s="13" t="str">
        <f t="shared" si="58"/>
        <v>0</v>
      </c>
      <c r="AP27" s="13" t="str">
        <f t="shared" si="58"/>
        <v>0</v>
      </c>
      <c r="AQ27" s="13" t="str">
        <f t="shared" si="58"/>
        <v>0</v>
      </c>
      <c r="AR27" s="13" t="str">
        <f t="shared" ref="AR27:AS27" si="59">IF(OR(O27=$C27,O27=$D27,O27=""),"0","1")</f>
        <v>0</v>
      </c>
      <c r="AS27" s="13" t="str">
        <f t="shared" si="59"/>
        <v>0</v>
      </c>
      <c r="AT27" s="698">
        <f t="shared" si="11"/>
        <v>0</v>
      </c>
    </row>
    <row r="28" ht="15.75" customHeight="1">
      <c r="A28" s="788" t="str">
        <f t="shared" si="5"/>
        <v>-</v>
      </c>
      <c r="B28" s="830" t="s">
        <v>513</v>
      </c>
      <c r="C28" s="331"/>
      <c r="D28" s="331"/>
      <c r="E28" s="790"/>
      <c r="F28" s="791"/>
      <c r="G28" s="331"/>
      <c r="H28" s="331"/>
      <c r="I28" s="331"/>
      <c r="J28" s="331"/>
      <c r="K28" s="331"/>
      <c r="L28" s="331"/>
      <c r="M28" s="331"/>
      <c r="N28" s="331"/>
      <c r="O28" s="331"/>
      <c r="P28" s="792"/>
      <c r="AB28" s="314"/>
      <c r="AC28" s="314"/>
      <c r="AD28" s="314"/>
      <c r="AE28" s="314"/>
      <c r="AF28" s="314"/>
      <c r="AG28" s="314"/>
      <c r="AJ28" s="13" t="str">
        <f t="shared" ref="AJ28:AQ28" si="60">IF(OR(E28=$C28,E28=$D28,E28=""),"0","1")</f>
        <v>0</v>
      </c>
      <c r="AK28" s="13" t="str">
        <f t="shared" si="60"/>
        <v>0</v>
      </c>
      <c r="AL28" s="13" t="str">
        <f t="shared" si="60"/>
        <v>0</v>
      </c>
      <c r="AM28" s="13" t="str">
        <f t="shared" si="60"/>
        <v>0</v>
      </c>
      <c r="AN28" s="13" t="str">
        <f t="shared" si="60"/>
        <v>0</v>
      </c>
      <c r="AO28" s="13" t="str">
        <f t="shared" si="60"/>
        <v>0</v>
      </c>
      <c r="AP28" s="13" t="str">
        <f t="shared" si="60"/>
        <v>0</v>
      </c>
      <c r="AQ28" s="13" t="str">
        <f t="shared" si="60"/>
        <v>0</v>
      </c>
      <c r="AR28" s="13" t="str">
        <f t="shared" ref="AR28:AS28" si="61">IF(OR(O28=$C28,O28=$D28,O28=""),"0","1")</f>
        <v>0</v>
      </c>
      <c r="AS28" s="13" t="str">
        <f t="shared" si="61"/>
        <v>0</v>
      </c>
      <c r="AT28" s="698">
        <f t="shared" si="11"/>
        <v>0</v>
      </c>
    </row>
    <row r="29" ht="15.75" customHeight="1">
      <c r="A29" s="788" t="str">
        <f t="shared" si="5"/>
        <v>-</v>
      </c>
      <c r="B29" s="830" t="s">
        <v>513</v>
      </c>
      <c r="C29" s="331"/>
      <c r="D29" s="331"/>
      <c r="E29" s="790"/>
      <c r="F29" s="791"/>
      <c r="G29" s="331"/>
      <c r="H29" s="331"/>
      <c r="I29" s="331"/>
      <c r="J29" s="331"/>
      <c r="K29" s="331"/>
      <c r="L29" s="331"/>
      <c r="M29" s="331"/>
      <c r="N29" s="331"/>
      <c r="O29" s="331"/>
      <c r="P29" s="792"/>
      <c r="AB29" s="314"/>
      <c r="AC29" s="314"/>
      <c r="AD29" s="314"/>
      <c r="AE29" s="314"/>
      <c r="AF29" s="314"/>
      <c r="AG29" s="314"/>
      <c r="AJ29" s="13" t="str">
        <f t="shared" ref="AJ29:AQ29" si="62">IF(OR(E29=$C29,E29=$D29,E29=""),"0","1")</f>
        <v>0</v>
      </c>
      <c r="AK29" s="13" t="str">
        <f t="shared" si="62"/>
        <v>0</v>
      </c>
      <c r="AL29" s="13" t="str">
        <f t="shared" si="62"/>
        <v>0</v>
      </c>
      <c r="AM29" s="13" t="str">
        <f t="shared" si="62"/>
        <v>0</v>
      </c>
      <c r="AN29" s="13" t="str">
        <f t="shared" si="62"/>
        <v>0</v>
      </c>
      <c r="AO29" s="13" t="str">
        <f t="shared" si="62"/>
        <v>0</v>
      </c>
      <c r="AP29" s="13" t="str">
        <f t="shared" si="62"/>
        <v>0</v>
      </c>
      <c r="AQ29" s="13" t="str">
        <f t="shared" si="62"/>
        <v>0</v>
      </c>
      <c r="AR29" s="13" t="str">
        <f t="shared" ref="AR29:AS29" si="63">IF(OR(O29=$C29,O29=$D29,O29=""),"0","1")</f>
        <v>0</v>
      </c>
      <c r="AS29" s="13" t="str">
        <f t="shared" si="63"/>
        <v>0</v>
      </c>
      <c r="AT29" s="698">
        <f t="shared" si="11"/>
        <v>0</v>
      </c>
    </row>
    <row r="30" ht="15.75" customHeight="1">
      <c r="A30" s="788" t="str">
        <f t="shared" si="5"/>
        <v>-</v>
      </c>
      <c r="B30" s="830" t="s">
        <v>513</v>
      </c>
      <c r="C30" s="331"/>
      <c r="D30" s="331"/>
      <c r="E30" s="790"/>
      <c r="F30" s="791"/>
      <c r="G30" s="331"/>
      <c r="H30" s="331"/>
      <c r="I30" s="331"/>
      <c r="J30" s="331"/>
      <c r="K30" s="331"/>
      <c r="L30" s="331"/>
      <c r="M30" s="331"/>
      <c r="N30" s="331"/>
      <c r="O30" s="331"/>
      <c r="P30" s="792"/>
      <c r="AB30" s="314"/>
      <c r="AC30" s="314"/>
      <c r="AD30" s="314"/>
      <c r="AE30" s="314"/>
      <c r="AF30" s="314"/>
      <c r="AG30" s="314"/>
      <c r="AJ30" s="13" t="str">
        <f t="shared" ref="AJ30:AQ30" si="64">IF(OR(E30=$C30,E30=$D30,E30=""),"0","1")</f>
        <v>0</v>
      </c>
      <c r="AK30" s="13" t="str">
        <f t="shared" si="64"/>
        <v>0</v>
      </c>
      <c r="AL30" s="13" t="str">
        <f t="shared" si="64"/>
        <v>0</v>
      </c>
      <c r="AM30" s="13" t="str">
        <f t="shared" si="64"/>
        <v>0</v>
      </c>
      <c r="AN30" s="13" t="str">
        <f t="shared" si="64"/>
        <v>0</v>
      </c>
      <c r="AO30" s="13" t="str">
        <f t="shared" si="64"/>
        <v>0</v>
      </c>
      <c r="AP30" s="13" t="str">
        <f t="shared" si="64"/>
        <v>0</v>
      </c>
      <c r="AQ30" s="13" t="str">
        <f t="shared" si="64"/>
        <v>0</v>
      </c>
      <c r="AR30" s="13" t="str">
        <f t="shared" ref="AR30:AS30" si="65">IF(OR(O30=$C30,O30=$D30,O30=""),"0","1")</f>
        <v>0</v>
      </c>
      <c r="AS30" s="13" t="str">
        <f t="shared" si="65"/>
        <v>0</v>
      </c>
      <c r="AT30" s="698">
        <f t="shared" si="11"/>
        <v>0</v>
      </c>
    </row>
    <row r="31" ht="15.75" customHeight="1">
      <c r="A31" s="788" t="str">
        <f t="shared" si="5"/>
        <v>-</v>
      </c>
      <c r="B31" s="830" t="s">
        <v>513</v>
      </c>
      <c r="C31" s="331"/>
      <c r="D31" s="331"/>
      <c r="E31" s="790"/>
      <c r="F31" s="791"/>
      <c r="G31" s="331"/>
      <c r="H31" s="331"/>
      <c r="I31" s="331"/>
      <c r="J31" s="331"/>
      <c r="K31" s="331"/>
      <c r="L31" s="331"/>
      <c r="M31" s="331"/>
      <c r="N31" s="331"/>
      <c r="O31" s="331"/>
      <c r="P31" s="792"/>
      <c r="AB31" s="314"/>
      <c r="AC31" s="314"/>
      <c r="AD31" s="314"/>
      <c r="AE31" s="314"/>
      <c r="AF31" s="314"/>
      <c r="AG31" s="314"/>
      <c r="AJ31" s="13" t="str">
        <f t="shared" ref="AJ31:AQ31" si="66">IF(OR(E31=$C31,E31=$D31,E31=""),"0","1")</f>
        <v>0</v>
      </c>
      <c r="AK31" s="13" t="str">
        <f t="shared" si="66"/>
        <v>0</v>
      </c>
      <c r="AL31" s="13" t="str">
        <f t="shared" si="66"/>
        <v>0</v>
      </c>
      <c r="AM31" s="13" t="str">
        <f t="shared" si="66"/>
        <v>0</v>
      </c>
      <c r="AN31" s="13" t="str">
        <f t="shared" si="66"/>
        <v>0</v>
      </c>
      <c r="AO31" s="13" t="str">
        <f t="shared" si="66"/>
        <v>0</v>
      </c>
      <c r="AP31" s="13" t="str">
        <f t="shared" si="66"/>
        <v>0</v>
      </c>
      <c r="AQ31" s="13" t="str">
        <f t="shared" si="66"/>
        <v>0</v>
      </c>
      <c r="AR31" s="13" t="str">
        <f t="shared" ref="AR31:AS31" si="67">IF(OR(O31=$C31,O31=$D31,O31=""),"0","1")</f>
        <v>0</v>
      </c>
      <c r="AS31" s="13" t="str">
        <f t="shared" si="67"/>
        <v>0</v>
      </c>
      <c r="AT31" s="698">
        <f t="shared" si="11"/>
        <v>0</v>
      </c>
    </row>
    <row r="32" ht="15.75" customHeight="1">
      <c r="A32" s="788" t="str">
        <f t="shared" si="5"/>
        <v>-</v>
      </c>
      <c r="B32" s="830" t="s">
        <v>513</v>
      </c>
      <c r="C32" s="331"/>
      <c r="D32" s="331"/>
      <c r="E32" s="790"/>
      <c r="F32" s="791"/>
      <c r="G32" s="331"/>
      <c r="H32" s="331"/>
      <c r="I32" s="331"/>
      <c r="J32" s="331"/>
      <c r="K32" s="331"/>
      <c r="L32" s="331"/>
      <c r="M32" s="331"/>
      <c r="N32" s="331"/>
      <c r="O32" s="331"/>
      <c r="P32" s="792"/>
      <c r="AB32" s="314"/>
      <c r="AC32" s="314"/>
      <c r="AD32" s="314"/>
      <c r="AE32" s="314"/>
      <c r="AF32" s="314"/>
      <c r="AG32" s="314"/>
      <c r="AJ32" s="13" t="str">
        <f t="shared" ref="AJ32:AQ32" si="68">IF(OR(E32=$C32,E32=$D32,E32=""),"0","1")</f>
        <v>0</v>
      </c>
      <c r="AK32" s="13" t="str">
        <f t="shared" si="68"/>
        <v>0</v>
      </c>
      <c r="AL32" s="13" t="str">
        <f t="shared" si="68"/>
        <v>0</v>
      </c>
      <c r="AM32" s="13" t="str">
        <f t="shared" si="68"/>
        <v>0</v>
      </c>
      <c r="AN32" s="13" t="str">
        <f t="shared" si="68"/>
        <v>0</v>
      </c>
      <c r="AO32" s="13" t="str">
        <f t="shared" si="68"/>
        <v>0</v>
      </c>
      <c r="AP32" s="13" t="str">
        <f t="shared" si="68"/>
        <v>0</v>
      </c>
      <c r="AQ32" s="13" t="str">
        <f t="shared" si="68"/>
        <v>0</v>
      </c>
      <c r="AR32" s="13" t="str">
        <f t="shared" ref="AR32:AS32" si="69">IF(OR(O32=$C32,O32=$D32,O32=""),"0","1")</f>
        <v>0</v>
      </c>
      <c r="AS32" s="13" t="str">
        <f t="shared" si="69"/>
        <v>0</v>
      </c>
      <c r="AT32" s="698">
        <f t="shared" si="11"/>
        <v>0</v>
      </c>
    </row>
    <row r="33" ht="15.75" customHeight="1">
      <c r="A33" s="788" t="str">
        <f t="shared" si="5"/>
        <v>-</v>
      </c>
      <c r="B33" s="789" t="s">
        <v>514</v>
      </c>
      <c r="C33" s="331" t="s">
        <v>593</v>
      </c>
      <c r="D33" s="331" t="s">
        <v>594</v>
      </c>
      <c r="E33" s="790" t="s">
        <v>594</v>
      </c>
      <c r="F33" s="791" t="s">
        <v>594</v>
      </c>
      <c r="G33" s="331" t="s">
        <v>593</v>
      </c>
      <c r="H33" s="331" t="s">
        <v>594</v>
      </c>
      <c r="I33" s="331" t="s">
        <v>593</v>
      </c>
      <c r="J33" s="331" t="s">
        <v>594</v>
      </c>
      <c r="K33" s="331"/>
      <c r="L33" s="331" t="s">
        <v>594</v>
      </c>
      <c r="M33" s="331" t="s">
        <v>594</v>
      </c>
      <c r="N33" s="331" t="s">
        <v>594</v>
      </c>
      <c r="O33" s="331" t="s">
        <v>594</v>
      </c>
      <c r="P33" s="792" t="s">
        <v>594</v>
      </c>
      <c r="AB33" s="314"/>
      <c r="AC33" s="314"/>
      <c r="AD33" s="314"/>
      <c r="AE33" s="314"/>
      <c r="AF33" s="314"/>
      <c r="AG33" s="314"/>
      <c r="AJ33" s="13" t="str">
        <f t="shared" ref="AJ33:AQ33" si="70">IF(OR(E33=$C33,E33=$D33,E33=""),"0","1")</f>
        <v>0</v>
      </c>
      <c r="AK33" s="13" t="str">
        <f t="shared" si="70"/>
        <v>0</v>
      </c>
      <c r="AL33" s="13" t="str">
        <f t="shared" si="70"/>
        <v>0</v>
      </c>
      <c r="AM33" s="13" t="str">
        <f t="shared" si="70"/>
        <v>0</v>
      </c>
      <c r="AN33" s="13" t="str">
        <f t="shared" si="70"/>
        <v>0</v>
      </c>
      <c r="AO33" s="13" t="str">
        <f t="shared" si="70"/>
        <v>0</v>
      </c>
      <c r="AP33" s="13" t="str">
        <f t="shared" si="70"/>
        <v>0</v>
      </c>
      <c r="AQ33" s="13" t="str">
        <f t="shared" si="70"/>
        <v>0</v>
      </c>
      <c r="AR33" s="13" t="str">
        <f t="shared" ref="AR33:AS33" si="71">IF(OR(O33=$C33,O33=$D33,O33=""),"0","1")</f>
        <v>0</v>
      </c>
      <c r="AS33" s="13" t="str">
        <f t="shared" si="71"/>
        <v>0</v>
      </c>
      <c r="AT33" s="698">
        <f t="shared" si="11"/>
        <v>0</v>
      </c>
    </row>
    <row r="34" ht="15.75" customHeight="1">
      <c r="A34" s="788" t="str">
        <f t="shared" si="5"/>
        <v>-</v>
      </c>
      <c r="B34" s="789" t="s">
        <v>514</v>
      </c>
      <c r="C34" s="331" t="s">
        <v>595</v>
      </c>
      <c r="D34" s="331" t="s">
        <v>596</v>
      </c>
      <c r="E34" s="790" t="s">
        <v>596</v>
      </c>
      <c r="F34" s="791" t="s">
        <v>596</v>
      </c>
      <c r="G34" s="331" t="s">
        <v>595</v>
      </c>
      <c r="H34" s="331" t="s">
        <v>596</v>
      </c>
      <c r="I34" s="331" t="s">
        <v>596</v>
      </c>
      <c r="J34" s="331" t="s">
        <v>595</v>
      </c>
      <c r="K34" s="331"/>
      <c r="L34" s="331" t="s">
        <v>595</v>
      </c>
      <c r="M34" s="331" t="s">
        <v>595</v>
      </c>
      <c r="N34" s="331" t="s">
        <v>596</v>
      </c>
      <c r="O34" s="331" t="s">
        <v>595</v>
      </c>
      <c r="P34" s="792" t="s">
        <v>595</v>
      </c>
      <c r="AB34" s="314"/>
      <c r="AC34" s="314"/>
      <c r="AD34" s="314"/>
      <c r="AE34" s="314"/>
      <c r="AF34" s="314"/>
      <c r="AG34" s="314"/>
      <c r="AJ34" s="13" t="str">
        <f t="shared" ref="AJ34:AQ34" si="72">IF(OR(E34=$C34,E34=$D34,E34=""),"0","1")</f>
        <v>0</v>
      </c>
      <c r="AK34" s="13" t="str">
        <f t="shared" si="72"/>
        <v>0</v>
      </c>
      <c r="AL34" s="13" t="str">
        <f t="shared" si="72"/>
        <v>0</v>
      </c>
      <c r="AM34" s="13" t="str">
        <f t="shared" si="72"/>
        <v>0</v>
      </c>
      <c r="AN34" s="13" t="str">
        <f t="shared" si="72"/>
        <v>0</v>
      </c>
      <c r="AO34" s="13" t="str">
        <f t="shared" si="72"/>
        <v>0</v>
      </c>
      <c r="AP34" s="13" t="str">
        <f t="shared" si="72"/>
        <v>0</v>
      </c>
      <c r="AQ34" s="13" t="str">
        <f t="shared" si="72"/>
        <v>0</v>
      </c>
      <c r="AR34" s="13" t="str">
        <f t="shared" ref="AR34:AS34" si="73">IF(OR(O34=$C34,O34=$D34,O34=""),"0","1")</f>
        <v>0</v>
      </c>
      <c r="AS34" s="13" t="str">
        <f t="shared" si="73"/>
        <v>0</v>
      </c>
      <c r="AT34" s="698">
        <f t="shared" si="11"/>
        <v>0</v>
      </c>
    </row>
    <row r="35" ht="15.75" customHeight="1">
      <c r="A35" s="788" t="str">
        <f t="shared" si="5"/>
        <v>-</v>
      </c>
      <c r="B35" s="789" t="s">
        <v>514</v>
      </c>
      <c r="C35" s="331" t="s">
        <v>597</v>
      </c>
      <c r="D35" s="331" t="s">
        <v>598</v>
      </c>
      <c r="E35" s="790" t="s">
        <v>597</v>
      </c>
      <c r="F35" s="791" t="s">
        <v>598</v>
      </c>
      <c r="G35" s="331" t="s">
        <v>597</v>
      </c>
      <c r="H35" s="331" t="s">
        <v>597</v>
      </c>
      <c r="I35" s="331" t="s">
        <v>598</v>
      </c>
      <c r="J35" s="331" t="s">
        <v>597</v>
      </c>
      <c r="K35" s="331"/>
      <c r="L35" s="331" t="s">
        <v>597</v>
      </c>
      <c r="M35" s="331" t="s">
        <v>598</v>
      </c>
      <c r="N35" s="331" t="s">
        <v>598</v>
      </c>
      <c r="O35" s="331" t="s">
        <v>597</v>
      </c>
      <c r="P35" s="792" t="s">
        <v>597</v>
      </c>
      <c r="AB35" s="314"/>
      <c r="AC35" s="314"/>
      <c r="AD35" s="314"/>
      <c r="AE35" s="314"/>
      <c r="AF35" s="314"/>
      <c r="AG35" s="314"/>
      <c r="AJ35" s="13" t="str">
        <f t="shared" ref="AJ35:AQ35" si="74">IF(OR(E35=$C35,E35=$D35,E35=""),"0","1")</f>
        <v>0</v>
      </c>
      <c r="AK35" s="13" t="str">
        <f t="shared" si="74"/>
        <v>0</v>
      </c>
      <c r="AL35" s="13" t="str">
        <f t="shared" si="74"/>
        <v>0</v>
      </c>
      <c r="AM35" s="13" t="str">
        <f t="shared" si="74"/>
        <v>0</v>
      </c>
      <c r="AN35" s="13" t="str">
        <f t="shared" si="74"/>
        <v>0</v>
      </c>
      <c r="AO35" s="13" t="str">
        <f t="shared" si="74"/>
        <v>0</v>
      </c>
      <c r="AP35" s="13" t="str">
        <f t="shared" si="74"/>
        <v>0</v>
      </c>
      <c r="AQ35" s="13" t="str">
        <f t="shared" si="74"/>
        <v>0</v>
      </c>
      <c r="AR35" s="13" t="str">
        <f t="shared" ref="AR35:AS35" si="75">IF(OR(O35=$C35,O35=$D35,O35=""),"0","1")</f>
        <v>0</v>
      </c>
      <c r="AS35" s="13" t="str">
        <f t="shared" si="75"/>
        <v>0</v>
      </c>
      <c r="AT35" s="698">
        <f t="shared" si="11"/>
        <v>0</v>
      </c>
    </row>
    <row r="36" ht="15.75" customHeight="1">
      <c r="A36" s="788" t="str">
        <f t="shared" si="5"/>
        <v>-</v>
      </c>
      <c r="B36" s="789" t="s">
        <v>514</v>
      </c>
      <c r="C36" s="331" t="s">
        <v>599</v>
      </c>
      <c r="D36" s="331" t="s">
        <v>600</v>
      </c>
      <c r="E36" s="790" t="s">
        <v>600</v>
      </c>
      <c r="F36" s="791" t="s">
        <v>599</v>
      </c>
      <c r="G36" s="331" t="s">
        <v>599</v>
      </c>
      <c r="H36" s="331" t="s">
        <v>599</v>
      </c>
      <c r="I36" s="331" t="s">
        <v>600</v>
      </c>
      <c r="J36" s="331" t="s">
        <v>600</v>
      </c>
      <c r="K36" s="331"/>
      <c r="L36" s="331" t="s">
        <v>600</v>
      </c>
      <c r="M36" s="331" t="s">
        <v>600</v>
      </c>
      <c r="N36" s="331" t="s">
        <v>600</v>
      </c>
      <c r="O36" s="331" t="s">
        <v>599</v>
      </c>
      <c r="P36" s="792" t="s">
        <v>599</v>
      </c>
      <c r="AB36" s="314"/>
      <c r="AC36" s="314"/>
      <c r="AD36" s="314"/>
      <c r="AE36" s="314"/>
      <c r="AF36" s="314"/>
      <c r="AG36" s="314"/>
      <c r="AJ36" s="13" t="str">
        <f t="shared" ref="AJ36:AQ36" si="76">IF(OR(E36=$C36,E36=$D36,E36=""),"0","1")</f>
        <v>0</v>
      </c>
      <c r="AK36" s="13" t="str">
        <f t="shared" si="76"/>
        <v>0</v>
      </c>
      <c r="AL36" s="13" t="str">
        <f t="shared" si="76"/>
        <v>0</v>
      </c>
      <c r="AM36" s="13" t="str">
        <f t="shared" si="76"/>
        <v>0</v>
      </c>
      <c r="AN36" s="13" t="str">
        <f t="shared" si="76"/>
        <v>0</v>
      </c>
      <c r="AO36" s="13" t="str">
        <f t="shared" si="76"/>
        <v>0</v>
      </c>
      <c r="AP36" s="13" t="str">
        <f t="shared" si="76"/>
        <v>0</v>
      </c>
      <c r="AQ36" s="13" t="str">
        <f t="shared" si="76"/>
        <v>0</v>
      </c>
      <c r="AR36" s="13" t="str">
        <f t="shared" ref="AR36:AS36" si="77">IF(OR(O36=$C36,O36=$D36,O36=""),"0","1")</f>
        <v>0</v>
      </c>
      <c r="AS36" s="13" t="str">
        <f t="shared" si="77"/>
        <v>0</v>
      </c>
      <c r="AT36" s="698">
        <f t="shared" si="11"/>
        <v>0</v>
      </c>
    </row>
    <row r="37" ht="15.75" customHeight="1">
      <c r="A37" s="788" t="str">
        <f t="shared" si="5"/>
        <v>-</v>
      </c>
      <c r="B37" s="789" t="s">
        <v>514</v>
      </c>
      <c r="C37" s="331" t="s">
        <v>601</v>
      </c>
      <c r="D37" s="331" t="s">
        <v>602</v>
      </c>
      <c r="E37" s="790" t="s">
        <v>602</v>
      </c>
      <c r="F37" s="791" t="s">
        <v>601</v>
      </c>
      <c r="G37" s="331" t="s">
        <v>602</v>
      </c>
      <c r="H37" s="331" t="s">
        <v>602</v>
      </c>
      <c r="I37" s="331" t="s">
        <v>602</v>
      </c>
      <c r="J37" s="331" t="s">
        <v>602</v>
      </c>
      <c r="K37" s="331"/>
      <c r="L37" s="331" t="s">
        <v>602</v>
      </c>
      <c r="M37" s="331" t="s">
        <v>602</v>
      </c>
      <c r="N37" s="331" t="s">
        <v>602</v>
      </c>
      <c r="O37" s="331" t="s">
        <v>602</v>
      </c>
      <c r="P37" s="792" t="s">
        <v>602</v>
      </c>
      <c r="AB37" s="314"/>
      <c r="AC37" s="314"/>
      <c r="AD37" s="314"/>
      <c r="AE37" s="314"/>
      <c r="AF37" s="314"/>
      <c r="AG37" s="314"/>
      <c r="AJ37" s="13" t="str">
        <f t="shared" ref="AJ37:AQ37" si="78">IF(OR(E37=$C37,E37=$D37,E37=""),"0","1")</f>
        <v>0</v>
      </c>
      <c r="AK37" s="13" t="str">
        <f t="shared" si="78"/>
        <v>0</v>
      </c>
      <c r="AL37" s="13" t="str">
        <f t="shared" si="78"/>
        <v>0</v>
      </c>
      <c r="AM37" s="13" t="str">
        <f t="shared" si="78"/>
        <v>0</v>
      </c>
      <c r="AN37" s="13" t="str">
        <f t="shared" si="78"/>
        <v>0</v>
      </c>
      <c r="AO37" s="13" t="str">
        <f t="shared" si="78"/>
        <v>0</v>
      </c>
      <c r="AP37" s="13" t="str">
        <f t="shared" si="78"/>
        <v>0</v>
      </c>
      <c r="AQ37" s="13" t="str">
        <f t="shared" si="78"/>
        <v>0</v>
      </c>
      <c r="AR37" s="13" t="str">
        <f t="shared" ref="AR37:AS37" si="79">IF(OR(O37=$C37,O37=$D37,O37=""),"0","1")</f>
        <v>0</v>
      </c>
      <c r="AS37" s="13" t="str">
        <f t="shared" si="79"/>
        <v>0</v>
      </c>
      <c r="AT37" s="698">
        <f t="shared" si="11"/>
        <v>0</v>
      </c>
    </row>
    <row r="38" ht="15.75" customHeight="1">
      <c r="A38" s="788" t="str">
        <f t="shared" si="5"/>
        <v>-</v>
      </c>
      <c r="B38" s="789" t="s">
        <v>514</v>
      </c>
      <c r="C38" s="331" t="s">
        <v>603</v>
      </c>
      <c r="D38" s="331" t="s">
        <v>604</v>
      </c>
      <c r="E38" s="790" t="s">
        <v>604</v>
      </c>
      <c r="F38" s="791" t="s">
        <v>603</v>
      </c>
      <c r="G38" s="331" t="s">
        <v>604</v>
      </c>
      <c r="H38" s="331" t="s">
        <v>604</v>
      </c>
      <c r="I38" s="331" t="s">
        <v>603</v>
      </c>
      <c r="J38" s="331" t="s">
        <v>604</v>
      </c>
      <c r="K38" s="331"/>
      <c r="L38" s="331" t="s">
        <v>604</v>
      </c>
      <c r="M38" s="331" t="s">
        <v>603</v>
      </c>
      <c r="N38" s="331" t="s">
        <v>603</v>
      </c>
      <c r="O38" s="331" t="s">
        <v>604</v>
      </c>
      <c r="P38" s="792" t="s">
        <v>604</v>
      </c>
      <c r="AB38" s="314"/>
      <c r="AC38" s="314"/>
      <c r="AD38" s="314"/>
      <c r="AE38" s="314"/>
      <c r="AF38" s="314"/>
      <c r="AG38" s="314"/>
      <c r="AJ38" s="13" t="str">
        <f t="shared" ref="AJ38:AQ38" si="80">IF(OR(E38=$C38,E38=$D38,E38=""),"0","1")</f>
        <v>0</v>
      </c>
      <c r="AK38" s="13" t="str">
        <f t="shared" si="80"/>
        <v>0</v>
      </c>
      <c r="AL38" s="13" t="str">
        <f t="shared" si="80"/>
        <v>0</v>
      </c>
      <c r="AM38" s="13" t="str">
        <f t="shared" si="80"/>
        <v>0</v>
      </c>
      <c r="AN38" s="13" t="str">
        <f t="shared" si="80"/>
        <v>0</v>
      </c>
      <c r="AO38" s="13" t="str">
        <f t="shared" si="80"/>
        <v>0</v>
      </c>
      <c r="AP38" s="13" t="str">
        <f t="shared" si="80"/>
        <v>0</v>
      </c>
      <c r="AQ38" s="13" t="str">
        <f t="shared" si="80"/>
        <v>0</v>
      </c>
      <c r="AR38" s="13" t="str">
        <f t="shared" ref="AR38:AS38" si="81">IF(OR(O38=$C38,O38=$D38,O38=""),"0","1")</f>
        <v>0</v>
      </c>
      <c r="AS38" s="13" t="str">
        <f t="shared" si="81"/>
        <v>0</v>
      </c>
      <c r="AT38" s="698">
        <f t="shared" si="11"/>
        <v>0</v>
      </c>
    </row>
    <row r="39" ht="15.75" customHeight="1">
      <c r="A39" s="788" t="str">
        <f t="shared" si="5"/>
        <v>-</v>
      </c>
      <c r="B39" s="789" t="s">
        <v>514</v>
      </c>
      <c r="C39" s="331" t="s">
        <v>605</v>
      </c>
      <c r="D39" s="331" t="s">
        <v>606</v>
      </c>
      <c r="E39" s="790" t="s">
        <v>606</v>
      </c>
      <c r="F39" s="791" t="s">
        <v>605</v>
      </c>
      <c r="G39" s="331" t="s">
        <v>606</v>
      </c>
      <c r="H39" s="331" t="s">
        <v>606</v>
      </c>
      <c r="I39" s="331" t="s">
        <v>606</v>
      </c>
      <c r="J39" s="331" t="s">
        <v>606</v>
      </c>
      <c r="K39" s="331"/>
      <c r="L39" s="331" t="s">
        <v>606</v>
      </c>
      <c r="M39" s="331" t="s">
        <v>605</v>
      </c>
      <c r="N39" s="331" t="s">
        <v>606</v>
      </c>
      <c r="O39" s="331" t="s">
        <v>606</v>
      </c>
      <c r="P39" s="792" t="s">
        <v>606</v>
      </c>
      <c r="AB39" s="314"/>
      <c r="AC39" s="314"/>
      <c r="AD39" s="314"/>
      <c r="AE39" s="314"/>
      <c r="AF39" s="314"/>
      <c r="AG39" s="314"/>
      <c r="AJ39" s="13" t="str">
        <f t="shared" ref="AJ39:AQ39" si="82">IF(OR(E39=$C39,E39=$D39,E39=""),"0","1")</f>
        <v>0</v>
      </c>
      <c r="AK39" s="13" t="str">
        <f t="shared" si="82"/>
        <v>0</v>
      </c>
      <c r="AL39" s="13" t="str">
        <f t="shared" si="82"/>
        <v>0</v>
      </c>
      <c r="AM39" s="13" t="str">
        <f t="shared" si="82"/>
        <v>0</v>
      </c>
      <c r="AN39" s="13" t="str">
        <f t="shared" si="82"/>
        <v>0</v>
      </c>
      <c r="AO39" s="13" t="str">
        <f t="shared" si="82"/>
        <v>0</v>
      </c>
      <c r="AP39" s="13" t="str">
        <f t="shared" si="82"/>
        <v>0</v>
      </c>
      <c r="AQ39" s="13" t="str">
        <f t="shared" si="82"/>
        <v>0</v>
      </c>
      <c r="AR39" s="13" t="str">
        <f t="shared" ref="AR39:AS39" si="83">IF(OR(O39=$C39,O39=$D39,O39=""),"0","1")</f>
        <v>0</v>
      </c>
      <c r="AS39" s="13" t="str">
        <f t="shared" si="83"/>
        <v>0</v>
      </c>
      <c r="AT39" s="698">
        <f t="shared" si="11"/>
        <v>0</v>
      </c>
    </row>
    <row r="40" ht="15.75" customHeight="1">
      <c r="A40" s="788" t="str">
        <f t="shared" si="5"/>
        <v>-</v>
      </c>
      <c r="B40" s="789" t="s">
        <v>514</v>
      </c>
      <c r="C40" s="331" t="s">
        <v>607</v>
      </c>
      <c r="D40" s="331" t="s">
        <v>608</v>
      </c>
      <c r="E40" s="790" t="s">
        <v>608</v>
      </c>
      <c r="F40" s="791" t="s">
        <v>608</v>
      </c>
      <c r="G40" s="331" t="s">
        <v>608</v>
      </c>
      <c r="H40" s="331" t="s">
        <v>607</v>
      </c>
      <c r="I40" s="331" t="s">
        <v>607</v>
      </c>
      <c r="J40" s="331" t="s">
        <v>608</v>
      </c>
      <c r="K40" s="331"/>
      <c r="L40" s="331" t="s">
        <v>607</v>
      </c>
      <c r="M40" s="331" t="s">
        <v>608</v>
      </c>
      <c r="N40" s="331" t="s">
        <v>607</v>
      </c>
      <c r="O40" s="331" t="s">
        <v>608</v>
      </c>
      <c r="P40" s="792" t="s">
        <v>607</v>
      </c>
      <c r="AB40" s="314"/>
      <c r="AC40" s="314"/>
      <c r="AD40" s="314"/>
      <c r="AE40" s="314"/>
      <c r="AF40" s="314"/>
      <c r="AG40" s="314"/>
      <c r="AJ40" s="13" t="str">
        <f t="shared" ref="AJ40:AQ40" si="84">IF(OR(E40=$C40,E40=$D40,E40=""),"0","1")</f>
        <v>0</v>
      </c>
      <c r="AK40" s="13" t="str">
        <f t="shared" si="84"/>
        <v>0</v>
      </c>
      <c r="AL40" s="13" t="str">
        <f t="shared" si="84"/>
        <v>0</v>
      </c>
      <c r="AM40" s="13" t="str">
        <f t="shared" si="84"/>
        <v>0</v>
      </c>
      <c r="AN40" s="13" t="str">
        <f t="shared" si="84"/>
        <v>0</v>
      </c>
      <c r="AO40" s="13" t="str">
        <f t="shared" si="84"/>
        <v>0</v>
      </c>
      <c r="AP40" s="13" t="str">
        <f t="shared" si="84"/>
        <v>0</v>
      </c>
      <c r="AQ40" s="13" t="str">
        <f t="shared" si="84"/>
        <v>0</v>
      </c>
      <c r="AR40" s="13" t="str">
        <f t="shared" ref="AR40:AS40" si="85">IF(OR(O40=$C40,O40=$D40,O40=""),"0","1")</f>
        <v>0</v>
      </c>
      <c r="AS40" s="13" t="str">
        <f t="shared" si="85"/>
        <v>0</v>
      </c>
      <c r="AT40" s="698">
        <f t="shared" si="11"/>
        <v>0</v>
      </c>
    </row>
    <row r="41" ht="15.75" customHeight="1">
      <c r="A41" s="788" t="str">
        <f t="shared" si="5"/>
        <v>-</v>
      </c>
      <c r="B41" s="789" t="s">
        <v>514</v>
      </c>
      <c r="C41" s="331" t="s">
        <v>609</v>
      </c>
      <c r="D41" s="331" t="s">
        <v>610</v>
      </c>
      <c r="E41" s="790" t="s">
        <v>610</v>
      </c>
      <c r="F41" s="791" t="s">
        <v>609</v>
      </c>
      <c r="G41" s="331" t="s">
        <v>610</v>
      </c>
      <c r="H41" s="331" t="s">
        <v>610</v>
      </c>
      <c r="I41" s="331" t="s">
        <v>610</v>
      </c>
      <c r="J41" s="331" t="s">
        <v>610</v>
      </c>
      <c r="K41" s="331"/>
      <c r="L41" s="331" t="s">
        <v>610</v>
      </c>
      <c r="M41" s="331" t="s">
        <v>610</v>
      </c>
      <c r="N41" s="331" t="s">
        <v>610</v>
      </c>
      <c r="O41" s="331" t="s">
        <v>610</v>
      </c>
      <c r="P41" s="792" t="s">
        <v>610</v>
      </c>
      <c r="AB41" s="314"/>
      <c r="AC41" s="314"/>
      <c r="AD41" s="314"/>
      <c r="AE41" s="314"/>
      <c r="AF41" s="314"/>
      <c r="AG41" s="314"/>
      <c r="AJ41" s="13" t="str">
        <f t="shared" ref="AJ41:AQ41" si="86">IF(OR(E41=$C41,E41=$D41,E41=""),"0","1")</f>
        <v>0</v>
      </c>
      <c r="AK41" s="13" t="str">
        <f t="shared" si="86"/>
        <v>0</v>
      </c>
      <c r="AL41" s="13" t="str">
        <f t="shared" si="86"/>
        <v>0</v>
      </c>
      <c r="AM41" s="13" t="str">
        <f t="shared" si="86"/>
        <v>0</v>
      </c>
      <c r="AN41" s="13" t="str">
        <f t="shared" si="86"/>
        <v>0</v>
      </c>
      <c r="AO41" s="13" t="str">
        <f t="shared" si="86"/>
        <v>0</v>
      </c>
      <c r="AP41" s="13" t="str">
        <f t="shared" si="86"/>
        <v>0</v>
      </c>
      <c r="AQ41" s="13" t="str">
        <f t="shared" si="86"/>
        <v>0</v>
      </c>
      <c r="AR41" s="13" t="str">
        <f t="shared" ref="AR41:AS41" si="87">IF(OR(O41=$C41,O41=$D41,O41=""),"0","1")</f>
        <v>0</v>
      </c>
      <c r="AS41" s="13" t="str">
        <f t="shared" si="87"/>
        <v>0</v>
      </c>
      <c r="AT41" s="698">
        <f t="shared" si="11"/>
        <v>0</v>
      </c>
    </row>
    <row r="42" ht="15.75" customHeight="1">
      <c r="A42" s="788" t="str">
        <f t="shared" si="5"/>
        <v>-</v>
      </c>
      <c r="B42" s="789" t="s">
        <v>514</v>
      </c>
      <c r="C42" s="331" t="s">
        <v>611</v>
      </c>
      <c r="D42" s="331" t="s">
        <v>612</v>
      </c>
      <c r="E42" s="790" t="s">
        <v>612</v>
      </c>
      <c r="F42" s="791" t="s">
        <v>612</v>
      </c>
      <c r="G42" s="331" t="s">
        <v>612</v>
      </c>
      <c r="H42" s="331" t="s">
        <v>611</v>
      </c>
      <c r="I42" s="331" t="s">
        <v>612</v>
      </c>
      <c r="J42" s="331" t="s">
        <v>612</v>
      </c>
      <c r="K42" s="331"/>
      <c r="L42" s="331" t="s">
        <v>612</v>
      </c>
      <c r="M42" s="331" t="s">
        <v>612</v>
      </c>
      <c r="N42" s="331" t="s">
        <v>612</v>
      </c>
      <c r="O42" s="331" t="s">
        <v>612</v>
      </c>
      <c r="P42" s="792" t="s">
        <v>612</v>
      </c>
      <c r="AB42" s="314"/>
      <c r="AC42" s="314"/>
      <c r="AD42" s="314"/>
      <c r="AE42" s="314"/>
      <c r="AF42" s="314"/>
      <c r="AG42" s="314"/>
      <c r="AJ42" s="13" t="str">
        <f t="shared" ref="AJ42:AQ42" si="88">IF(OR(E42=$C42,E42=$D42,E42=""),"0","1")</f>
        <v>0</v>
      </c>
      <c r="AK42" s="13" t="str">
        <f t="shared" si="88"/>
        <v>0</v>
      </c>
      <c r="AL42" s="13" t="str">
        <f t="shared" si="88"/>
        <v>0</v>
      </c>
      <c r="AM42" s="13" t="str">
        <f t="shared" si="88"/>
        <v>0</v>
      </c>
      <c r="AN42" s="13" t="str">
        <f t="shared" si="88"/>
        <v>0</v>
      </c>
      <c r="AO42" s="13" t="str">
        <f t="shared" si="88"/>
        <v>0</v>
      </c>
      <c r="AP42" s="13" t="str">
        <f t="shared" si="88"/>
        <v>0</v>
      </c>
      <c r="AQ42" s="13" t="str">
        <f t="shared" si="88"/>
        <v>0</v>
      </c>
      <c r="AR42" s="13" t="str">
        <f t="shared" ref="AR42:AS42" si="89">IF(OR(O42=$C42,O42=$D42,O42=""),"0","1")</f>
        <v>0</v>
      </c>
      <c r="AS42" s="13" t="str">
        <f t="shared" si="89"/>
        <v>0</v>
      </c>
      <c r="AT42" s="698">
        <f t="shared" si="11"/>
        <v>0</v>
      </c>
    </row>
    <row r="43" ht="15.75" customHeight="1">
      <c r="A43" s="788" t="str">
        <f t="shared" si="5"/>
        <v>-</v>
      </c>
      <c r="B43" s="789" t="s">
        <v>514</v>
      </c>
      <c r="C43" s="331" t="s">
        <v>613</v>
      </c>
      <c r="D43" s="331" t="s">
        <v>614</v>
      </c>
      <c r="E43" s="790" t="s">
        <v>613</v>
      </c>
      <c r="F43" s="791" t="s">
        <v>613</v>
      </c>
      <c r="G43" s="331" t="s">
        <v>613</v>
      </c>
      <c r="H43" s="331" t="s">
        <v>613</v>
      </c>
      <c r="I43" s="331" t="s">
        <v>614</v>
      </c>
      <c r="J43" s="331" t="s">
        <v>613</v>
      </c>
      <c r="K43" s="331"/>
      <c r="L43" s="331" t="s">
        <v>613</v>
      </c>
      <c r="M43" s="331" t="s">
        <v>614</v>
      </c>
      <c r="N43" s="331" t="s">
        <v>613</v>
      </c>
      <c r="O43" s="331" t="s">
        <v>613</v>
      </c>
      <c r="P43" s="792" t="s">
        <v>613</v>
      </c>
      <c r="AB43" s="314"/>
      <c r="AC43" s="314"/>
      <c r="AD43" s="314"/>
      <c r="AE43" s="314"/>
      <c r="AF43" s="314"/>
      <c r="AG43" s="314"/>
      <c r="AJ43" s="13" t="str">
        <f t="shared" ref="AJ43:AQ43" si="90">IF(OR(E43=$C43,E43=$D43,E43=""),"0","1")</f>
        <v>0</v>
      </c>
      <c r="AK43" s="13" t="str">
        <f t="shared" si="90"/>
        <v>0</v>
      </c>
      <c r="AL43" s="13" t="str">
        <f t="shared" si="90"/>
        <v>0</v>
      </c>
      <c r="AM43" s="13" t="str">
        <f t="shared" si="90"/>
        <v>0</v>
      </c>
      <c r="AN43" s="13" t="str">
        <f t="shared" si="90"/>
        <v>0</v>
      </c>
      <c r="AO43" s="13" t="str">
        <f t="shared" si="90"/>
        <v>0</v>
      </c>
      <c r="AP43" s="13" t="str">
        <f t="shared" si="90"/>
        <v>0</v>
      </c>
      <c r="AQ43" s="13" t="str">
        <f t="shared" si="90"/>
        <v>0</v>
      </c>
      <c r="AR43" s="13" t="str">
        <f t="shared" ref="AR43:AS43" si="91">IF(OR(O43=$C43,O43=$D43,O43=""),"0","1")</f>
        <v>0</v>
      </c>
      <c r="AS43" s="13" t="str">
        <f t="shared" si="91"/>
        <v>0</v>
      </c>
      <c r="AT43" s="698">
        <f t="shared" si="11"/>
        <v>0</v>
      </c>
    </row>
    <row r="44" ht="15.75" customHeight="1">
      <c r="A44" s="788" t="str">
        <f t="shared" si="5"/>
        <v>-</v>
      </c>
      <c r="B44" s="789" t="s">
        <v>514</v>
      </c>
      <c r="C44" s="331" t="s">
        <v>615</v>
      </c>
      <c r="D44" s="331" t="s">
        <v>616</v>
      </c>
      <c r="E44" s="790" t="s">
        <v>615</v>
      </c>
      <c r="F44" s="791" t="s">
        <v>615</v>
      </c>
      <c r="G44" s="331" t="s">
        <v>616</v>
      </c>
      <c r="H44" s="331" t="s">
        <v>616</v>
      </c>
      <c r="I44" s="331" t="s">
        <v>616</v>
      </c>
      <c r="J44" s="331" t="s">
        <v>615</v>
      </c>
      <c r="K44" s="331"/>
      <c r="L44" s="331" t="s">
        <v>615</v>
      </c>
      <c r="M44" s="331" t="s">
        <v>615</v>
      </c>
      <c r="N44" s="331" t="s">
        <v>616</v>
      </c>
      <c r="O44" s="331" t="s">
        <v>615</v>
      </c>
      <c r="P44" s="792" t="s">
        <v>615</v>
      </c>
      <c r="AB44" s="314"/>
      <c r="AC44" s="314"/>
      <c r="AD44" s="314"/>
      <c r="AE44" s="314"/>
      <c r="AF44" s="314"/>
      <c r="AG44" s="314"/>
      <c r="AJ44" s="13" t="str">
        <f t="shared" ref="AJ44:AQ44" si="92">IF(OR(E44=$C44,E44=$D44,E44=""),"0","1")</f>
        <v>0</v>
      </c>
      <c r="AK44" s="13" t="str">
        <f t="shared" si="92"/>
        <v>0</v>
      </c>
      <c r="AL44" s="13" t="str">
        <f t="shared" si="92"/>
        <v>0</v>
      </c>
      <c r="AM44" s="13" t="str">
        <f t="shared" si="92"/>
        <v>0</v>
      </c>
      <c r="AN44" s="13" t="str">
        <f t="shared" si="92"/>
        <v>0</v>
      </c>
      <c r="AO44" s="13" t="str">
        <f t="shared" si="92"/>
        <v>0</v>
      </c>
      <c r="AP44" s="13" t="str">
        <f t="shared" si="92"/>
        <v>0</v>
      </c>
      <c r="AQ44" s="13" t="str">
        <f t="shared" si="92"/>
        <v>0</v>
      </c>
      <c r="AR44" s="13" t="str">
        <f t="shared" ref="AR44:AS44" si="93">IF(OR(O44=$C44,O44=$D44,O44=""),"0","1")</f>
        <v>0</v>
      </c>
      <c r="AS44" s="13" t="str">
        <f t="shared" si="93"/>
        <v>0</v>
      </c>
      <c r="AT44" s="698">
        <f t="shared" si="11"/>
        <v>0</v>
      </c>
    </row>
    <row r="45" ht="15.75" customHeight="1">
      <c r="A45" s="788" t="str">
        <f t="shared" si="5"/>
        <v>-</v>
      </c>
      <c r="B45" s="789" t="s">
        <v>514</v>
      </c>
      <c r="C45" s="331" t="s">
        <v>617</v>
      </c>
      <c r="D45" s="331" t="s">
        <v>618</v>
      </c>
      <c r="E45" s="790" t="s">
        <v>617</v>
      </c>
      <c r="F45" s="791" t="s">
        <v>618</v>
      </c>
      <c r="G45" s="331" t="s">
        <v>617</v>
      </c>
      <c r="H45" s="331" t="s">
        <v>617</v>
      </c>
      <c r="I45" s="331" t="s">
        <v>617</v>
      </c>
      <c r="J45" s="331" t="s">
        <v>617</v>
      </c>
      <c r="K45" s="331"/>
      <c r="L45" s="331" t="s">
        <v>617</v>
      </c>
      <c r="M45" s="331" t="s">
        <v>617</v>
      </c>
      <c r="N45" s="331" t="s">
        <v>617</v>
      </c>
      <c r="O45" s="331" t="s">
        <v>617</v>
      </c>
      <c r="P45" s="792" t="s">
        <v>617</v>
      </c>
      <c r="AB45" s="314"/>
      <c r="AC45" s="314"/>
      <c r="AD45" s="314"/>
      <c r="AE45" s="314"/>
      <c r="AF45" s="314"/>
      <c r="AG45" s="314"/>
      <c r="AJ45" s="13" t="str">
        <f t="shared" ref="AJ45:AQ45" si="94">IF(OR(E45=$C45,E45=$D45,E45=""),"0","1")</f>
        <v>0</v>
      </c>
      <c r="AK45" s="13" t="str">
        <f t="shared" si="94"/>
        <v>0</v>
      </c>
      <c r="AL45" s="13" t="str">
        <f t="shared" si="94"/>
        <v>0</v>
      </c>
      <c r="AM45" s="13" t="str">
        <f t="shared" si="94"/>
        <v>0</v>
      </c>
      <c r="AN45" s="13" t="str">
        <f t="shared" si="94"/>
        <v>0</v>
      </c>
      <c r="AO45" s="13" t="str">
        <f t="shared" si="94"/>
        <v>0</v>
      </c>
      <c r="AP45" s="13" t="str">
        <f t="shared" si="94"/>
        <v>0</v>
      </c>
      <c r="AQ45" s="13" t="str">
        <f t="shared" si="94"/>
        <v>0</v>
      </c>
      <c r="AR45" s="13" t="str">
        <f t="shared" ref="AR45:AS45" si="95">IF(OR(O45=$C45,O45=$D45,O45=""),"0","1")</f>
        <v>0</v>
      </c>
      <c r="AS45" s="13" t="str">
        <f t="shared" si="95"/>
        <v>0</v>
      </c>
      <c r="AT45" s="698">
        <f t="shared" si="11"/>
        <v>0</v>
      </c>
    </row>
    <row r="46" ht="15.75" customHeight="1">
      <c r="A46" s="788" t="str">
        <f t="shared" si="5"/>
        <v>-</v>
      </c>
      <c r="B46" s="789" t="s">
        <v>514</v>
      </c>
      <c r="C46" s="331" t="s">
        <v>619</v>
      </c>
      <c r="D46" s="331" t="s">
        <v>620</v>
      </c>
      <c r="E46" s="790" t="s">
        <v>619</v>
      </c>
      <c r="F46" s="791" t="s">
        <v>619</v>
      </c>
      <c r="G46" s="331" t="s">
        <v>620</v>
      </c>
      <c r="H46" s="331" t="s">
        <v>619</v>
      </c>
      <c r="I46" s="331" t="s">
        <v>619</v>
      </c>
      <c r="J46" s="331" t="s">
        <v>619</v>
      </c>
      <c r="K46" s="331"/>
      <c r="L46" s="331" t="s">
        <v>620</v>
      </c>
      <c r="M46" s="331" t="s">
        <v>619</v>
      </c>
      <c r="N46" s="331" t="s">
        <v>619</v>
      </c>
      <c r="O46" s="331" t="s">
        <v>619</v>
      </c>
      <c r="P46" s="792" t="s">
        <v>620</v>
      </c>
      <c r="AB46" s="314"/>
      <c r="AC46" s="314"/>
      <c r="AD46" s="314"/>
      <c r="AE46" s="314"/>
      <c r="AF46" s="314"/>
      <c r="AG46" s="314"/>
      <c r="AJ46" s="13" t="str">
        <f t="shared" ref="AJ46:AQ46" si="96">IF(OR(E46=$C46,E46=$D46,E46=""),"0","1")</f>
        <v>0</v>
      </c>
      <c r="AK46" s="13" t="str">
        <f t="shared" si="96"/>
        <v>0</v>
      </c>
      <c r="AL46" s="13" t="str">
        <f t="shared" si="96"/>
        <v>0</v>
      </c>
      <c r="AM46" s="13" t="str">
        <f t="shared" si="96"/>
        <v>0</v>
      </c>
      <c r="AN46" s="13" t="str">
        <f t="shared" si="96"/>
        <v>0</v>
      </c>
      <c r="AO46" s="13" t="str">
        <f t="shared" si="96"/>
        <v>0</v>
      </c>
      <c r="AP46" s="13" t="str">
        <f t="shared" si="96"/>
        <v>0</v>
      </c>
      <c r="AQ46" s="13" t="str">
        <f t="shared" si="96"/>
        <v>0</v>
      </c>
      <c r="AR46" s="13" t="str">
        <f t="shared" ref="AR46:AS46" si="97">IF(OR(O46=$C46,O46=$D46,O46=""),"0","1")</f>
        <v>0</v>
      </c>
      <c r="AS46" s="13" t="str">
        <f t="shared" si="97"/>
        <v>0</v>
      </c>
      <c r="AT46" s="698">
        <f t="shared" si="11"/>
        <v>0</v>
      </c>
    </row>
    <row r="47" ht="15.75" customHeight="1">
      <c r="A47" s="788" t="str">
        <f t="shared" si="5"/>
        <v>-</v>
      </c>
      <c r="B47" s="789" t="s">
        <v>514</v>
      </c>
      <c r="C47" s="331" t="s">
        <v>621</v>
      </c>
      <c r="D47" s="331" t="s">
        <v>622</v>
      </c>
      <c r="E47" s="790" t="s">
        <v>622</v>
      </c>
      <c r="F47" s="791" t="s">
        <v>622</v>
      </c>
      <c r="G47" s="331" t="s">
        <v>622</v>
      </c>
      <c r="H47" s="331" t="s">
        <v>622</v>
      </c>
      <c r="I47" s="331" t="s">
        <v>622</v>
      </c>
      <c r="J47" s="331" t="s">
        <v>622</v>
      </c>
      <c r="K47" s="331"/>
      <c r="L47" s="331" t="s">
        <v>622</v>
      </c>
      <c r="M47" s="331" t="s">
        <v>621</v>
      </c>
      <c r="N47" s="331" t="s">
        <v>622</v>
      </c>
      <c r="O47" s="331" t="s">
        <v>622</v>
      </c>
      <c r="P47" s="792" t="s">
        <v>622</v>
      </c>
      <c r="AB47" s="314"/>
      <c r="AC47" s="314"/>
      <c r="AD47" s="314"/>
      <c r="AE47" s="314"/>
      <c r="AF47" s="314"/>
      <c r="AG47" s="314"/>
      <c r="AJ47" s="13" t="str">
        <f t="shared" ref="AJ47:AQ47" si="98">IF(OR(E47=$C47,E47=$D47,E47=""),"0","1")</f>
        <v>0</v>
      </c>
      <c r="AK47" s="13" t="str">
        <f t="shared" si="98"/>
        <v>0</v>
      </c>
      <c r="AL47" s="13" t="str">
        <f t="shared" si="98"/>
        <v>0</v>
      </c>
      <c r="AM47" s="13" t="str">
        <f t="shared" si="98"/>
        <v>0</v>
      </c>
      <c r="AN47" s="13" t="str">
        <f t="shared" si="98"/>
        <v>0</v>
      </c>
      <c r="AO47" s="13" t="str">
        <f t="shared" si="98"/>
        <v>0</v>
      </c>
      <c r="AP47" s="13" t="str">
        <f t="shared" si="98"/>
        <v>0</v>
      </c>
      <c r="AQ47" s="13" t="str">
        <f t="shared" si="98"/>
        <v>0</v>
      </c>
      <c r="AR47" s="13" t="str">
        <f t="shared" ref="AR47:AS47" si="99">IF(OR(O47=$C47,O47=$D47,O47=""),"0","1")</f>
        <v>0</v>
      </c>
      <c r="AS47" s="13" t="str">
        <f t="shared" si="99"/>
        <v>0</v>
      </c>
      <c r="AT47" s="698">
        <f t="shared" si="11"/>
        <v>0</v>
      </c>
    </row>
    <row r="48" ht="15.75" customHeight="1">
      <c r="A48" s="788" t="str">
        <f t="shared" si="5"/>
        <v>-</v>
      </c>
      <c r="B48" s="789" t="s">
        <v>514</v>
      </c>
      <c r="C48" s="331" t="s">
        <v>623</v>
      </c>
      <c r="D48" s="331" t="s">
        <v>624</v>
      </c>
      <c r="E48" s="790" t="s">
        <v>624</v>
      </c>
      <c r="F48" s="791" t="s">
        <v>623</v>
      </c>
      <c r="G48" s="331" t="s">
        <v>624</v>
      </c>
      <c r="H48" s="331" t="s">
        <v>624</v>
      </c>
      <c r="I48" s="331" t="s">
        <v>623</v>
      </c>
      <c r="J48" s="331" t="s">
        <v>624</v>
      </c>
      <c r="K48" s="331"/>
      <c r="L48" s="331" t="s">
        <v>624</v>
      </c>
      <c r="M48" s="331" t="s">
        <v>624</v>
      </c>
      <c r="N48" s="331" t="s">
        <v>623</v>
      </c>
      <c r="O48" s="331" t="s">
        <v>624</v>
      </c>
      <c r="P48" s="792" t="s">
        <v>624</v>
      </c>
      <c r="AB48" s="314"/>
      <c r="AC48" s="314"/>
      <c r="AD48" s="314"/>
      <c r="AE48" s="314"/>
      <c r="AF48" s="314"/>
      <c r="AG48" s="314"/>
      <c r="AJ48" s="13" t="str">
        <f t="shared" ref="AJ48:AQ48" si="100">IF(OR(E48=$C48,E48=$D48,E48=""),"0","1")</f>
        <v>0</v>
      </c>
      <c r="AK48" s="13" t="str">
        <f t="shared" si="100"/>
        <v>0</v>
      </c>
      <c r="AL48" s="13" t="str">
        <f t="shared" si="100"/>
        <v>0</v>
      </c>
      <c r="AM48" s="13" t="str">
        <f t="shared" si="100"/>
        <v>0</v>
      </c>
      <c r="AN48" s="13" t="str">
        <f t="shared" si="100"/>
        <v>0</v>
      </c>
      <c r="AO48" s="13" t="str">
        <f t="shared" si="100"/>
        <v>0</v>
      </c>
      <c r="AP48" s="13" t="str">
        <f t="shared" si="100"/>
        <v>0</v>
      </c>
      <c r="AQ48" s="13" t="str">
        <f t="shared" si="100"/>
        <v>0</v>
      </c>
      <c r="AR48" s="13" t="str">
        <f t="shared" ref="AR48:AS48" si="101">IF(OR(O48=$C48,O48=$D48,O48=""),"0","1")</f>
        <v>0</v>
      </c>
      <c r="AS48" s="13" t="str">
        <f t="shared" si="101"/>
        <v>0</v>
      </c>
      <c r="AT48" s="698">
        <f t="shared" si="11"/>
        <v>0</v>
      </c>
    </row>
    <row r="49" ht="15.75" customHeight="1">
      <c r="A49" s="788" t="str">
        <f t="shared" si="5"/>
        <v>-</v>
      </c>
      <c r="B49" s="830" t="s">
        <v>515</v>
      </c>
      <c r="C49" s="331" t="s">
        <v>614</v>
      </c>
      <c r="D49" s="331" t="s">
        <v>605</v>
      </c>
      <c r="E49" s="790" t="s">
        <v>614</v>
      </c>
      <c r="F49" s="791" t="s">
        <v>614</v>
      </c>
      <c r="G49" s="331" t="s">
        <v>614</v>
      </c>
      <c r="H49" s="331" t="s">
        <v>614</v>
      </c>
      <c r="I49" s="331" t="s">
        <v>614</v>
      </c>
      <c r="J49" s="331" t="s">
        <v>614</v>
      </c>
      <c r="K49" s="331"/>
      <c r="L49" s="331" t="s">
        <v>614</v>
      </c>
      <c r="M49" s="331" t="s">
        <v>614</v>
      </c>
      <c r="N49" s="331" t="s">
        <v>605</v>
      </c>
      <c r="O49" s="331" t="s">
        <v>614</v>
      </c>
      <c r="P49" s="792" t="s">
        <v>614</v>
      </c>
      <c r="AB49" s="314"/>
      <c r="AC49" s="314"/>
      <c r="AD49" s="314"/>
      <c r="AE49" s="314"/>
      <c r="AF49" s="314"/>
      <c r="AG49" s="314"/>
      <c r="AJ49" s="13" t="str">
        <f t="shared" ref="AJ49:AQ49" si="102">IF(OR(E49=$C49,E49=$D49,E49=""),"0","1")</f>
        <v>0</v>
      </c>
      <c r="AK49" s="13" t="str">
        <f t="shared" si="102"/>
        <v>0</v>
      </c>
      <c r="AL49" s="13" t="str">
        <f t="shared" si="102"/>
        <v>0</v>
      </c>
      <c r="AM49" s="13" t="str">
        <f t="shared" si="102"/>
        <v>0</v>
      </c>
      <c r="AN49" s="13" t="str">
        <f t="shared" si="102"/>
        <v>0</v>
      </c>
      <c r="AO49" s="13" t="str">
        <f t="shared" si="102"/>
        <v>0</v>
      </c>
      <c r="AP49" s="13" t="str">
        <f t="shared" si="102"/>
        <v>0</v>
      </c>
      <c r="AQ49" s="13" t="str">
        <f t="shared" si="102"/>
        <v>0</v>
      </c>
      <c r="AR49" s="13" t="str">
        <f t="shared" ref="AR49:AS49" si="103">IF(OR(O49=$C49,O49=$D49,O49=""),"0","1")</f>
        <v>0</v>
      </c>
      <c r="AS49" s="13" t="str">
        <f t="shared" si="103"/>
        <v>0</v>
      </c>
      <c r="AT49" s="698">
        <f t="shared" si="11"/>
        <v>0</v>
      </c>
    </row>
    <row r="50" ht="15.75" customHeight="1">
      <c r="A50" s="788" t="str">
        <f t="shared" si="5"/>
        <v>-</v>
      </c>
      <c r="B50" s="830" t="s">
        <v>515</v>
      </c>
      <c r="C50" s="331" t="s">
        <v>601</v>
      </c>
      <c r="D50" s="331" t="s">
        <v>594</v>
      </c>
      <c r="E50" s="790" t="s">
        <v>594</v>
      </c>
      <c r="F50" s="791" t="s">
        <v>601</v>
      </c>
      <c r="G50" s="331" t="s">
        <v>594</v>
      </c>
      <c r="H50" s="331" t="s">
        <v>594</v>
      </c>
      <c r="I50" s="331" t="s">
        <v>594</v>
      </c>
      <c r="J50" s="331" t="s">
        <v>594</v>
      </c>
      <c r="K50" s="331"/>
      <c r="L50" s="331" t="s">
        <v>594</v>
      </c>
      <c r="M50" s="331" t="s">
        <v>594</v>
      </c>
      <c r="N50" s="331" t="s">
        <v>594</v>
      </c>
      <c r="O50" s="331" t="s">
        <v>594</v>
      </c>
      <c r="P50" s="792" t="s">
        <v>594</v>
      </c>
      <c r="AB50" s="314"/>
      <c r="AC50" s="314"/>
      <c r="AD50" s="314"/>
      <c r="AE50" s="314"/>
      <c r="AF50" s="314"/>
      <c r="AG50" s="314"/>
      <c r="AJ50" s="13" t="str">
        <f t="shared" ref="AJ50:AQ50" si="104">IF(OR(E50=$C50,E50=$D50,E50=""),"0","1")</f>
        <v>0</v>
      </c>
      <c r="AK50" s="13" t="str">
        <f t="shared" si="104"/>
        <v>0</v>
      </c>
      <c r="AL50" s="13" t="str">
        <f t="shared" si="104"/>
        <v>0</v>
      </c>
      <c r="AM50" s="13" t="str">
        <f t="shared" si="104"/>
        <v>0</v>
      </c>
      <c r="AN50" s="13" t="str">
        <f t="shared" si="104"/>
        <v>0</v>
      </c>
      <c r="AO50" s="13" t="str">
        <f t="shared" si="104"/>
        <v>0</v>
      </c>
      <c r="AP50" s="13" t="str">
        <f t="shared" si="104"/>
        <v>0</v>
      </c>
      <c r="AQ50" s="13" t="str">
        <f t="shared" si="104"/>
        <v>0</v>
      </c>
      <c r="AR50" s="13" t="str">
        <f t="shared" ref="AR50:AS50" si="105">IF(OR(O50=$C50,O50=$D50,O50=""),"0","1")</f>
        <v>0</v>
      </c>
      <c r="AS50" s="13" t="str">
        <f t="shared" si="105"/>
        <v>0</v>
      </c>
      <c r="AT50" s="698">
        <f t="shared" si="11"/>
        <v>0</v>
      </c>
    </row>
    <row r="51" ht="15.75" customHeight="1">
      <c r="A51" s="788" t="str">
        <f t="shared" si="5"/>
        <v>-</v>
      </c>
      <c r="B51" s="830" t="s">
        <v>515</v>
      </c>
      <c r="C51" s="331" t="s">
        <v>598</v>
      </c>
      <c r="D51" s="331" t="s">
        <v>603</v>
      </c>
      <c r="E51" s="790" t="s">
        <v>598</v>
      </c>
      <c r="F51" s="791" t="s">
        <v>598</v>
      </c>
      <c r="G51" s="331" t="s">
        <v>598</v>
      </c>
      <c r="H51" s="331" t="s">
        <v>598</v>
      </c>
      <c r="I51" s="331" t="s">
        <v>598</v>
      </c>
      <c r="J51" s="331" t="s">
        <v>603</v>
      </c>
      <c r="K51" s="331"/>
      <c r="L51" s="331" t="s">
        <v>598</v>
      </c>
      <c r="M51" s="331" t="s">
        <v>603</v>
      </c>
      <c r="N51" s="331" t="s">
        <v>603</v>
      </c>
      <c r="O51" s="331" t="s">
        <v>598</v>
      </c>
      <c r="P51" s="792" t="s">
        <v>598</v>
      </c>
      <c r="AB51" s="314"/>
      <c r="AC51" s="314"/>
      <c r="AD51" s="314"/>
      <c r="AE51" s="314"/>
      <c r="AF51" s="314"/>
      <c r="AG51" s="314"/>
      <c r="AJ51" s="13" t="str">
        <f t="shared" ref="AJ51:AQ51" si="106">IF(OR(E51=$C51,E51=$D51,E51=""),"0","1")</f>
        <v>0</v>
      </c>
      <c r="AK51" s="13" t="str">
        <f t="shared" si="106"/>
        <v>0</v>
      </c>
      <c r="AL51" s="13" t="str">
        <f t="shared" si="106"/>
        <v>0</v>
      </c>
      <c r="AM51" s="13" t="str">
        <f t="shared" si="106"/>
        <v>0</v>
      </c>
      <c r="AN51" s="13" t="str">
        <f t="shared" si="106"/>
        <v>0</v>
      </c>
      <c r="AO51" s="13" t="str">
        <f t="shared" si="106"/>
        <v>0</v>
      </c>
      <c r="AP51" s="13" t="str">
        <f t="shared" si="106"/>
        <v>0</v>
      </c>
      <c r="AQ51" s="13" t="str">
        <f t="shared" si="106"/>
        <v>0</v>
      </c>
      <c r="AR51" s="13" t="str">
        <f t="shared" ref="AR51:AS51" si="107">IF(OR(O51=$C51,O51=$D51,O51=""),"0","1")</f>
        <v>0</v>
      </c>
      <c r="AS51" s="13" t="str">
        <f t="shared" si="107"/>
        <v>0</v>
      </c>
      <c r="AT51" s="698">
        <f t="shared" si="11"/>
        <v>0</v>
      </c>
    </row>
    <row r="52" ht="15.75" customHeight="1">
      <c r="A52" s="788" t="str">
        <f t="shared" si="5"/>
        <v>-</v>
      </c>
      <c r="B52" s="830" t="s">
        <v>515</v>
      </c>
      <c r="C52" s="331" t="s">
        <v>600</v>
      </c>
      <c r="D52" s="331" t="s">
        <v>620</v>
      </c>
      <c r="E52" s="790" t="s">
        <v>620</v>
      </c>
      <c r="F52" s="791" t="s">
        <v>620</v>
      </c>
      <c r="G52" s="331" t="s">
        <v>620</v>
      </c>
      <c r="H52" s="331" t="s">
        <v>600</v>
      </c>
      <c r="I52" s="331" t="s">
        <v>600</v>
      </c>
      <c r="J52" s="331" t="s">
        <v>620</v>
      </c>
      <c r="K52" s="331"/>
      <c r="L52" s="331" t="s">
        <v>620</v>
      </c>
      <c r="M52" s="331" t="s">
        <v>620</v>
      </c>
      <c r="N52" s="331" t="s">
        <v>600</v>
      </c>
      <c r="O52" s="331" t="s">
        <v>600</v>
      </c>
      <c r="P52" s="792" t="s">
        <v>620</v>
      </c>
      <c r="AB52" s="314"/>
      <c r="AC52" s="314"/>
      <c r="AD52" s="314"/>
      <c r="AE52" s="314"/>
      <c r="AF52" s="314"/>
      <c r="AG52" s="314"/>
      <c r="AJ52" s="13" t="str">
        <f t="shared" ref="AJ52:AQ52" si="108">IF(OR(E52=$C52,E52=$D52,E52=""),"0","1")</f>
        <v>0</v>
      </c>
      <c r="AK52" s="13" t="str">
        <f t="shared" si="108"/>
        <v>0</v>
      </c>
      <c r="AL52" s="13" t="str">
        <f t="shared" si="108"/>
        <v>0</v>
      </c>
      <c r="AM52" s="13" t="str">
        <f t="shared" si="108"/>
        <v>0</v>
      </c>
      <c r="AN52" s="13" t="str">
        <f t="shared" si="108"/>
        <v>0</v>
      </c>
      <c r="AO52" s="13" t="str">
        <f t="shared" si="108"/>
        <v>0</v>
      </c>
      <c r="AP52" s="13" t="str">
        <f t="shared" si="108"/>
        <v>0</v>
      </c>
      <c r="AQ52" s="13" t="str">
        <f t="shared" si="108"/>
        <v>0</v>
      </c>
      <c r="AR52" s="13" t="str">
        <f t="shared" ref="AR52:AS52" si="109">IF(OR(O52=$C52,O52=$D52,O52=""),"0","1")</f>
        <v>0</v>
      </c>
      <c r="AS52" s="13" t="str">
        <f t="shared" si="109"/>
        <v>0</v>
      </c>
      <c r="AT52" s="698">
        <f t="shared" si="11"/>
        <v>0</v>
      </c>
    </row>
    <row r="53" ht="15.75" customHeight="1">
      <c r="A53" s="788" t="str">
        <f t="shared" si="5"/>
        <v>-</v>
      </c>
      <c r="B53" s="830" t="s">
        <v>515</v>
      </c>
      <c r="C53" s="331" t="s">
        <v>599</v>
      </c>
      <c r="D53" s="331" t="s">
        <v>602</v>
      </c>
      <c r="E53" s="790" t="s">
        <v>599</v>
      </c>
      <c r="F53" s="791" t="s">
        <v>602</v>
      </c>
      <c r="G53" s="331" t="s">
        <v>599</v>
      </c>
      <c r="H53" s="331" t="s">
        <v>599</v>
      </c>
      <c r="I53" s="331" t="s">
        <v>602</v>
      </c>
      <c r="J53" s="331" t="s">
        <v>599</v>
      </c>
      <c r="K53" s="331"/>
      <c r="L53" s="331" t="s">
        <v>602</v>
      </c>
      <c r="M53" s="331" t="s">
        <v>599</v>
      </c>
      <c r="N53" s="331" t="s">
        <v>599</v>
      </c>
      <c r="O53" s="331" t="s">
        <v>599</v>
      </c>
      <c r="P53" s="792" t="s">
        <v>599</v>
      </c>
      <c r="AB53" s="314"/>
      <c r="AC53" s="314"/>
      <c r="AD53" s="314"/>
      <c r="AE53" s="314"/>
      <c r="AF53" s="314"/>
      <c r="AG53" s="314"/>
      <c r="AJ53" s="13" t="str">
        <f t="shared" ref="AJ53:AQ53" si="110">IF(OR(E53=$C53,E53=$D53,E53=""),"0","1")</f>
        <v>0</v>
      </c>
      <c r="AK53" s="13" t="str">
        <f t="shared" si="110"/>
        <v>0</v>
      </c>
      <c r="AL53" s="13" t="str">
        <f t="shared" si="110"/>
        <v>0</v>
      </c>
      <c r="AM53" s="13" t="str">
        <f t="shared" si="110"/>
        <v>0</v>
      </c>
      <c r="AN53" s="13" t="str">
        <f t="shared" si="110"/>
        <v>0</v>
      </c>
      <c r="AO53" s="13" t="str">
        <f t="shared" si="110"/>
        <v>0</v>
      </c>
      <c r="AP53" s="13" t="str">
        <f t="shared" si="110"/>
        <v>0</v>
      </c>
      <c r="AQ53" s="13" t="str">
        <f t="shared" si="110"/>
        <v>0</v>
      </c>
      <c r="AR53" s="13" t="str">
        <f t="shared" ref="AR53:AS53" si="111">IF(OR(O53=$C53,O53=$D53,O53=""),"0","1")</f>
        <v>0</v>
      </c>
      <c r="AS53" s="13" t="str">
        <f t="shared" si="111"/>
        <v>0</v>
      </c>
      <c r="AT53" s="698">
        <f t="shared" si="11"/>
        <v>0</v>
      </c>
    </row>
    <row r="54" ht="15.75" customHeight="1">
      <c r="A54" s="788" t="str">
        <f t="shared" si="5"/>
        <v>-</v>
      </c>
      <c r="B54" s="830" t="s">
        <v>515</v>
      </c>
      <c r="C54" s="331" t="s">
        <v>624</v>
      </c>
      <c r="D54" s="331" t="s">
        <v>609</v>
      </c>
      <c r="E54" s="790" t="s">
        <v>624</v>
      </c>
      <c r="F54" s="791" t="s">
        <v>624</v>
      </c>
      <c r="G54" s="331" t="s">
        <v>624</v>
      </c>
      <c r="H54" s="331" t="s">
        <v>624</v>
      </c>
      <c r="I54" s="331" t="s">
        <v>609</v>
      </c>
      <c r="J54" s="331" t="s">
        <v>624</v>
      </c>
      <c r="K54" s="331"/>
      <c r="L54" s="331" t="s">
        <v>624</v>
      </c>
      <c r="M54" s="331" t="s">
        <v>624</v>
      </c>
      <c r="N54" s="331" t="s">
        <v>609</v>
      </c>
      <c r="O54" s="331" t="s">
        <v>624</v>
      </c>
      <c r="P54" s="792" t="s">
        <v>624</v>
      </c>
      <c r="AB54" s="314"/>
      <c r="AC54" s="314"/>
      <c r="AD54" s="314"/>
      <c r="AE54" s="314"/>
      <c r="AF54" s="314"/>
      <c r="AG54" s="314"/>
      <c r="AJ54" s="13" t="str">
        <f t="shared" ref="AJ54:AQ54" si="112">IF(OR(E54=$C54,E54=$D54,E54=""),"0","1")</f>
        <v>0</v>
      </c>
      <c r="AK54" s="13" t="str">
        <f t="shared" si="112"/>
        <v>0</v>
      </c>
      <c r="AL54" s="13" t="str">
        <f t="shared" si="112"/>
        <v>0</v>
      </c>
      <c r="AM54" s="13" t="str">
        <f t="shared" si="112"/>
        <v>0</v>
      </c>
      <c r="AN54" s="13" t="str">
        <f t="shared" si="112"/>
        <v>0</v>
      </c>
      <c r="AO54" s="13" t="str">
        <f t="shared" si="112"/>
        <v>0</v>
      </c>
      <c r="AP54" s="13" t="str">
        <f t="shared" si="112"/>
        <v>0</v>
      </c>
      <c r="AQ54" s="13" t="str">
        <f t="shared" si="112"/>
        <v>0</v>
      </c>
      <c r="AR54" s="13" t="str">
        <f t="shared" ref="AR54:AS54" si="113">IF(OR(O54=$C54,O54=$D54,O54=""),"0","1")</f>
        <v>0</v>
      </c>
      <c r="AS54" s="13" t="str">
        <f t="shared" si="113"/>
        <v>0</v>
      </c>
      <c r="AT54" s="698">
        <f t="shared" si="11"/>
        <v>0</v>
      </c>
    </row>
    <row r="55" ht="15.75" customHeight="1">
      <c r="A55" s="788" t="str">
        <f t="shared" si="5"/>
        <v>-</v>
      </c>
      <c r="B55" s="830" t="s">
        <v>515</v>
      </c>
      <c r="C55" s="331" t="s">
        <v>621</v>
      </c>
      <c r="D55" s="331" t="s">
        <v>597</v>
      </c>
      <c r="E55" s="790" t="s">
        <v>597</v>
      </c>
      <c r="F55" s="791" t="s">
        <v>597</v>
      </c>
      <c r="G55" s="331" t="s">
        <v>597</v>
      </c>
      <c r="H55" s="331" t="s">
        <v>597</v>
      </c>
      <c r="I55" s="331" t="s">
        <v>597</v>
      </c>
      <c r="J55" s="331" t="s">
        <v>597</v>
      </c>
      <c r="K55" s="331"/>
      <c r="L55" s="331" t="s">
        <v>597</v>
      </c>
      <c r="M55" s="331" t="s">
        <v>597</v>
      </c>
      <c r="N55" s="331" t="s">
        <v>597</v>
      </c>
      <c r="O55" s="331" t="s">
        <v>597</v>
      </c>
      <c r="P55" s="792" t="s">
        <v>597</v>
      </c>
      <c r="AB55" s="314"/>
      <c r="AC55" s="314"/>
      <c r="AD55" s="314"/>
      <c r="AE55" s="314"/>
      <c r="AF55" s="314"/>
      <c r="AG55" s="314"/>
      <c r="AJ55" s="13" t="str">
        <f t="shared" ref="AJ55:AQ55" si="114">IF(OR(E55=$C55,E55=$D55,E55=""),"0","1")</f>
        <v>0</v>
      </c>
      <c r="AK55" s="13" t="str">
        <f t="shared" si="114"/>
        <v>0</v>
      </c>
      <c r="AL55" s="13" t="str">
        <f t="shared" si="114"/>
        <v>0</v>
      </c>
      <c r="AM55" s="13" t="str">
        <f t="shared" si="114"/>
        <v>0</v>
      </c>
      <c r="AN55" s="13" t="str">
        <f t="shared" si="114"/>
        <v>0</v>
      </c>
      <c r="AO55" s="13" t="str">
        <f t="shared" si="114"/>
        <v>0</v>
      </c>
      <c r="AP55" s="13" t="str">
        <f t="shared" si="114"/>
        <v>0</v>
      </c>
      <c r="AQ55" s="13" t="str">
        <f t="shared" si="114"/>
        <v>0</v>
      </c>
      <c r="AR55" s="13" t="str">
        <f t="shared" ref="AR55:AS55" si="115">IF(OR(O55=$C55,O55=$D55,O55=""),"0","1")</f>
        <v>0</v>
      </c>
      <c r="AS55" s="13" t="str">
        <f t="shared" si="115"/>
        <v>0</v>
      </c>
      <c r="AT55" s="698">
        <f t="shared" si="11"/>
        <v>0</v>
      </c>
    </row>
    <row r="56" ht="15.75" customHeight="1">
      <c r="A56" s="788" t="str">
        <f t="shared" si="5"/>
        <v>-</v>
      </c>
      <c r="B56" s="830" t="s">
        <v>515</v>
      </c>
      <c r="C56" s="331" t="s">
        <v>596</v>
      </c>
      <c r="D56" s="331" t="s">
        <v>608</v>
      </c>
      <c r="E56" s="790" t="s">
        <v>596</v>
      </c>
      <c r="F56" s="791" t="s">
        <v>608</v>
      </c>
      <c r="G56" s="331" t="s">
        <v>608</v>
      </c>
      <c r="H56" s="331" t="s">
        <v>596</v>
      </c>
      <c r="I56" s="331" t="s">
        <v>596</v>
      </c>
      <c r="J56" s="331" t="s">
        <v>596</v>
      </c>
      <c r="K56" s="331"/>
      <c r="L56" s="331" t="s">
        <v>596</v>
      </c>
      <c r="M56" s="331" t="s">
        <v>596</v>
      </c>
      <c r="N56" s="331" t="s">
        <v>596</v>
      </c>
      <c r="O56" s="331" t="s">
        <v>596</v>
      </c>
      <c r="P56" s="792" t="s">
        <v>596</v>
      </c>
      <c r="AB56" s="314"/>
      <c r="AC56" s="314"/>
      <c r="AD56" s="314"/>
      <c r="AE56" s="314"/>
      <c r="AF56" s="314"/>
      <c r="AG56" s="314"/>
      <c r="AJ56" s="13" t="str">
        <f t="shared" ref="AJ56:AQ56" si="116">IF(OR(E56=$C56,E56=$D56,E56=""),"0","1")</f>
        <v>0</v>
      </c>
      <c r="AK56" s="13" t="str">
        <f t="shared" si="116"/>
        <v>0</v>
      </c>
      <c r="AL56" s="13" t="str">
        <f t="shared" si="116"/>
        <v>0</v>
      </c>
      <c r="AM56" s="13" t="str">
        <f t="shared" si="116"/>
        <v>0</v>
      </c>
      <c r="AN56" s="13" t="str">
        <f t="shared" si="116"/>
        <v>0</v>
      </c>
      <c r="AO56" s="13" t="str">
        <f t="shared" si="116"/>
        <v>0</v>
      </c>
      <c r="AP56" s="13" t="str">
        <f t="shared" si="116"/>
        <v>0</v>
      </c>
      <c r="AQ56" s="13" t="str">
        <f t="shared" si="116"/>
        <v>0</v>
      </c>
      <c r="AR56" s="13" t="str">
        <f t="shared" ref="AR56:AS56" si="117">IF(OR(O56=$C56,O56=$D56,O56=""),"0","1")</f>
        <v>0</v>
      </c>
      <c r="AS56" s="13" t="str">
        <f t="shared" si="117"/>
        <v>0</v>
      </c>
      <c r="AT56" s="698">
        <f t="shared" si="11"/>
        <v>0</v>
      </c>
    </row>
    <row r="57" ht="15.75" customHeight="1">
      <c r="A57" s="788" t="str">
        <f t="shared" si="5"/>
        <v>-</v>
      </c>
      <c r="B57" s="830" t="s">
        <v>515</v>
      </c>
      <c r="C57" s="331" t="s">
        <v>618</v>
      </c>
      <c r="D57" s="331" t="s">
        <v>607</v>
      </c>
      <c r="E57" s="790" t="s">
        <v>607</v>
      </c>
      <c r="F57" s="791" t="s">
        <v>607</v>
      </c>
      <c r="G57" s="331" t="s">
        <v>618</v>
      </c>
      <c r="H57" s="331" t="s">
        <v>618</v>
      </c>
      <c r="I57" s="331" t="s">
        <v>607</v>
      </c>
      <c r="J57" s="331" t="s">
        <v>607</v>
      </c>
      <c r="K57" s="331"/>
      <c r="L57" s="331" t="s">
        <v>607</v>
      </c>
      <c r="M57" s="331" t="s">
        <v>618</v>
      </c>
      <c r="N57" s="331" t="s">
        <v>607</v>
      </c>
      <c r="O57" s="331" t="s">
        <v>618</v>
      </c>
      <c r="P57" s="792" t="s">
        <v>607</v>
      </c>
      <c r="AB57" s="314"/>
      <c r="AC57" s="314"/>
      <c r="AD57" s="314"/>
      <c r="AE57" s="314"/>
      <c r="AF57" s="314"/>
      <c r="AG57" s="314"/>
      <c r="AJ57" s="13" t="str">
        <f t="shared" ref="AJ57:AQ57" si="118">IF(OR(E57=$C57,E57=$D57,E57=""),"0","1")</f>
        <v>0</v>
      </c>
      <c r="AK57" s="13" t="str">
        <f t="shared" si="118"/>
        <v>0</v>
      </c>
      <c r="AL57" s="13" t="str">
        <f t="shared" si="118"/>
        <v>0</v>
      </c>
      <c r="AM57" s="13" t="str">
        <f t="shared" si="118"/>
        <v>0</v>
      </c>
      <c r="AN57" s="13" t="str">
        <f t="shared" si="118"/>
        <v>0</v>
      </c>
      <c r="AO57" s="13" t="str">
        <f t="shared" si="118"/>
        <v>0</v>
      </c>
      <c r="AP57" s="13" t="str">
        <f t="shared" si="118"/>
        <v>0</v>
      </c>
      <c r="AQ57" s="13" t="str">
        <f t="shared" si="118"/>
        <v>0</v>
      </c>
      <c r="AR57" s="13" t="str">
        <f t="shared" ref="AR57:AS57" si="119">IF(OR(O57=$C57,O57=$D57,O57=""),"0","1")</f>
        <v>0</v>
      </c>
      <c r="AS57" s="13" t="str">
        <f t="shared" si="119"/>
        <v>0</v>
      </c>
      <c r="AT57" s="698">
        <f t="shared" si="11"/>
        <v>0</v>
      </c>
    </row>
    <row r="58" ht="15.75" customHeight="1">
      <c r="A58" s="788" t="str">
        <f t="shared" si="5"/>
        <v>-</v>
      </c>
      <c r="B58" s="830" t="s">
        <v>515</v>
      </c>
      <c r="C58" s="331" t="s">
        <v>623</v>
      </c>
      <c r="D58" s="331" t="s">
        <v>616</v>
      </c>
      <c r="E58" s="790" t="s">
        <v>616</v>
      </c>
      <c r="F58" s="791" t="s">
        <v>623</v>
      </c>
      <c r="G58" s="331" t="s">
        <v>623</v>
      </c>
      <c r="H58" s="331" t="s">
        <v>616</v>
      </c>
      <c r="I58" s="331" t="s">
        <v>623</v>
      </c>
      <c r="J58" s="331" t="s">
        <v>616</v>
      </c>
      <c r="K58" s="331"/>
      <c r="L58" s="331" t="s">
        <v>623</v>
      </c>
      <c r="M58" s="331" t="s">
        <v>616</v>
      </c>
      <c r="N58" s="331" t="s">
        <v>623</v>
      </c>
      <c r="O58" s="331" t="s">
        <v>616</v>
      </c>
      <c r="P58" s="792" t="s">
        <v>623</v>
      </c>
      <c r="AB58" s="314"/>
      <c r="AC58" s="314"/>
      <c r="AD58" s="314"/>
      <c r="AE58" s="314"/>
      <c r="AF58" s="314"/>
      <c r="AG58" s="314"/>
      <c r="AJ58" s="13" t="str">
        <f t="shared" ref="AJ58:AQ58" si="120">IF(OR(E58=$C58,E58=$D58,E58=""),"0","1")</f>
        <v>0</v>
      </c>
      <c r="AK58" s="13" t="str">
        <f t="shared" si="120"/>
        <v>0</v>
      </c>
      <c r="AL58" s="13" t="str">
        <f t="shared" si="120"/>
        <v>0</v>
      </c>
      <c r="AM58" s="13" t="str">
        <f t="shared" si="120"/>
        <v>0</v>
      </c>
      <c r="AN58" s="13" t="str">
        <f t="shared" si="120"/>
        <v>0</v>
      </c>
      <c r="AO58" s="13" t="str">
        <f t="shared" si="120"/>
        <v>0</v>
      </c>
      <c r="AP58" s="13" t="str">
        <f t="shared" si="120"/>
        <v>0</v>
      </c>
      <c r="AQ58" s="13" t="str">
        <f t="shared" si="120"/>
        <v>0</v>
      </c>
      <c r="AR58" s="13" t="str">
        <f t="shared" ref="AR58:AS58" si="121">IF(OR(O58=$C58,O58=$D58,O58=""),"0","1")</f>
        <v>0</v>
      </c>
      <c r="AS58" s="13" t="str">
        <f t="shared" si="121"/>
        <v>0</v>
      </c>
      <c r="AT58" s="698">
        <f t="shared" si="11"/>
        <v>0</v>
      </c>
    </row>
    <row r="59" ht="15.75" customHeight="1">
      <c r="A59" s="788" t="str">
        <f t="shared" si="5"/>
        <v>-</v>
      </c>
      <c r="B59" s="830" t="s">
        <v>515</v>
      </c>
      <c r="C59" s="331" t="s">
        <v>593</v>
      </c>
      <c r="D59" s="331" t="s">
        <v>617</v>
      </c>
      <c r="E59" s="790" t="s">
        <v>617</v>
      </c>
      <c r="F59" s="791" t="s">
        <v>617</v>
      </c>
      <c r="G59" s="331" t="s">
        <v>617</v>
      </c>
      <c r="H59" s="331" t="s">
        <v>617</v>
      </c>
      <c r="I59" s="331" t="s">
        <v>617</v>
      </c>
      <c r="J59" s="331" t="s">
        <v>617</v>
      </c>
      <c r="K59" s="331"/>
      <c r="L59" s="331" t="s">
        <v>593</v>
      </c>
      <c r="M59" s="331" t="s">
        <v>617</v>
      </c>
      <c r="N59" s="331" t="s">
        <v>617</v>
      </c>
      <c r="O59" s="331" t="s">
        <v>617</v>
      </c>
      <c r="P59" s="792" t="s">
        <v>617</v>
      </c>
      <c r="AB59" s="314"/>
      <c r="AC59" s="314"/>
      <c r="AD59" s="314"/>
      <c r="AE59" s="314"/>
      <c r="AF59" s="314"/>
      <c r="AG59" s="314"/>
      <c r="AJ59" s="13" t="str">
        <f t="shared" ref="AJ59:AQ59" si="122">IF(OR(E59=$C59,E59=$D59,E59=""),"0","1")</f>
        <v>0</v>
      </c>
      <c r="AK59" s="13" t="str">
        <f t="shared" si="122"/>
        <v>0</v>
      </c>
      <c r="AL59" s="13" t="str">
        <f t="shared" si="122"/>
        <v>0</v>
      </c>
      <c r="AM59" s="13" t="str">
        <f t="shared" si="122"/>
        <v>0</v>
      </c>
      <c r="AN59" s="13" t="str">
        <f t="shared" si="122"/>
        <v>0</v>
      </c>
      <c r="AO59" s="13" t="str">
        <f t="shared" si="122"/>
        <v>0</v>
      </c>
      <c r="AP59" s="13" t="str">
        <f t="shared" si="122"/>
        <v>0</v>
      </c>
      <c r="AQ59" s="13" t="str">
        <f t="shared" si="122"/>
        <v>0</v>
      </c>
      <c r="AR59" s="13" t="str">
        <f t="shared" ref="AR59:AS59" si="123">IF(OR(O59=$C59,O59=$D59,O59=""),"0","1")</f>
        <v>0</v>
      </c>
      <c r="AS59" s="13" t="str">
        <f t="shared" si="123"/>
        <v>0</v>
      </c>
      <c r="AT59" s="698">
        <f t="shared" si="11"/>
        <v>0</v>
      </c>
    </row>
    <row r="60" ht="15.75" customHeight="1">
      <c r="A60" s="788" t="str">
        <f t="shared" si="5"/>
        <v>-</v>
      </c>
      <c r="B60" s="830" t="s">
        <v>515</v>
      </c>
      <c r="C60" s="331" t="s">
        <v>606</v>
      </c>
      <c r="D60" s="331" t="s">
        <v>610</v>
      </c>
      <c r="E60" s="790" t="s">
        <v>606</v>
      </c>
      <c r="F60" s="791" t="s">
        <v>610</v>
      </c>
      <c r="G60" s="331" t="s">
        <v>606</v>
      </c>
      <c r="H60" s="331" t="s">
        <v>610</v>
      </c>
      <c r="I60" s="331" t="s">
        <v>610</v>
      </c>
      <c r="J60" s="331" t="s">
        <v>610</v>
      </c>
      <c r="K60" s="331"/>
      <c r="L60" s="331" t="s">
        <v>606</v>
      </c>
      <c r="M60" s="331" t="s">
        <v>610</v>
      </c>
      <c r="N60" s="331" t="s">
        <v>606</v>
      </c>
      <c r="O60" s="331" t="s">
        <v>606</v>
      </c>
      <c r="P60" s="792" t="s">
        <v>606</v>
      </c>
      <c r="AB60" s="314"/>
      <c r="AC60" s="314"/>
      <c r="AD60" s="314"/>
      <c r="AE60" s="314"/>
      <c r="AF60" s="314"/>
      <c r="AG60" s="314"/>
      <c r="AJ60" s="13" t="str">
        <f t="shared" ref="AJ60:AQ60" si="124">IF(OR(E60=$C60,E60=$D60,E60=""),"0","1")</f>
        <v>0</v>
      </c>
      <c r="AK60" s="13" t="str">
        <f t="shared" si="124"/>
        <v>0</v>
      </c>
      <c r="AL60" s="13" t="str">
        <f t="shared" si="124"/>
        <v>0</v>
      </c>
      <c r="AM60" s="13" t="str">
        <f t="shared" si="124"/>
        <v>0</v>
      </c>
      <c r="AN60" s="13" t="str">
        <f t="shared" si="124"/>
        <v>0</v>
      </c>
      <c r="AO60" s="13" t="str">
        <f t="shared" si="124"/>
        <v>0</v>
      </c>
      <c r="AP60" s="13" t="str">
        <f t="shared" si="124"/>
        <v>0</v>
      </c>
      <c r="AQ60" s="13" t="str">
        <f t="shared" si="124"/>
        <v>0</v>
      </c>
      <c r="AR60" s="13" t="str">
        <f t="shared" ref="AR60:AS60" si="125">IF(OR(O60=$C60,O60=$D60,O60=""),"0","1")</f>
        <v>0</v>
      </c>
      <c r="AS60" s="13" t="str">
        <f t="shared" si="125"/>
        <v>0</v>
      </c>
      <c r="AT60" s="698">
        <f t="shared" si="11"/>
        <v>0</v>
      </c>
    </row>
    <row r="61" ht="15.75" customHeight="1">
      <c r="A61" s="788" t="str">
        <f t="shared" si="5"/>
        <v>-</v>
      </c>
      <c r="B61" s="830" t="s">
        <v>515</v>
      </c>
      <c r="C61" s="331" t="s">
        <v>619</v>
      </c>
      <c r="D61" s="331" t="s">
        <v>595</v>
      </c>
      <c r="E61" s="790" t="s">
        <v>619</v>
      </c>
      <c r="F61" s="791" t="s">
        <v>619</v>
      </c>
      <c r="G61" s="331" t="s">
        <v>619</v>
      </c>
      <c r="H61" s="331" t="s">
        <v>595</v>
      </c>
      <c r="I61" s="331" t="s">
        <v>619</v>
      </c>
      <c r="J61" s="331" t="s">
        <v>619</v>
      </c>
      <c r="K61" s="331"/>
      <c r="L61" s="331" t="s">
        <v>619</v>
      </c>
      <c r="M61" s="331" t="s">
        <v>619</v>
      </c>
      <c r="N61" s="331" t="s">
        <v>619</v>
      </c>
      <c r="O61" s="331" t="s">
        <v>619</v>
      </c>
      <c r="P61" s="792" t="s">
        <v>619</v>
      </c>
      <c r="AB61" s="314"/>
      <c r="AC61" s="314"/>
      <c r="AD61" s="314"/>
      <c r="AE61" s="314"/>
      <c r="AF61" s="314"/>
      <c r="AG61" s="314"/>
      <c r="AJ61" s="13" t="str">
        <f t="shared" ref="AJ61:AQ61" si="126">IF(OR(E61=$C61,E61=$D61,E61=""),"0","1")</f>
        <v>0</v>
      </c>
      <c r="AK61" s="13" t="str">
        <f t="shared" si="126"/>
        <v>0</v>
      </c>
      <c r="AL61" s="13" t="str">
        <f t="shared" si="126"/>
        <v>0</v>
      </c>
      <c r="AM61" s="13" t="str">
        <f t="shared" si="126"/>
        <v>0</v>
      </c>
      <c r="AN61" s="13" t="str">
        <f t="shared" si="126"/>
        <v>0</v>
      </c>
      <c r="AO61" s="13" t="str">
        <f t="shared" si="126"/>
        <v>0</v>
      </c>
      <c r="AP61" s="13" t="str">
        <f t="shared" si="126"/>
        <v>0</v>
      </c>
      <c r="AQ61" s="13" t="str">
        <f t="shared" si="126"/>
        <v>0</v>
      </c>
      <c r="AR61" s="13" t="str">
        <f t="shared" ref="AR61:AS61" si="127">IF(OR(O61=$C61,O61=$D61,O61=""),"0","1")</f>
        <v>0</v>
      </c>
      <c r="AS61" s="13" t="str">
        <f t="shared" si="127"/>
        <v>0</v>
      </c>
      <c r="AT61" s="698">
        <f t="shared" si="11"/>
        <v>0</v>
      </c>
    </row>
    <row r="62" ht="15.75" customHeight="1">
      <c r="A62" s="788" t="str">
        <f t="shared" si="5"/>
        <v>-</v>
      </c>
      <c r="B62" s="830" t="s">
        <v>515</v>
      </c>
      <c r="C62" s="331" t="s">
        <v>622</v>
      </c>
      <c r="D62" s="331" t="s">
        <v>613</v>
      </c>
      <c r="E62" s="790" t="s">
        <v>613</v>
      </c>
      <c r="F62" s="791" t="s">
        <v>613</v>
      </c>
      <c r="G62" s="331" t="s">
        <v>622</v>
      </c>
      <c r="H62" s="331" t="s">
        <v>622</v>
      </c>
      <c r="I62" s="331" t="s">
        <v>622</v>
      </c>
      <c r="J62" s="331" t="s">
        <v>613</v>
      </c>
      <c r="K62" s="331"/>
      <c r="L62" s="331" t="s">
        <v>622</v>
      </c>
      <c r="M62" s="331" t="s">
        <v>613</v>
      </c>
      <c r="N62" s="331" t="s">
        <v>613</v>
      </c>
      <c r="O62" s="331" t="s">
        <v>613</v>
      </c>
      <c r="P62" s="792" t="s">
        <v>613</v>
      </c>
      <c r="AB62" s="314"/>
      <c r="AC62" s="314"/>
      <c r="AD62" s="314"/>
      <c r="AE62" s="314"/>
      <c r="AF62" s="314"/>
      <c r="AG62" s="314"/>
      <c r="AJ62" s="13" t="str">
        <f t="shared" ref="AJ62:AQ62" si="128">IF(OR(E62=$C62,E62=$D62,E62=""),"0","1")</f>
        <v>0</v>
      </c>
      <c r="AK62" s="13" t="str">
        <f t="shared" si="128"/>
        <v>0</v>
      </c>
      <c r="AL62" s="13" t="str">
        <f t="shared" si="128"/>
        <v>0</v>
      </c>
      <c r="AM62" s="13" t="str">
        <f t="shared" si="128"/>
        <v>0</v>
      </c>
      <c r="AN62" s="13" t="str">
        <f t="shared" si="128"/>
        <v>0</v>
      </c>
      <c r="AO62" s="13" t="str">
        <f t="shared" si="128"/>
        <v>0</v>
      </c>
      <c r="AP62" s="13" t="str">
        <f t="shared" si="128"/>
        <v>0</v>
      </c>
      <c r="AQ62" s="13" t="str">
        <f t="shared" si="128"/>
        <v>0</v>
      </c>
      <c r="AR62" s="13" t="str">
        <f t="shared" ref="AR62:AS62" si="129">IF(OR(O62=$C62,O62=$D62,O62=""),"0","1")</f>
        <v>0</v>
      </c>
      <c r="AS62" s="13" t="str">
        <f t="shared" si="129"/>
        <v>0</v>
      </c>
      <c r="AT62" s="698">
        <f t="shared" si="11"/>
        <v>0</v>
      </c>
    </row>
    <row r="63" ht="15.75" customHeight="1">
      <c r="A63" s="788" t="str">
        <f t="shared" si="5"/>
        <v>-</v>
      </c>
      <c r="B63" s="830" t="s">
        <v>515</v>
      </c>
      <c r="C63" s="331" t="s">
        <v>604</v>
      </c>
      <c r="D63" s="331" t="s">
        <v>611</v>
      </c>
      <c r="E63" s="790" t="s">
        <v>604</v>
      </c>
      <c r="F63" s="791" t="s">
        <v>604</v>
      </c>
      <c r="G63" s="331" t="s">
        <v>604</v>
      </c>
      <c r="H63" s="331" t="s">
        <v>611</v>
      </c>
      <c r="I63" s="331" t="s">
        <v>611</v>
      </c>
      <c r="J63" s="331" t="s">
        <v>604</v>
      </c>
      <c r="K63" s="331"/>
      <c r="L63" s="331" t="s">
        <v>604</v>
      </c>
      <c r="M63" s="331" t="s">
        <v>611</v>
      </c>
      <c r="N63" s="331" t="s">
        <v>611</v>
      </c>
      <c r="O63" s="331" t="s">
        <v>604</v>
      </c>
      <c r="P63" s="792" t="s">
        <v>604</v>
      </c>
      <c r="AB63" s="314"/>
      <c r="AC63" s="314"/>
      <c r="AD63" s="314"/>
      <c r="AE63" s="314"/>
      <c r="AF63" s="314"/>
      <c r="AG63" s="314"/>
      <c r="AJ63" s="13" t="str">
        <f t="shared" ref="AJ63:AQ63" si="130">IF(OR(E63=$C63,E63=$D63,E63=""),"0","1")</f>
        <v>0</v>
      </c>
      <c r="AK63" s="13" t="str">
        <f t="shared" si="130"/>
        <v>0</v>
      </c>
      <c r="AL63" s="13" t="str">
        <f t="shared" si="130"/>
        <v>0</v>
      </c>
      <c r="AM63" s="13" t="str">
        <f t="shared" si="130"/>
        <v>0</v>
      </c>
      <c r="AN63" s="13" t="str">
        <f t="shared" si="130"/>
        <v>0</v>
      </c>
      <c r="AO63" s="13" t="str">
        <f t="shared" si="130"/>
        <v>0</v>
      </c>
      <c r="AP63" s="13" t="str">
        <f t="shared" si="130"/>
        <v>0</v>
      </c>
      <c r="AQ63" s="13" t="str">
        <f t="shared" si="130"/>
        <v>0</v>
      </c>
      <c r="AR63" s="13" t="str">
        <f t="shared" ref="AR63:AS63" si="131">IF(OR(O63=$C63,O63=$D63,O63=""),"0","1")</f>
        <v>0</v>
      </c>
      <c r="AS63" s="13" t="str">
        <f t="shared" si="131"/>
        <v>0</v>
      </c>
      <c r="AT63" s="698">
        <f t="shared" si="11"/>
        <v>0</v>
      </c>
    </row>
    <row r="64" ht="15.75" customHeight="1">
      <c r="A64" s="788" t="str">
        <f t="shared" si="5"/>
        <v>-</v>
      </c>
      <c r="B64" s="830" t="s">
        <v>515</v>
      </c>
      <c r="C64" s="331" t="s">
        <v>612</v>
      </c>
      <c r="D64" s="331" t="s">
        <v>615</v>
      </c>
      <c r="E64" s="790" t="s">
        <v>615</v>
      </c>
      <c r="F64" s="791" t="s">
        <v>615</v>
      </c>
      <c r="G64" s="331" t="s">
        <v>615</v>
      </c>
      <c r="H64" s="331" t="s">
        <v>615</v>
      </c>
      <c r="I64" s="331" t="s">
        <v>612</v>
      </c>
      <c r="J64" s="331" t="s">
        <v>615</v>
      </c>
      <c r="K64" s="331"/>
      <c r="L64" s="331" t="s">
        <v>612</v>
      </c>
      <c r="M64" s="331" t="s">
        <v>615</v>
      </c>
      <c r="N64" s="331" t="s">
        <v>615</v>
      </c>
      <c r="O64" s="331" t="s">
        <v>615</v>
      </c>
      <c r="P64" s="792" t="s">
        <v>612</v>
      </c>
      <c r="AB64" s="314"/>
      <c r="AC64" s="314"/>
      <c r="AD64" s="314"/>
      <c r="AE64" s="314"/>
      <c r="AF64" s="314"/>
      <c r="AG64" s="314"/>
      <c r="AJ64" s="13" t="str">
        <f t="shared" ref="AJ64:AQ64" si="132">IF(OR(E64=$C64,E64=$D64,E64=""),"0","1")</f>
        <v>0</v>
      </c>
      <c r="AK64" s="13" t="str">
        <f t="shared" si="132"/>
        <v>0</v>
      </c>
      <c r="AL64" s="13" t="str">
        <f t="shared" si="132"/>
        <v>0</v>
      </c>
      <c r="AM64" s="13" t="str">
        <f t="shared" si="132"/>
        <v>0</v>
      </c>
      <c r="AN64" s="13" t="str">
        <f t="shared" si="132"/>
        <v>0</v>
      </c>
      <c r="AO64" s="13" t="str">
        <f t="shared" si="132"/>
        <v>0</v>
      </c>
      <c r="AP64" s="13" t="str">
        <f t="shared" si="132"/>
        <v>0</v>
      </c>
      <c r="AQ64" s="13" t="str">
        <f t="shared" si="132"/>
        <v>0</v>
      </c>
      <c r="AR64" s="13" t="str">
        <f t="shared" ref="AR64:AS64" si="133">IF(OR(O64=$C64,O64=$D64,O64=""),"0","1")</f>
        <v>0</v>
      </c>
      <c r="AS64" s="13" t="str">
        <f t="shared" si="133"/>
        <v>0</v>
      </c>
      <c r="AT64" s="698">
        <f t="shared" si="11"/>
        <v>0</v>
      </c>
    </row>
    <row r="65" ht="15.75" customHeight="1">
      <c r="A65" s="788" t="str">
        <f t="shared" si="5"/>
        <v>-</v>
      </c>
      <c r="B65" s="789" t="s">
        <v>516</v>
      </c>
      <c r="C65" s="331" t="s">
        <v>602</v>
      </c>
      <c r="D65" s="331" t="s">
        <v>620</v>
      </c>
      <c r="E65" s="790" t="s">
        <v>620</v>
      </c>
      <c r="F65" s="791" t="s">
        <v>620</v>
      </c>
      <c r="G65" s="331" t="s">
        <v>620</v>
      </c>
      <c r="H65" s="331" t="s">
        <v>620</v>
      </c>
      <c r="I65" s="331" t="s">
        <v>620</v>
      </c>
      <c r="J65" s="331" t="s">
        <v>620</v>
      </c>
      <c r="K65" s="331"/>
      <c r="L65" s="331" t="s">
        <v>620</v>
      </c>
      <c r="M65" s="331" t="s">
        <v>602</v>
      </c>
      <c r="N65" s="331" t="s">
        <v>620</v>
      </c>
      <c r="O65" s="331" t="s">
        <v>602</v>
      </c>
      <c r="P65" s="792" t="s">
        <v>620</v>
      </c>
      <c r="AB65" s="314"/>
      <c r="AC65" s="314"/>
      <c r="AD65" s="314"/>
      <c r="AE65" s="314"/>
      <c r="AF65" s="314"/>
      <c r="AG65" s="314"/>
      <c r="AJ65" s="13" t="str">
        <f t="shared" ref="AJ65:AQ65" si="134">IF(OR(E65=$C65,E65=$D65,E65=""),"0","1")</f>
        <v>0</v>
      </c>
      <c r="AK65" s="13" t="str">
        <f t="shared" si="134"/>
        <v>0</v>
      </c>
      <c r="AL65" s="13" t="str">
        <f t="shared" si="134"/>
        <v>0</v>
      </c>
      <c r="AM65" s="13" t="str">
        <f t="shared" si="134"/>
        <v>0</v>
      </c>
      <c r="AN65" s="13" t="str">
        <f t="shared" si="134"/>
        <v>0</v>
      </c>
      <c r="AO65" s="13" t="str">
        <f t="shared" si="134"/>
        <v>0</v>
      </c>
      <c r="AP65" s="13" t="str">
        <f t="shared" si="134"/>
        <v>0</v>
      </c>
      <c r="AQ65" s="13" t="str">
        <f t="shared" si="134"/>
        <v>0</v>
      </c>
      <c r="AR65" s="13" t="str">
        <f t="shared" ref="AR65:AS65" si="135">IF(OR(O65=$C65,O65=$D65,O65=""),"0","1")</f>
        <v>0</v>
      </c>
      <c r="AS65" s="13" t="str">
        <f t="shared" si="135"/>
        <v>0</v>
      </c>
      <c r="AT65" s="698">
        <f t="shared" si="11"/>
        <v>0</v>
      </c>
    </row>
    <row r="66" ht="15.75" customHeight="1">
      <c r="A66" s="788" t="str">
        <f t="shared" si="5"/>
        <v>-</v>
      </c>
      <c r="B66" s="789" t="s">
        <v>516</v>
      </c>
      <c r="C66" s="331" t="s">
        <v>594</v>
      </c>
      <c r="D66" s="331" t="s">
        <v>598</v>
      </c>
      <c r="E66" s="790" t="s">
        <v>598</v>
      </c>
      <c r="F66" s="791" t="s">
        <v>598</v>
      </c>
      <c r="G66" s="331" t="s">
        <v>598</v>
      </c>
      <c r="H66" s="331" t="s">
        <v>598</v>
      </c>
      <c r="I66" s="331" t="s">
        <v>598</v>
      </c>
      <c r="J66" s="331" t="s">
        <v>598</v>
      </c>
      <c r="K66" s="331"/>
      <c r="L66" s="331" t="s">
        <v>598</v>
      </c>
      <c r="M66" s="331" t="s">
        <v>594</v>
      </c>
      <c r="N66" s="331" t="s">
        <v>598</v>
      </c>
      <c r="O66" s="331" t="s">
        <v>598</v>
      </c>
      <c r="P66" s="792" t="s">
        <v>594</v>
      </c>
      <c r="AB66" s="314"/>
      <c r="AC66" s="314"/>
      <c r="AD66" s="314"/>
      <c r="AE66" s="314"/>
      <c r="AF66" s="314"/>
      <c r="AG66" s="314"/>
      <c r="AJ66" s="13" t="str">
        <f t="shared" ref="AJ66:AQ66" si="136">IF(OR(E66=$C66,E66=$D66,E66=""),"0","1")</f>
        <v>0</v>
      </c>
      <c r="AK66" s="13" t="str">
        <f t="shared" si="136"/>
        <v>0</v>
      </c>
      <c r="AL66" s="13" t="str">
        <f t="shared" si="136"/>
        <v>0</v>
      </c>
      <c r="AM66" s="13" t="str">
        <f t="shared" si="136"/>
        <v>0</v>
      </c>
      <c r="AN66" s="13" t="str">
        <f t="shared" si="136"/>
        <v>0</v>
      </c>
      <c r="AO66" s="13" t="str">
        <f t="shared" si="136"/>
        <v>0</v>
      </c>
      <c r="AP66" s="13" t="str">
        <f t="shared" si="136"/>
        <v>0</v>
      </c>
      <c r="AQ66" s="13" t="str">
        <f t="shared" si="136"/>
        <v>0</v>
      </c>
      <c r="AR66" s="13" t="str">
        <f t="shared" ref="AR66:AS66" si="137">IF(OR(O66=$C66,O66=$D66,O66=""),"0","1")</f>
        <v>0</v>
      </c>
      <c r="AS66" s="13" t="str">
        <f t="shared" si="137"/>
        <v>0</v>
      </c>
      <c r="AT66" s="698">
        <f t="shared" si="11"/>
        <v>0</v>
      </c>
    </row>
    <row r="67" ht="15.75" customHeight="1">
      <c r="A67" s="788" t="str">
        <f t="shared" si="5"/>
        <v>-</v>
      </c>
      <c r="B67" s="789" t="s">
        <v>516</v>
      </c>
      <c r="C67" s="331" t="s">
        <v>613</v>
      </c>
      <c r="D67" s="331" t="s">
        <v>624</v>
      </c>
      <c r="E67" s="790" t="s">
        <v>613</v>
      </c>
      <c r="F67" s="791" t="s">
        <v>613</v>
      </c>
      <c r="G67" s="331" t="s">
        <v>613</v>
      </c>
      <c r="H67" s="331" t="s">
        <v>613</v>
      </c>
      <c r="I67" s="331" t="s">
        <v>613</v>
      </c>
      <c r="J67" s="331" t="s">
        <v>613</v>
      </c>
      <c r="K67" s="331"/>
      <c r="L67" s="331" t="s">
        <v>613</v>
      </c>
      <c r="M67" s="331" t="s">
        <v>624</v>
      </c>
      <c r="N67" s="331" t="s">
        <v>613</v>
      </c>
      <c r="O67" s="331" t="s">
        <v>613</v>
      </c>
      <c r="P67" s="792" t="s">
        <v>613</v>
      </c>
      <c r="AB67" s="314"/>
      <c r="AC67" s="314"/>
      <c r="AD67" s="314"/>
      <c r="AE67" s="314"/>
      <c r="AF67" s="314"/>
      <c r="AG67" s="314"/>
      <c r="AJ67" s="13" t="str">
        <f t="shared" ref="AJ67:AQ67" si="138">IF(OR(E67=$C67,E67=$D67,E67=""),"0","1")</f>
        <v>0</v>
      </c>
      <c r="AK67" s="13" t="str">
        <f t="shared" si="138"/>
        <v>0</v>
      </c>
      <c r="AL67" s="13" t="str">
        <f t="shared" si="138"/>
        <v>0</v>
      </c>
      <c r="AM67" s="13" t="str">
        <f t="shared" si="138"/>
        <v>0</v>
      </c>
      <c r="AN67" s="13" t="str">
        <f t="shared" si="138"/>
        <v>0</v>
      </c>
      <c r="AO67" s="13" t="str">
        <f t="shared" si="138"/>
        <v>0</v>
      </c>
      <c r="AP67" s="13" t="str">
        <f t="shared" si="138"/>
        <v>0</v>
      </c>
      <c r="AQ67" s="13" t="str">
        <f t="shared" si="138"/>
        <v>0</v>
      </c>
      <c r="AR67" s="13" t="str">
        <f t="shared" ref="AR67:AS67" si="139">IF(OR(O67=$C67,O67=$D67,O67=""),"0","1")</f>
        <v>0</v>
      </c>
      <c r="AS67" s="13" t="str">
        <f t="shared" si="139"/>
        <v>0</v>
      </c>
      <c r="AT67" s="698">
        <f t="shared" si="11"/>
        <v>0</v>
      </c>
    </row>
    <row r="68" ht="15.75" customHeight="1">
      <c r="A68" s="788" t="str">
        <f t="shared" si="5"/>
        <v>-</v>
      </c>
      <c r="B68" s="789" t="s">
        <v>516</v>
      </c>
      <c r="C68" s="331" t="s">
        <v>608</v>
      </c>
      <c r="D68" s="331" t="s">
        <v>621</v>
      </c>
      <c r="E68" s="790" t="s">
        <v>621</v>
      </c>
      <c r="F68" s="791" t="s">
        <v>621</v>
      </c>
      <c r="G68" s="331" t="s">
        <v>621</v>
      </c>
      <c r="H68" s="331" t="s">
        <v>608</v>
      </c>
      <c r="I68" s="331" t="s">
        <v>621</v>
      </c>
      <c r="J68" s="331" t="s">
        <v>621</v>
      </c>
      <c r="K68" s="331"/>
      <c r="L68" s="331" t="s">
        <v>608</v>
      </c>
      <c r="M68" s="331" t="s">
        <v>621</v>
      </c>
      <c r="N68" s="331" t="s">
        <v>608</v>
      </c>
      <c r="O68" s="331" t="s">
        <v>621</v>
      </c>
      <c r="P68" s="792" t="s">
        <v>608</v>
      </c>
      <c r="AB68" s="314"/>
      <c r="AC68" s="314"/>
      <c r="AD68" s="314"/>
      <c r="AE68" s="314"/>
      <c r="AF68" s="314"/>
      <c r="AG68" s="314"/>
      <c r="AJ68" s="13" t="str">
        <f t="shared" ref="AJ68:AQ68" si="140">IF(OR(E68=$C68,E68=$D68,E68=""),"0","1")</f>
        <v>0</v>
      </c>
      <c r="AK68" s="13" t="str">
        <f t="shared" si="140"/>
        <v>0</v>
      </c>
      <c r="AL68" s="13" t="str">
        <f t="shared" si="140"/>
        <v>0</v>
      </c>
      <c r="AM68" s="13" t="str">
        <f t="shared" si="140"/>
        <v>0</v>
      </c>
      <c r="AN68" s="13" t="str">
        <f t="shared" si="140"/>
        <v>0</v>
      </c>
      <c r="AO68" s="13" t="str">
        <f t="shared" si="140"/>
        <v>0</v>
      </c>
      <c r="AP68" s="13" t="str">
        <f t="shared" si="140"/>
        <v>0</v>
      </c>
      <c r="AQ68" s="13" t="str">
        <f t="shared" si="140"/>
        <v>0</v>
      </c>
      <c r="AR68" s="13" t="str">
        <f t="shared" ref="AR68:AS68" si="141">IF(OR(O68=$C68,O68=$D68,O68=""),"0","1")</f>
        <v>0</v>
      </c>
      <c r="AS68" s="13" t="str">
        <f t="shared" si="141"/>
        <v>0</v>
      </c>
      <c r="AT68" s="698">
        <f t="shared" si="11"/>
        <v>0</v>
      </c>
    </row>
    <row r="69" ht="15.75" customHeight="1">
      <c r="A69" s="788" t="str">
        <f t="shared" si="5"/>
        <v>-</v>
      </c>
      <c r="B69" s="789" t="s">
        <v>516</v>
      </c>
      <c r="C69" s="331" t="s">
        <v>611</v>
      </c>
      <c r="D69" s="331" t="s">
        <v>593</v>
      </c>
      <c r="E69" s="790" t="s">
        <v>593</v>
      </c>
      <c r="F69" s="791" t="s">
        <v>611</v>
      </c>
      <c r="G69" s="331" t="s">
        <v>593</v>
      </c>
      <c r="H69" s="331" t="s">
        <v>611</v>
      </c>
      <c r="I69" s="331" t="s">
        <v>611</v>
      </c>
      <c r="J69" s="331" t="s">
        <v>593</v>
      </c>
      <c r="K69" s="331"/>
      <c r="L69" s="331" t="s">
        <v>593</v>
      </c>
      <c r="M69" s="331" t="s">
        <v>611</v>
      </c>
      <c r="N69" s="331" t="s">
        <v>611</v>
      </c>
      <c r="O69" s="331" t="s">
        <v>593</v>
      </c>
      <c r="P69" s="792" t="s">
        <v>593</v>
      </c>
      <c r="AB69" s="314"/>
      <c r="AC69" s="314"/>
      <c r="AD69" s="314"/>
      <c r="AE69" s="314"/>
      <c r="AF69" s="314"/>
      <c r="AG69" s="314"/>
      <c r="AJ69" s="13" t="str">
        <f t="shared" ref="AJ69:AQ69" si="142">IF(OR(E69=$C69,E69=$D69,E69=""),"0","1")</f>
        <v>0</v>
      </c>
      <c r="AK69" s="13" t="str">
        <f t="shared" si="142"/>
        <v>0</v>
      </c>
      <c r="AL69" s="13" t="str">
        <f t="shared" si="142"/>
        <v>0</v>
      </c>
      <c r="AM69" s="13" t="str">
        <f t="shared" si="142"/>
        <v>0</v>
      </c>
      <c r="AN69" s="13" t="str">
        <f t="shared" si="142"/>
        <v>0</v>
      </c>
      <c r="AO69" s="13" t="str">
        <f t="shared" si="142"/>
        <v>0</v>
      </c>
      <c r="AP69" s="13" t="str">
        <f t="shared" si="142"/>
        <v>0</v>
      </c>
      <c r="AQ69" s="13" t="str">
        <f t="shared" si="142"/>
        <v>0</v>
      </c>
      <c r="AR69" s="13" t="str">
        <f t="shared" ref="AR69:AS69" si="143">IF(OR(O69=$C69,O69=$D69,O69=""),"0","1")</f>
        <v>0</v>
      </c>
      <c r="AS69" s="13" t="str">
        <f t="shared" si="143"/>
        <v>0</v>
      </c>
      <c r="AT69" s="698">
        <f t="shared" si="11"/>
        <v>0</v>
      </c>
    </row>
    <row r="70" ht="15.75" customHeight="1">
      <c r="A70" s="788" t="str">
        <f t="shared" si="5"/>
        <v>-</v>
      </c>
      <c r="B70" s="789" t="s">
        <v>516</v>
      </c>
      <c r="C70" s="331" t="s">
        <v>606</v>
      </c>
      <c r="D70" s="331" t="s">
        <v>623</v>
      </c>
      <c r="E70" s="790" t="s">
        <v>623</v>
      </c>
      <c r="F70" s="791" t="s">
        <v>623</v>
      </c>
      <c r="G70" s="331" t="s">
        <v>623</v>
      </c>
      <c r="H70" s="331" t="s">
        <v>623</v>
      </c>
      <c r="I70" s="331" t="s">
        <v>623</v>
      </c>
      <c r="J70" s="331" t="s">
        <v>623</v>
      </c>
      <c r="K70" s="331"/>
      <c r="L70" s="331" t="s">
        <v>623</v>
      </c>
      <c r="M70" s="331" t="s">
        <v>623</v>
      </c>
      <c r="N70" s="331" t="s">
        <v>623</v>
      </c>
      <c r="O70" s="331" t="s">
        <v>623</v>
      </c>
      <c r="P70" s="792" t="s">
        <v>623</v>
      </c>
      <c r="AB70" s="314"/>
      <c r="AC70" s="314"/>
      <c r="AD70" s="314"/>
      <c r="AE70" s="314"/>
      <c r="AF70" s="314"/>
      <c r="AG70" s="314"/>
      <c r="AJ70" s="13" t="str">
        <f t="shared" ref="AJ70:AQ70" si="144">IF(OR(E70=$C70,E70=$D70,E70=""),"0","1")</f>
        <v>0</v>
      </c>
      <c r="AK70" s="13" t="str">
        <f t="shared" si="144"/>
        <v>0</v>
      </c>
      <c r="AL70" s="13" t="str">
        <f t="shared" si="144"/>
        <v>0</v>
      </c>
      <c r="AM70" s="13" t="str">
        <f t="shared" si="144"/>
        <v>0</v>
      </c>
      <c r="AN70" s="13" t="str">
        <f t="shared" si="144"/>
        <v>0</v>
      </c>
      <c r="AO70" s="13" t="str">
        <f t="shared" si="144"/>
        <v>0</v>
      </c>
      <c r="AP70" s="13" t="str">
        <f t="shared" si="144"/>
        <v>0</v>
      </c>
      <c r="AQ70" s="13" t="str">
        <f t="shared" si="144"/>
        <v>0</v>
      </c>
      <c r="AR70" s="13" t="str">
        <f t="shared" ref="AR70:AS70" si="145">IF(OR(O70=$C70,O70=$D70,O70=""),"0","1")</f>
        <v>0</v>
      </c>
      <c r="AS70" s="13" t="str">
        <f t="shared" si="145"/>
        <v>0</v>
      </c>
      <c r="AT70" s="698">
        <f t="shared" si="11"/>
        <v>0</v>
      </c>
    </row>
    <row r="71" ht="15.75" customHeight="1">
      <c r="A71" s="788" t="str">
        <f t="shared" si="5"/>
        <v>-</v>
      </c>
      <c r="B71" s="789" t="s">
        <v>516</v>
      </c>
      <c r="C71" s="331" t="s">
        <v>622</v>
      </c>
      <c r="D71" s="331" t="s">
        <v>597</v>
      </c>
      <c r="E71" s="790" t="s">
        <v>597</v>
      </c>
      <c r="F71" s="791" t="s">
        <v>597</v>
      </c>
      <c r="G71" s="331" t="s">
        <v>597</v>
      </c>
      <c r="H71" s="331" t="s">
        <v>622</v>
      </c>
      <c r="I71" s="331" t="s">
        <v>622</v>
      </c>
      <c r="J71" s="331" t="s">
        <v>597</v>
      </c>
      <c r="K71" s="331"/>
      <c r="L71" s="331" t="s">
        <v>622</v>
      </c>
      <c r="M71" s="331" t="s">
        <v>622</v>
      </c>
      <c r="N71" s="331" t="s">
        <v>597</v>
      </c>
      <c r="O71" s="331" t="s">
        <v>622</v>
      </c>
      <c r="P71" s="792" t="s">
        <v>622</v>
      </c>
      <c r="AB71" s="314"/>
      <c r="AC71" s="314"/>
      <c r="AD71" s="314"/>
      <c r="AE71" s="314"/>
      <c r="AF71" s="314"/>
      <c r="AG71" s="314"/>
      <c r="AJ71" s="13" t="str">
        <f t="shared" ref="AJ71:AQ71" si="146">IF(OR(E71=$C71,E71=$D71,E71=""),"0","1")</f>
        <v>0</v>
      </c>
      <c r="AK71" s="13" t="str">
        <f t="shared" si="146"/>
        <v>0</v>
      </c>
      <c r="AL71" s="13" t="str">
        <f t="shared" si="146"/>
        <v>0</v>
      </c>
      <c r="AM71" s="13" t="str">
        <f t="shared" si="146"/>
        <v>0</v>
      </c>
      <c r="AN71" s="13" t="str">
        <f t="shared" si="146"/>
        <v>0</v>
      </c>
      <c r="AO71" s="13" t="str">
        <f t="shared" si="146"/>
        <v>0</v>
      </c>
      <c r="AP71" s="13" t="str">
        <f t="shared" si="146"/>
        <v>0</v>
      </c>
      <c r="AQ71" s="13" t="str">
        <f t="shared" si="146"/>
        <v>0</v>
      </c>
      <c r="AR71" s="13" t="str">
        <f t="shared" ref="AR71:AS71" si="147">IF(OR(O71=$C71,O71=$D71,O71=""),"0","1")</f>
        <v>0</v>
      </c>
      <c r="AS71" s="13" t="str">
        <f t="shared" si="147"/>
        <v>0</v>
      </c>
      <c r="AT71" s="698">
        <f t="shared" si="11"/>
        <v>0</v>
      </c>
    </row>
    <row r="72" ht="15.75" customHeight="1">
      <c r="A72" s="788" t="str">
        <f t="shared" si="5"/>
        <v>-</v>
      </c>
      <c r="B72" s="789" t="s">
        <v>516</v>
      </c>
      <c r="C72" s="331" t="s">
        <v>609</v>
      </c>
      <c r="D72" s="331" t="s">
        <v>607</v>
      </c>
      <c r="E72" s="790" t="s">
        <v>607</v>
      </c>
      <c r="F72" s="791" t="s">
        <v>607</v>
      </c>
      <c r="G72" s="331" t="s">
        <v>607</v>
      </c>
      <c r="H72" s="331" t="s">
        <v>607</v>
      </c>
      <c r="I72" s="331" t="s">
        <v>607</v>
      </c>
      <c r="J72" s="331" t="s">
        <v>607</v>
      </c>
      <c r="K72" s="331"/>
      <c r="L72" s="331" t="s">
        <v>607</v>
      </c>
      <c r="M72" s="331" t="s">
        <v>607</v>
      </c>
      <c r="N72" s="331" t="s">
        <v>607</v>
      </c>
      <c r="O72" s="331" t="s">
        <v>607</v>
      </c>
      <c r="P72" s="792" t="s">
        <v>607</v>
      </c>
      <c r="AB72" s="314"/>
      <c r="AC72" s="314"/>
      <c r="AD72" s="314"/>
      <c r="AE72" s="314"/>
      <c r="AF72" s="314"/>
      <c r="AG72" s="314"/>
      <c r="AJ72" s="13" t="str">
        <f t="shared" ref="AJ72:AQ72" si="148">IF(OR(E72=$C72,E72=$D72,E72=""),"0","1")</f>
        <v>0</v>
      </c>
      <c r="AK72" s="13" t="str">
        <f t="shared" si="148"/>
        <v>0</v>
      </c>
      <c r="AL72" s="13" t="str">
        <f t="shared" si="148"/>
        <v>0</v>
      </c>
      <c r="AM72" s="13" t="str">
        <f t="shared" si="148"/>
        <v>0</v>
      </c>
      <c r="AN72" s="13" t="str">
        <f t="shared" si="148"/>
        <v>0</v>
      </c>
      <c r="AO72" s="13" t="str">
        <f t="shared" si="148"/>
        <v>0</v>
      </c>
      <c r="AP72" s="13" t="str">
        <f t="shared" si="148"/>
        <v>0</v>
      </c>
      <c r="AQ72" s="13" t="str">
        <f t="shared" si="148"/>
        <v>0</v>
      </c>
      <c r="AR72" s="13" t="str">
        <f t="shared" ref="AR72:AS72" si="149">IF(OR(O72=$C72,O72=$D72,O72=""),"0","1")</f>
        <v>0</v>
      </c>
      <c r="AS72" s="13" t="str">
        <f t="shared" si="149"/>
        <v>0</v>
      </c>
      <c r="AT72" s="698">
        <f t="shared" si="11"/>
        <v>0</v>
      </c>
    </row>
    <row r="73" ht="15.75" customHeight="1">
      <c r="A73" s="788" t="str">
        <f t="shared" si="5"/>
        <v>-</v>
      </c>
      <c r="B73" s="789" t="s">
        <v>516</v>
      </c>
      <c r="C73" s="331" t="s">
        <v>610</v>
      </c>
      <c r="D73" s="331" t="s">
        <v>601</v>
      </c>
      <c r="E73" s="790" t="s">
        <v>601</v>
      </c>
      <c r="F73" s="791" t="s">
        <v>601</v>
      </c>
      <c r="G73" s="331" t="s">
        <v>601</v>
      </c>
      <c r="H73" s="331" t="s">
        <v>601</v>
      </c>
      <c r="I73" s="331" t="s">
        <v>610</v>
      </c>
      <c r="J73" s="331" t="s">
        <v>601</v>
      </c>
      <c r="K73" s="331"/>
      <c r="L73" s="331" t="s">
        <v>601</v>
      </c>
      <c r="M73" s="331" t="s">
        <v>610</v>
      </c>
      <c r="N73" s="331" t="s">
        <v>610</v>
      </c>
      <c r="O73" s="331" t="s">
        <v>601</v>
      </c>
      <c r="P73" s="792" t="s">
        <v>610</v>
      </c>
      <c r="AB73" s="314"/>
      <c r="AC73" s="314"/>
      <c r="AD73" s="314"/>
      <c r="AE73" s="314"/>
      <c r="AF73" s="314"/>
      <c r="AG73" s="314"/>
      <c r="AJ73" s="13" t="str">
        <f t="shared" ref="AJ73:AQ73" si="150">IF(OR(E73=$C73,E73=$D73,E73=""),"0","1")</f>
        <v>0</v>
      </c>
      <c r="AK73" s="13" t="str">
        <f t="shared" si="150"/>
        <v>0</v>
      </c>
      <c r="AL73" s="13" t="str">
        <f t="shared" si="150"/>
        <v>0</v>
      </c>
      <c r="AM73" s="13" t="str">
        <f t="shared" si="150"/>
        <v>0</v>
      </c>
      <c r="AN73" s="13" t="str">
        <f t="shared" si="150"/>
        <v>0</v>
      </c>
      <c r="AO73" s="13" t="str">
        <f t="shared" si="150"/>
        <v>0</v>
      </c>
      <c r="AP73" s="13" t="str">
        <f t="shared" si="150"/>
        <v>0</v>
      </c>
      <c r="AQ73" s="13" t="str">
        <f t="shared" si="150"/>
        <v>0</v>
      </c>
      <c r="AR73" s="13" t="str">
        <f t="shared" ref="AR73:AS73" si="151">IF(OR(O73=$C73,O73=$D73,O73=""),"0","1")</f>
        <v>0</v>
      </c>
      <c r="AS73" s="13" t="str">
        <f t="shared" si="151"/>
        <v>0</v>
      </c>
      <c r="AT73" s="698">
        <f t="shared" si="11"/>
        <v>0</v>
      </c>
    </row>
    <row r="74" ht="15.75" customHeight="1">
      <c r="A74" s="788" t="str">
        <f t="shared" si="5"/>
        <v>-</v>
      </c>
      <c r="B74" s="789" t="s">
        <v>516</v>
      </c>
      <c r="C74" s="331" t="s">
        <v>616</v>
      </c>
      <c r="D74" s="331" t="s">
        <v>617</v>
      </c>
      <c r="E74" s="790" t="s">
        <v>617</v>
      </c>
      <c r="F74" s="791" t="s">
        <v>616</v>
      </c>
      <c r="G74" s="331" t="s">
        <v>617</v>
      </c>
      <c r="H74" s="331" t="s">
        <v>617</v>
      </c>
      <c r="I74" s="331" t="s">
        <v>617</v>
      </c>
      <c r="J74" s="331" t="s">
        <v>617</v>
      </c>
      <c r="K74" s="331"/>
      <c r="L74" s="331" t="s">
        <v>617</v>
      </c>
      <c r="M74" s="331" t="s">
        <v>617</v>
      </c>
      <c r="N74" s="331" t="s">
        <v>617</v>
      </c>
      <c r="O74" s="331" t="s">
        <v>617</v>
      </c>
      <c r="P74" s="792" t="s">
        <v>617</v>
      </c>
      <c r="AB74" s="314"/>
      <c r="AC74" s="314"/>
      <c r="AD74" s="314"/>
      <c r="AE74" s="314"/>
      <c r="AF74" s="314"/>
      <c r="AG74" s="314"/>
      <c r="AJ74" s="13" t="str">
        <f t="shared" ref="AJ74:AQ74" si="152">IF(OR(E74=$C74,E74=$D74,E74=""),"0","1")</f>
        <v>0</v>
      </c>
      <c r="AK74" s="13" t="str">
        <f t="shared" si="152"/>
        <v>0</v>
      </c>
      <c r="AL74" s="13" t="str">
        <f t="shared" si="152"/>
        <v>0</v>
      </c>
      <c r="AM74" s="13" t="str">
        <f t="shared" si="152"/>
        <v>0</v>
      </c>
      <c r="AN74" s="13" t="str">
        <f t="shared" si="152"/>
        <v>0</v>
      </c>
      <c r="AO74" s="13" t="str">
        <f t="shared" si="152"/>
        <v>0</v>
      </c>
      <c r="AP74" s="13" t="str">
        <f t="shared" si="152"/>
        <v>0</v>
      </c>
      <c r="AQ74" s="13" t="str">
        <f t="shared" si="152"/>
        <v>0</v>
      </c>
      <c r="AR74" s="13" t="str">
        <f t="shared" ref="AR74:AS74" si="153">IF(OR(O74=$C74,O74=$D74,O74=""),"0","1")</f>
        <v>0</v>
      </c>
      <c r="AS74" s="13" t="str">
        <f t="shared" si="153"/>
        <v>0</v>
      </c>
      <c r="AT74" s="698">
        <f t="shared" si="11"/>
        <v>0</v>
      </c>
    </row>
    <row r="75" ht="15.75" customHeight="1">
      <c r="A75" s="788" t="str">
        <f t="shared" si="5"/>
        <v>-</v>
      </c>
      <c r="B75" s="789" t="s">
        <v>516</v>
      </c>
      <c r="C75" s="331" t="s">
        <v>603</v>
      </c>
      <c r="D75" s="331" t="s">
        <v>618</v>
      </c>
      <c r="E75" s="790" t="s">
        <v>603</v>
      </c>
      <c r="F75" s="791" t="s">
        <v>603</v>
      </c>
      <c r="G75" s="331" t="s">
        <v>603</v>
      </c>
      <c r="H75" s="331" t="s">
        <v>603</v>
      </c>
      <c r="I75" s="331" t="s">
        <v>603</v>
      </c>
      <c r="J75" s="331" t="s">
        <v>603</v>
      </c>
      <c r="K75" s="331"/>
      <c r="L75" s="331" t="s">
        <v>603</v>
      </c>
      <c r="M75" s="331" t="s">
        <v>603</v>
      </c>
      <c r="N75" s="331" t="s">
        <v>603</v>
      </c>
      <c r="O75" s="331" t="s">
        <v>603</v>
      </c>
      <c r="P75" s="792" t="s">
        <v>603</v>
      </c>
      <c r="AB75" s="314"/>
      <c r="AC75" s="314"/>
      <c r="AD75" s="314"/>
      <c r="AE75" s="314"/>
      <c r="AF75" s="314"/>
      <c r="AG75" s="314"/>
      <c r="AJ75" s="13" t="str">
        <f t="shared" ref="AJ75:AQ75" si="154">IF(OR(E75=$C75,E75=$D75,E75=""),"0","1")</f>
        <v>0</v>
      </c>
      <c r="AK75" s="13" t="str">
        <f t="shared" si="154"/>
        <v>0</v>
      </c>
      <c r="AL75" s="13" t="str">
        <f t="shared" si="154"/>
        <v>0</v>
      </c>
      <c r="AM75" s="13" t="str">
        <f t="shared" si="154"/>
        <v>0</v>
      </c>
      <c r="AN75" s="13" t="str">
        <f t="shared" si="154"/>
        <v>0</v>
      </c>
      <c r="AO75" s="13" t="str">
        <f t="shared" si="154"/>
        <v>0</v>
      </c>
      <c r="AP75" s="13" t="str">
        <f t="shared" si="154"/>
        <v>0</v>
      </c>
      <c r="AQ75" s="13" t="str">
        <f t="shared" si="154"/>
        <v>0</v>
      </c>
      <c r="AR75" s="13" t="str">
        <f t="shared" ref="AR75:AS75" si="155">IF(OR(O75=$C75,O75=$D75,O75=""),"0","1")</f>
        <v>0</v>
      </c>
      <c r="AS75" s="13" t="str">
        <f t="shared" si="155"/>
        <v>0</v>
      </c>
      <c r="AT75" s="698">
        <f t="shared" si="11"/>
        <v>0</v>
      </c>
    </row>
    <row r="76" ht="15.75" customHeight="1">
      <c r="A76" s="788" t="str">
        <f t="shared" si="5"/>
        <v>-</v>
      </c>
      <c r="B76" s="789" t="s">
        <v>516</v>
      </c>
      <c r="C76" s="331" t="s">
        <v>605</v>
      </c>
      <c r="D76" s="331" t="s">
        <v>612</v>
      </c>
      <c r="E76" s="790" t="s">
        <v>612</v>
      </c>
      <c r="F76" s="791" t="s">
        <v>605</v>
      </c>
      <c r="G76" s="331" t="s">
        <v>612</v>
      </c>
      <c r="H76" s="331" t="s">
        <v>612</v>
      </c>
      <c r="I76" s="331" t="s">
        <v>612</v>
      </c>
      <c r="J76" s="331" t="s">
        <v>612</v>
      </c>
      <c r="K76" s="331"/>
      <c r="L76" s="331" t="s">
        <v>612</v>
      </c>
      <c r="M76" s="331" t="s">
        <v>612</v>
      </c>
      <c r="N76" s="331" t="s">
        <v>612</v>
      </c>
      <c r="O76" s="331" t="s">
        <v>612</v>
      </c>
      <c r="P76" s="792" t="s">
        <v>612</v>
      </c>
      <c r="AB76" s="314"/>
      <c r="AC76" s="314"/>
      <c r="AD76" s="314"/>
      <c r="AE76" s="314"/>
      <c r="AF76" s="314"/>
      <c r="AG76" s="314"/>
      <c r="AJ76" s="13" t="str">
        <f t="shared" ref="AJ76:AQ76" si="156">IF(OR(E76=$C76,E76=$D76,E76=""),"0","1")</f>
        <v>0</v>
      </c>
      <c r="AK76" s="13" t="str">
        <f t="shared" si="156"/>
        <v>0</v>
      </c>
      <c r="AL76" s="13" t="str">
        <f t="shared" si="156"/>
        <v>0</v>
      </c>
      <c r="AM76" s="13" t="str">
        <f t="shared" si="156"/>
        <v>0</v>
      </c>
      <c r="AN76" s="13" t="str">
        <f t="shared" si="156"/>
        <v>0</v>
      </c>
      <c r="AO76" s="13" t="str">
        <f t="shared" si="156"/>
        <v>0</v>
      </c>
      <c r="AP76" s="13" t="str">
        <f t="shared" si="156"/>
        <v>0</v>
      </c>
      <c r="AQ76" s="13" t="str">
        <f t="shared" si="156"/>
        <v>0</v>
      </c>
      <c r="AR76" s="13" t="str">
        <f t="shared" ref="AR76:AS76" si="157">IF(OR(O76=$C76,O76=$D76,O76=""),"0","1")</f>
        <v>0</v>
      </c>
      <c r="AS76" s="13" t="str">
        <f t="shared" si="157"/>
        <v>0</v>
      </c>
      <c r="AT76" s="698">
        <f t="shared" si="11"/>
        <v>0</v>
      </c>
    </row>
    <row r="77" ht="15.75" customHeight="1">
      <c r="A77" s="788" t="str">
        <f t="shared" si="5"/>
        <v>-</v>
      </c>
      <c r="B77" s="789" t="s">
        <v>516</v>
      </c>
      <c r="C77" s="331" t="s">
        <v>614</v>
      </c>
      <c r="D77" s="331" t="s">
        <v>596</v>
      </c>
      <c r="E77" s="790" t="s">
        <v>596</v>
      </c>
      <c r="F77" s="791" t="s">
        <v>614</v>
      </c>
      <c r="G77" s="331" t="s">
        <v>614</v>
      </c>
      <c r="H77" s="331" t="s">
        <v>596</v>
      </c>
      <c r="I77" s="331" t="s">
        <v>614</v>
      </c>
      <c r="J77" s="331" t="s">
        <v>596</v>
      </c>
      <c r="K77" s="331"/>
      <c r="L77" s="331" t="s">
        <v>596</v>
      </c>
      <c r="M77" s="331" t="s">
        <v>614</v>
      </c>
      <c r="N77" s="331" t="s">
        <v>596</v>
      </c>
      <c r="O77" s="331" t="s">
        <v>596</v>
      </c>
      <c r="P77" s="792" t="s">
        <v>614</v>
      </c>
      <c r="AB77" s="314"/>
      <c r="AC77" s="314"/>
      <c r="AD77" s="314"/>
      <c r="AE77" s="314"/>
      <c r="AF77" s="314"/>
      <c r="AG77" s="314"/>
      <c r="AJ77" s="13" t="str">
        <f t="shared" ref="AJ77:AQ77" si="158">IF(OR(E77=$C77,E77=$D77,E77=""),"0","1")</f>
        <v>0</v>
      </c>
      <c r="AK77" s="13" t="str">
        <f t="shared" si="158"/>
        <v>0</v>
      </c>
      <c r="AL77" s="13" t="str">
        <f t="shared" si="158"/>
        <v>0</v>
      </c>
      <c r="AM77" s="13" t="str">
        <f t="shared" si="158"/>
        <v>0</v>
      </c>
      <c r="AN77" s="13" t="str">
        <f t="shared" si="158"/>
        <v>0</v>
      </c>
      <c r="AO77" s="13" t="str">
        <f t="shared" si="158"/>
        <v>0</v>
      </c>
      <c r="AP77" s="13" t="str">
        <f t="shared" si="158"/>
        <v>0</v>
      </c>
      <c r="AQ77" s="13" t="str">
        <f t="shared" si="158"/>
        <v>0</v>
      </c>
      <c r="AR77" s="13" t="str">
        <f t="shared" ref="AR77:AS77" si="159">IF(OR(O77=$C77,O77=$D77,O77=""),"0","1")</f>
        <v>0</v>
      </c>
      <c r="AS77" s="13" t="str">
        <f t="shared" si="159"/>
        <v>0</v>
      </c>
      <c r="AT77" s="698">
        <f t="shared" si="11"/>
        <v>0</v>
      </c>
    </row>
    <row r="78" ht="15.75" customHeight="1">
      <c r="A78" s="788" t="str">
        <f t="shared" si="5"/>
        <v>-</v>
      </c>
      <c r="B78" s="789" t="s">
        <v>516</v>
      </c>
      <c r="C78" s="331" t="s">
        <v>600</v>
      </c>
      <c r="D78" s="331" t="s">
        <v>619</v>
      </c>
      <c r="E78" s="790" t="s">
        <v>619</v>
      </c>
      <c r="F78" s="791" t="s">
        <v>619</v>
      </c>
      <c r="G78" s="331" t="s">
        <v>619</v>
      </c>
      <c r="H78" s="331" t="s">
        <v>600</v>
      </c>
      <c r="I78" s="331" t="s">
        <v>619</v>
      </c>
      <c r="J78" s="331" t="s">
        <v>619</v>
      </c>
      <c r="K78" s="331"/>
      <c r="L78" s="331" t="s">
        <v>619</v>
      </c>
      <c r="M78" s="331" t="s">
        <v>619</v>
      </c>
      <c r="N78" s="331" t="s">
        <v>619</v>
      </c>
      <c r="O78" s="331" t="s">
        <v>619</v>
      </c>
      <c r="P78" s="792" t="s">
        <v>619</v>
      </c>
      <c r="AB78" s="314"/>
      <c r="AC78" s="314"/>
      <c r="AD78" s="314"/>
      <c r="AE78" s="314"/>
      <c r="AF78" s="314"/>
      <c r="AG78" s="314"/>
      <c r="AJ78" s="13" t="str">
        <f t="shared" ref="AJ78:AQ78" si="160">IF(OR(E78=$C78,E78=$D78,E78=""),"0","1")</f>
        <v>0</v>
      </c>
      <c r="AK78" s="13" t="str">
        <f t="shared" si="160"/>
        <v>0</v>
      </c>
      <c r="AL78" s="13" t="str">
        <f t="shared" si="160"/>
        <v>0</v>
      </c>
      <c r="AM78" s="13" t="str">
        <f t="shared" si="160"/>
        <v>0</v>
      </c>
      <c r="AN78" s="13" t="str">
        <f t="shared" si="160"/>
        <v>0</v>
      </c>
      <c r="AO78" s="13" t="str">
        <f t="shared" si="160"/>
        <v>0</v>
      </c>
      <c r="AP78" s="13" t="str">
        <f t="shared" si="160"/>
        <v>0</v>
      </c>
      <c r="AQ78" s="13" t="str">
        <f t="shared" si="160"/>
        <v>0</v>
      </c>
      <c r="AR78" s="13" t="str">
        <f t="shared" ref="AR78:AS78" si="161">IF(OR(O78=$C78,O78=$D78,O78=""),"0","1")</f>
        <v>0</v>
      </c>
      <c r="AS78" s="13" t="str">
        <f t="shared" si="161"/>
        <v>0</v>
      </c>
      <c r="AT78" s="698">
        <f t="shared" si="11"/>
        <v>0</v>
      </c>
    </row>
    <row r="79" ht="15.75" customHeight="1">
      <c r="A79" s="788" t="str">
        <f t="shared" si="5"/>
        <v>-</v>
      </c>
      <c r="B79" s="830" t="s">
        <v>517</v>
      </c>
      <c r="C79" s="331" t="s">
        <v>612</v>
      </c>
      <c r="D79" s="331" t="s">
        <v>617</v>
      </c>
      <c r="E79" s="790" t="s">
        <v>617</v>
      </c>
      <c r="F79" s="791" t="s">
        <v>617</v>
      </c>
      <c r="G79" s="331" t="s">
        <v>612</v>
      </c>
      <c r="H79" s="331" t="s">
        <v>617</v>
      </c>
      <c r="I79" s="331" t="s">
        <v>612</v>
      </c>
      <c r="J79" s="331" t="s">
        <v>617</v>
      </c>
      <c r="K79" s="331"/>
      <c r="L79" s="331" t="s">
        <v>617</v>
      </c>
      <c r="M79" s="331" t="s">
        <v>617</v>
      </c>
      <c r="N79" s="331" t="s">
        <v>612</v>
      </c>
      <c r="O79" s="331" t="s">
        <v>617</v>
      </c>
      <c r="P79" s="792" t="s">
        <v>617</v>
      </c>
      <c r="AB79" s="314"/>
      <c r="AC79" s="314"/>
      <c r="AD79" s="314"/>
      <c r="AE79" s="314"/>
      <c r="AF79" s="314"/>
      <c r="AG79" s="314"/>
      <c r="AJ79" s="13" t="str">
        <f t="shared" ref="AJ79:AQ79" si="162">IF(OR(E79=$C79,E79=$D79,E79=""),"0","1")</f>
        <v>0</v>
      </c>
      <c r="AK79" s="13" t="str">
        <f t="shared" si="162"/>
        <v>0</v>
      </c>
      <c r="AL79" s="13" t="str">
        <f t="shared" si="162"/>
        <v>0</v>
      </c>
      <c r="AM79" s="13" t="str">
        <f t="shared" si="162"/>
        <v>0</v>
      </c>
      <c r="AN79" s="13" t="str">
        <f t="shared" si="162"/>
        <v>0</v>
      </c>
      <c r="AO79" s="13" t="str">
        <f t="shared" si="162"/>
        <v>0</v>
      </c>
      <c r="AP79" s="13" t="str">
        <f t="shared" si="162"/>
        <v>0</v>
      </c>
      <c r="AQ79" s="13" t="str">
        <f t="shared" si="162"/>
        <v>0</v>
      </c>
      <c r="AR79" s="13" t="str">
        <f t="shared" ref="AR79:AS79" si="163">IF(OR(O79=$C79,O79=$D79,O79=""),"0","1")</f>
        <v>0</v>
      </c>
      <c r="AS79" s="13" t="str">
        <f t="shared" si="163"/>
        <v>0</v>
      </c>
      <c r="AT79" s="698">
        <f t="shared" si="11"/>
        <v>0</v>
      </c>
    </row>
    <row r="80" ht="15.75" customHeight="1">
      <c r="A80" s="788" t="str">
        <f t="shared" si="5"/>
        <v>-</v>
      </c>
      <c r="B80" s="830" t="s">
        <v>517</v>
      </c>
      <c r="C80" s="331" t="s">
        <v>621</v>
      </c>
      <c r="D80" s="331" t="s">
        <v>607</v>
      </c>
      <c r="E80" s="790" t="s">
        <v>607</v>
      </c>
      <c r="F80" s="791" t="s">
        <v>607</v>
      </c>
      <c r="G80" s="331" t="s">
        <v>607</v>
      </c>
      <c r="H80" s="331" t="s">
        <v>621</v>
      </c>
      <c r="I80" s="331" t="s">
        <v>607</v>
      </c>
      <c r="J80" s="331" t="s">
        <v>607</v>
      </c>
      <c r="K80" s="331"/>
      <c r="L80" s="331" t="s">
        <v>607</v>
      </c>
      <c r="M80" s="331" t="s">
        <v>621</v>
      </c>
      <c r="N80" s="331" t="s">
        <v>607</v>
      </c>
      <c r="O80" s="331" t="s">
        <v>621</v>
      </c>
      <c r="P80" s="792" t="s">
        <v>607</v>
      </c>
      <c r="AB80" s="314"/>
      <c r="AC80" s="314"/>
      <c r="AD80" s="314"/>
      <c r="AE80" s="314"/>
      <c r="AF80" s="314"/>
      <c r="AG80" s="314"/>
      <c r="AJ80" s="13" t="str">
        <f t="shared" ref="AJ80:AQ80" si="164">IF(OR(E80=$C80,E80=$D80,E80=""),"0","1")</f>
        <v>0</v>
      </c>
      <c r="AK80" s="13" t="str">
        <f t="shared" si="164"/>
        <v>0</v>
      </c>
      <c r="AL80" s="13" t="str">
        <f t="shared" si="164"/>
        <v>0</v>
      </c>
      <c r="AM80" s="13" t="str">
        <f t="shared" si="164"/>
        <v>0</v>
      </c>
      <c r="AN80" s="13" t="str">
        <f t="shared" si="164"/>
        <v>0</v>
      </c>
      <c r="AO80" s="13" t="str">
        <f t="shared" si="164"/>
        <v>0</v>
      </c>
      <c r="AP80" s="13" t="str">
        <f t="shared" si="164"/>
        <v>0</v>
      </c>
      <c r="AQ80" s="13" t="str">
        <f t="shared" si="164"/>
        <v>0</v>
      </c>
      <c r="AR80" s="13" t="str">
        <f t="shared" ref="AR80:AS80" si="165">IF(OR(O80=$C80,O80=$D80,O80=""),"0","1")</f>
        <v>0</v>
      </c>
      <c r="AS80" s="13" t="str">
        <f t="shared" si="165"/>
        <v>0</v>
      </c>
      <c r="AT80" s="698">
        <f t="shared" si="11"/>
        <v>0</v>
      </c>
    </row>
    <row r="81" ht="15.75" customHeight="1">
      <c r="A81" s="788" t="str">
        <f t="shared" si="5"/>
        <v>-</v>
      </c>
      <c r="B81" s="830" t="s">
        <v>517</v>
      </c>
      <c r="C81" s="331" t="s">
        <v>597</v>
      </c>
      <c r="D81" s="331" t="s">
        <v>593</v>
      </c>
      <c r="E81" s="790" t="s">
        <v>597</v>
      </c>
      <c r="F81" s="791" t="s">
        <v>597</v>
      </c>
      <c r="G81" s="331" t="s">
        <v>597</v>
      </c>
      <c r="H81" s="331" t="s">
        <v>597</v>
      </c>
      <c r="I81" s="331" t="s">
        <v>597</v>
      </c>
      <c r="J81" s="331" t="s">
        <v>597</v>
      </c>
      <c r="K81" s="331"/>
      <c r="L81" s="331" t="s">
        <v>597</v>
      </c>
      <c r="M81" s="331" t="s">
        <v>597</v>
      </c>
      <c r="N81" s="331" t="s">
        <v>597</v>
      </c>
      <c r="O81" s="331" t="s">
        <v>597</v>
      </c>
      <c r="P81" s="792" t="s">
        <v>597</v>
      </c>
      <c r="AB81" s="314"/>
      <c r="AC81" s="314"/>
      <c r="AD81" s="314"/>
      <c r="AE81" s="314"/>
      <c r="AF81" s="314"/>
      <c r="AG81" s="314"/>
      <c r="AJ81" s="13" t="str">
        <f t="shared" ref="AJ81:AQ81" si="166">IF(OR(E81=$C81,E81=$D81,E81=""),"0","1")</f>
        <v>0</v>
      </c>
      <c r="AK81" s="13" t="str">
        <f t="shared" si="166"/>
        <v>0</v>
      </c>
      <c r="AL81" s="13" t="str">
        <f t="shared" si="166"/>
        <v>0</v>
      </c>
      <c r="AM81" s="13" t="str">
        <f t="shared" si="166"/>
        <v>0</v>
      </c>
      <c r="AN81" s="13" t="str">
        <f t="shared" si="166"/>
        <v>0</v>
      </c>
      <c r="AO81" s="13" t="str">
        <f t="shared" si="166"/>
        <v>0</v>
      </c>
      <c r="AP81" s="13" t="str">
        <f t="shared" si="166"/>
        <v>0</v>
      </c>
      <c r="AQ81" s="13" t="str">
        <f t="shared" si="166"/>
        <v>0</v>
      </c>
      <c r="AR81" s="13" t="str">
        <f t="shared" ref="AR81:AS81" si="167">IF(OR(O81=$C81,O81=$D81,O81=""),"0","1")</f>
        <v>0</v>
      </c>
      <c r="AS81" s="13" t="str">
        <f t="shared" si="167"/>
        <v>0</v>
      </c>
      <c r="AT81" s="698">
        <f t="shared" si="11"/>
        <v>0</v>
      </c>
    </row>
    <row r="82" ht="15.75" customHeight="1">
      <c r="A82" s="788" t="str">
        <f t="shared" si="5"/>
        <v>-</v>
      </c>
      <c r="B82" s="830" t="s">
        <v>517</v>
      </c>
      <c r="C82" s="331" t="s">
        <v>623</v>
      </c>
      <c r="D82" s="331" t="s">
        <v>613</v>
      </c>
      <c r="E82" s="790" t="s">
        <v>613</v>
      </c>
      <c r="F82" s="791" t="s">
        <v>613</v>
      </c>
      <c r="G82" s="331" t="s">
        <v>613</v>
      </c>
      <c r="H82" s="331" t="s">
        <v>613</v>
      </c>
      <c r="I82" s="331" t="s">
        <v>623</v>
      </c>
      <c r="J82" s="331" t="s">
        <v>613</v>
      </c>
      <c r="K82" s="331"/>
      <c r="L82" s="331" t="s">
        <v>623</v>
      </c>
      <c r="M82" s="331" t="s">
        <v>623</v>
      </c>
      <c r="N82" s="331" t="s">
        <v>623</v>
      </c>
      <c r="O82" s="331" t="s">
        <v>613</v>
      </c>
      <c r="P82" s="792" t="s">
        <v>613</v>
      </c>
      <c r="AB82" s="314"/>
      <c r="AC82" s="314"/>
      <c r="AD82" s="314"/>
      <c r="AE82" s="314"/>
      <c r="AF82" s="314"/>
      <c r="AG82" s="314"/>
      <c r="AJ82" s="13" t="str">
        <f t="shared" ref="AJ82:AQ82" si="168">IF(OR(E82=$C82,E82=$D82,E82=""),"0","1")</f>
        <v>0</v>
      </c>
      <c r="AK82" s="13" t="str">
        <f t="shared" si="168"/>
        <v>0</v>
      </c>
      <c r="AL82" s="13" t="str">
        <f t="shared" si="168"/>
        <v>0</v>
      </c>
      <c r="AM82" s="13" t="str">
        <f t="shared" si="168"/>
        <v>0</v>
      </c>
      <c r="AN82" s="13" t="str">
        <f t="shared" si="168"/>
        <v>0</v>
      </c>
      <c r="AO82" s="13" t="str">
        <f t="shared" si="168"/>
        <v>0</v>
      </c>
      <c r="AP82" s="13" t="str">
        <f t="shared" si="168"/>
        <v>0</v>
      </c>
      <c r="AQ82" s="13" t="str">
        <f t="shared" si="168"/>
        <v>0</v>
      </c>
      <c r="AR82" s="13" t="str">
        <f t="shared" ref="AR82:AS82" si="169">IF(OR(O82=$C82,O82=$D82,O82=""),"0","1")</f>
        <v>0</v>
      </c>
      <c r="AS82" s="13" t="str">
        <f t="shared" si="169"/>
        <v>0</v>
      </c>
      <c r="AT82" s="698">
        <f t="shared" si="11"/>
        <v>0</v>
      </c>
    </row>
    <row r="83" ht="15.75" customHeight="1">
      <c r="A83" s="788" t="str">
        <f t="shared" si="5"/>
        <v>-</v>
      </c>
      <c r="B83" s="830" t="s">
        <v>517</v>
      </c>
      <c r="C83" s="331" t="s">
        <v>606</v>
      </c>
      <c r="D83" s="331" t="s">
        <v>599</v>
      </c>
      <c r="E83" s="790" t="s">
        <v>599</v>
      </c>
      <c r="F83" s="791" t="s">
        <v>599</v>
      </c>
      <c r="G83" s="331" t="s">
        <v>599</v>
      </c>
      <c r="H83" s="331" t="s">
        <v>599</v>
      </c>
      <c r="I83" s="331" t="s">
        <v>599</v>
      </c>
      <c r="J83" s="331" t="s">
        <v>599</v>
      </c>
      <c r="K83" s="331"/>
      <c r="L83" s="331" t="s">
        <v>599</v>
      </c>
      <c r="M83" s="331" t="s">
        <v>599</v>
      </c>
      <c r="N83" s="331" t="s">
        <v>599</v>
      </c>
      <c r="O83" s="331" t="s">
        <v>599</v>
      </c>
      <c r="P83" s="792" t="s">
        <v>599</v>
      </c>
      <c r="AB83" s="314"/>
      <c r="AC83" s="314"/>
      <c r="AD83" s="314"/>
      <c r="AE83" s="314"/>
      <c r="AF83" s="314"/>
      <c r="AG83" s="314"/>
      <c r="AJ83" s="13" t="str">
        <f t="shared" ref="AJ83:AQ83" si="170">IF(OR(E83=$C83,E83=$D83,E83=""),"0","1")</f>
        <v>0</v>
      </c>
      <c r="AK83" s="13" t="str">
        <f t="shared" si="170"/>
        <v>0</v>
      </c>
      <c r="AL83" s="13" t="str">
        <f t="shared" si="170"/>
        <v>0</v>
      </c>
      <c r="AM83" s="13" t="str">
        <f t="shared" si="170"/>
        <v>0</v>
      </c>
      <c r="AN83" s="13" t="str">
        <f t="shared" si="170"/>
        <v>0</v>
      </c>
      <c r="AO83" s="13" t="str">
        <f t="shared" si="170"/>
        <v>0</v>
      </c>
      <c r="AP83" s="13" t="str">
        <f t="shared" si="170"/>
        <v>0</v>
      </c>
      <c r="AQ83" s="13" t="str">
        <f t="shared" si="170"/>
        <v>0</v>
      </c>
      <c r="AR83" s="13" t="str">
        <f t="shared" ref="AR83:AS83" si="171">IF(OR(O83=$C83,O83=$D83,O83=""),"0","1")</f>
        <v>0</v>
      </c>
      <c r="AS83" s="13" t="str">
        <f t="shared" si="171"/>
        <v>0</v>
      </c>
      <c r="AT83" s="698">
        <f t="shared" si="11"/>
        <v>0</v>
      </c>
    </row>
    <row r="84" ht="15.75" customHeight="1">
      <c r="A84" s="788" t="str">
        <f t="shared" si="5"/>
        <v>-</v>
      </c>
      <c r="B84" s="830" t="s">
        <v>517</v>
      </c>
      <c r="C84" s="331" t="s">
        <v>616</v>
      </c>
      <c r="D84" s="331" t="s">
        <v>603</v>
      </c>
      <c r="E84" s="790" t="s">
        <v>603</v>
      </c>
      <c r="F84" s="791" t="s">
        <v>603</v>
      </c>
      <c r="G84" s="331" t="s">
        <v>603</v>
      </c>
      <c r="H84" s="331" t="s">
        <v>616</v>
      </c>
      <c r="I84" s="331" t="s">
        <v>603</v>
      </c>
      <c r="J84" s="331" t="s">
        <v>603</v>
      </c>
      <c r="K84" s="331"/>
      <c r="L84" s="331" t="s">
        <v>603</v>
      </c>
      <c r="M84" s="331" t="s">
        <v>603</v>
      </c>
      <c r="N84" s="331" t="s">
        <v>603</v>
      </c>
      <c r="O84" s="331" t="s">
        <v>603</v>
      </c>
      <c r="P84" s="792" t="s">
        <v>603</v>
      </c>
      <c r="AB84" s="314"/>
      <c r="AC84" s="314"/>
      <c r="AD84" s="314"/>
      <c r="AE84" s="314"/>
      <c r="AF84" s="314"/>
      <c r="AG84" s="314"/>
      <c r="AJ84" s="13" t="str">
        <f t="shared" ref="AJ84:AQ84" si="172">IF(OR(E84=$C84,E84=$D84,E84=""),"0","1")</f>
        <v>0</v>
      </c>
      <c r="AK84" s="13" t="str">
        <f t="shared" si="172"/>
        <v>0</v>
      </c>
      <c r="AL84" s="13" t="str">
        <f t="shared" si="172"/>
        <v>0</v>
      </c>
      <c r="AM84" s="13" t="str">
        <f t="shared" si="172"/>
        <v>0</v>
      </c>
      <c r="AN84" s="13" t="str">
        <f t="shared" si="172"/>
        <v>0</v>
      </c>
      <c r="AO84" s="13" t="str">
        <f t="shared" si="172"/>
        <v>0</v>
      </c>
      <c r="AP84" s="13" t="str">
        <f t="shared" si="172"/>
        <v>0</v>
      </c>
      <c r="AQ84" s="13" t="str">
        <f t="shared" si="172"/>
        <v>0</v>
      </c>
      <c r="AR84" s="13" t="str">
        <f t="shared" ref="AR84:AS84" si="173">IF(OR(O84=$C84,O84=$D84,O84=""),"0","1")</f>
        <v>0</v>
      </c>
      <c r="AS84" s="13" t="str">
        <f t="shared" si="173"/>
        <v>0</v>
      </c>
      <c r="AT84" s="698">
        <f t="shared" si="11"/>
        <v>0</v>
      </c>
    </row>
    <row r="85" ht="15.75" customHeight="1">
      <c r="A85" s="788" t="str">
        <f t="shared" si="5"/>
        <v>-</v>
      </c>
      <c r="B85" s="830" t="s">
        <v>517</v>
      </c>
      <c r="C85" s="331" t="s">
        <v>602</v>
      </c>
      <c r="D85" s="331" t="s">
        <v>600</v>
      </c>
      <c r="E85" s="790" t="s">
        <v>602</v>
      </c>
      <c r="F85" s="791" t="s">
        <v>602</v>
      </c>
      <c r="G85" s="331" t="s">
        <v>602</v>
      </c>
      <c r="H85" s="331" t="s">
        <v>602</v>
      </c>
      <c r="I85" s="331" t="s">
        <v>602</v>
      </c>
      <c r="J85" s="331" t="s">
        <v>602</v>
      </c>
      <c r="K85" s="331"/>
      <c r="L85" s="331" t="s">
        <v>600</v>
      </c>
      <c r="M85" s="331" t="s">
        <v>602</v>
      </c>
      <c r="N85" s="331" t="s">
        <v>602</v>
      </c>
      <c r="O85" s="331" t="s">
        <v>600</v>
      </c>
      <c r="P85" s="792" t="s">
        <v>602</v>
      </c>
      <c r="AB85" s="314"/>
      <c r="AC85" s="314"/>
      <c r="AD85" s="314"/>
      <c r="AE85" s="314"/>
      <c r="AF85" s="314"/>
      <c r="AG85" s="314"/>
      <c r="AJ85" s="13" t="str">
        <f t="shared" ref="AJ85:AQ85" si="174">IF(OR(E85=$C85,E85=$D85,E85=""),"0","1")</f>
        <v>0</v>
      </c>
      <c r="AK85" s="13" t="str">
        <f t="shared" si="174"/>
        <v>0</v>
      </c>
      <c r="AL85" s="13" t="str">
        <f t="shared" si="174"/>
        <v>0</v>
      </c>
      <c r="AM85" s="13" t="str">
        <f t="shared" si="174"/>
        <v>0</v>
      </c>
      <c r="AN85" s="13" t="str">
        <f t="shared" si="174"/>
        <v>0</v>
      </c>
      <c r="AO85" s="13" t="str">
        <f t="shared" si="174"/>
        <v>0</v>
      </c>
      <c r="AP85" s="13" t="str">
        <f t="shared" si="174"/>
        <v>0</v>
      </c>
      <c r="AQ85" s="13" t="str">
        <f t="shared" si="174"/>
        <v>0</v>
      </c>
      <c r="AR85" s="13" t="str">
        <f t="shared" ref="AR85:AS85" si="175">IF(OR(O85=$C85,O85=$D85,O85=""),"0","1")</f>
        <v>0</v>
      </c>
      <c r="AS85" s="13" t="str">
        <f t="shared" si="175"/>
        <v>0</v>
      </c>
      <c r="AT85" s="698">
        <f t="shared" si="11"/>
        <v>0</v>
      </c>
    </row>
    <row r="86" ht="15.75" customHeight="1">
      <c r="A86" s="788" t="str">
        <f t="shared" si="5"/>
        <v>-</v>
      </c>
      <c r="B86" s="830" t="s">
        <v>517</v>
      </c>
      <c r="C86" s="331" t="s">
        <v>608</v>
      </c>
      <c r="D86" s="331" t="s">
        <v>604</v>
      </c>
      <c r="E86" s="790" t="s">
        <v>608</v>
      </c>
      <c r="F86" s="791" t="s">
        <v>608</v>
      </c>
      <c r="G86" s="331" t="s">
        <v>608</v>
      </c>
      <c r="H86" s="331" t="s">
        <v>608</v>
      </c>
      <c r="I86" s="331" t="s">
        <v>608</v>
      </c>
      <c r="J86" s="331" t="s">
        <v>608</v>
      </c>
      <c r="K86" s="331"/>
      <c r="L86" s="331" t="s">
        <v>604</v>
      </c>
      <c r="M86" s="331" t="s">
        <v>604</v>
      </c>
      <c r="N86" s="331" t="s">
        <v>608</v>
      </c>
      <c r="O86" s="331" t="s">
        <v>608</v>
      </c>
      <c r="P86" s="792" t="s">
        <v>608</v>
      </c>
      <c r="AB86" s="314"/>
      <c r="AC86" s="314"/>
      <c r="AD86" s="314"/>
      <c r="AE86" s="314"/>
      <c r="AF86" s="314"/>
      <c r="AG86" s="314"/>
      <c r="AJ86" s="13" t="str">
        <f t="shared" ref="AJ86:AQ86" si="176">IF(OR(E86=$C86,E86=$D86,E86=""),"0","1")</f>
        <v>0</v>
      </c>
      <c r="AK86" s="13" t="str">
        <f t="shared" si="176"/>
        <v>0</v>
      </c>
      <c r="AL86" s="13" t="str">
        <f t="shared" si="176"/>
        <v>0</v>
      </c>
      <c r="AM86" s="13" t="str">
        <f t="shared" si="176"/>
        <v>0</v>
      </c>
      <c r="AN86" s="13" t="str">
        <f t="shared" si="176"/>
        <v>0</v>
      </c>
      <c r="AO86" s="13" t="str">
        <f t="shared" si="176"/>
        <v>0</v>
      </c>
      <c r="AP86" s="13" t="str">
        <f t="shared" si="176"/>
        <v>0</v>
      </c>
      <c r="AQ86" s="13" t="str">
        <f t="shared" si="176"/>
        <v>0</v>
      </c>
      <c r="AR86" s="13" t="str">
        <f t="shared" ref="AR86:AS86" si="177">IF(OR(O86=$C86,O86=$D86,O86=""),"0","1")</f>
        <v>0</v>
      </c>
      <c r="AS86" s="13" t="str">
        <f t="shared" si="177"/>
        <v>0</v>
      </c>
      <c r="AT86" s="698">
        <f t="shared" si="11"/>
        <v>0</v>
      </c>
    </row>
    <row r="87" ht="15.75" customHeight="1">
      <c r="A87" s="788" t="str">
        <f t="shared" si="5"/>
        <v>-</v>
      </c>
      <c r="B87" s="830" t="s">
        <v>517</v>
      </c>
      <c r="C87" s="331" t="s">
        <v>595</v>
      </c>
      <c r="D87" s="331" t="s">
        <v>601</v>
      </c>
      <c r="E87" s="790" t="s">
        <v>595</v>
      </c>
      <c r="F87" s="791" t="s">
        <v>595</v>
      </c>
      <c r="G87" s="331" t="s">
        <v>601</v>
      </c>
      <c r="H87" s="331" t="s">
        <v>601</v>
      </c>
      <c r="I87" s="331" t="s">
        <v>595</v>
      </c>
      <c r="J87" s="331" t="s">
        <v>595</v>
      </c>
      <c r="K87" s="331"/>
      <c r="L87" s="331" t="s">
        <v>601</v>
      </c>
      <c r="M87" s="331" t="s">
        <v>595</v>
      </c>
      <c r="N87" s="331" t="s">
        <v>601</v>
      </c>
      <c r="O87" s="331" t="s">
        <v>595</v>
      </c>
      <c r="P87" s="792" t="s">
        <v>595</v>
      </c>
      <c r="AB87" s="314"/>
      <c r="AC87" s="314"/>
      <c r="AD87" s="314"/>
      <c r="AE87" s="314"/>
      <c r="AF87" s="314"/>
      <c r="AG87" s="314"/>
      <c r="AJ87" s="13" t="str">
        <f t="shared" ref="AJ87:AQ87" si="178">IF(OR(E87=$C87,E87=$D87,E87=""),"0","1")</f>
        <v>0</v>
      </c>
      <c r="AK87" s="13" t="str">
        <f t="shared" si="178"/>
        <v>0</v>
      </c>
      <c r="AL87" s="13" t="str">
        <f t="shared" si="178"/>
        <v>0</v>
      </c>
      <c r="AM87" s="13" t="str">
        <f t="shared" si="178"/>
        <v>0</v>
      </c>
      <c r="AN87" s="13" t="str">
        <f t="shared" si="178"/>
        <v>0</v>
      </c>
      <c r="AO87" s="13" t="str">
        <f t="shared" si="178"/>
        <v>0</v>
      </c>
      <c r="AP87" s="13" t="str">
        <f t="shared" si="178"/>
        <v>0</v>
      </c>
      <c r="AQ87" s="13" t="str">
        <f t="shared" si="178"/>
        <v>0</v>
      </c>
      <c r="AR87" s="13" t="str">
        <f t="shared" ref="AR87:AS87" si="179">IF(OR(O87=$C87,O87=$D87,O87=""),"0","1")</f>
        <v>0</v>
      </c>
      <c r="AS87" s="13" t="str">
        <f t="shared" si="179"/>
        <v>0</v>
      </c>
      <c r="AT87" s="698">
        <f t="shared" si="11"/>
        <v>0</v>
      </c>
    </row>
    <row r="88" ht="15.75" customHeight="1">
      <c r="A88" s="788" t="str">
        <f t="shared" si="5"/>
        <v>-</v>
      </c>
      <c r="B88" s="830" t="s">
        <v>517</v>
      </c>
      <c r="C88" s="331" t="s">
        <v>596</v>
      </c>
      <c r="D88" s="331" t="s">
        <v>610</v>
      </c>
      <c r="E88" s="790" t="s">
        <v>596</v>
      </c>
      <c r="F88" s="791" t="s">
        <v>596</v>
      </c>
      <c r="G88" s="331" t="s">
        <v>596</v>
      </c>
      <c r="H88" s="331" t="s">
        <v>596</v>
      </c>
      <c r="I88" s="331" t="s">
        <v>596</v>
      </c>
      <c r="J88" s="331" t="s">
        <v>596</v>
      </c>
      <c r="K88" s="331"/>
      <c r="L88" s="331" t="s">
        <v>610</v>
      </c>
      <c r="M88" s="331" t="s">
        <v>610</v>
      </c>
      <c r="N88" s="331" t="s">
        <v>596</v>
      </c>
      <c r="O88" s="331" t="s">
        <v>596</v>
      </c>
      <c r="P88" s="792" t="s">
        <v>596</v>
      </c>
      <c r="AB88" s="314"/>
      <c r="AC88" s="314"/>
      <c r="AD88" s="314"/>
      <c r="AE88" s="314"/>
      <c r="AF88" s="314"/>
      <c r="AG88" s="314"/>
      <c r="AJ88" s="13" t="str">
        <f t="shared" ref="AJ88:AQ88" si="180">IF(OR(E88=$C88,E88=$D88,E88=""),"0","1")</f>
        <v>0</v>
      </c>
      <c r="AK88" s="13" t="str">
        <f t="shared" si="180"/>
        <v>0</v>
      </c>
      <c r="AL88" s="13" t="str">
        <f t="shared" si="180"/>
        <v>0</v>
      </c>
      <c r="AM88" s="13" t="str">
        <f t="shared" si="180"/>
        <v>0</v>
      </c>
      <c r="AN88" s="13" t="str">
        <f t="shared" si="180"/>
        <v>0</v>
      </c>
      <c r="AO88" s="13" t="str">
        <f t="shared" si="180"/>
        <v>0</v>
      </c>
      <c r="AP88" s="13" t="str">
        <f t="shared" si="180"/>
        <v>0</v>
      </c>
      <c r="AQ88" s="13" t="str">
        <f t="shared" si="180"/>
        <v>0</v>
      </c>
      <c r="AR88" s="13" t="str">
        <f t="shared" ref="AR88:AS88" si="181">IF(OR(O88=$C88,O88=$D88,O88=""),"0","1")</f>
        <v>0</v>
      </c>
      <c r="AS88" s="13" t="str">
        <f t="shared" si="181"/>
        <v>0</v>
      </c>
      <c r="AT88" s="698">
        <f t="shared" si="11"/>
        <v>0</v>
      </c>
    </row>
    <row r="89" ht="15.75" customHeight="1">
      <c r="A89" s="788" t="str">
        <f t="shared" si="5"/>
        <v>-</v>
      </c>
      <c r="B89" s="830" t="s">
        <v>517</v>
      </c>
      <c r="C89" s="331" t="s">
        <v>615</v>
      </c>
      <c r="D89" s="331" t="s">
        <v>614</v>
      </c>
      <c r="E89" s="790" t="s">
        <v>615</v>
      </c>
      <c r="F89" s="791" t="s">
        <v>615</v>
      </c>
      <c r="G89" s="331" t="s">
        <v>615</v>
      </c>
      <c r="H89" s="331" t="s">
        <v>615</v>
      </c>
      <c r="I89" s="331" t="s">
        <v>615</v>
      </c>
      <c r="J89" s="331" t="s">
        <v>615</v>
      </c>
      <c r="K89" s="331"/>
      <c r="L89" s="331" t="s">
        <v>614</v>
      </c>
      <c r="M89" s="331" t="s">
        <v>614</v>
      </c>
      <c r="N89" s="331" t="s">
        <v>614</v>
      </c>
      <c r="O89" s="331" t="s">
        <v>615</v>
      </c>
      <c r="P89" s="792" t="s">
        <v>615</v>
      </c>
      <c r="AB89" s="314"/>
      <c r="AC89" s="314"/>
      <c r="AD89" s="314"/>
      <c r="AE89" s="314"/>
      <c r="AF89" s="314"/>
      <c r="AG89" s="314"/>
      <c r="AJ89" s="13" t="str">
        <f t="shared" ref="AJ89:AQ89" si="182">IF(OR(E89=$C89,E89=$D89,E89=""),"0","1")</f>
        <v>0</v>
      </c>
      <c r="AK89" s="13" t="str">
        <f t="shared" si="182"/>
        <v>0</v>
      </c>
      <c r="AL89" s="13" t="str">
        <f t="shared" si="182"/>
        <v>0</v>
      </c>
      <c r="AM89" s="13" t="str">
        <f t="shared" si="182"/>
        <v>0</v>
      </c>
      <c r="AN89" s="13" t="str">
        <f t="shared" si="182"/>
        <v>0</v>
      </c>
      <c r="AO89" s="13" t="str">
        <f t="shared" si="182"/>
        <v>0</v>
      </c>
      <c r="AP89" s="13" t="str">
        <f t="shared" si="182"/>
        <v>0</v>
      </c>
      <c r="AQ89" s="13" t="str">
        <f t="shared" si="182"/>
        <v>0</v>
      </c>
      <c r="AR89" s="13" t="str">
        <f t="shared" ref="AR89:AS89" si="183">IF(OR(O89=$C89,O89=$D89,O89=""),"0","1")</f>
        <v>0</v>
      </c>
      <c r="AS89" s="13" t="str">
        <f t="shared" si="183"/>
        <v>0</v>
      </c>
      <c r="AT89" s="698">
        <f t="shared" si="11"/>
        <v>0</v>
      </c>
    </row>
    <row r="90" ht="15.75" customHeight="1">
      <c r="A90" s="788" t="str">
        <f t="shared" si="5"/>
        <v>-</v>
      </c>
      <c r="B90" s="830" t="s">
        <v>517</v>
      </c>
      <c r="C90" s="331" t="s">
        <v>620</v>
      </c>
      <c r="D90" s="331" t="s">
        <v>609</v>
      </c>
      <c r="E90" s="790" t="s">
        <v>620</v>
      </c>
      <c r="F90" s="791" t="s">
        <v>620</v>
      </c>
      <c r="G90" s="331" t="s">
        <v>620</v>
      </c>
      <c r="H90" s="331" t="s">
        <v>620</v>
      </c>
      <c r="I90" s="331" t="s">
        <v>620</v>
      </c>
      <c r="J90" s="331" t="s">
        <v>620</v>
      </c>
      <c r="K90" s="331"/>
      <c r="L90" s="331" t="s">
        <v>609</v>
      </c>
      <c r="M90" s="331" t="s">
        <v>620</v>
      </c>
      <c r="N90" s="331" t="s">
        <v>620</v>
      </c>
      <c r="O90" s="331" t="s">
        <v>609</v>
      </c>
      <c r="P90" s="792" t="s">
        <v>620</v>
      </c>
      <c r="AB90" s="314"/>
      <c r="AC90" s="314"/>
      <c r="AD90" s="314"/>
      <c r="AE90" s="314"/>
      <c r="AF90" s="314"/>
      <c r="AG90" s="314"/>
      <c r="AJ90" s="13" t="str">
        <f t="shared" ref="AJ90:AQ90" si="184">IF(OR(E90=$C90,E90=$D90,E90=""),"0","1")</f>
        <v>0</v>
      </c>
      <c r="AK90" s="13" t="str">
        <f t="shared" si="184"/>
        <v>0</v>
      </c>
      <c r="AL90" s="13" t="str">
        <f t="shared" si="184"/>
        <v>0</v>
      </c>
      <c r="AM90" s="13" t="str">
        <f t="shared" si="184"/>
        <v>0</v>
      </c>
      <c r="AN90" s="13" t="str">
        <f t="shared" si="184"/>
        <v>0</v>
      </c>
      <c r="AO90" s="13" t="str">
        <f t="shared" si="184"/>
        <v>0</v>
      </c>
      <c r="AP90" s="13" t="str">
        <f t="shared" si="184"/>
        <v>0</v>
      </c>
      <c r="AQ90" s="13" t="str">
        <f t="shared" si="184"/>
        <v>0</v>
      </c>
      <c r="AR90" s="13" t="str">
        <f t="shared" ref="AR90:AS90" si="185">IF(OR(O90=$C90,O90=$D90,O90=""),"0","1")</f>
        <v>0</v>
      </c>
      <c r="AS90" s="13" t="str">
        <f t="shared" si="185"/>
        <v>0</v>
      </c>
      <c r="AT90" s="698">
        <f t="shared" si="11"/>
        <v>0</v>
      </c>
    </row>
    <row r="91" ht="15.75" customHeight="1">
      <c r="A91" s="788" t="str">
        <f t="shared" si="5"/>
        <v>-</v>
      </c>
      <c r="B91" s="830" t="s">
        <v>517</v>
      </c>
      <c r="C91" s="331" t="s">
        <v>624</v>
      </c>
      <c r="D91" s="331" t="s">
        <v>605</v>
      </c>
      <c r="E91" s="790" t="s">
        <v>624</v>
      </c>
      <c r="F91" s="791" t="s">
        <v>624</v>
      </c>
      <c r="G91" s="331" t="s">
        <v>624</v>
      </c>
      <c r="H91" s="331" t="s">
        <v>624</v>
      </c>
      <c r="I91" s="331" t="s">
        <v>624</v>
      </c>
      <c r="J91" s="331" t="s">
        <v>624</v>
      </c>
      <c r="K91" s="331"/>
      <c r="L91" s="331" t="s">
        <v>605</v>
      </c>
      <c r="M91" s="331" t="s">
        <v>624</v>
      </c>
      <c r="N91" s="331" t="s">
        <v>605</v>
      </c>
      <c r="O91" s="331" t="s">
        <v>624</v>
      </c>
      <c r="P91" s="792" t="s">
        <v>624</v>
      </c>
      <c r="AB91" s="314"/>
      <c r="AC91" s="314"/>
      <c r="AD91" s="314"/>
      <c r="AE91" s="314"/>
      <c r="AF91" s="314"/>
      <c r="AG91" s="314"/>
      <c r="AJ91" s="13" t="str">
        <f t="shared" ref="AJ91:AQ91" si="186">IF(OR(E91=$C91,E91=$D91,E91=""),"0","1")</f>
        <v>0</v>
      </c>
      <c r="AK91" s="13" t="str">
        <f t="shared" si="186"/>
        <v>0</v>
      </c>
      <c r="AL91" s="13" t="str">
        <f t="shared" si="186"/>
        <v>0</v>
      </c>
      <c r="AM91" s="13" t="str">
        <f t="shared" si="186"/>
        <v>0</v>
      </c>
      <c r="AN91" s="13" t="str">
        <f t="shared" si="186"/>
        <v>0</v>
      </c>
      <c r="AO91" s="13" t="str">
        <f t="shared" si="186"/>
        <v>0</v>
      </c>
      <c r="AP91" s="13" t="str">
        <f t="shared" si="186"/>
        <v>0</v>
      </c>
      <c r="AQ91" s="13" t="str">
        <f t="shared" si="186"/>
        <v>0</v>
      </c>
      <c r="AR91" s="13" t="str">
        <f t="shared" ref="AR91:AS91" si="187">IF(OR(O91=$C91,O91=$D91,O91=""),"0","1")</f>
        <v>0</v>
      </c>
      <c r="AS91" s="13" t="str">
        <f t="shared" si="187"/>
        <v>0</v>
      </c>
      <c r="AT91" s="698">
        <f t="shared" si="11"/>
        <v>0</v>
      </c>
    </row>
    <row r="92" ht="15.75" customHeight="1">
      <c r="A92" s="788" t="str">
        <f t="shared" si="5"/>
        <v>-</v>
      </c>
      <c r="B92" s="830" t="s">
        <v>517</v>
      </c>
      <c r="C92" s="331" t="s">
        <v>622</v>
      </c>
      <c r="D92" s="331" t="s">
        <v>594</v>
      </c>
      <c r="E92" s="790" t="s">
        <v>622</v>
      </c>
      <c r="F92" s="791" t="s">
        <v>622</v>
      </c>
      <c r="G92" s="331" t="s">
        <v>594</v>
      </c>
      <c r="H92" s="331" t="s">
        <v>622</v>
      </c>
      <c r="I92" s="331" t="s">
        <v>622</v>
      </c>
      <c r="J92" s="331" t="s">
        <v>622</v>
      </c>
      <c r="K92" s="331"/>
      <c r="L92" s="331" t="s">
        <v>594</v>
      </c>
      <c r="M92" s="331" t="s">
        <v>622</v>
      </c>
      <c r="N92" s="331" t="s">
        <v>622</v>
      </c>
      <c r="O92" s="331" t="s">
        <v>622</v>
      </c>
      <c r="P92" s="792" t="s">
        <v>622</v>
      </c>
      <c r="AB92" s="314"/>
      <c r="AC92" s="314"/>
      <c r="AD92" s="314"/>
      <c r="AE92" s="314"/>
      <c r="AF92" s="314"/>
      <c r="AG92" s="314"/>
      <c r="AJ92" s="13" t="str">
        <f t="shared" ref="AJ92:AQ92" si="188">IF(OR(E92=$C92,E92=$D92,E92=""),"0","1")</f>
        <v>0</v>
      </c>
      <c r="AK92" s="13" t="str">
        <f t="shared" si="188"/>
        <v>0</v>
      </c>
      <c r="AL92" s="13" t="str">
        <f t="shared" si="188"/>
        <v>0</v>
      </c>
      <c r="AM92" s="13" t="str">
        <f t="shared" si="188"/>
        <v>0</v>
      </c>
      <c r="AN92" s="13" t="str">
        <f t="shared" si="188"/>
        <v>0</v>
      </c>
      <c r="AO92" s="13" t="str">
        <f t="shared" si="188"/>
        <v>0</v>
      </c>
      <c r="AP92" s="13" t="str">
        <f t="shared" si="188"/>
        <v>0</v>
      </c>
      <c r="AQ92" s="13" t="str">
        <f t="shared" si="188"/>
        <v>0</v>
      </c>
      <c r="AR92" s="13" t="str">
        <f t="shared" ref="AR92:AS92" si="189">IF(OR(O92=$C92,O92=$D92,O92=""),"0","1")</f>
        <v>0</v>
      </c>
      <c r="AS92" s="13" t="str">
        <f t="shared" si="189"/>
        <v>0</v>
      </c>
      <c r="AT92" s="698">
        <f t="shared" si="11"/>
        <v>0</v>
      </c>
    </row>
    <row r="93" ht="15.75" customHeight="1">
      <c r="A93" s="788" t="str">
        <f t="shared" si="5"/>
        <v>-</v>
      </c>
      <c r="B93" s="789" t="s">
        <v>518</v>
      </c>
      <c r="C93" s="331" t="s">
        <v>601</v>
      </c>
      <c r="D93" s="331" t="s">
        <v>600</v>
      </c>
      <c r="E93" s="790" t="s">
        <v>601</v>
      </c>
      <c r="F93" s="791" t="s">
        <v>601</v>
      </c>
      <c r="G93" s="331" t="s">
        <v>601</v>
      </c>
      <c r="H93" s="331" t="s">
        <v>600</v>
      </c>
      <c r="I93" s="331" t="s">
        <v>600</v>
      </c>
      <c r="J93" s="331" t="s">
        <v>601</v>
      </c>
      <c r="K93" s="331"/>
      <c r="L93" s="331" t="s">
        <v>601</v>
      </c>
      <c r="M93" s="331" t="s">
        <v>600</v>
      </c>
      <c r="N93" s="331" t="s">
        <v>601</v>
      </c>
      <c r="O93" s="331" t="s">
        <v>600</v>
      </c>
      <c r="P93" s="792" t="s">
        <v>600</v>
      </c>
      <c r="AB93" s="314"/>
      <c r="AC93" s="314"/>
      <c r="AD93" s="314"/>
      <c r="AE93" s="314"/>
      <c r="AF93" s="314"/>
      <c r="AG93" s="314"/>
      <c r="AJ93" s="13" t="str">
        <f t="shared" ref="AJ93:AQ93" si="190">IF(OR(E93=$C93,E93=$D93,E93=""),"0","1")</f>
        <v>0</v>
      </c>
      <c r="AK93" s="13" t="str">
        <f t="shared" si="190"/>
        <v>0</v>
      </c>
      <c r="AL93" s="13" t="str">
        <f t="shared" si="190"/>
        <v>0</v>
      </c>
      <c r="AM93" s="13" t="str">
        <f t="shared" si="190"/>
        <v>0</v>
      </c>
      <c r="AN93" s="13" t="str">
        <f t="shared" si="190"/>
        <v>0</v>
      </c>
      <c r="AO93" s="13" t="str">
        <f t="shared" si="190"/>
        <v>0</v>
      </c>
      <c r="AP93" s="13" t="str">
        <f t="shared" si="190"/>
        <v>0</v>
      </c>
      <c r="AQ93" s="13" t="str">
        <f t="shared" si="190"/>
        <v>0</v>
      </c>
      <c r="AR93" s="13" t="str">
        <f t="shared" ref="AR93:AS93" si="191">IF(OR(O93=$C93,O93=$D93,O93=""),"0","1")</f>
        <v>0</v>
      </c>
      <c r="AS93" s="13" t="str">
        <f t="shared" si="191"/>
        <v>0</v>
      </c>
      <c r="AT93" s="698">
        <f t="shared" si="11"/>
        <v>0</v>
      </c>
    </row>
    <row r="94" ht="15.75" customHeight="1">
      <c r="A94" s="788" t="str">
        <f t="shared" si="5"/>
        <v>-</v>
      </c>
      <c r="B94" s="789" t="s">
        <v>518</v>
      </c>
      <c r="C94" s="331" t="s">
        <v>593</v>
      </c>
      <c r="D94" s="331" t="s">
        <v>621</v>
      </c>
      <c r="E94" s="790" t="s">
        <v>621</v>
      </c>
      <c r="F94" s="791" t="s">
        <v>621</v>
      </c>
      <c r="G94" s="331" t="s">
        <v>621</v>
      </c>
      <c r="H94" s="331" t="s">
        <v>621</v>
      </c>
      <c r="I94" s="331" t="s">
        <v>621</v>
      </c>
      <c r="J94" s="331" t="s">
        <v>621</v>
      </c>
      <c r="K94" s="331"/>
      <c r="L94" s="331" t="s">
        <v>621</v>
      </c>
      <c r="M94" s="331" t="s">
        <v>621</v>
      </c>
      <c r="N94" s="331" t="s">
        <v>621</v>
      </c>
      <c r="O94" s="331" t="s">
        <v>621</v>
      </c>
      <c r="P94" s="792" t="s">
        <v>621</v>
      </c>
      <c r="AB94" s="314"/>
      <c r="AC94" s="314"/>
      <c r="AD94" s="314"/>
      <c r="AE94" s="314"/>
      <c r="AF94" s="314"/>
      <c r="AG94" s="314"/>
      <c r="AJ94" s="13" t="str">
        <f t="shared" ref="AJ94:AQ94" si="192">IF(OR(E94=$C94,E94=$D94,E94=""),"0","1")</f>
        <v>0</v>
      </c>
      <c r="AK94" s="13" t="str">
        <f t="shared" si="192"/>
        <v>0</v>
      </c>
      <c r="AL94" s="13" t="str">
        <f t="shared" si="192"/>
        <v>0</v>
      </c>
      <c r="AM94" s="13" t="str">
        <f t="shared" si="192"/>
        <v>0</v>
      </c>
      <c r="AN94" s="13" t="str">
        <f t="shared" si="192"/>
        <v>0</v>
      </c>
      <c r="AO94" s="13" t="str">
        <f t="shared" si="192"/>
        <v>0</v>
      </c>
      <c r="AP94" s="13" t="str">
        <f t="shared" si="192"/>
        <v>0</v>
      </c>
      <c r="AQ94" s="13" t="str">
        <f t="shared" si="192"/>
        <v>0</v>
      </c>
      <c r="AR94" s="13" t="str">
        <f t="shared" ref="AR94:AS94" si="193">IF(OR(O94=$C94,O94=$D94,O94=""),"0","1")</f>
        <v>0</v>
      </c>
      <c r="AS94" s="13" t="str">
        <f t="shared" si="193"/>
        <v>0</v>
      </c>
      <c r="AT94" s="698">
        <f t="shared" si="11"/>
        <v>0</v>
      </c>
    </row>
    <row r="95" ht="15.75" customHeight="1">
      <c r="A95" s="788" t="str">
        <f t="shared" si="5"/>
        <v>-</v>
      </c>
      <c r="B95" s="789" t="s">
        <v>518</v>
      </c>
      <c r="C95" s="331" t="s">
        <v>604</v>
      </c>
      <c r="D95" s="331" t="s">
        <v>622</v>
      </c>
      <c r="E95" s="790" t="s">
        <v>622</v>
      </c>
      <c r="F95" s="791" t="s">
        <v>622</v>
      </c>
      <c r="G95" s="331" t="s">
        <v>622</v>
      </c>
      <c r="H95" s="331" t="s">
        <v>622</v>
      </c>
      <c r="I95" s="331" t="s">
        <v>622</v>
      </c>
      <c r="J95" s="331" t="s">
        <v>622</v>
      </c>
      <c r="K95" s="331"/>
      <c r="L95" s="331" t="s">
        <v>622</v>
      </c>
      <c r="M95" s="331" t="s">
        <v>622</v>
      </c>
      <c r="N95" s="331" t="s">
        <v>622</v>
      </c>
      <c r="O95" s="331" t="s">
        <v>622</v>
      </c>
      <c r="P95" s="792" t="s">
        <v>622</v>
      </c>
      <c r="AB95" s="314"/>
      <c r="AC95" s="314"/>
      <c r="AD95" s="314"/>
      <c r="AE95" s="314"/>
      <c r="AF95" s="314"/>
      <c r="AG95" s="314"/>
      <c r="AJ95" s="13" t="str">
        <f t="shared" ref="AJ95:AQ95" si="194">IF(OR(E95=$C95,E95=$D95,E95=""),"0","1")</f>
        <v>0</v>
      </c>
      <c r="AK95" s="13" t="str">
        <f t="shared" si="194"/>
        <v>0</v>
      </c>
      <c r="AL95" s="13" t="str">
        <f t="shared" si="194"/>
        <v>0</v>
      </c>
      <c r="AM95" s="13" t="str">
        <f t="shared" si="194"/>
        <v>0</v>
      </c>
      <c r="AN95" s="13" t="str">
        <f t="shared" si="194"/>
        <v>0</v>
      </c>
      <c r="AO95" s="13" t="str">
        <f t="shared" si="194"/>
        <v>0</v>
      </c>
      <c r="AP95" s="13" t="str">
        <f t="shared" si="194"/>
        <v>0</v>
      </c>
      <c r="AQ95" s="13" t="str">
        <f t="shared" si="194"/>
        <v>0</v>
      </c>
      <c r="AR95" s="13" t="str">
        <f t="shared" ref="AR95:AS95" si="195">IF(OR(O95=$C95,O95=$D95,O95=""),"0","1")</f>
        <v>0</v>
      </c>
      <c r="AS95" s="13" t="str">
        <f t="shared" si="195"/>
        <v>0</v>
      </c>
      <c r="AT95" s="698">
        <f t="shared" si="11"/>
        <v>0</v>
      </c>
    </row>
    <row r="96" ht="15.75" customHeight="1">
      <c r="A96" s="788" t="str">
        <f t="shared" si="5"/>
        <v>-</v>
      </c>
      <c r="B96" s="789" t="s">
        <v>518</v>
      </c>
      <c r="C96" s="331" t="s">
        <v>597</v>
      </c>
      <c r="D96" s="331" t="s">
        <v>603</v>
      </c>
      <c r="E96" s="790" t="s">
        <v>603</v>
      </c>
      <c r="F96" s="791" t="s">
        <v>603</v>
      </c>
      <c r="G96" s="331" t="s">
        <v>603</v>
      </c>
      <c r="H96" s="331" t="s">
        <v>603</v>
      </c>
      <c r="I96" s="331" t="s">
        <v>597</v>
      </c>
      <c r="J96" s="331" t="s">
        <v>603</v>
      </c>
      <c r="K96" s="331"/>
      <c r="L96" s="331" t="s">
        <v>597</v>
      </c>
      <c r="M96" s="331" t="s">
        <v>603</v>
      </c>
      <c r="N96" s="331" t="s">
        <v>603</v>
      </c>
      <c r="O96" s="331" t="s">
        <v>603</v>
      </c>
      <c r="P96" s="792" t="s">
        <v>597</v>
      </c>
      <c r="AB96" s="314"/>
      <c r="AC96" s="314"/>
      <c r="AD96" s="314"/>
      <c r="AE96" s="314"/>
      <c r="AF96" s="314"/>
      <c r="AG96" s="314"/>
      <c r="AJ96" s="13" t="str">
        <f t="shared" ref="AJ96:AQ96" si="196">IF(OR(E96=$C96,E96=$D96,E96=""),"0","1")</f>
        <v>0</v>
      </c>
      <c r="AK96" s="13" t="str">
        <f t="shared" si="196"/>
        <v>0</v>
      </c>
      <c r="AL96" s="13" t="str">
        <f t="shared" si="196"/>
        <v>0</v>
      </c>
      <c r="AM96" s="13" t="str">
        <f t="shared" si="196"/>
        <v>0</v>
      </c>
      <c r="AN96" s="13" t="str">
        <f t="shared" si="196"/>
        <v>0</v>
      </c>
      <c r="AO96" s="13" t="str">
        <f t="shared" si="196"/>
        <v>0</v>
      </c>
      <c r="AP96" s="13" t="str">
        <f t="shared" si="196"/>
        <v>0</v>
      </c>
      <c r="AQ96" s="13" t="str">
        <f t="shared" si="196"/>
        <v>0</v>
      </c>
      <c r="AR96" s="13" t="str">
        <f t="shared" ref="AR96:AS96" si="197">IF(OR(O96=$C96,O96=$D96,O96=""),"0","1")</f>
        <v>0</v>
      </c>
      <c r="AS96" s="13" t="str">
        <f t="shared" si="197"/>
        <v>0</v>
      </c>
      <c r="AT96" s="698">
        <f t="shared" si="11"/>
        <v>0</v>
      </c>
    </row>
    <row r="97" ht="15.75" customHeight="1">
      <c r="A97" s="788" t="str">
        <f t="shared" si="5"/>
        <v>-</v>
      </c>
      <c r="B97" s="789" t="s">
        <v>518</v>
      </c>
      <c r="C97" s="331" t="s">
        <v>599</v>
      </c>
      <c r="D97" s="331" t="s">
        <v>605</v>
      </c>
      <c r="E97" s="790" t="s">
        <v>599</v>
      </c>
      <c r="F97" s="791" t="s">
        <v>599</v>
      </c>
      <c r="G97" s="331" t="s">
        <v>599</v>
      </c>
      <c r="H97" s="331" t="s">
        <v>599</v>
      </c>
      <c r="I97" s="331" t="s">
        <v>599</v>
      </c>
      <c r="J97" s="331" t="s">
        <v>599</v>
      </c>
      <c r="K97" s="331"/>
      <c r="L97" s="331" t="s">
        <v>599</v>
      </c>
      <c r="M97" s="331" t="s">
        <v>599</v>
      </c>
      <c r="N97" s="331" t="s">
        <v>599</v>
      </c>
      <c r="O97" s="331" t="s">
        <v>599</v>
      </c>
      <c r="P97" s="792" t="s">
        <v>599</v>
      </c>
      <c r="AB97" s="314"/>
      <c r="AC97" s="314"/>
      <c r="AD97" s="314"/>
      <c r="AE97" s="314"/>
      <c r="AF97" s="314"/>
      <c r="AG97" s="314"/>
      <c r="AJ97" s="13" t="str">
        <f t="shared" ref="AJ97:AQ97" si="198">IF(OR(E97=$C97,E97=$D97,E97=""),"0","1")</f>
        <v>0</v>
      </c>
      <c r="AK97" s="13" t="str">
        <f t="shared" si="198"/>
        <v>0</v>
      </c>
      <c r="AL97" s="13" t="str">
        <f t="shared" si="198"/>
        <v>0</v>
      </c>
      <c r="AM97" s="13" t="str">
        <f t="shared" si="198"/>
        <v>0</v>
      </c>
      <c r="AN97" s="13" t="str">
        <f t="shared" si="198"/>
        <v>0</v>
      </c>
      <c r="AO97" s="13" t="str">
        <f t="shared" si="198"/>
        <v>0</v>
      </c>
      <c r="AP97" s="13" t="str">
        <f t="shared" si="198"/>
        <v>0</v>
      </c>
      <c r="AQ97" s="13" t="str">
        <f t="shared" si="198"/>
        <v>0</v>
      </c>
      <c r="AR97" s="13" t="str">
        <f t="shared" ref="AR97:AS97" si="199">IF(OR(O97=$C97,O97=$D97,O97=""),"0","1")</f>
        <v>0</v>
      </c>
      <c r="AS97" s="13" t="str">
        <f t="shared" si="199"/>
        <v>0</v>
      </c>
      <c r="AT97" s="698">
        <f t="shared" si="11"/>
        <v>0</v>
      </c>
    </row>
    <row r="98" ht="15.75" customHeight="1">
      <c r="A98" s="788" t="str">
        <f t="shared" si="5"/>
        <v>-</v>
      </c>
      <c r="B98" s="789" t="s">
        <v>518</v>
      </c>
      <c r="C98" s="331" t="s">
        <v>615</v>
      </c>
      <c r="D98" s="331" t="s">
        <v>598</v>
      </c>
      <c r="E98" s="790" t="s">
        <v>598</v>
      </c>
      <c r="F98" s="791" t="s">
        <v>615</v>
      </c>
      <c r="G98" s="331" t="s">
        <v>615</v>
      </c>
      <c r="H98" s="331" t="s">
        <v>615</v>
      </c>
      <c r="I98" s="331" t="s">
        <v>598</v>
      </c>
      <c r="J98" s="331" t="s">
        <v>598</v>
      </c>
      <c r="K98" s="331"/>
      <c r="L98" s="331" t="s">
        <v>598</v>
      </c>
      <c r="M98" s="331" t="s">
        <v>615</v>
      </c>
      <c r="N98" s="331" t="s">
        <v>598</v>
      </c>
      <c r="O98" s="331" t="s">
        <v>615</v>
      </c>
      <c r="P98" s="792" t="s">
        <v>615</v>
      </c>
      <c r="AB98" s="314"/>
      <c r="AC98" s="314"/>
      <c r="AD98" s="314"/>
      <c r="AE98" s="314"/>
      <c r="AF98" s="314"/>
      <c r="AG98" s="314"/>
      <c r="AJ98" s="13" t="str">
        <f t="shared" ref="AJ98:AQ98" si="200">IF(OR(E98=$C98,E98=$D98,E98=""),"0","1")</f>
        <v>0</v>
      </c>
      <c r="AK98" s="13" t="str">
        <f t="shared" si="200"/>
        <v>0</v>
      </c>
      <c r="AL98" s="13" t="str">
        <f t="shared" si="200"/>
        <v>0</v>
      </c>
      <c r="AM98" s="13" t="str">
        <f t="shared" si="200"/>
        <v>0</v>
      </c>
      <c r="AN98" s="13" t="str">
        <f t="shared" si="200"/>
        <v>0</v>
      </c>
      <c r="AO98" s="13" t="str">
        <f t="shared" si="200"/>
        <v>0</v>
      </c>
      <c r="AP98" s="13" t="str">
        <f t="shared" si="200"/>
        <v>0</v>
      </c>
      <c r="AQ98" s="13" t="str">
        <f t="shared" si="200"/>
        <v>0</v>
      </c>
      <c r="AR98" s="13" t="str">
        <f t="shared" ref="AR98:AS98" si="201">IF(OR(O98=$C98,O98=$D98,O98=""),"0","1")</f>
        <v>0</v>
      </c>
      <c r="AS98" s="13" t="str">
        <f t="shared" si="201"/>
        <v>0</v>
      </c>
      <c r="AT98" s="698">
        <f t="shared" si="11"/>
        <v>0</v>
      </c>
    </row>
    <row r="99" ht="15.75" customHeight="1">
      <c r="A99" s="788" t="str">
        <f t="shared" si="5"/>
        <v>-</v>
      </c>
      <c r="B99" s="789" t="s">
        <v>518</v>
      </c>
      <c r="C99" s="331" t="s">
        <v>612</v>
      </c>
      <c r="D99" s="331" t="s">
        <v>620</v>
      </c>
      <c r="E99" s="790" t="s">
        <v>620</v>
      </c>
      <c r="F99" s="791" t="s">
        <v>612</v>
      </c>
      <c r="G99" s="331" t="s">
        <v>620</v>
      </c>
      <c r="H99" s="331" t="s">
        <v>620</v>
      </c>
      <c r="I99" s="331" t="s">
        <v>620</v>
      </c>
      <c r="J99" s="331" t="s">
        <v>620</v>
      </c>
      <c r="K99" s="331"/>
      <c r="L99" s="331" t="s">
        <v>620</v>
      </c>
      <c r="M99" s="331" t="s">
        <v>620</v>
      </c>
      <c r="N99" s="331" t="s">
        <v>620</v>
      </c>
      <c r="O99" s="331" t="s">
        <v>612</v>
      </c>
      <c r="P99" s="792" t="s">
        <v>620</v>
      </c>
      <c r="AB99" s="314"/>
      <c r="AC99" s="314"/>
      <c r="AD99" s="314"/>
      <c r="AE99" s="314"/>
      <c r="AF99" s="314"/>
      <c r="AG99" s="314"/>
      <c r="AJ99" s="13" t="str">
        <f t="shared" ref="AJ99:AQ99" si="202">IF(OR(E99=$C99,E99=$D99,E99=""),"0","1")</f>
        <v>0</v>
      </c>
      <c r="AK99" s="13" t="str">
        <f t="shared" si="202"/>
        <v>0</v>
      </c>
      <c r="AL99" s="13" t="str">
        <f t="shared" si="202"/>
        <v>0</v>
      </c>
      <c r="AM99" s="13" t="str">
        <f t="shared" si="202"/>
        <v>0</v>
      </c>
      <c r="AN99" s="13" t="str">
        <f t="shared" si="202"/>
        <v>0</v>
      </c>
      <c r="AO99" s="13" t="str">
        <f t="shared" si="202"/>
        <v>0</v>
      </c>
      <c r="AP99" s="13" t="str">
        <f t="shared" si="202"/>
        <v>0</v>
      </c>
      <c r="AQ99" s="13" t="str">
        <f t="shared" si="202"/>
        <v>0</v>
      </c>
      <c r="AR99" s="13" t="str">
        <f t="shared" ref="AR99:AS99" si="203">IF(OR(O99=$C99,O99=$D99,O99=""),"0","1")</f>
        <v>0</v>
      </c>
      <c r="AS99" s="13" t="str">
        <f t="shared" si="203"/>
        <v>0</v>
      </c>
      <c r="AT99" s="698">
        <f t="shared" si="11"/>
        <v>0</v>
      </c>
    </row>
    <row r="100" ht="15.75" customHeight="1">
      <c r="A100" s="788" t="str">
        <f t="shared" si="5"/>
        <v>-</v>
      </c>
      <c r="B100" s="789" t="s">
        <v>518</v>
      </c>
      <c r="C100" s="331" t="s">
        <v>624</v>
      </c>
      <c r="D100" s="331" t="s">
        <v>606</v>
      </c>
      <c r="E100" s="790" t="s">
        <v>624</v>
      </c>
      <c r="F100" s="791" t="s">
        <v>624</v>
      </c>
      <c r="G100" s="331" t="s">
        <v>624</v>
      </c>
      <c r="H100" s="331" t="s">
        <v>624</v>
      </c>
      <c r="I100" s="331" t="s">
        <v>606</v>
      </c>
      <c r="J100" s="331" t="s">
        <v>624</v>
      </c>
      <c r="K100" s="331"/>
      <c r="L100" s="331" t="s">
        <v>624</v>
      </c>
      <c r="M100" s="331" t="s">
        <v>624</v>
      </c>
      <c r="N100" s="331" t="s">
        <v>624</v>
      </c>
      <c r="O100" s="331" t="s">
        <v>624</v>
      </c>
      <c r="P100" s="792" t="s">
        <v>624</v>
      </c>
      <c r="AB100" s="314"/>
      <c r="AC100" s="314"/>
      <c r="AD100" s="314"/>
      <c r="AE100" s="314"/>
      <c r="AF100" s="314"/>
      <c r="AG100" s="314"/>
      <c r="AJ100" s="13" t="str">
        <f t="shared" ref="AJ100:AQ100" si="204">IF(OR(E100=$C100,E100=$D100,E100=""),"0","1")</f>
        <v>0</v>
      </c>
      <c r="AK100" s="13" t="str">
        <f t="shared" si="204"/>
        <v>0</v>
      </c>
      <c r="AL100" s="13" t="str">
        <f t="shared" si="204"/>
        <v>0</v>
      </c>
      <c r="AM100" s="13" t="str">
        <f t="shared" si="204"/>
        <v>0</v>
      </c>
      <c r="AN100" s="13" t="str">
        <f t="shared" si="204"/>
        <v>0</v>
      </c>
      <c r="AO100" s="13" t="str">
        <f t="shared" si="204"/>
        <v>0</v>
      </c>
      <c r="AP100" s="13" t="str">
        <f t="shared" si="204"/>
        <v>0</v>
      </c>
      <c r="AQ100" s="13" t="str">
        <f t="shared" si="204"/>
        <v>0</v>
      </c>
      <c r="AR100" s="13" t="str">
        <f t="shared" ref="AR100:AS100" si="205">IF(OR(O100=$C100,O100=$D100,O100=""),"0","1")</f>
        <v>0</v>
      </c>
      <c r="AS100" s="13" t="str">
        <f t="shared" si="205"/>
        <v>0</v>
      </c>
      <c r="AT100" s="698">
        <f t="shared" si="11"/>
        <v>0</v>
      </c>
    </row>
    <row r="101" ht="15.75" customHeight="1">
      <c r="A101" s="788" t="str">
        <f t="shared" si="5"/>
        <v>-</v>
      </c>
      <c r="B101" s="789" t="s">
        <v>518</v>
      </c>
      <c r="C101" s="331" t="s">
        <v>611</v>
      </c>
      <c r="D101" s="331" t="s">
        <v>608</v>
      </c>
      <c r="E101" s="790" t="s">
        <v>608</v>
      </c>
      <c r="F101" s="791" t="s">
        <v>608</v>
      </c>
      <c r="G101" s="331" t="s">
        <v>608</v>
      </c>
      <c r="H101" s="331" t="s">
        <v>608</v>
      </c>
      <c r="I101" s="331" t="s">
        <v>608</v>
      </c>
      <c r="J101" s="331" t="s">
        <v>608</v>
      </c>
      <c r="K101" s="331"/>
      <c r="L101" s="331" t="s">
        <v>608</v>
      </c>
      <c r="M101" s="331" t="s">
        <v>611</v>
      </c>
      <c r="N101" s="331" t="s">
        <v>608</v>
      </c>
      <c r="O101" s="331" t="s">
        <v>608</v>
      </c>
      <c r="P101" s="792" t="s">
        <v>611</v>
      </c>
      <c r="AB101" s="314"/>
      <c r="AC101" s="314"/>
      <c r="AD101" s="314"/>
      <c r="AE101" s="314"/>
      <c r="AF101" s="314"/>
      <c r="AG101" s="314"/>
      <c r="AJ101" s="13" t="str">
        <f t="shared" ref="AJ101:AQ101" si="206">IF(OR(E101=$C101,E101=$D101,E101=""),"0","1")</f>
        <v>0</v>
      </c>
      <c r="AK101" s="13" t="str">
        <f t="shared" si="206"/>
        <v>0</v>
      </c>
      <c r="AL101" s="13" t="str">
        <f t="shared" si="206"/>
        <v>0</v>
      </c>
      <c r="AM101" s="13" t="str">
        <f t="shared" si="206"/>
        <v>0</v>
      </c>
      <c r="AN101" s="13" t="str">
        <f t="shared" si="206"/>
        <v>0</v>
      </c>
      <c r="AO101" s="13" t="str">
        <f t="shared" si="206"/>
        <v>0</v>
      </c>
      <c r="AP101" s="13" t="str">
        <f t="shared" si="206"/>
        <v>0</v>
      </c>
      <c r="AQ101" s="13" t="str">
        <f t="shared" si="206"/>
        <v>0</v>
      </c>
      <c r="AR101" s="13" t="str">
        <f t="shared" ref="AR101:AS101" si="207">IF(OR(O101=$C101,O101=$D101,O101=""),"0","1")</f>
        <v>0</v>
      </c>
      <c r="AS101" s="13" t="str">
        <f t="shared" si="207"/>
        <v>0</v>
      </c>
      <c r="AT101" s="698">
        <f t="shared" si="11"/>
        <v>0</v>
      </c>
    </row>
    <row r="102" ht="15.75" customHeight="1">
      <c r="A102" s="788" t="str">
        <f t="shared" si="5"/>
        <v>-</v>
      </c>
      <c r="B102" s="789" t="s">
        <v>518</v>
      </c>
      <c r="C102" s="331" t="s">
        <v>609</v>
      </c>
      <c r="D102" s="331" t="s">
        <v>623</v>
      </c>
      <c r="E102" s="790" t="s">
        <v>623</v>
      </c>
      <c r="F102" s="791" t="s">
        <v>623</v>
      </c>
      <c r="G102" s="331" t="s">
        <v>623</v>
      </c>
      <c r="H102" s="331" t="s">
        <v>623</v>
      </c>
      <c r="I102" s="331" t="s">
        <v>623</v>
      </c>
      <c r="J102" s="331" t="s">
        <v>623</v>
      </c>
      <c r="K102" s="331"/>
      <c r="L102" s="331" t="s">
        <v>623</v>
      </c>
      <c r="M102" s="331" t="s">
        <v>623</v>
      </c>
      <c r="N102" s="331" t="s">
        <v>623</v>
      </c>
      <c r="O102" s="331" t="s">
        <v>623</v>
      </c>
      <c r="P102" s="792" t="s">
        <v>623</v>
      </c>
      <c r="AB102" s="314"/>
      <c r="AC102" s="314"/>
      <c r="AD102" s="314"/>
      <c r="AE102" s="314"/>
      <c r="AF102" s="314"/>
      <c r="AG102" s="314"/>
      <c r="AJ102" s="13" t="str">
        <f t="shared" ref="AJ102:AQ102" si="208">IF(OR(E102=$C102,E102=$D102,E102=""),"0","1")</f>
        <v>0</v>
      </c>
      <c r="AK102" s="13" t="str">
        <f t="shared" si="208"/>
        <v>0</v>
      </c>
      <c r="AL102" s="13" t="str">
        <f t="shared" si="208"/>
        <v>0</v>
      </c>
      <c r="AM102" s="13" t="str">
        <f t="shared" si="208"/>
        <v>0</v>
      </c>
      <c r="AN102" s="13" t="str">
        <f t="shared" si="208"/>
        <v>0</v>
      </c>
      <c r="AO102" s="13" t="str">
        <f t="shared" si="208"/>
        <v>0</v>
      </c>
      <c r="AP102" s="13" t="str">
        <f t="shared" si="208"/>
        <v>0</v>
      </c>
      <c r="AQ102" s="13" t="str">
        <f t="shared" si="208"/>
        <v>0</v>
      </c>
      <c r="AR102" s="13" t="str">
        <f t="shared" ref="AR102:AS102" si="209">IF(OR(O102=$C102,O102=$D102,O102=""),"0","1")</f>
        <v>0</v>
      </c>
      <c r="AS102" s="13" t="str">
        <f t="shared" si="209"/>
        <v>0</v>
      </c>
      <c r="AT102" s="698">
        <f t="shared" si="11"/>
        <v>0</v>
      </c>
    </row>
    <row r="103" ht="15.75" customHeight="1">
      <c r="A103" s="788" t="str">
        <f t="shared" si="5"/>
        <v>-</v>
      </c>
      <c r="B103" s="789" t="s">
        <v>518</v>
      </c>
      <c r="C103" s="331" t="s">
        <v>610</v>
      </c>
      <c r="D103" s="331" t="s">
        <v>618</v>
      </c>
      <c r="E103" s="790" t="s">
        <v>618</v>
      </c>
      <c r="F103" s="791" t="s">
        <v>618</v>
      </c>
      <c r="G103" s="331" t="s">
        <v>618</v>
      </c>
      <c r="H103" s="331" t="s">
        <v>618</v>
      </c>
      <c r="I103" s="331" t="s">
        <v>610</v>
      </c>
      <c r="J103" s="331" t="s">
        <v>618</v>
      </c>
      <c r="K103" s="331"/>
      <c r="L103" s="331" t="s">
        <v>618</v>
      </c>
      <c r="M103" s="331" t="s">
        <v>618</v>
      </c>
      <c r="N103" s="331" t="s">
        <v>610</v>
      </c>
      <c r="O103" s="331" t="s">
        <v>618</v>
      </c>
      <c r="P103" s="792" t="s">
        <v>610</v>
      </c>
      <c r="AB103" s="314"/>
      <c r="AC103" s="314"/>
      <c r="AD103" s="314"/>
      <c r="AE103" s="314"/>
      <c r="AF103" s="314"/>
      <c r="AG103" s="314"/>
      <c r="AJ103" s="13" t="str">
        <f t="shared" ref="AJ103:AQ103" si="210">IF(OR(E103=$C103,E103=$D103,E103=""),"0","1")</f>
        <v>0</v>
      </c>
      <c r="AK103" s="13" t="str">
        <f t="shared" si="210"/>
        <v>0</v>
      </c>
      <c r="AL103" s="13" t="str">
        <f t="shared" si="210"/>
        <v>0</v>
      </c>
      <c r="AM103" s="13" t="str">
        <f t="shared" si="210"/>
        <v>0</v>
      </c>
      <c r="AN103" s="13" t="str">
        <f t="shared" si="210"/>
        <v>0</v>
      </c>
      <c r="AO103" s="13" t="str">
        <f t="shared" si="210"/>
        <v>0</v>
      </c>
      <c r="AP103" s="13" t="str">
        <f t="shared" si="210"/>
        <v>0</v>
      </c>
      <c r="AQ103" s="13" t="str">
        <f t="shared" si="210"/>
        <v>0</v>
      </c>
      <c r="AR103" s="13" t="str">
        <f t="shared" ref="AR103:AS103" si="211">IF(OR(O103=$C103,O103=$D103,O103=""),"0","1")</f>
        <v>0</v>
      </c>
      <c r="AS103" s="13" t="str">
        <f t="shared" si="211"/>
        <v>0</v>
      </c>
      <c r="AT103" s="698">
        <f t="shared" si="11"/>
        <v>0</v>
      </c>
    </row>
    <row r="104" ht="15.75" customHeight="1">
      <c r="A104" s="788" t="str">
        <f t="shared" si="5"/>
        <v>-</v>
      </c>
      <c r="B104" s="789" t="s">
        <v>518</v>
      </c>
      <c r="C104" s="331" t="s">
        <v>619</v>
      </c>
      <c r="D104" s="331" t="s">
        <v>617</v>
      </c>
      <c r="E104" s="790" t="s">
        <v>617</v>
      </c>
      <c r="F104" s="791" t="s">
        <v>619</v>
      </c>
      <c r="G104" s="331" t="s">
        <v>619</v>
      </c>
      <c r="H104" s="331" t="s">
        <v>617</v>
      </c>
      <c r="I104" s="331" t="s">
        <v>619</v>
      </c>
      <c r="J104" s="331" t="s">
        <v>617</v>
      </c>
      <c r="K104" s="331"/>
      <c r="L104" s="331" t="s">
        <v>619</v>
      </c>
      <c r="M104" s="331" t="s">
        <v>619</v>
      </c>
      <c r="N104" s="331" t="s">
        <v>619</v>
      </c>
      <c r="O104" s="331" t="s">
        <v>619</v>
      </c>
      <c r="P104" s="792" t="s">
        <v>619</v>
      </c>
      <c r="AB104" s="314"/>
      <c r="AC104" s="314"/>
      <c r="AD104" s="314"/>
      <c r="AE104" s="314"/>
      <c r="AF104" s="314"/>
      <c r="AG104" s="314"/>
      <c r="AJ104" s="13" t="str">
        <f t="shared" ref="AJ104:AQ104" si="212">IF(OR(E104=$C104,E104=$D104,E104=""),"0","1")</f>
        <v>0</v>
      </c>
      <c r="AK104" s="13" t="str">
        <f t="shared" si="212"/>
        <v>0</v>
      </c>
      <c r="AL104" s="13" t="str">
        <f t="shared" si="212"/>
        <v>0</v>
      </c>
      <c r="AM104" s="13" t="str">
        <f t="shared" si="212"/>
        <v>0</v>
      </c>
      <c r="AN104" s="13" t="str">
        <f t="shared" si="212"/>
        <v>0</v>
      </c>
      <c r="AO104" s="13" t="str">
        <f t="shared" si="212"/>
        <v>0</v>
      </c>
      <c r="AP104" s="13" t="str">
        <f t="shared" si="212"/>
        <v>0</v>
      </c>
      <c r="AQ104" s="13" t="str">
        <f t="shared" si="212"/>
        <v>0</v>
      </c>
      <c r="AR104" s="13" t="str">
        <f t="shared" ref="AR104:AS104" si="213">IF(OR(O104=$C104,O104=$D104,O104=""),"0","1")</f>
        <v>0</v>
      </c>
      <c r="AS104" s="13" t="str">
        <f t="shared" si="213"/>
        <v>0</v>
      </c>
      <c r="AT104" s="698">
        <f t="shared" si="11"/>
        <v>0</v>
      </c>
    </row>
    <row r="105" ht="15.75" customHeight="1">
      <c r="A105" s="788" t="str">
        <f t="shared" si="5"/>
        <v>-</v>
      </c>
      <c r="B105" s="789" t="s">
        <v>518</v>
      </c>
      <c r="C105" s="331" t="s">
        <v>594</v>
      </c>
      <c r="D105" s="331" t="s">
        <v>596</v>
      </c>
      <c r="E105" s="790" t="s">
        <v>594</v>
      </c>
      <c r="F105" s="791" t="s">
        <v>596</v>
      </c>
      <c r="G105" s="331" t="s">
        <v>594</v>
      </c>
      <c r="H105" s="331" t="s">
        <v>596</v>
      </c>
      <c r="I105" s="331" t="s">
        <v>596</v>
      </c>
      <c r="J105" s="331" t="s">
        <v>594</v>
      </c>
      <c r="K105" s="331"/>
      <c r="L105" s="331" t="s">
        <v>596</v>
      </c>
      <c r="M105" s="331" t="s">
        <v>594</v>
      </c>
      <c r="N105" s="331" t="s">
        <v>596</v>
      </c>
      <c r="O105" s="331" t="s">
        <v>594</v>
      </c>
      <c r="P105" s="792" t="s">
        <v>596</v>
      </c>
      <c r="AB105" s="314"/>
      <c r="AC105" s="314"/>
      <c r="AD105" s="314"/>
      <c r="AE105" s="314"/>
      <c r="AF105" s="314"/>
      <c r="AG105" s="314"/>
      <c r="AJ105" s="13" t="str">
        <f t="shared" ref="AJ105:AQ105" si="214">IF(OR(E105=$C105,E105=$D105,E105=""),"0","1")</f>
        <v>0</v>
      </c>
      <c r="AK105" s="13" t="str">
        <f t="shared" si="214"/>
        <v>0</v>
      </c>
      <c r="AL105" s="13" t="str">
        <f t="shared" si="214"/>
        <v>0</v>
      </c>
      <c r="AM105" s="13" t="str">
        <f t="shared" si="214"/>
        <v>0</v>
      </c>
      <c r="AN105" s="13" t="str">
        <f t="shared" si="214"/>
        <v>0</v>
      </c>
      <c r="AO105" s="13" t="str">
        <f t="shared" si="214"/>
        <v>0</v>
      </c>
      <c r="AP105" s="13" t="str">
        <f t="shared" si="214"/>
        <v>0</v>
      </c>
      <c r="AQ105" s="13" t="str">
        <f t="shared" si="214"/>
        <v>0</v>
      </c>
      <c r="AR105" s="13" t="str">
        <f t="shared" ref="AR105:AS105" si="215">IF(OR(O105=$C105,O105=$D105,O105=""),"0","1")</f>
        <v>0</v>
      </c>
      <c r="AS105" s="13" t="str">
        <f t="shared" si="215"/>
        <v>0</v>
      </c>
      <c r="AT105" s="698">
        <f t="shared" si="11"/>
        <v>0</v>
      </c>
    </row>
    <row r="106" ht="15.75" customHeight="1">
      <c r="A106" s="788" t="str">
        <f t="shared" si="5"/>
        <v>-</v>
      </c>
      <c r="B106" s="789" t="s">
        <v>518</v>
      </c>
      <c r="C106" s="331" t="s">
        <v>613</v>
      </c>
      <c r="D106" s="331" t="s">
        <v>602</v>
      </c>
      <c r="E106" s="790" t="s">
        <v>613</v>
      </c>
      <c r="F106" s="791" t="s">
        <v>613</v>
      </c>
      <c r="G106" s="331" t="s">
        <v>613</v>
      </c>
      <c r="H106" s="331" t="s">
        <v>613</v>
      </c>
      <c r="I106" s="331" t="s">
        <v>602</v>
      </c>
      <c r="J106" s="331" t="s">
        <v>613</v>
      </c>
      <c r="K106" s="331"/>
      <c r="L106" s="331" t="s">
        <v>602</v>
      </c>
      <c r="M106" s="331" t="s">
        <v>602</v>
      </c>
      <c r="N106" s="331" t="s">
        <v>613</v>
      </c>
      <c r="O106" s="331" t="s">
        <v>613</v>
      </c>
      <c r="P106" s="792" t="s">
        <v>613</v>
      </c>
      <c r="AB106" s="314"/>
      <c r="AC106" s="314"/>
      <c r="AD106" s="314"/>
      <c r="AE106" s="314"/>
      <c r="AF106" s="314"/>
      <c r="AG106" s="314"/>
      <c r="AJ106" s="13" t="str">
        <f t="shared" ref="AJ106:AQ106" si="216">IF(OR(E106=$C106,E106=$D106,E106=""),"0","1")</f>
        <v>0</v>
      </c>
      <c r="AK106" s="13" t="str">
        <f t="shared" si="216"/>
        <v>0</v>
      </c>
      <c r="AL106" s="13" t="str">
        <f t="shared" si="216"/>
        <v>0</v>
      </c>
      <c r="AM106" s="13" t="str">
        <f t="shared" si="216"/>
        <v>0</v>
      </c>
      <c r="AN106" s="13" t="str">
        <f t="shared" si="216"/>
        <v>0</v>
      </c>
      <c r="AO106" s="13" t="str">
        <f t="shared" si="216"/>
        <v>0</v>
      </c>
      <c r="AP106" s="13" t="str">
        <f t="shared" si="216"/>
        <v>0</v>
      </c>
      <c r="AQ106" s="13" t="str">
        <f t="shared" si="216"/>
        <v>0</v>
      </c>
      <c r="AR106" s="13" t="str">
        <f t="shared" ref="AR106:AS106" si="217">IF(OR(O106=$C106,O106=$D106,O106=""),"0","1")</f>
        <v>0</v>
      </c>
      <c r="AS106" s="13" t="str">
        <f t="shared" si="217"/>
        <v>0</v>
      </c>
      <c r="AT106" s="698">
        <f t="shared" si="11"/>
        <v>0</v>
      </c>
    </row>
    <row r="107" ht="15.75" customHeight="1">
      <c r="A107" s="788" t="str">
        <f t="shared" si="5"/>
        <v>-</v>
      </c>
      <c r="B107" s="789" t="s">
        <v>518</v>
      </c>
      <c r="C107" s="331" t="s">
        <v>595</v>
      </c>
      <c r="D107" s="331" t="s">
        <v>616</v>
      </c>
      <c r="E107" s="790" t="s">
        <v>595</v>
      </c>
      <c r="F107" s="791" t="s">
        <v>616</v>
      </c>
      <c r="G107" s="331" t="s">
        <v>595</v>
      </c>
      <c r="H107" s="331" t="s">
        <v>616</v>
      </c>
      <c r="I107" s="331" t="s">
        <v>616</v>
      </c>
      <c r="J107" s="331" t="s">
        <v>595</v>
      </c>
      <c r="K107" s="331"/>
      <c r="L107" s="331" t="s">
        <v>595</v>
      </c>
      <c r="M107" s="331" t="s">
        <v>616</v>
      </c>
      <c r="N107" s="331" t="s">
        <v>595</v>
      </c>
      <c r="O107" s="331" t="s">
        <v>616</v>
      </c>
      <c r="P107" s="792" t="s">
        <v>595</v>
      </c>
      <c r="AB107" s="314"/>
      <c r="AC107" s="314"/>
      <c r="AD107" s="314"/>
      <c r="AE107" s="314"/>
      <c r="AF107" s="314"/>
      <c r="AG107" s="314"/>
      <c r="AJ107" s="13" t="str">
        <f t="shared" ref="AJ107:AQ107" si="218">IF(OR(E107=$C107,E107=$D107,E107=""),"0","1")</f>
        <v>0</v>
      </c>
      <c r="AK107" s="13" t="str">
        <f t="shared" si="218"/>
        <v>0</v>
      </c>
      <c r="AL107" s="13" t="str">
        <f t="shared" si="218"/>
        <v>0</v>
      </c>
      <c r="AM107" s="13" t="str">
        <f t="shared" si="218"/>
        <v>0</v>
      </c>
      <c r="AN107" s="13" t="str">
        <f t="shared" si="218"/>
        <v>0</v>
      </c>
      <c r="AO107" s="13" t="str">
        <f t="shared" si="218"/>
        <v>0</v>
      </c>
      <c r="AP107" s="13" t="str">
        <f t="shared" si="218"/>
        <v>0</v>
      </c>
      <c r="AQ107" s="13" t="str">
        <f t="shared" si="218"/>
        <v>0</v>
      </c>
      <c r="AR107" s="13" t="str">
        <f t="shared" ref="AR107:AS107" si="219">IF(OR(O107=$C107,O107=$D107,O107=""),"0","1")</f>
        <v>0</v>
      </c>
      <c r="AS107" s="13" t="str">
        <f t="shared" si="219"/>
        <v>0</v>
      </c>
      <c r="AT107" s="698">
        <f t="shared" si="11"/>
        <v>0</v>
      </c>
    </row>
    <row r="108" ht="15.75" customHeight="1">
      <c r="A108" s="788" t="str">
        <f t="shared" si="5"/>
        <v>-</v>
      </c>
      <c r="B108" s="830" t="s">
        <v>519</v>
      </c>
      <c r="C108" s="331" t="s">
        <v>598</v>
      </c>
      <c r="D108" s="331" t="s">
        <v>618</v>
      </c>
      <c r="E108" s="790" t="s">
        <v>598</v>
      </c>
      <c r="F108" s="791" t="s">
        <v>618</v>
      </c>
      <c r="G108" s="331" t="s">
        <v>598</v>
      </c>
      <c r="H108" s="331" t="s">
        <v>598</v>
      </c>
      <c r="I108" s="331" t="s">
        <v>618</v>
      </c>
      <c r="J108" s="331" t="s">
        <v>598</v>
      </c>
      <c r="K108" s="331"/>
      <c r="L108" s="331" t="s">
        <v>598</v>
      </c>
      <c r="M108" s="331" t="s">
        <v>618</v>
      </c>
      <c r="N108" s="331" t="s">
        <v>598</v>
      </c>
      <c r="O108" s="331" t="s">
        <v>598</v>
      </c>
      <c r="P108" s="792" t="s">
        <v>598</v>
      </c>
      <c r="AB108" s="314"/>
      <c r="AC108" s="314"/>
      <c r="AD108" s="314"/>
      <c r="AE108" s="314"/>
      <c r="AF108" s="314"/>
      <c r="AG108" s="314"/>
      <c r="AJ108" s="13" t="str">
        <f t="shared" ref="AJ108:AQ108" si="220">IF(OR(E108=$C108,E108=$D108,E108=""),"0","1")</f>
        <v>0</v>
      </c>
      <c r="AK108" s="13" t="str">
        <f t="shared" si="220"/>
        <v>0</v>
      </c>
      <c r="AL108" s="13" t="str">
        <f t="shared" si="220"/>
        <v>0</v>
      </c>
      <c r="AM108" s="13" t="str">
        <f t="shared" si="220"/>
        <v>0</v>
      </c>
      <c r="AN108" s="13" t="str">
        <f t="shared" si="220"/>
        <v>0</v>
      </c>
      <c r="AO108" s="13" t="str">
        <f t="shared" si="220"/>
        <v>0</v>
      </c>
      <c r="AP108" s="13" t="str">
        <f t="shared" si="220"/>
        <v>0</v>
      </c>
      <c r="AQ108" s="13" t="str">
        <f t="shared" si="220"/>
        <v>0</v>
      </c>
      <c r="AR108" s="13" t="str">
        <f t="shared" ref="AR108:AS108" si="221">IF(OR(O108=$C108,O108=$D108,O108=""),"0","1")</f>
        <v>0</v>
      </c>
      <c r="AS108" s="13" t="str">
        <f t="shared" si="221"/>
        <v>0</v>
      </c>
      <c r="AT108" s="698">
        <f t="shared" si="11"/>
        <v>0</v>
      </c>
    </row>
    <row r="109" ht="15.75" customHeight="1">
      <c r="A109" s="788" t="str">
        <f t="shared" si="5"/>
        <v>-</v>
      </c>
      <c r="B109" s="830" t="s">
        <v>519</v>
      </c>
      <c r="C109" s="331" t="s">
        <v>594</v>
      </c>
      <c r="D109" s="331" t="s">
        <v>593</v>
      </c>
      <c r="E109" s="790" t="s">
        <v>594</v>
      </c>
      <c r="F109" s="791" t="s">
        <v>593</v>
      </c>
      <c r="G109" s="331" t="s">
        <v>594</v>
      </c>
      <c r="H109" s="331" t="s">
        <v>594</v>
      </c>
      <c r="I109" s="331" t="s">
        <v>593</v>
      </c>
      <c r="J109" s="331" t="s">
        <v>594</v>
      </c>
      <c r="K109" s="331"/>
      <c r="L109" s="331" t="s">
        <v>594</v>
      </c>
      <c r="M109" s="331" t="s">
        <v>594</v>
      </c>
      <c r="N109" s="331" t="s">
        <v>594</v>
      </c>
      <c r="O109" s="331" t="s">
        <v>594</v>
      </c>
      <c r="P109" s="792" t="s">
        <v>594</v>
      </c>
      <c r="AB109" s="314"/>
      <c r="AC109" s="314"/>
      <c r="AD109" s="314"/>
      <c r="AE109" s="314"/>
      <c r="AF109" s="314"/>
      <c r="AG109" s="314"/>
      <c r="AJ109" s="13" t="str">
        <f t="shared" ref="AJ109:AQ109" si="222">IF(OR(E109=$C109,E109=$D109,E109=""),"0","1")</f>
        <v>0</v>
      </c>
      <c r="AK109" s="13" t="str">
        <f t="shared" si="222"/>
        <v>0</v>
      </c>
      <c r="AL109" s="13" t="str">
        <f t="shared" si="222"/>
        <v>0</v>
      </c>
      <c r="AM109" s="13" t="str">
        <f t="shared" si="222"/>
        <v>0</v>
      </c>
      <c r="AN109" s="13" t="str">
        <f t="shared" si="222"/>
        <v>0</v>
      </c>
      <c r="AO109" s="13" t="str">
        <f t="shared" si="222"/>
        <v>0</v>
      </c>
      <c r="AP109" s="13" t="str">
        <f t="shared" si="222"/>
        <v>0</v>
      </c>
      <c r="AQ109" s="13" t="str">
        <f t="shared" si="222"/>
        <v>0</v>
      </c>
      <c r="AR109" s="13" t="str">
        <f t="shared" ref="AR109:AS109" si="223">IF(OR(O109=$C109,O109=$D109,O109=""),"0","1")</f>
        <v>0</v>
      </c>
      <c r="AS109" s="13" t="str">
        <f t="shared" si="223"/>
        <v>0</v>
      </c>
      <c r="AT109" s="698">
        <f t="shared" si="11"/>
        <v>0</v>
      </c>
    </row>
    <row r="110" ht="15.75" customHeight="1">
      <c r="A110" s="788" t="str">
        <f t="shared" si="5"/>
        <v>-</v>
      </c>
      <c r="B110" s="830" t="s">
        <v>519</v>
      </c>
      <c r="C110" s="331" t="s">
        <v>599</v>
      </c>
      <c r="D110" s="331" t="s">
        <v>624</v>
      </c>
      <c r="E110" s="790" t="s">
        <v>624</v>
      </c>
      <c r="F110" s="791" t="s">
        <v>599</v>
      </c>
      <c r="G110" s="331" t="s">
        <v>599</v>
      </c>
      <c r="H110" s="331" t="s">
        <v>599</v>
      </c>
      <c r="I110" s="331" t="s">
        <v>624</v>
      </c>
      <c r="J110" s="331" t="s">
        <v>624</v>
      </c>
      <c r="K110" s="331"/>
      <c r="L110" s="331" t="s">
        <v>599</v>
      </c>
      <c r="M110" s="331" t="s">
        <v>599</v>
      </c>
      <c r="N110" s="331" t="s">
        <v>599</v>
      </c>
      <c r="O110" s="331" t="s">
        <v>624</v>
      </c>
      <c r="P110" s="792" t="s">
        <v>599</v>
      </c>
      <c r="AB110" s="314"/>
      <c r="AC110" s="314"/>
      <c r="AD110" s="314"/>
      <c r="AE110" s="314"/>
      <c r="AF110" s="314"/>
      <c r="AG110" s="314"/>
      <c r="AJ110" s="13" t="str">
        <f t="shared" ref="AJ110:AQ110" si="224">IF(OR(E110=$C110,E110=$D110,E110=""),"0","1")</f>
        <v>0</v>
      </c>
      <c r="AK110" s="13" t="str">
        <f t="shared" si="224"/>
        <v>0</v>
      </c>
      <c r="AL110" s="13" t="str">
        <f t="shared" si="224"/>
        <v>0</v>
      </c>
      <c r="AM110" s="13" t="str">
        <f t="shared" si="224"/>
        <v>0</v>
      </c>
      <c r="AN110" s="13" t="str">
        <f t="shared" si="224"/>
        <v>0</v>
      </c>
      <c r="AO110" s="13" t="str">
        <f t="shared" si="224"/>
        <v>0</v>
      </c>
      <c r="AP110" s="13" t="str">
        <f t="shared" si="224"/>
        <v>0</v>
      </c>
      <c r="AQ110" s="13" t="str">
        <f t="shared" si="224"/>
        <v>0</v>
      </c>
      <c r="AR110" s="13" t="str">
        <f t="shared" ref="AR110:AS110" si="225">IF(OR(O110=$C110,O110=$D110,O110=""),"0","1")</f>
        <v>0</v>
      </c>
      <c r="AS110" s="13" t="str">
        <f t="shared" si="225"/>
        <v>0</v>
      </c>
      <c r="AT110" s="698">
        <f t="shared" si="11"/>
        <v>0</v>
      </c>
    </row>
    <row r="111" ht="15.75" customHeight="1">
      <c r="A111" s="788" t="str">
        <f t="shared" si="5"/>
        <v>-</v>
      </c>
      <c r="B111" s="830" t="s">
        <v>519</v>
      </c>
      <c r="C111" s="331" t="s">
        <v>603</v>
      </c>
      <c r="D111" s="331" t="s">
        <v>621</v>
      </c>
      <c r="E111" s="790" t="s">
        <v>603</v>
      </c>
      <c r="F111" s="791" t="s">
        <v>603</v>
      </c>
      <c r="G111" s="331" t="s">
        <v>603</v>
      </c>
      <c r="H111" s="331" t="s">
        <v>603</v>
      </c>
      <c r="I111" s="331" t="s">
        <v>603</v>
      </c>
      <c r="J111" s="331" t="s">
        <v>603</v>
      </c>
      <c r="K111" s="331"/>
      <c r="L111" s="331" t="s">
        <v>603</v>
      </c>
      <c r="M111" s="331" t="s">
        <v>603</v>
      </c>
      <c r="N111" s="331" t="s">
        <v>603</v>
      </c>
      <c r="O111" s="331" t="s">
        <v>603</v>
      </c>
      <c r="P111" s="792" t="s">
        <v>603</v>
      </c>
      <c r="AB111" s="314"/>
      <c r="AC111" s="314"/>
      <c r="AD111" s="314"/>
      <c r="AE111" s="314"/>
      <c r="AF111" s="314"/>
      <c r="AG111" s="314"/>
      <c r="AJ111" s="13" t="str">
        <f t="shared" ref="AJ111:AQ111" si="226">IF(OR(E111=$C111,E111=$D111,E111=""),"0","1")</f>
        <v>0</v>
      </c>
      <c r="AK111" s="13" t="str">
        <f t="shared" si="226"/>
        <v>0</v>
      </c>
      <c r="AL111" s="13" t="str">
        <f t="shared" si="226"/>
        <v>0</v>
      </c>
      <c r="AM111" s="13" t="str">
        <f t="shared" si="226"/>
        <v>0</v>
      </c>
      <c r="AN111" s="13" t="str">
        <f t="shared" si="226"/>
        <v>0</v>
      </c>
      <c r="AO111" s="13" t="str">
        <f t="shared" si="226"/>
        <v>0</v>
      </c>
      <c r="AP111" s="13" t="str">
        <f t="shared" si="226"/>
        <v>0</v>
      </c>
      <c r="AQ111" s="13" t="str">
        <f t="shared" si="226"/>
        <v>0</v>
      </c>
      <c r="AR111" s="13" t="str">
        <f t="shared" ref="AR111:AS111" si="227">IF(OR(O111=$C111,O111=$D111,O111=""),"0","1")</f>
        <v>0</v>
      </c>
      <c r="AS111" s="13" t="str">
        <f t="shared" si="227"/>
        <v>0</v>
      </c>
      <c r="AT111" s="698">
        <f t="shared" si="11"/>
        <v>0</v>
      </c>
    </row>
    <row r="112" ht="15.75" customHeight="1">
      <c r="A112" s="788" t="str">
        <f t="shared" si="5"/>
        <v>-</v>
      </c>
      <c r="B112" s="830" t="s">
        <v>519</v>
      </c>
      <c r="C112" s="331" t="s">
        <v>604</v>
      </c>
      <c r="D112" s="331" t="s">
        <v>615</v>
      </c>
      <c r="E112" s="790" t="s">
        <v>615</v>
      </c>
      <c r="F112" s="791" t="s">
        <v>615</v>
      </c>
      <c r="G112" s="331" t="s">
        <v>615</v>
      </c>
      <c r="H112" s="331" t="s">
        <v>615</v>
      </c>
      <c r="I112" s="331" t="s">
        <v>615</v>
      </c>
      <c r="J112" s="331" t="s">
        <v>615</v>
      </c>
      <c r="K112" s="331"/>
      <c r="L112" s="331" t="s">
        <v>615</v>
      </c>
      <c r="M112" s="331" t="s">
        <v>615</v>
      </c>
      <c r="N112" s="331" t="s">
        <v>615</v>
      </c>
      <c r="O112" s="331" t="s">
        <v>615</v>
      </c>
      <c r="P112" s="792" t="s">
        <v>615</v>
      </c>
      <c r="AB112" s="314"/>
      <c r="AC112" s="314"/>
      <c r="AD112" s="314"/>
      <c r="AE112" s="314"/>
      <c r="AF112" s="314"/>
      <c r="AG112" s="314"/>
      <c r="AJ112" s="13" t="str">
        <f t="shared" ref="AJ112:AQ112" si="228">IF(OR(E112=$C112,E112=$D112,E112=""),"0","1")</f>
        <v>0</v>
      </c>
      <c r="AK112" s="13" t="str">
        <f t="shared" si="228"/>
        <v>0</v>
      </c>
      <c r="AL112" s="13" t="str">
        <f t="shared" si="228"/>
        <v>0</v>
      </c>
      <c r="AM112" s="13" t="str">
        <f t="shared" si="228"/>
        <v>0</v>
      </c>
      <c r="AN112" s="13" t="str">
        <f t="shared" si="228"/>
        <v>0</v>
      </c>
      <c r="AO112" s="13" t="str">
        <f t="shared" si="228"/>
        <v>0</v>
      </c>
      <c r="AP112" s="13" t="str">
        <f t="shared" si="228"/>
        <v>0</v>
      </c>
      <c r="AQ112" s="13" t="str">
        <f t="shared" si="228"/>
        <v>0</v>
      </c>
      <c r="AR112" s="13" t="str">
        <f t="shared" ref="AR112:AS112" si="229">IF(OR(O112=$C112,O112=$D112,O112=""),"0","1")</f>
        <v>0</v>
      </c>
      <c r="AS112" s="13" t="str">
        <f t="shared" si="229"/>
        <v>0</v>
      </c>
      <c r="AT112" s="698">
        <f t="shared" si="11"/>
        <v>0</v>
      </c>
    </row>
    <row r="113" ht="15.75" customHeight="1">
      <c r="A113" s="788" t="str">
        <f t="shared" si="5"/>
        <v>-</v>
      </c>
      <c r="B113" s="830" t="s">
        <v>519</v>
      </c>
      <c r="C113" s="331" t="s">
        <v>620</v>
      </c>
      <c r="D113" s="331" t="s">
        <v>602</v>
      </c>
      <c r="E113" s="790" t="s">
        <v>620</v>
      </c>
      <c r="F113" s="791" t="s">
        <v>620</v>
      </c>
      <c r="G113" s="331" t="s">
        <v>620</v>
      </c>
      <c r="H113" s="331" t="s">
        <v>620</v>
      </c>
      <c r="I113" s="331" t="s">
        <v>620</v>
      </c>
      <c r="J113" s="331" t="s">
        <v>620</v>
      </c>
      <c r="K113" s="331"/>
      <c r="L113" s="331" t="s">
        <v>620</v>
      </c>
      <c r="M113" s="331" t="s">
        <v>620</v>
      </c>
      <c r="N113" s="331" t="s">
        <v>620</v>
      </c>
      <c r="O113" s="331" t="s">
        <v>602</v>
      </c>
      <c r="P113" s="792" t="s">
        <v>620</v>
      </c>
      <c r="AB113" s="314"/>
      <c r="AC113" s="314"/>
      <c r="AD113" s="314"/>
      <c r="AE113" s="314"/>
      <c r="AF113" s="314"/>
      <c r="AG113" s="314"/>
      <c r="AJ113" s="13" t="str">
        <f t="shared" ref="AJ113:AQ113" si="230">IF(OR(E113=$C113,E113=$D113,E113=""),"0","1")</f>
        <v>0</v>
      </c>
      <c r="AK113" s="13" t="str">
        <f t="shared" si="230"/>
        <v>0</v>
      </c>
      <c r="AL113" s="13" t="str">
        <f t="shared" si="230"/>
        <v>0</v>
      </c>
      <c r="AM113" s="13" t="str">
        <f t="shared" si="230"/>
        <v>0</v>
      </c>
      <c r="AN113" s="13" t="str">
        <f t="shared" si="230"/>
        <v>0</v>
      </c>
      <c r="AO113" s="13" t="str">
        <f t="shared" si="230"/>
        <v>0</v>
      </c>
      <c r="AP113" s="13" t="str">
        <f t="shared" si="230"/>
        <v>0</v>
      </c>
      <c r="AQ113" s="13" t="str">
        <f t="shared" si="230"/>
        <v>0</v>
      </c>
      <c r="AR113" s="13" t="str">
        <f t="shared" ref="AR113:AS113" si="231">IF(OR(O113=$C113,O113=$D113,O113=""),"0","1")</f>
        <v>0</v>
      </c>
      <c r="AS113" s="13" t="str">
        <f t="shared" si="231"/>
        <v>0</v>
      </c>
      <c r="AT113" s="698">
        <f t="shared" si="11"/>
        <v>0</v>
      </c>
    </row>
    <row r="114" ht="15.75" customHeight="1">
      <c r="A114" s="788" t="str">
        <f t="shared" si="5"/>
        <v>-</v>
      </c>
      <c r="B114" s="830" t="s">
        <v>519</v>
      </c>
      <c r="C114" s="331" t="s">
        <v>616</v>
      </c>
      <c r="D114" s="331" t="s">
        <v>611</v>
      </c>
      <c r="E114" s="790" t="s">
        <v>611</v>
      </c>
      <c r="F114" s="791" t="s">
        <v>616</v>
      </c>
      <c r="G114" s="331" t="s">
        <v>611</v>
      </c>
      <c r="H114" s="331" t="s">
        <v>611</v>
      </c>
      <c r="I114" s="331" t="s">
        <v>616</v>
      </c>
      <c r="J114" s="331" t="s">
        <v>611</v>
      </c>
      <c r="K114" s="331"/>
      <c r="L114" s="331" t="s">
        <v>616</v>
      </c>
      <c r="M114" s="331" t="s">
        <v>616</v>
      </c>
      <c r="N114" s="331" t="s">
        <v>616</v>
      </c>
      <c r="O114" s="331" t="s">
        <v>616</v>
      </c>
      <c r="P114" s="792" t="s">
        <v>611</v>
      </c>
      <c r="AB114" s="314"/>
      <c r="AC114" s="314"/>
      <c r="AD114" s="314"/>
      <c r="AE114" s="314"/>
      <c r="AF114" s="314"/>
      <c r="AG114" s="314"/>
      <c r="AJ114" s="13" t="str">
        <f t="shared" ref="AJ114:AQ114" si="232">IF(OR(E114=$C114,E114=$D114,E114=""),"0","1")</f>
        <v>0</v>
      </c>
      <c r="AK114" s="13" t="str">
        <f t="shared" si="232"/>
        <v>0</v>
      </c>
      <c r="AL114" s="13" t="str">
        <f t="shared" si="232"/>
        <v>0</v>
      </c>
      <c r="AM114" s="13" t="str">
        <f t="shared" si="232"/>
        <v>0</v>
      </c>
      <c r="AN114" s="13" t="str">
        <f t="shared" si="232"/>
        <v>0</v>
      </c>
      <c r="AO114" s="13" t="str">
        <f t="shared" si="232"/>
        <v>0</v>
      </c>
      <c r="AP114" s="13" t="str">
        <f t="shared" si="232"/>
        <v>0</v>
      </c>
      <c r="AQ114" s="13" t="str">
        <f t="shared" si="232"/>
        <v>0</v>
      </c>
      <c r="AR114" s="13" t="str">
        <f t="shared" ref="AR114:AS114" si="233">IF(OR(O114=$C114,O114=$D114,O114=""),"0","1")</f>
        <v>0</v>
      </c>
      <c r="AS114" s="13" t="str">
        <f t="shared" si="233"/>
        <v>0</v>
      </c>
      <c r="AT114" s="698">
        <f t="shared" si="11"/>
        <v>0</v>
      </c>
    </row>
    <row r="115" ht="15.75" customHeight="1">
      <c r="A115" s="788" t="str">
        <f t="shared" si="5"/>
        <v>-</v>
      </c>
      <c r="B115" s="830" t="s">
        <v>519</v>
      </c>
      <c r="C115" s="331" t="s">
        <v>613</v>
      </c>
      <c r="D115" s="331" t="s">
        <v>606</v>
      </c>
      <c r="E115" s="790" t="s">
        <v>613</v>
      </c>
      <c r="F115" s="791" t="s">
        <v>606</v>
      </c>
      <c r="G115" s="331" t="s">
        <v>613</v>
      </c>
      <c r="H115" s="331" t="s">
        <v>613</v>
      </c>
      <c r="I115" s="331" t="s">
        <v>613</v>
      </c>
      <c r="J115" s="331" t="s">
        <v>613</v>
      </c>
      <c r="K115" s="331"/>
      <c r="L115" s="331" t="s">
        <v>613</v>
      </c>
      <c r="M115" s="331" t="s">
        <v>613</v>
      </c>
      <c r="N115" s="331" t="s">
        <v>613</v>
      </c>
      <c r="O115" s="331" t="s">
        <v>613</v>
      </c>
      <c r="P115" s="792" t="s">
        <v>613</v>
      </c>
      <c r="AB115" s="314"/>
      <c r="AC115" s="314"/>
      <c r="AD115" s="314"/>
      <c r="AE115" s="314"/>
      <c r="AF115" s="314"/>
      <c r="AG115" s="314"/>
      <c r="AJ115" s="13" t="str">
        <f t="shared" ref="AJ115:AQ115" si="234">IF(OR(E115=$C115,E115=$D115,E115=""),"0","1")</f>
        <v>0</v>
      </c>
      <c r="AK115" s="13" t="str">
        <f t="shared" si="234"/>
        <v>0</v>
      </c>
      <c r="AL115" s="13" t="str">
        <f t="shared" si="234"/>
        <v>0</v>
      </c>
      <c r="AM115" s="13" t="str">
        <f t="shared" si="234"/>
        <v>0</v>
      </c>
      <c r="AN115" s="13" t="str">
        <f t="shared" si="234"/>
        <v>0</v>
      </c>
      <c r="AO115" s="13" t="str">
        <f t="shared" si="234"/>
        <v>0</v>
      </c>
      <c r="AP115" s="13" t="str">
        <f t="shared" si="234"/>
        <v>0</v>
      </c>
      <c r="AQ115" s="13" t="str">
        <f t="shared" si="234"/>
        <v>0</v>
      </c>
      <c r="AR115" s="13" t="str">
        <f t="shared" ref="AR115:AS115" si="235">IF(OR(O115=$C115,O115=$D115,O115=""),"0","1")</f>
        <v>0</v>
      </c>
      <c r="AS115" s="13" t="str">
        <f t="shared" si="235"/>
        <v>0</v>
      </c>
      <c r="AT115" s="698">
        <f t="shared" si="11"/>
        <v>0</v>
      </c>
    </row>
    <row r="116" ht="15.75" customHeight="1">
      <c r="A116" s="788" t="str">
        <f t="shared" si="5"/>
        <v>-</v>
      </c>
      <c r="B116" s="830" t="s">
        <v>519</v>
      </c>
      <c r="C116" s="331" t="s">
        <v>608</v>
      </c>
      <c r="D116" s="331" t="s">
        <v>597</v>
      </c>
      <c r="E116" s="790" t="s">
        <v>597</v>
      </c>
      <c r="F116" s="791" t="s">
        <v>597</v>
      </c>
      <c r="G116" s="331" t="s">
        <v>597</v>
      </c>
      <c r="H116" s="331" t="s">
        <v>597</v>
      </c>
      <c r="I116" s="331" t="s">
        <v>597</v>
      </c>
      <c r="J116" s="331" t="s">
        <v>597</v>
      </c>
      <c r="K116" s="331"/>
      <c r="L116" s="331" t="s">
        <v>597</v>
      </c>
      <c r="M116" s="331" t="s">
        <v>608</v>
      </c>
      <c r="N116" s="331" t="s">
        <v>597</v>
      </c>
      <c r="O116" s="331" t="s">
        <v>597</v>
      </c>
      <c r="P116" s="792" t="s">
        <v>597</v>
      </c>
      <c r="AB116" s="314"/>
      <c r="AC116" s="314"/>
      <c r="AD116" s="314"/>
      <c r="AE116" s="314"/>
      <c r="AF116" s="314"/>
      <c r="AG116" s="314"/>
      <c r="AJ116" s="13" t="str">
        <f t="shared" ref="AJ116:AQ116" si="236">IF(OR(E116=$C116,E116=$D116,E116=""),"0","1")</f>
        <v>0</v>
      </c>
      <c r="AK116" s="13" t="str">
        <f t="shared" si="236"/>
        <v>0</v>
      </c>
      <c r="AL116" s="13" t="str">
        <f t="shared" si="236"/>
        <v>0</v>
      </c>
      <c r="AM116" s="13" t="str">
        <f t="shared" si="236"/>
        <v>0</v>
      </c>
      <c r="AN116" s="13" t="str">
        <f t="shared" si="236"/>
        <v>0</v>
      </c>
      <c r="AO116" s="13" t="str">
        <f t="shared" si="236"/>
        <v>0</v>
      </c>
      <c r="AP116" s="13" t="str">
        <f t="shared" si="236"/>
        <v>0</v>
      </c>
      <c r="AQ116" s="13" t="str">
        <f t="shared" si="236"/>
        <v>0</v>
      </c>
      <c r="AR116" s="13" t="str">
        <f t="shared" ref="AR116:AS116" si="237">IF(OR(O116=$C116,O116=$D116,O116=""),"0","1")</f>
        <v>0</v>
      </c>
      <c r="AS116" s="13" t="str">
        <f t="shared" si="237"/>
        <v>0</v>
      </c>
      <c r="AT116" s="698">
        <f t="shared" si="11"/>
        <v>0</v>
      </c>
    </row>
    <row r="117" ht="15.75" customHeight="1">
      <c r="A117" s="788" t="str">
        <f t="shared" si="5"/>
        <v>-</v>
      </c>
      <c r="B117" s="830" t="s">
        <v>519</v>
      </c>
      <c r="C117" s="331" t="s">
        <v>600</v>
      </c>
      <c r="D117" s="331" t="s">
        <v>595</v>
      </c>
      <c r="E117" s="790" t="s">
        <v>595</v>
      </c>
      <c r="F117" s="791" t="s">
        <v>595</v>
      </c>
      <c r="G117" s="331" t="s">
        <v>595</v>
      </c>
      <c r="H117" s="331" t="s">
        <v>595</v>
      </c>
      <c r="I117" s="331" t="s">
        <v>595</v>
      </c>
      <c r="J117" s="331" t="s">
        <v>595</v>
      </c>
      <c r="K117" s="331"/>
      <c r="L117" s="331" t="s">
        <v>595</v>
      </c>
      <c r="M117" s="331" t="s">
        <v>595</v>
      </c>
      <c r="N117" s="331" t="s">
        <v>595</v>
      </c>
      <c r="O117" s="331" t="s">
        <v>600</v>
      </c>
      <c r="P117" s="792" t="s">
        <v>595</v>
      </c>
      <c r="AB117" s="314"/>
      <c r="AC117" s="314"/>
      <c r="AD117" s="314"/>
      <c r="AE117" s="314"/>
      <c r="AF117" s="314"/>
      <c r="AG117" s="314"/>
      <c r="AJ117" s="13" t="str">
        <f t="shared" ref="AJ117:AQ117" si="238">IF(OR(E117=$C117,E117=$D117,E117=""),"0","1")</f>
        <v>0</v>
      </c>
      <c r="AK117" s="13" t="str">
        <f t="shared" si="238"/>
        <v>0</v>
      </c>
      <c r="AL117" s="13" t="str">
        <f t="shared" si="238"/>
        <v>0</v>
      </c>
      <c r="AM117" s="13" t="str">
        <f t="shared" si="238"/>
        <v>0</v>
      </c>
      <c r="AN117" s="13" t="str">
        <f t="shared" si="238"/>
        <v>0</v>
      </c>
      <c r="AO117" s="13" t="str">
        <f t="shared" si="238"/>
        <v>0</v>
      </c>
      <c r="AP117" s="13" t="str">
        <f t="shared" si="238"/>
        <v>0</v>
      </c>
      <c r="AQ117" s="13" t="str">
        <f t="shared" si="238"/>
        <v>0</v>
      </c>
      <c r="AR117" s="13" t="str">
        <f t="shared" ref="AR117:AS117" si="239">IF(OR(O117=$C117,O117=$D117,O117=""),"0","1")</f>
        <v>0</v>
      </c>
      <c r="AS117" s="13" t="str">
        <f t="shared" si="239"/>
        <v>0</v>
      </c>
      <c r="AT117" s="698">
        <f t="shared" si="11"/>
        <v>0</v>
      </c>
    </row>
    <row r="118" ht="15.75" customHeight="1">
      <c r="A118" s="788" t="str">
        <f t="shared" si="5"/>
        <v>-</v>
      </c>
      <c r="B118" s="830" t="s">
        <v>519</v>
      </c>
      <c r="C118" s="331" t="s">
        <v>622</v>
      </c>
      <c r="D118" s="331" t="s">
        <v>612</v>
      </c>
      <c r="E118" s="790" t="s">
        <v>622</v>
      </c>
      <c r="F118" s="791" t="s">
        <v>622</v>
      </c>
      <c r="G118" s="331" t="s">
        <v>622</v>
      </c>
      <c r="H118" s="331" t="s">
        <v>622</v>
      </c>
      <c r="I118" s="331" t="s">
        <v>622</v>
      </c>
      <c r="J118" s="331" t="s">
        <v>622</v>
      </c>
      <c r="K118" s="331"/>
      <c r="L118" s="331" t="s">
        <v>622</v>
      </c>
      <c r="M118" s="331" t="s">
        <v>622</v>
      </c>
      <c r="N118" s="331" t="s">
        <v>622</v>
      </c>
      <c r="O118" s="331" t="s">
        <v>622</v>
      </c>
      <c r="P118" s="792" t="s">
        <v>622</v>
      </c>
      <c r="AB118" s="314"/>
      <c r="AC118" s="314"/>
      <c r="AD118" s="314"/>
      <c r="AE118" s="314"/>
      <c r="AF118" s="314"/>
      <c r="AG118" s="314"/>
      <c r="AJ118" s="13" t="str">
        <f t="shared" ref="AJ118:AQ118" si="240">IF(OR(E118=$C118,E118=$D118,E118=""),"0","1")</f>
        <v>0</v>
      </c>
      <c r="AK118" s="13" t="str">
        <f t="shared" si="240"/>
        <v>0</v>
      </c>
      <c r="AL118" s="13" t="str">
        <f t="shared" si="240"/>
        <v>0</v>
      </c>
      <c r="AM118" s="13" t="str">
        <f t="shared" si="240"/>
        <v>0</v>
      </c>
      <c r="AN118" s="13" t="str">
        <f t="shared" si="240"/>
        <v>0</v>
      </c>
      <c r="AO118" s="13" t="str">
        <f t="shared" si="240"/>
        <v>0</v>
      </c>
      <c r="AP118" s="13" t="str">
        <f t="shared" si="240"/>
        <v>0</v>
      </c>
      <c r="AQ118" s="13" t="str">
        <f t="shared" si="240"/>
        <v>0</v>
      </c>
      <c r="AR118" s="13" t="str">
        <f t="shared" ref="AR118:AS118" si="241">IF(OR(O118=$C118,O118=$D118,O118=""),"0","1")</f>
        <v>0</v>
      </c>
      <c r="AS118" s="13" t="str">
        <f t="shared" si="241"/>
        <v>0</v>
      </c>
      <c r="AT118" s="698">
        <f t="shared" si="11"/>
        <v>0</v>
      </c>
    </row>
    <row r="119" ht="15.75" customHeight="1">
      <c r="A119" s="788" t="str">
        <f t="shared" si="5"/>
        <v>-</v>
      </c>
      <c r="B119" s="830" t="s">
        <v>519</v>
      </c>
      <c r="C119" s="331" t="s">
        <v>607</v>
      </c>
      <c r="D119" s="331" t="s">
        <v>623</v>
      </c>
      <c r="E119" s="790" t="s">
        <v>607</v>
      </c>
      <c r="F119" s="791" t="s">
        <v>623</v>
      </c>
      <c r="G119" s="331" t="s">
        <v>623</v>
      </c>
      <c r="H119" s="331" t="s">
        <v>623</v>
      </c>
      <c r="I119" s="331" t="s">
        <v>623</v>
      </c>
      <c r="J119" s="331" t="s">
        <v>607</v>
      </c>
      <c r="K119" s="331"/>
      <c r="L119" s="331" t="s">
        <v>623</v>
      </c>
      <c r="M119" s="331" t="s">
        <v>623</v>
      </c>
      <c r="N119" s="331" t="s">
        <v>623</v>
      </c>
      <c r="O119" s="331" t="s">
        <v>607</v>
      </c>
      <c r="P119" s="792" t="s">
        <v>623</v>
      </c>
      <c r="AB119" s="314"/>
      <c r="AC119" s="314"/>
      <c r="AD119" s="314"/>
      <c r="AE119" s="314"/>
      <c r="AF119" s="314"/>
      <c r="AG119" s="314"/>
      <c r="AJ119" s="13" t="str">
        <f t="shared" ref="AJ119:AQ119" si="242">IF(OR(E119=$C119,E119=$D119,E119=""),"0","1")</f>
        <v>0</v>
      </c>
      <c r="AK119" s="13" t="str">
        <f t="shared" si="242"/>
        <v>0</v>
      </c>
      <c r="AL119" s="13" t="str">
        <f t="shared" si="242"/>
        <v>0</v>
      </c>
      <c r="AM119" s="13" t="str">
        <f t="shared" si="242"/>
        <v>0</v>
      </c>
      <c r="AN119" s="13" t="str">
        <f t="shared" si="242"/>
        <v>0</v>
      </c>
      <c r="AO119" s="13" t="str">
        <f t="shared" si="242"/>
        <v>0</v>
      </c>
      <c r="AP119" s="13" t="str">
        <f t="shared" si="242"/>
        <v>0</v>
      </c>
      <c r="AQ119" s="13" t="str">
        <f t="shared" si="242"/>
        <v>0</v>
      </c>
      <c r="AR119" s="13" t="str">
        <f t="shared" ref="AR119:AS119" si="243">IF(OR(O119=$C119,O119=$D119,O119=""),"0","1")</f>
        <v>0</v>
      </c>
      <c r="AS119" s="13" t="str">
        <f t="shared" si="243"/>
        <v>0</v>
      </c>
      <c r="AT119" s="698">
        <f t="shared" si="11"/>
        <v>0</v>
      </c>
    </row>
    <row r="120" ht="15.75" customHeight="1">
      <c r="A120" s="788" t="str">
        <f t="shared" si="5"/>
        <v>-</v>
      </c>
      <c r="B120" s="830" t="s">
        <v>519</v>
      </c>
      <c r="C120" s="331" t="s">
        <v>609</v>
      </c>
      <c r="D120" s="331" t="s">
        <v>601</v>
      </c>
      <c r="E120" s="790" t="s">
        <v>601</v>
      </c>
      <c r="F120" s="791" t="s">
        <v>601</v>
      </c>
      <c r="G120" s="331" t="s">
        <v>601</v>
      </c>
      <c r="H120" s="331" t="s">
        <v>601</v>
      </c>
      <c r="I120" s="331" t="s">
        <v>601</v>
      </c>
      <c r="J120" s="331" t="s">
        <v>601</v>
      </c>
      <c r="K120" s="331"/>
      <c r="L120" s="331" t="s">
        <v>601</v>
      </c>
      <c r="M120" s="331" t="s">
        <v>601</v>
      </c>
      <c r="N120" s="331" t="s">
        <v>601</v>
      </c>
      <c r="O120" s="331" t="s">
        <v>601</v>
      </c>
      <c r="P120" s="792" t="s">
        <v>601</v>
      </c>
      <c r="AB120" s="314"/>
      <c r="AC120" s="314"/>
      <c r="AD120" s="314"/>
      <c r="AE120" s="314"/>
      <c r="AF120" s="314"/>
      <c r="AG120" s="314"/>
      <c r="AJ120" s="13" t="str">
        <f t="shared" ref="AJ120:AQ120" si="244">IF(OR(E120=$C120,E120=$D120,E120=""),"0","1")</f>
        <v>0</v>
      </c>
      <c r="AK120" s="13" t="str">
        <f t="shared" si="244"/>
        <v>0</v>
      </c>
      <c r="AL120" s="13" t="str">
        <f t="shared" si="244"/>
        <v>0</v>
      </c>
      <c r="AM120" s="13" t="str">
        <f t="shared" si="244"/>
        <v>0</v>
      </c>
      <c r="AN120" s="13" t="str">
        <f t="shared" si="244"/>
        <v>0</v>
      </c>
      <c r="AO120" s="13" t="str">
        <f t="shared" si="244"/>
        <v>0</v>
      </c>
      <c r="AP120" s="13" t="str">
        <f t="shared" si="244"/>
        <v>0</v>
      </c>
      <c r="AQ120" s="13" t="str">
        <f t="shared" si="244"/>
        <v>0</v>
      </c>
      <c r="AR120" s="13" t="str">
        <f t="shared" ref="AR120:AS120" si="245">IF(OR(O120=$C120,O120=$D120,O120=""),"0","1")</f>
        <v>0</v>
      </c>
      <c r="AS120" s="13" t="str">
        <f t="shared" si="245"/>
        <v>0</v>
      </c>
      <c r="AT120" s="698">
        <f t="shared" si="11"/>
        <v>0</v>
      </c>
    </row>
    <row r="121" ht="15.75" customHeight="1">
      <c r="A121" s="788" t="str">
        <f t="shared" si="5"/>
        <v>-</v>
      </c>
      <c r="B121" s="830" t="s">
        <v>519</v>
      </c>
      <c r="C121" s="331" t="s">
        <v>619</v>
      </c>
      <c r="D121" s="331" t="s">
        <v>610</v>
      </c>
      <c r="E121" s="790" t="s">
        <v>619</v>
      </c>
      <c r="F121" s="791" t="s">
        <v>619</v>
      </c>
      <c r="G121" s="331" t="s">
        <v>619</v>
      </c>
      <c r="H121" s="331" t="s">
        <v>619</v>
      </c>
      <c r="I121" s="331" t="s">
        <v>619</v>
      </c>
      <c r="J121" s="331" t="s">
        <v>619</v>
      </c>
      <c r="K121" s="331"/>
      <c r="L121" s="331" t="s">
        <v>619</v>
      </c>
      <c r="M121" s="331" t="s">
        <v>619</v>
      </c>
      <c r="N121" s="331" t="s">
        <v>619</v>
      </c>
      <c r="O121" s="331" t="s">
        <v>619</v>
      </c>
      <c r="P121" s="792" t="s">
        <v>619</v>
      </c>
      <c r="AB121" s="314"/>
      <c r="AC121" s="314"/>
      <c r="AD121" s="314"/>
      <c r="AE121" s="314"/>
      <c r="AF121" s="314"/>
      <c r="AG121" s="314"/>
      <c r="AJ121" s="13" t="str">
        <f t="shared" ref="AJ121:AQ121" si="246">IF(OR(E121=$C121,E121=$D121,E121=""),"0","1")</f>
        <v>0</v>
      </c>
      <c r="AK121" s="13" t="str">
        <f t="shared" si="246"/>
        <v>0</v>
      </c>
      <c r="AL121" s="13" t="str">
        <f t="shared" si="246"/>
        <v>0</v>
      </c>
      <c r="AM121" s="13" t="str">
        <f t="shared" si="246"/>
        <v>0</v>
      </c>
      <c r="AN121" s="13" t="str">
        <f t="shared" si="246"/>
        <v>0</v>
      </c>
      <c r="AO121" s="13" t="str">
        <f t="shared" si="246"/>
        <v>0</v>
      </c>
      <c r="AP121" s="13" t="str">
        <f t="shared" si="246"/>
        <v>0</v>
      </c>
      <c r="AQ121" s="13" t="str">
        <f t="shared" si="246"/>
        <v>0</v>
      </c>
      <c r="AR121" s="13" t="str">
        <f t="shared" ref="AR121:AS121" si="247">IF(OR(O121=$C121,O121=$D121,O121=""),"0","1")</f>
        <v>0</v>
      </c>
      <c r="AS121" s="13" t="str">
        <f t="shared" si="247"/>
        <v>0</v>
      </c>
      <c r="AT121" s="698">
        <f t="shared" si="11"/>
        <v>0</v>
      </c>
    </row>
    <row r="122" ht="15.75" customHeight="1">
      <c r="A122" s="788" t="str">
        <f t="shared" si="5"/>
        <v>-</v>
      </c>
      <c r="B122" s="830" t="s">
        <v>519</v>
      </c>
      <c r="C122" s="331" t="s">
        <v>614</v>
      </c>
      <c r="D122" s="331" t="s">
        <v>617</v>
      </c>
      <c r="E122" s="790" t="s">
        <v>617</v>
      </c>
      <c r="F122" s="791" t="s">
        <v>617</v>
      </c>
      <c r="G122" s="331" t="s">
        <v>614</v>
      </c>
      <c r="H122" s="331" t="s">
        <v>617</v>
      </c>
      <c r="I122" s="331" t="s">
        <v>614</v>
      </c>
      <c r="J122" s="331" t="s">
        <v>617</v>
      </c>
      <c r="K122" s="331"/>
      <c r="L122" s="331" t="s">
        <v>617</v>
      </c>
      <c r="M122" s="331" t="s">
        <v>614</v>
      </c>
      <c r="N122" s="331" t="s">
        <v>617</v>
      </c>
      <c r="O122" s="331" t="s">
        <v>614</v>
      </c>
      <c r="P122" s="792" t="s">
        <v>617</v>
      </c>
      <c r="AB122" s="314"/>
      <c r="AC122" s="314"/>
      <c r="AD122" s="314"/>
      <c r="AE122" s="314"/>
      <c r="AF122" s="314"/>
      <c r="AG122" s="314"/>
      <c r="AJ122" s="13" t="str">
        <f t="shared" ref="AJ122:AQ122" si="248">IF(OR(E122=$C122,E122=$D122,E122=""),"0","1")</f>
        <v>0</v>
      </c>
      <c r="AK122" s="13" t="str">
        <f t="shared" si="248"/>
        <v>0</v>
      </c>
      <c r="AL122" s="13" t="str">
        <f t="shared" si="248"/>
        <v>0</v>
      </c>
      <c r="AM122" s="13" t="str">
        <f t="shared" si="248"/>
        <v>0</v>
      </c>
      <c r="AN122" s="13" t="str">
        <f t="shared" si="248"/>
        <v>0</v>
      </c>
      <c r="AO122" s="13" t="str">
        <f t="shared" si="248"/>
        <v>0</v>
      </c>
      <c r="AP122" s="13" t="str">
        <f t="shared" si="248"/>
        <v>0</v>
      </c>
      <c r="AQ122" s="13" t="str">
        <f t="shared" si="248"/>
        <v>0</v>
      </c>
      <c r="AR122" s="13" t="str">
        <f t="shared" ref="AR122:AS122" si="249">IF(OR(O122=$C122,O122=$D122,O122=""),"0","1")</f>
        <v>0</v>
      </c>
      <c r="AS122" s="13" t="str">
        <f t="shared" si="249"/>
        <v>0</v>
      </c>
      <c r="AT122" s="698">
        <f t="shared" si="11"/>
        <v>0</v>
      </c>
    </row>
    <row r="123" ht="15.75" customHeight="1">
      <c r="A123" s="788" t="str">
        <f t="shared" si="5"/>
        <v>-</v>
      </c>
      <c r="B123" s="830" t="s">
        <v>519</v>
      </c>
      <c r="C123" s="331" t="s">
        <v>605</v>
      </c>
      <c r="D123" s="331" t="s">
        <v>596</v>
      </c>
      <c r="E123" s="790" t="s">
        <v>596</v>
      </c>
      <c r="F123" s="791"/>
      <c r="G123" s="331" t="s">
        <v>596</v>
      </c>
      <c r="H123" s="331" t="s">
        <v>596</v>
      </c>
      <c r="I123" s="331" t="s">
        <v>596</v>
      </c>
      <c r="J123" s="331" t="s">
        <v>596</v>
      </c>
      <c r="K123" s="331"/>
      <c r="L123" s="331" t="s">
        <v>596</v>
      </c>
      <c r="M123" s="331" t="s">
        <v>605</v>
      </c>
      <c r="N123" s="331" t="s">
        <v>596</v>
      </c>
      <c r="O123" s="331" t="s">
        <v>596</v>
      </c>
      <c r="P123" s="792" t="s">
        <v>596</v>
      </c>
      <c r="AB123" s="314"/>
      <c r="AC123" s="314"/>
      <c r="AD123" s="314"/>
      <c r="AE123" s="314"/>
      <c r="AF123" s="314"/>
      <c r="AG123" s="314"/>
      <c r="AJ123" s="13" t="str">
        <f t="shared" ref="AJ123:AQ123" si="250">IF(OR(E123=$C123,E123=$D123,E123=""),"0","1")</f>
        <v>0</v>
      </c>
      <c r="AK123" s="13" t="str">
        <f t="shared" si="250"/>
        <v>0</v>
      </c>
      <c r="AL123" s="13" t="str">
        <f t="shared" si="250"/>
        <v>0</v>
      </c>
      <c r="AM123" s="13" t="str">
        <f t="shared" si="250"/>
        <v>0</v>
      </c>
      <c r="AN123" s="13" t="str">
        <f t="shared" si="250"/>
        <v>0</v>
      </c>
      <c r="AO123" s="13" t="str">
        <f t="shared" si="250"/>
        <v>0</v>
      </c>
      <c r="AP123" s="13" t="str">
        <f t="shared" si="250"/>
        <v>0</v>
      </c>
      <c r="AQ123" s="13" t="str">
        <f t="shared" si="250"/>
        <v>0</v>
      </c>
      <c r="AR123" s="13" t="str">
        <f t="shared" ref="AR123:AS123" si="251">IF(OR(O123=$C123,O123=$D123,O123=""),"0","1")</f>
        <v>0</v>
      </c>
      <c r="AS123" s="13" t="str">
        <f t="shared" si="251"/>
        <v>0</v>
      </c>
      <c r="AT123" s="698">
        <f t="shared" si="11"/>
        <v>0</v>
      </c>
    </row>
    <row r="124" ht="15.75" customHeight="1">
      <c r="A124" s="788" t="str">
        <f t="shared" si="5"/>
        <v>-</v>
      </c>
      <c r="B124" s="789" t="s">
        <v>520</v>
      </c>
      <c r="C124" s="331"/>
      <c r="D124" s="331"/>
      <c r="E124" s="790"/>
      <c r="F124" s="791"/>
      <c r="G124" s="331"/>
      <c r="H124" s="331"/>
      <c r="I124" s="331"/>
      <c r="J124" s="331"/>
      <c r="K124" s="331"/>
      <c r="L124" s="331"/>
      <c r="M124" s="331"/>
      <c r="N124" s="331"/>
      <c r="O124" s="331"/>
      <c r="P124" s="792"/>
      <c r="AB124" s="314"/>
      <c r="AC124" s="314"/>
      <c r="AD124" s="314"/>
      <c r="AE124" s="314"/>
      <c r="AF124" s="314"/>
      <c r="AG124" s="314"/>
      <c r="AJ124" s="13" t="str">
        <f t="shared" ref="AJ124:AQ124" si="252">IF(OR(E124=$C124,E124=$D124,E124=""),"0","1")</f>
        <v>0</v>
      </c>
      <c r="AK124" s="13" t="str">
        <f t="shared" si="252"/>
        <v>0</v>
      </c>
      <c r="AL124" s="13" t="str">
        <f t="shared" si="252"/>
        <v>0</v>
      </c>
      <c r="AM124" s="13" t="str">
        <f t="shared" si="252"/>
        <v>0</v>
      </c>
      <c r="AN124" s="13" t="str">
        <f t="shared" si="252"/>
        <v>0</v>
      </c>
      <c r="AO124" s="13" t="str">
        <f t="shared" si="252"/>
        <v>0</v>
      </c>
      <c r="AP124" s="13" t="str">
        <f t="shared" si="252"/>
        <v>0</v>
      </c>
      <c r="AQ124" s="13" t="str">
        <f t="shared" si="252"/>
        <v>0</v>
      </c>
      <c r="AR124" s="13" t="str">
        <f t="shared" ref="AR124:AS124" si="253">IF(OR(O124=$C124,O124=$D124,O124=""),"0","1")</f>
        <v>0</v>
      </c>
      <c r="AS124" s="13" t="str">
        <f t="shared" si="253"/>
        <v>0</v>
      </c>
      <c r="AT124" s="698">
        <f t="shared" si="11"/>
        <v>0</v>
      </c>
    </row>
    <row r="125" ht="15.75" customHeight="1">
      <c r="A125" s="788" t="str">
        <f t="shared" si="5"/>
        <v>-</v>
      </c>
      <c r="B125" s="789" t="s">
        <v>520</v>
      </c>
      <c r="C125" s="331"/>
      <c r="D125" s="331"/>
      <c r="E125" s="790"/>
      <c r="F125" s="791"/>
      <c r="G125" s="331"/>
      <c r="H125" s="331"/>
      <c r="I125" s="331"/>
      <c r="J125" s="331"/>
      <c r="K125" s="331"/>
      <c r="L125" s="331"/>
      <c r="M125" s="331"/>
      <c r="N125" s="331"/>
      <c r="O125" s="331"/>
      <c r="P125" s="792"/>
      <c r="AB125" s="314"/>
      <c r="AC125" s="314"/>
      <c r="AD125" s="314"/>
      <c r="AE125" s="314"/>
      <c r="AF125" s="314"/>
      <c r="AG125" s="314"/>
      <c r="AJ125" s="13" t="str">
        <f t="shared" ref="AJ125:AQ125" si="254">IF(OR(E125=$C125,E125=$D125,E125=""),"0","1")</f>
        <v>0</v>
      </c>
      <c r="AK125" s="13" t="str">
        <f t="shared" si="254"/>
        <v>0</v>
      </c>
      <c r="AL125" s="13" t="str">
        <f t="shared" si="254"/>
        <v>0</v>
      </c>
      <c r="AM125" s="13" t="str">
        <f t="shared" si="254"/>
        <v>0</v>
      </c>
      <c r="AN125" s="13" t="str">
        <f t="shared" si="254"/>
        <v>0</v>
      </c>
      <c r="AO125" s="13" t="str">
        <f t="shared" si="254"/>
        <v>0</v>
      </c>
      <c r="AP125" s="13" t="str">
        <f t="shared" si="254"/>
        <v>0</v>
      </c>
      <c r="AQ125" s="13" t="str">
        <f t="shared" si="254"/>
        <v>0</v>
      </c>
      <c r="AR125" s="13" t="str">
        <f t="shared" ref="AR125:AS125" si="255">IF(OR(O125=$C125,O125=$D125,O125=""),"0","1")</f>
        <v>0</v>
      </c>
      <c r="AS125" s="13" t="str">
        <f t="shared" si="255"/>
        <v>0</v>
      </c>
      <c r="AT125" s="698">
        <f t="shared" si="11"/>
        <v>0</v>
      </c>
    </row>
    <row r="126" ht="15.75" customHeight="1">
      <c r="A126" s="788" t="str">
        <f t="shared" si="5"/>
        <v>-</v>
      </c>
      <c r="B126" s="789" t="s">
        <v>520</v>
      </c>
      <c r="C126" s="331"/>
      <c r="D126" s="331"/>
      <c r="E126" s="790"/>
      <c r="F126" s="791"/>
      <c r="G126" s="331"/>
      <c r="H126" s="331"/>
      <c r="I126" s="331"/>
      <c r="J126" s="331"/>
      <c r="K126" s="331"/>
      <c r="L126" s="331"/>
      <c r="M126" s="331"/>
      <c r="N126" s="331"/>
      <c r="O126" s="331"/>
      <c r="P126" s="792"/>
      <c r="AB126" s="314"/>
      <c r="AC126" s="314"/>
      <c r="AD126" s="314"/>
      <c r="AE126" s="314"/>
      <c r="AF126" s="314"/>
      <c r="AG126" s="314"/>
      <c r="AJ126" s="13" t="str">
        <f t="shared" ref="AJ126:AQ126" si="256">IF(OR(E126=$C126,E126=$D126,E126=""),"0","1")</f>
        <v>0</v>
      </c>
      <c r="AK126" s="13" t="str">
        <f t="shared" si="256"/>
        <v>0</v>
      </c>
      <c r="AL126" s="13" t="str">
        <f t="shared" si="256"/>
        <v>0</v>
      </c>
      <c r="AM126" s="13" t="str">
        <f t="shared" si="256"/>
        <v>0</v>
      </c>
      <c r="AN126" s="13" t="str">
        <f t="shared" si="256"/>
        <v>0</v>
      </c>
      <c r="AO126" s="13" t="str">
        <f t="shared" si="256"/>
        <v>0</v>
      </c>
      <c r="AP126" s="13" t="str">
        <f t="shared" si="256"/>
        <v>0</v>
      </c>
      <c r="AQ126" s="13" t="str">
        <f t="shared" si="256"/>
        <v>0</v>
      </c>
      <c r="AR126" s="13" t="str">
        <f t="shared" ref="AR126:AS126" si="257">IF(OR(O126=$C126,O126=$D126,O126=""),"0","1")</f>
        <v>0</v>
      </c>
      <c r="AS126" s="13" t="str">
        <f t="shared" si="257"/>
        <v>0</v>
      </c>
      <c r="AT126" s="698">
        <f t="shared" si="11"/>
        <v>0</v>
      </c>
    </row>
    <row r="127" ht="15.75" customHeight="1">
      <c r="A127" s="788" t="str">
        <f t="shared" si="5"/>
        <v>-</v>
      </c>
      <c r="B127" s="789" t="s">
        <v>520</v>
      </c>
      <c r="C127" s="331"/>
      <c r="D127" s="331"/>
      <c r="E127" s="790"/>
      <c r="F127" s="791"/>
      <c r="G127" s="331"/>
      <c r="H127" s="331"/>
      <c r="I127" s="331"/>
      <c r="J127" s="331"/>
      <c r="K127" s="331"/>
      <c r="L127" s="331"/>
      <c r="M127" s="331"/>
      <c r="N127" s="331"/>
      <c r="O127" s="331"/>
      <c r="P127" s="792"/>
      <c r="AB127" s="314"/>
      <c r="AC127" s="314"/>
      <c r="AD127" s="314"/>
      <c r="AE127" s="314"/>
      <c r="AF127" s="314"/>
      <c r="AG127" s="314"/>
      <c r="AJ127" s="13" t="str">
        <f t="shared" ref="AJ127:AQ127" si="258">IF(OR(E127=$C127,E127=$D127,E127=""),"0","1")</f>
        <v>0</v>
      </c>
      <c r="AK127" s="13" t="str">
        <f t="shared" si="258"/>
        <v>0</v>
      </c>
      <c r="AL127" s="13" t="str">
        <f t="shared" si="258"/>
        <v>0</v>
      </c>
      <c r="AM127" s="13" t="str">
        <f t="shared" si="258"/>
        <v>0</v>
      </c>
      <c r="AN127" s="13" t="str">
        <f t="shared" si="258"/>
        <v>0</v>
      </c>
      <c r="AO127" s="13" t="str">
        <f t="shared" si="258"/>
        <v>0</v>
      </c>
      <c r="AP127" s="13" t="str">
        <f t="shared" si="258"/>
        <v>0</v>
      </c>
      <c r="AQ127" s="13" t="str">
        <f t="shared" si="258"/>
        <v>0</v>
      </c>
      <c r="AR127" s="13" t="str">
        <f t="shared" ref="AR127:AS127" si="259">IF(OR(O127=$C127,O127=$D127,O127=""),"0","1")</f>
        <v>0</v>
      </c>
      <c r="AS127" s="13" t="str">
        <f t="shared" si="259"/>
        <v>0</v>
      </c>
      <c r="AT127" s="698">
        <f t="shared" si="11"/>
        <v>0</v>
      </c>
    </row>
    <row r="128" ht="15.75" customHeight="1">
      <c r="A128" s="788" t="str">
        <f t="shared" si="5"/>
        <v>-</v>
      </c>
      <c r="B128" s="789" t="s">
        <v>520</v>
      </c>
      <c r="C128" s="331"/>
      <c r="D128" s="331"/>
      <c r="E128" s="790"/>
      <c r="F128" s="791"/>
      <c r="G128" s="331"/>
      <c r="H128" s="331"/>
      <c r="I128" s="331"/>
      <c r="J128" s="331"/>
      <c r="K128" s="331"/>
      <c r="L128" s="331"/>
      <c r="M128" s="331"/>
      <c r="N128" s="331"/>
      <c r="O128" s="331"/>
      <c r="P128" s="792"/>
      <c r="AB128" s="314"/>
      <c r="AC128" s="314"/>
      <c r="AD128" s="314"/>
      <c r="AE128" s="314"/>
      <c r="AF128" s="314"/>
      <c r="AG128" s="314"/>
      <c r="AJ128" s="13" t="str">
        <f t="shared" ref="AJ128:AQ128" si="260">IF(OR(E128=$C128,E128=$D128,E128=""),"0","1")</f>
        <v>0</v>
      </c>
      <c r="AK128" s="13" t="str">
        <f t="shared" si="260"/>
        <v>0</v>
      </c>
      <c r="AL128" s="13" t="str">
        <f t="shared" si="260"/>
        <v>0</v>
      </c>
      <c r="AM128" s="13" t="str">
        <f t="shared" si="260"/>
        <v>0</v>
      </c>
      <c r="AN128" s="13" t="str">
        <f t="shared" si="260"/>
        <v>0</v>
      </c>
      <c r="AO128" s="13" t="str">
        <f t="shared" si="260"/>
        <v>0</v>
      </c>
      <c r="AP128" s="13" t="str">
        <f t="shared" si="260"/>
        <v>0</v>
      </c>
      <c r="AQ128" s="13" t="str">
        <f t="shared" si="260"/>
        <v>0</v>
      </c>
      <c r="AR128" s="13" t="str">
        <f t="shared" ref="AR128:AS128" si="261">IF(OR(O128=$C128,O128=$D128,O128=""),"0","1")</f>
        <v>0</v>
      </c>
      <c r="AS128" s="13" t="str">
        <f t="shared" si="261"/>
        <v>0</v>
      </c>
      <c r="AT128" s="698">
        <f t="shared" si="11"/>
        <v>0</v>
      </c>
    </row>
    <row r="129" ht="15.75" customHeight="1">
      <c r="A129" s="788" t="str">
        <f t="shared" si="5"/>
        <v>-</v>
      </c>
      <c r="B129" s="789" t="s">
        <v>520</v>
      </c>
      <c r="C129" s="331"/>
      <c r="D129" s="331"/>
      <c r="E129" s="790"/>
      <c r="F129" s="791"/>
      <c r="G129" s="331"/>
      <c r="H129" s="331"/>
      <c r="I129" s="331"/>
      <c r="J129" s="331"/>
      <c r="K129" s="331"/>
      <c r="L129" s="331"/>
      <c r="M129" s="331"/>
      <c r="N129" s="331"/>
      <c r="O129" s="331"/>
      <c r="P129" s="792"/>
      <c r="AB129" s="314"/>
      <c r="AC129" s="314"/>
      <c r="AD129" s="314"/>
      <c r="AE129" s="314"/>
      <c r="AF129" s="314"/>
      <c r="AG129" s="314"/>
      <c r="AJ129" s="13" t="str">
        <f t="shared" ref="AJ129:AQ129" si="262">IF(OR(E129=$C129,E129=$D129,E129=""),"0","1")</f>
        <v>0</v>
      </c>
      <c r="AK129" s="13" t="str">
        <f t="shared" si="262"/>
        <v>0</v>
      </c>
      <c r="AL129" s="13" t="str">
        <f t="shared" si="262"/>
        <v>0</v>
      </c>
      <c r="AM129" s="13" t="str">
        <f t="shared" si="262"/>
        <v>0</v>
      </c>
      <c r="AN129" s="13" t="str">
        <f t="shared" si="262"/>
        <v>0</v>
      </c>
      <c r="AO129" s="13" t="str">
        <f t="shared" si="262"/>
        <v>0</v>
      </c>
      <c r="AP129" s="13" t="str">
        <f t="shared" si="262"/>
        <v>0</v>
      </c>
      <c r="AQ129" s="13" t="str">
        <f t="shared" si="262"/>
        <v>0</v>
      </c>
      <c r="AR129" s="13" t="str">
        <f t="shared" ref="AR129:AS129" si="263">IF(OR(O129=$C129,O129=$D129,O129=""),"0","1")</f>
        <v>0</v>
      </c>
      <c r="AS129" s="13" t="str">
        <f t="shared" si="263"/>
        <v>0</v>
      </c>
      <c r="AT129" s="698">
        <f t="shared" si="11"/>
        <v>0</v>
      </c>
    </row>
    <row r="130" ht="15.75" customHeight="1">
      <c r="A130" s="788" t="str">
        <f t="shared" si="5"/>
        <v>-</v>
      </c>
      <c r="B130" s="789" t="s">
        <v>520</v>
      </c>
      <c r="C130" s="331"/>
      <c r="D130" s="331"/>
      <c r="E130" s="790"/>
      <c r="F130" s="791"/>
      <c r="G130" s="331"/>
      <c r="H130" s="331"/>
      <c r="I130" s="331"/>
      <c r="J130" s="331"/>
      <c r="K130" s="331"/>
      <c r="L130" s="331"/>
      <c r="M130" s="331"/>
      <c r="N130" s="331"/>
      <c r="O130" s="331"/>
      <c r="P130" s="792"/>
      <c r="AB130" s="314"/>
      <c r="AC130" s="314"/>
      <c r="AD130" s="314"/>
      <c r="AE130" s="314"/>
      <c r="AF130" s="314"/>
      <c r="AG130" s="314"/>
      <c r="AJ130" s="13" t="str">
        <f t="shared" ref="AJ130:AQ130" si="264">IF(OR(E130=$C130,E130=$D130,E130=""),"0","1")</f>
        <v>0</v>
      </c>
      <c r="AK130" s="13" t="str">
        <f t="shared" si="264"/>
        <v>0</v>
      </c>
      <c r="AL130" s="13" t="str">
        <f t="shared" si="264"/>
        <v>0</v>
      </c>
      <c r="AM130" s="13" t="str">
        <f t="shared" si="264"/>
        <v>0</v>
      </c>
      <c r="AN130" s="13" t="str">
        <f t="shared" si="264"/>
        <v>0</v>
      </c>
      <c r="AO130" s="13" t="str">
        <f t="shared" si="264"/>
        <v>0</v>
      </c>
      <c r="AP130" s="13" t="str">
        <f t="shared" si="264"/>
        <v>0</v>
      </c>
      <c r="AQ130" s="13" t="str">
        <f t="shared" si="264"/>
        <v>0</v>
      </c>
      <c r="AR130" s="13" t="str">
        <f t="shared" ref="AR130:AS130" si="265">IF(OR(O130=$C130,O130=$D130,O130=""),"0","1")</f>
        <v>0</v>
      </c>
      <c r="AS130" s="13" t="str">
        <f t="shared" si="265"/>
        <v>0</v>
      </c>
      <c r="AT130" s="698">
        <f t="shared" si="11"/>
        <v>0</v>
      </c>
    </row>
    <row r="131" ht="15.75" customHeight="1">
      <c r="A131" s="788" t="str">
        <f t="shared" si="5"/>
        <v>-</v>
      </c>
      <c r="B131" s="789" t="s">
        <v>520</v>
      </c>
      <c r="C131" s="331"/>
      <c r="D131" s="331"/>
      <c r="E131" s="790"/>
      <c r="F131" s="791"/>
      <c r="G131" s="331"/>
      <c r="H131" s="331"/>
      <c r="I131" s="331"/>
      <c r="J131" s="331"/>
      <c r="K131" s="331"/>
      <c r="L131" s="331"/>
      <c r="M131" s="331"/>
      <c r="N131" s="331"/>
      <c r="O131" s="331"/>
      <c r="P131" s="792"/>
      <c r="AB131" s="314"/>
      <c r="AC131" s="314"/>
      <c r="AD131" s="314"/>
      <c r="AE131" s="314"/>
      <c r="AF131" s="314"/>
      <c r="AG131" s="314"/>
      <c r="AJ131" s="13" t="str">
        <f t="shared" ref="AJ131:AQ131" si="266">IF(OR(E131=$C131,E131=$D131,E131=""),"0","1")</f>
        <v>0</v>
      </c>
      <c r="AK131" s="13" t="str">
        <f t="shared" si="266"/>
        <v>0</v>
      </c>
      <c r="AL131" s="13" t="str">
        <f t="shared" si="266"/>
        <v>0</v>
      </c>
      <c r="AM131" s="13" t="str">
        <f t="shared" si="266"/>
        <v>0</v>
      </c>
      <c r="AN131" s="13" t="str">
        <f t="shared" si="266"/>
        <v>0</v>
      </c>
      <c r="AO131" s="13" t="str">
        <f t="shared" si="266"/>
        <v>0</v>
      </c>
      <c r="AP131" s="13" t="str">
        <f t="shared" si="266"/>
        <v>0</v>
      </c>
      <c r="AQ131" s="13" t="str">
        <f t="shared" si="266"/>
        <v>0</v>
      </c>
      <c r="AR131" s="13" t="str">
        <f t="shared" ref="AR131:AS131" si="267">IF(OR(O131=$C131,O131=$D131,O131=""),"0","1")</f>
        <v>0</v>
      </c>
      <c r="AS131" s="13" t="str">
        <f t="shared" si="267"/>
        <v>0</v>
      </c>
      <c r="AT131" s="698">
        <f t="shared" si="11"/>
        <v>0</v>
      </c>
    </row>
    <row r="132" ht="15.75" customHeight="1">
      <c r="A132" s="788" t="str">
        <f t="shared" si="5"/>
        <v>-</v>
      </c>
      <c r="B132" s="789" t="s">
        <v>520</v>
      </c>
      <c r="C132" s="331"/>
      <c r="D132" s="331"/>
      <c r="E132" s="790"/>
      <c r="F132" s="791"/>
      <c r="G132" s="331"/>
      <c r="H132" s="331"/>
      <c r="I132" s="331"/>
      <c r="J132" s="331"/>
      <c r="K132" s="331"/>
      <c r="L132" s="331"/>
      <c r="M132" s="331"/>
      <c r="N132" s="331"/>
      <c r="O132" s="331"/>
      <c r="P132" s="792"/>
      <c r="AB132" s="314"/>
      <c r="AC132" s="314"/>
      <c r="AD132" s="314"/>
      <c r="AE132" s="314"/>
      <c r="AF132" s="314"/>
      <c r="AG132" s="314"/>
      <c r="AJ132" s="13" t="str">
        <f t="shared" ref="AJ132:AQ132" si="268">IF(OR(E132=$C132,E132=$D132,E132=""),"0","1")</f>
        <v>0</v>
      </c>
      <c r="AK132" s="13" t="str">
        <f t="shared" si="268"/>
        <v>0</v>
      </c>
      <c r="AL132" s="13" t="str">
        <f t="shared" si="268"/>
        <v>0</v>
      </c>
      <c r="AM132" s="13" t="str">
        <f t="shared" si="268"/>
        <v>0</v>
      </c>
      <c r="AN132" s="13" t="str">
        <f t="shared" si="268"/>
        <v>0</v>
      </c>
      <c r="AO132" s="13" t="str">
        <f t="shared" si="268"/>
        <v>0</v>
      </c>
      <c r="AP132" s="13" t="str">
        <f t="shared" si="268"/>
        <v>0</v>
      </c>
      <c r="AQ132" s="13" t="str">
        <f t="shared" si="268"/>
        <v>0</v>
      </c>
      <c r="AR132" s="13" t="str">
        <f t="shared" ref="AR132:AS132" si="269">IF(OR(O132=$C132,O132=$D132,O132=""),"0","1")</f>
        <v>0</v>
      </c>
      <c r="AS132" s="13" t="str">
        <f t="shared" si="269"/>
        <v>0</v>
      </c>
      <c r="AT132" s="698">
        <f t="shared" si="11"/>
        <v>0</v>
      </c>
    </row>
    <row r="133" ht="15.75" customHeight="1">
      <c r="A133" s="788" t="str">
        <f t="shared" si="5"/>
        <v>-</v>
      </c>
      <c r="B133" s="789" t="s">
        <v>520</v>
      </c>
      <c r="C133" s="331"/>
      <c r="D133" s="331"/>
      <c r="E133" s="790"/>
      <c r="F133" s="791"/>
      <c r="G133" s="331"/>
      <c r="H133" s="331"/>
      <c r="I133" s="331"/>
      <c r="J133" s="331"/>
      <c r="K133" s="331"/>
      <c r="L133" s="331"/>
      <c r="M133" s="331"/>
      <c r="N133" s="331"/>
      <c r="O133" s="331"/>
      <c r="P133" s="792"/>
      <c r="AB133" s="314"/>
      <c r="AC133" s="314"/>
      <c r="AD133" s="314"/>
      <c r="AE133" s="314"/>
      <c r="AF133" s="314"/>
      <c r="AG133" s="314"/>
      <c r="AJ133" s="13" t="str">
        <f t="shared" ref="AJ133:AQ133" si="270">IF(OR(E133=$C133,E133=$D133,E133=""),"0","1")</f>
        <v>0</v>
      </c>
      <c r="AK133" s="13" t="str">
        <f t="shared" si="270"/>
        <v>0</v>
      </c>
      <c r="AL133" s="13" t="str">
        <f t="shared" si="270"/>
        <v>0</v>
      </c>
      <c r="AM133" s="13" t="str">
        <f t="shared" si="270"/>
        <v>0</v>
      </c>
      <c r="AN133" s="13" t="str">
        <f t="shared" si="270"/>
        <v>0</v>
      </c>
      <c r="AO133" s="13" t="str">
        <f t="shared" si="270"/>
        <v>0</v>
      </c>
      <c r="AP133" s="13" t="str">
        <f t="shared" si="270"/>
        <v>0</v>
      </c>
      <c r="AQ133" s="13" t="str">
        <f t="shared" si="270"/>
        <v>0</v>
      </c>
      <c r="AR133" s="13" t="str">
        <f t="shared" ref="AR133:AS133" si="271">IF(OR(O133=$C133,O133=$D133,O133=""),"0","1")</f>
        <v>0</v>
      </c>
      <c r="AS133" s="13" t="str">
        <f t="shared" si="271"/>
        <v>0</v>
      </c>
      <c r="AT133" s="698">
        <f t="shared" si="11"/>
        <v>0</v>
      </c>
    </row>
    <row r="134" ht="15.75" customHeight="1">
      <c r="A134" s="788" t="str">
        <f t="shared" si="5"/>
        <v>-</v>
      </c>
      <c r="B134" s="789" t="s">
        <v>520</v>
      </c>
      <c r="C134" s="331"/>
      <c r="D134" s="331"/>
      <c r="E134" s="790"/>
      <c r="F134" s="791"/>
      <c r="G134" s="331"/>
      <c r="H134" s="331"/>
      <c r="I134" s="331"/>
      <c r="J134" s="331"/>
      <c r="K134" s="331"/>
      <c r="L134" s="331"/>
      <c r="M134" s="331"/>
      <c r="N134" s="331"/>
      <c r="O134" s="331"/>
      <c r="P134" s="792"/>
      <c r="AB134" s="314"/>
      <c r="AC134" s="314"/>
      <c r="AD134" s="314"/>
      <c r="AE134" s="314"/>
      <c r="AF134" s="314"/>
      <c r="AG134" s="314"/>
      <c r="AJ134" s="13" t="str">
        <f t="shared" ref="AJ134:AQ134" si="272">IF(OR(E134=$C134,E134=$D134,E134=""),"0","1")</f>
        <v>0</v>
      </c>
      <c r="AK134" s="13" t="str">
        <f t="shared" si="272"/>
        <v>0</v>
      </c>
      <c r="AL134" s="13" t="str">
        <f t="shared" si="272"/>
        <v>0</v>
      </c>
      <c r="AM134" s="13" t="str">
        <f t="shared" si="272"/>
        <v>0</v>
      </c>
      <c r="AN134" s="13" t="str">
        <f t="shared" si="272"/>
        <v>0</v>
      </c>
      <c r="AO134" s="13" t="str">
        <f t="shared" si="272"/>
        <v>0</v>
      </c>
      <c r="AP134" s="13" t="str">
        <f t="shared" si="272"/>
        <v>0</v>
      </c>
      <c r="AQ134" s="13" t="str">
        <f t="shared" si="272"/>
        <v>0</v>
      </c>
      <c r="AR134" s="13" t="str">
        <f t="shared" ref="AR134:AS134" si="273">IF(OR(O134=$C134,O134=$D134,O134=""),"0","1")</f>
        <v>0</v>
      </c>
      <c r="AS134" s="13" t="str">
        <f t="shared" si="273"/>
        <v>0</v>
      </c>
      <c r="AT134" s="698">
        <f t="shared" si="11"/>
        <v>0</v>
      </c>
    </row>
    <row r="135" ht="15.75" customHeight="1">
      <c r="A135" s="788" t="str">
        <f t="shared" si="5"/>
        <v>-</v>
      </c>
      <c r="B135" s="789" t="s">
        <v>520</v>
      </c>
      <c r="C135" s="331"/>
      <c r="D135" s="331"/>
      <c r="E135" s="790"/>
      <c r="F135" s="791"/>
      <c r="G135" s="331"/>
      <c r="H135" s="331"/>
      <c r="I135" s="331"/>
      <c r="J135" s="331"/>
      <c r="K135" s="331"/>
      <c r="L135" s="331"/>
      <c r="M135" s="331"/>
      <c r="N135" s="331"/>
      <c r="O135" s="331"/>
      <c r="P135" s="792"/>
      <c r="AB135" s="314"/>
      <c r="AC135" s="314"/>
      <c r="AD135" s="314"/>
      <c r="AE135" s="314"/>
      <c r="AF135" s="314"/>
      <c r="AG135" s="314"/>
      <c r="AJ135" s="13" t="str">
        <f t="shared" ref="AJ135:AQ135" si="274">IF(OR(E135=$C135,E135=$D135,E135=""),"0","1")</f>
        <v>0</v>
      </c>
      <c r="AK135" s="13" t="str">
        <f t="shared" si="274"/>
        <v>0</v>
      </c>
      <c r="AL135" s="13" t="str">
        <f t="shared" si="274"/>
        <v>0</v>
      </c>
      <c r="AM135" s="13" t="str">
        <f t="shared" si="274"/>
        <v>0</v>
      </c>
      <c r="AN135" s="13" t="str">
        <f t="shared" si="274"/>
        <v>0</v>
      </c>
      <c r="AO135" s="13" t="str">
        <f t="shared" si="274"/>
        <v>0</v>
      </c>
      <c r="AP135" s="13" t="str">
        <f t="shared" si="274"/>
        <v>0</v>
      </c>
      <c r="AQ135" s="13" t="str">
        <f t="shared" si="274"/>
        <v>0</v>
      </c>
      <c r="AR135" s="13" t="str">
        <f t="shared" ref="AR135:AS135" si="275">IF(OR(O135=$C135,O135=$D135,O135=""),"0","1")</f>
        <v>0</v>
      </c>
      <c r="AS135" s="13" t="str">
        <f t="shared" si="275"/>
        <v>0</v>
      </c>
      <c r="AT135" s="698">
        <f t="shared" si="11"/>
        <v>0</v>
      </c>
    </row>
    <row r="136" ht="15.75" customHeight="1">
      <c r="A136" s="788" t="str">
        <f t="shared" si="5"/>
        <v>-</v>
      </c>
      <c r="B136" s="830" t="s">
        <v>521</v>
      </c>
      <c r="C136" s="331"/>
      <c r="D136" s="331"/>
      <c r="E136" s="790"/>
      <c r="F136" s="791"/>
      <c r="G136" s="331"/>
      <c r="H136" s="331"/>
      <c r="I136" s="331"/>
      <c r="J136" s="331"/>
      <c r="K136" s="331"/>
      <c r="L136" s="331"/>
      <c r="M136" s="331"/>
      <c r="N136" s="331"/>
      <c r="O136" s="331"/>
      <c r="P136" s="792"/>
      <c r="AB136" s="314"/>
      <c r="AC136" s="314"/>
      <c r="AD136" s="314"/>
      <c r="AE136" s="314"/>
      <c r="AF136" s="314"/>
      <c r="AG136" s="314"/>
      <c r="AJ136" s="13" t="str">
        <f t="shared" ref="AJ136:AQ136" si="276">IF(OR(E136=$C136,E136=$D136,E136=""),"0","1")</f>
        <v>0</v>
      </c>
      <c r="AK136" s="13" t="str">
        <f t="shared" si="276"/>
        <v>0</v>
      </c>
      <c r="AL136" s="13" t="str">
        <f t="shared" si="276"/>
        <v>0</v>
      </c>
      <c r="AM136" s="13" t="str">
        <f t="shared" si="276"/>
        <v>0</v>
      </c>
      <c r="AN136" s="13" t="str">
        <f t="shared" si="276"/>
        <v>0</v>
      </c>
      <c r="AO136" s="13" t="str">
        <f t="shared" si="276"/>
        <v>0</v>
      </c>
      <c r="AP136" s="13" t="str">
        <f t="shared" si="276"/>
        <v>0</v>
      </c>
      <c r="AQ136" s="13" t="str">
        <f t="shared" si="276"/>
        <v>0</v>
      </c>
      <c r="AR136" s="13" t="str">
        <f t="shared" ref="AR136:AS136" si="277">IF(OR(O136=$C136,O136=$D136,O136=""),"0","1")</f>
        <v>0</v>
      </c>
      <c r="AS136" s="13" t="str">
        <f t="shared" si="277"/>
        <v>0</v>
      </c>
      <c r="AT136" s="698">
        <f t="shared" si="11"/>
        <v>0</v>
      </c>
    </row>
    <row r="137" ht="15.75" customHeight="1">
      <c r="A137" s="788" t="str">
        <f t="shared" si="5"/>
        <v>-</v>
      </c>
      <c r="B137" s="830" t="s">
        <v>521</v>
      </c>
      <c r="C137" s="331"/>
      <c r="D137" s="331"/>
      <c r="E137" s="790"/>
      <c r="F137" s="791"/>
      <c r="G137" s="331"/>
      <c r="H137" s="331"/>
      <c r="I137" s="331"/>
      <c r="J137" s="331"/>
      <c r="K137" s="331"/>
      <c r="L137" s="331"/>
      <c r="M137" s="331"/>
      <c r="N137" s="331"/>
      <c r="O137" s="331"/>
      <c r="P137" s="792"/>
      <c r="AB137" s="314"/>
      <c r="AC137" s="314"/>
      <c r="AD137" s="314"/>
      <c r="AE137" s="314"/>
      <c r="AF137" s="314"/>
      <c r="AG137" s="314"/>
      <c r="AJ137" s="13" t="str">
        <f t="shared" ref="AJ137:AQ137" si="278">IF(OR(E137=$C137,E137=$D137,E137=""),"0","1")</f>
        <v>0</v>
      </c>
      <c r="AK137" s="13" t="str">
        <f t="shared" si="278"/>
        <v>0</v>
      </c>
      <c r="AL137" s="13" t="str">
        <f t="shared" si="278"/>
        <v>0</v>
      </c>
      <c r="AM137" s="13" t="str">
        <f t="shared" si="278"/>
        <v>0</v>
      </c>
      <c r="AN137" s="13" t="str">
        <f t="shared" si="278"/>
        <v>0</v>
      </c>
      <c r="AO137" s="13" t="str">
        <f t="shared" si="278"/>
        <v>0</v>
      </c>
      <c r="AP137" s="13" t="str">
        <f t="shared" si="278"/>
        <v>0</v>
      </c>
      <c r="AQ137" s="13" t="str">
        <f t="shared" si="278"/>
        <v>0</v>
      </c>
      <c r="AR137" s="13" t="str">
        <f t="shared" ref="AR137:AS137" si="279">IF(OR(O137=$C137,O137=$D137,O137=""),"0","1")</f>
        <v>0</v>
      </c>
      <c r="AS137" s="13" t="str">
        <f t="shared" si="279"/>
        <v>0</v>
      </c>
      <c r="AT137" s="698">
        <f t="shared" si="11"/>
        <v>0</v>
      </c>
    </row>
    <row r="138" ht="15.75" customHeight="1">
      <c r="A138" s="788" t="str">
        <f t="shared" si="5"/>
        <v>-</v>
      </c>
      <c r="B138" s="830" t="s">
        <v>521</v>
      </c>
      <c r="C138" s="331"/>
      <c r="D138" s="331"/>
      <c r="E138" s="790"/>
      <c r="F138" s="791"/>
      <c r="G138" s="331"/>
      <c r="H138" s="331"/>
      <c r="I138" s="331"/>
      <c r="J138" s="331"/>
      <c r="K138" s="331"/>
      <c r="L138" s="331"/>
      <c r="M138" s="331"/>
      <c r="N138" s="331"/>
      <c r="O138" s="331"/>
      <c r="P138" s="792"/>
      <c r="AB138" s="314"/>
      <c r="AC138" s="314"/>
      <c r="AD138" s="314"/>
      <c r="AE138" s="314"/>
      <c r="AF138" s="314"/>
      <c r="AG138" s="314"/>
      <c r="AJ138" s="13" t="str">
        <f t="shared" ref="AJ138:AQ138" si="280">IF(OR(E138=$C138,E138=$D138,E138=""),"0","1")</f>
        <v>0</v>
      </c>
      <c r="AK138" s="13" t="str">
        <f t="shared" si="280"/>
        <v>0</v>
      </c>
      <c r="AL138" s="13" t="str">
        <f t="shared" si="280"/>
        <v>0</v>
      </c>
      <c r="AM138" s="13" t="str">
        <f t="shared" si="280"/>
        <v>0</v>
      </c>
      <c r="AN138" s="13" t="str">
        <f t="shared" si="280"/>
        <v>0</v>
      </c>
      <c r="AO138" s="13" t="str">
        <f t="shared" si="280"/>
        <v>0</v>
      </c>
      <c r="AP138" s="13" t="str">
        <f t="shared" si="280"/>
        <v>0</v>
      </c>
      <c r="AQ138" s="13" t="str">
        <f t="shared" si="280"/>
        <v>0</v>
      </c>
      <c r="AR138" s="13" t="str">
        <f t="shared" ref="AR138:AS138" si="281">IF(OR(O138=$C138,O138=$D138,O138=""),"0","1")</f>
        <v>0</v>
      </c>
      <c r="AS138" s="13" t="str">
        <f t="shared" si="281"/>
        <v>0</v>
      </c>
      <c r="AT138" s="698">
        <f t="shared" si="11"/>
        <v>0</v>
      </c>
    </row>
    <row r="139" ht="15.75" customHeight="1">
      <c r="A139" s="788" t="str">
        <f t="shared" si="5"/>
        <v>-</v>
      </c>
      <c r="B139" s="830" t="s">
        <v>521</v>
      </c>
      <c r="C139" s="331"/>
      <c r="D139" s="331"/>
      <c r="E139" s="790"/>
      <c r="F139" s="791"/>
      <c r="G139" s="331"/>
      <c r="H139" s="331"/>
      <c r="I139" s="331"/>
      <c r="J139" s="331"/>
      <c r="K139" s="331"/>
      <c r="L139" s="331"/>
      <c r="M139" s="331"/>
      <c r="N139" s="331"/>
      <c r="O139" s="331"/>
      <c r="P139" s="792"/>
      <c r="AB139" s="314"/>
      <c r="AC139" s="314"/>
      <c r="AD139" s="314"/>
      <c r="AE139" s="314"/>
      <c r="AF139" s="314"/>
      <c r="AG139" s="314"/>
      <c r="AJ139" s="13" t="str">
        <f t="shared" ref="AJ139:AQ139" si="282">IF(OR(E139=$C139,E139=$D139,E139=""),"0","1")</f>
        <v>0</v>
      </c>
      <c r="AK139" s="13" t="str">
        <f t="shared" si="282"/>
        <v>0</v>
      </c>
      <c r="AL139" s="13" t="str">
        <f t="shared" si="282"/>
        <v>0</v>
      </c>
      <c r="AM139" s="13" t="str">
        <f t="shared" si="282"/>
        <v>0</v>
      </c>
      <c r="AN139" s="13" t="str">
        <f t="shared" si="282"/>
        <v>0</v>
      </c>
      <c r="AO139" s="13" t="str">
        <f t="shared" si="282"/>
        <v>0</v>
      </c>
      <c r="AP139" s="13" t="str">
        <f t="shared" si="282"/>
        <v>0</v>
      </c>
      <c r="AQ139" s="13" t="str">
        <f t="shared" si="282"/>
        <v>0</v>
      </c>
      <c r="AR139" s="13" t="str">
        <f t="shared" ref="AR139:AS139" si="283">IF(OR(O139=$C139,O139=$D139,O139=""),"0","1")</f>
        <v>0</v>
      </c>
      <c r="AS139" s="13" t="str">
        <f t="shared" si="283"/>
        <v>0</v>
      </c>
      <c r="AT139" s="698">
        <f t="shared" si="11"/>
        <v>0</v>
      </c>
    </row>
    <row r="140" ht="15.75" customHeight="1">
      <c r="A140" s="788" t="str">
        <f t="shared" si="5"/>
        <v>-</v>
      </c>
      <c r="B140" s="830" t="s">
        <v>521</v>
      </c>
      <c r="C140" s="331"/>
      <c r="D140" s="331"/>
      <c r="E140" s="790"/>
      <c r="F140" s="791"/>
      <c r="G140" s="331"/>
      <c r="H140" s="331"/>
      <c r="I140" s="331"/>
      <c r="J140" s="331"/>
      <c r="K140" s="331"/>
      <c r="L140" s="331"/>
      <c r="M140" s="331"/>
      <c r="N140" s="331"/>
      <c r="O140" s="331"/>
      <c r="P140" s="792"/>
      <c r="AB140" s="314"/>
      <c r="AC140" s="314"/>
      <c r="AD140" s="314"/>
      <c r="AE140" s="314"/>
      <c r="AF140" s="314"/>
      <c r="AG140" s="314"/>
      <c r="AJ140" s="13" t="str">
        <f t="shared" ref="AJ140:AQ140" si="284">IF(OR(E140=$C140,E140=$D140,E140=""),"0","1")</f>
        <v>0</v>
      </c>
      <c r="AK140" s="13" t="str">
        <f t="shared" si="284"/>
        <v>0</v>
      </c>
      <c r="AL140" s="13" t="str">
        <f t="shared" si="284"/>
        <v>0</v>
      </c>
      <c r="AM140" s="13" t="str">
        <f t="shared" si="284"/>
        <v>0</v>
      </c>
      <c r="AN140" s="13" t="str">
        <f t="shared" si="284"/>
        <v>0</v>
      </c>
      <c r="AO140" s="13" t="str">
        <f t="shared" si="284"/>
        <v>0</v>
      </c>
      <c r="AP140" s="13" t="str">
        <f t="shared" si="284"/>
        <v>0</v>
      </c>
      <c r="AQ140" s="13" t="str">
        <f t="shared" si="284"/>
        <v>0</v>
      </c>
      <c r="AR140" s="13" t="str">
        <f t="shared" ref="AR140:AS140" si="285">IF(OR(O140=$C140,O140=$D140,O140=""),"0","1")</f>
        <v>0</v>
      </c>
      <c r="AS140" s="13" t="str">
        <f t="shared" si="285"/>
        <v>0</v>
      </c>
      <c r="AT140" s="698">
        <f t="shared" si="11"/>
        <v>0</v>
      </c>
    </row>
    <row r="141" ht="15.75" customHeight="1">
      <c r="A141" s="788" t="str">
        <f t="shared" si="5"/>
        <v>-</v>
      </c>
      <c r="B141" s="830" t="s">
        <v>521</v>
      </c>
      <c r="C141" s="331"/>
      <c r="D141" s="331"/>
      <c r="E141" s="790"/>
      <c r="F141" s="791"/>
      <c r="G141" s="331"/>
      <c r="H141" s="331"/>
      <c r="I141" s="331"/>
      <c r="J141" s="331"/>
      <c r="K141" s="331"/>
      <c r="L141" s="331"/>
      <c r="M141" s="331"/>
      <c r="N141" s="331"/>
      <c r="O141" s="331"/>
      <c r="P141" s="792"/>
      <c r="AB141" s="314"/>
      <c r="AC141" s="314"/>
      <c r="AD141" s="314"/>
      <c r="AE141" s="314"/>
      <c r="AF141" s="314"/>
      <c r="AG141" s="314"/>
      <c r="AJ141" s="13" t="str">
        <f t="shared" ref="AJ141:AQ141" si="286">IF(OR(E141=$C141,E141=$D141,E141=""),"0","1")</f>
        <v>0</v>
      </c>
      <c r="AK141" s="13" t="str">
        <f t="shared" si="286"/>
        <v>0</v>
      </c>
      <c r="AL141" s="13" t="str">
        <f t="shared" si="286"/>
        <v>0</v>
      </c>
      <c r="AM141" s="13" t="str">
        <f t="shared" si="286"/>
        <v>0</v>
      </c>
      <c r="AN141" s="13" t="str">
        <f t="shared" si="286"/>
        <v>0</v>
      </c>
      <c r="AO141" s="13" t="str">
        <f t="shared" si="286"/>
        <v>0</v>
      </c>
      <c r="AP141" s="13" t="str">
        <f t="shared" si="286"/>
        <v>0</v>
      </c>
      <c r="AQ141" s="13" t="str">
        <f t="shared" si="286"/>
        <v>0</v>
      </c>
      <c r="AR141" s="13" t="str">
        <f t="shared" ref="AR141:AS141" si="287">IF(OR(O141=$C141,O141=$D141,O141=""),"0","1")</f>
        <v>0</v>
      </c>
      <c r="AS141" s="13" t="str">
        <f t="shared" si="287"/>
        <v>0</v>
      </c>
      <c r="AT141" s="698">
        <f t="shared" si="11"/>
        <v>0</v>
      </c>
    </row>
    <row r="142" ht="15.75" customHeight="1">
      <c r="A142" s="788" t="str">
        <f t="shared" si="5"/>
        <v>-</v>
      </c>
      <c r="B142" s="830" t="s">
        <v>521</v>
      </c>
      <c r="C142" s="331"/>
      <c r="D142" s="331"/>
      <c r="E142" s="790"/>
      <c r="F142" s="791"/>
      <c r="G142" s="331"/>
      <c r="H142" s="331"/>
      <c r="I142" s="331"/>
      <c r="J142" s="331"/>
      <c r="K142" s="331"/>
      <c r="L142" s="331"/>
      <c r="M142" s="331"/>
      <c r="N142" s="331"/>
      <c r="O142" s="331"/>
      <c r="P142" s="792"/>
      <c r="AB142" s="314"/>
      <c r="AC142" s="314"/>
      <c r="AD142" s="314"/>
      <c r="AE142" s="314"/>
      <c r="AF142" s="314"/>
      <c r="AG142" s="314"/>
      <c r="AJ142" s="13" t="str">
        <f t="shared" ref="AJ142:AQ142" si="288">IF(OR(E142=$C142,E142=$D142,E142=""),"0","1")</f>
        <v>0</v>
      </c>
      <c r="AK142" s="13" t="str">
        <f t="shared" si="288"/>
        <v>0</v>
      </c>
      <c r="AL142" s="13" t="str">
        <f t="shared" si="288"/>
        <v>0</v>
      </c>
      <c r="AM142" s="13" t="str">
        <f t="shared" si="288"/>
        <v>0</v>
      </c>
      <c r="AN142" s="13" t="str">
        <f t="shared" si="288"/>
        <v>0</v>
      </c>
      <c r="AO142" s="13" t="str">
        <f t="shared" si="288"/>
        <v>0</v>
      </c>
      <c r="AP142" s="13" t="str">
        <f t="shared" si="288"/>
        <v>0</v>
      </c>
      <c r="AQ142" s="13" t="str">
        <f t="shared" si="288"/>
        <v>0</v>
      </c>
      <c r="AR142" s="13" t="str">
        <f t="shared" ref="AR142:AS142" si="289">IF(OR(O142=$C142,O142=$D142,O142=""),"0","1")</f>
        <v>0</v>
      </c>
      <c r="AS142" s="13" t="str">
        <f t="shared" si="289"/>
        <v>0</v>
      </c>
      <c r="AT142" s="698">
        <f t="shared" si="11"/>
        <v>0</v>
      </c>
    </row>
    <row r="143" ht="15.75" customHeight="1">
      <c r="A143" s="788" t="str">
        <f t="shared" si="5"/>
        <v>-</v>
      </c>
      <c r="B143" s="830" t="s">
        <v>521</v>
      </c>
      <c r="C143" s="331"/>
      <c r="D143" s="331"/>
      <c r="E143" s="790"/>
      <c r="F143" s="791"/>
      <c r="G143" s="331"/>
      <c r="H143" s="331"/>
      <c r="I143" s="331"/>
      <c r="J143" s="331"/>
      <c r="K143" s="331"/>
      <c r="L143" s="331"/>
      <c r="M143" s="331"/>
      <c r="N143" s="331"/>
      <c r="O143" s="331"/>
      <c r="P143" s="792"/>
      <c r="AB143" s="314"/>
      <c r="AC143" s="314"/>
      <c r="AD143" s="314"/>
      <c r="AE143" s="314"/>
      <c r="AF143" s="314"/>
      <c r="AG143" s="314"/>
      <c r="AJ143" s="13" t="str">
        <f t="shared" ref="AJ143:AQ143" si="290">IF(OR(E143=$C143,E143=$D143,E143=""),"0","1")</f>
        <v>0</v>
      </c>
      <c r="AK143" s="13" t="str">
        <f t="shared" si="290"/>
        <v>0</v>
      </c>
      <c r="AL143" s="13" t="str">
        <f t="shared" si="290"/>
        <v>0</v>
      </c>
      <c r="AM143" s="13" t="str">
        <f t="shared" si="290"/>
        <v>0</v>
      </c>
      <c r="AN143" s="13" t="str">
        <f t="shared" si="290"/>
        <v>0</v>
      </c>
      <c r="AO143" s="13" t="str">
        <f t="shared" si="290"/>
        <v>0</v>
      </c>
      <c r="AP143" s="13" t="str">
        <f t="shared" si="290"/>
        <v>0</v>
      </c>
      <c r="AQ143" s="13" t="str">
        <f t="shared" si="290"/>
        <v>0</v>
      </c>
      <c r="AR143" s="13" t="str">
        <f t="shared" ref="AR143:AS143" si="291">IF(OR(O143=$C143,O143=$D143,O143=""),"0","1")</f>
        <v>0</v>
      </c>
      <c r="AS143" s="13" t="str">
        <f t="shared" si="291"/>
        <v>0</v>
      </c>
      <c r="AT143" s="698">
        <f t="shared" si="11"/>
        <v>0</v>
      </c>
    </row>
    <row r="144" ht="15.75" customHeight="1">
      <c r="A144" s="788" t="str">
        <f t="shared" si="5"/>
        <v>-</v>
      </c>
      <c r="B144" s="830" t="s">
        <v>521</v>
      </c>
      <c r="C144" s="331"/>
      <c r="D144" s="331"/>
      <c r="E144" s="790"/>
      <c r="F144" s="791"/>
      <c r="G144" s="331"/>
      <c r="H144" s="331"/>
      <c r="I144" s="331"/>
      <c r="J144" s="331"/>
      <c r="K144" s="331"/>
      <c r="L144" s="331"/>
      <c r="M144" s="331"/>
      <c r="N144" s="331"/>
      <c r="O144" s="331"/>
      <c r="P144" s="792"/>
      <c r="AB144" s="314"/>
      <c r="AC144" s="314"/>
      <c r="AD144" s="314"/>
      <c r="AE144" s="314"/>
      <c r="AF144" s="314"/>
      <c r="AG144" s="314"/>
      <c r="AJ144" s="13" t="str">
        <f t="shared" ref="AJ144:AQ144" si="292">IF(OR(E144=$C144,E144=$D144,E144=""),"0","1")</f>
        <v>0</v>
      </c>
      <c r="AK144" s="13" t="str">
        <f t="shared" si="292"/>
        <v>0</v>
      </c>
      <c r="AL144" s="13" t="str">
        <f t="shared" si="292"/>
        <v>0</v>
      </c>
      <c r="AM144" s="13" t="str">
        <f t="shared" si="292"/>
        <v>0</v>
      </c>
      <c r="AN144" s="13" t="str">
        <f t="shared" si="292"/>
        <v>0</v>
      </c>
      <c r="AO144" s="13" t="str">
        <f t="shared" si="292"/>
        <v>0</v>
      </c>
      <c r="AP144" s="13" t="str">
        <f t="shared" si="292"/>
        <v>0</v>
      </c>
      <c r="AQ144" s="13" t="str">
        <f t="shared" si="292"/>
        <v>0</v>
      </c>
      <c r="AR144" s="13" t="str">
        <f t="shared" ref="AR144:AS144" si="293">IF(OR(O144=$C144,O144=$D144,O144=""),"0","1")</f>
        <v>0</v>
      </c>
      <c r="AS144" s="13" t="str">
        <f t="shared" si="293"/>
        <v>0</v>
      </c>
      <c r="AT144" s="698">
        <f t="shared" si="11"/>
        <v>0</v>
      </c>
    </row>
    <row r="145" ht="15.75" customHeight="1">
      <c r="A145" s="788" t="str">
        <f t="shared" si="5"/>
        <v>-</v>
      </c>
      <c r="B145" s="830" t="s">
        <v>521</v>
      </c>
      <c r="C145" s="331"/>
      <c r="D145" s="331"/>
      <c r="E145" s="790"/>
      <c r="F145" s="791"/>
      <c r="G145" s="331"/>
      <c r="H145" s="331"/>
      <c r="I145" s="331"/>
      <c r="J145" s="331"/>
      <c r="K145" s="331"/>
      <c r="L145" s="331"/>
      <c r="M145" s="331"/>
      <c r="N145" s="331"/>
      <c r="O145" s="331"/>
      <c r="P145" s="792"/>
      <c r="AB145" s="314"/>
      <c r="AC145" s="314"/>
      <c r="AD145" s="314"/>
      <c r="AE145" s="314"/>
      <c r="AF145" s="314"/>
      <c r="AG145" s="314"/>
      <c r="AJ145" s="13" t="str">
        <f t="shared" ref="AJ145:AQ145" si="294">IF(OR(E145=$C145,E145=$D145,E145=""),"0","1")</f>
        <v>0</v>
      </c>
      <c r="AK145" s="13" t="str">
        <f t="shared" si="294"/>
        <v>0</v>
      </c>
      <c r="AL145" s="13" t="str">
        <f t="shared" si="294"/>
        <v>0</v>
      </c>
      <c r="AM145" s="13" t="str">
        <f t="shared" si="294"/>
        <v>0</v>
      </c>
      <c r="AN145" s="13" t="str">
        <f t="shared" si="294"/>
        <v>0</v>
      </c>
      <c r="AO145" s="13" t="str">
        <f t="shared" si="294"/>
        <v>0</v>
      </c>
      <c r="AP145" s="13" t="str">
        <f t="shared" si="294"/>
        <v>0</v>
      </c>
      <c r="AQ145" s="13" t="str">
        <f t="shared" si="294"/>
        <v>0</v>
      </c>
      <c r="AR145" s="13" t="str">
        <f t="shared" ref="AR145:AS145" si="295">IF(OR(O145=$C145,O145=$D145,O145=""),"0","1")</f>
        <v>0</v>
      </c>
      <c r="AS145" s="13" t="str">
        <f t="shared" si="295"/>
        <v>0</v>
      </c>
      <c r="AT145" s="698">
        <f t="shared" si="11"/>
        <v>0</v>
      </c>
    </row>
    <row r="146" ht="15.75" customHeight="1">
      <c r="A146" s="788" t="str">
        <f t="shared" si="5"/>
        <v>-</v>
      </c>
      <c r="B146" s="830" t="s">
        <v>521</v>
      </c>
      <c r="C146" s="331"/>
      <c r="D146" s="331"/>
      <c r="E146" s="790"/>
      <c r="F146" s="791"/>
      <c r="G146" s="331"/>
      <c r="H146" s="331"/>
      <c r="I146" s="331"/>
      <c r="J146" s="331"/>
      <c r="K146" s="331"/>
      <c r="L146" s="331"/>
      <c r="M146" s="331"/>
      <c r="N146" s="331"/>
      <c r="O146" s="331"/>
      <c r="P146" s="792"/>
      <c r="AB146" s="314"/>
      <c r="AC146" s="314"/>
      <c r="AD146" s="314"/>
      <c r="AE146" s="314"/>
      <c r="AF146" s="314"/>
      <c r="AG146" s="314"/>
      <c r="AJ146" s="13" t="str">
        <f t="shared" ref="AJ146:AQ146" si="296">IF(OR(E146=$C146,E146=$D146,E146=""),"0","1")</f>
        <v>0</v>
      </c>
      <c r="AK146" s="13" t="str">
        <f t="shared" si="296"/>
        <v>0</v>
      </c>
      <c r="AL146" s="13" t="str">
        <f t="shared" si="296"/>
        <v>0</v>
      </c>
      <c r="AM146" s="13" t="str">
        <f t="shared" si="296"/>
        <v>0</v>
      </c>
      <c r="AN146" s="13" t="str">
        <f t="shared" si="296"/>
        <v>0</v>
      </c>
      <c r="AO146" s="13" t="str">
        <f t="shared" si="296"/>
        <v>0</v>
      </c>
      <c r="AP146" s="13" t="str">
        <f t="shared" si="296"/>
        <v>0</v>
      </c>
      <c r="AQ146" s="13" t="str">
        <f t="shared" si="296"/>
        <v>0</v>
      </c>
      <c r="AR146" s="13" t="str">
        <f t="shared" ref="AR146:AS146" si="297">IF(OR(O146=$C146,O146=$D146,O146=""),"0","1")</f>
        <v>0</v>
      </c>
      <c r="AS146" s="13" t="str">
        <f t="shared" si="297"/>
        <v>0</v>
      </c>
      <c r="AT146" s="698">
        <f t="shared" si="11"/>
        <v>0</v>
      </c>
    </row>
    <row r="147" ht="15.75" customHeight="1">
      <c r="A147" s="788" t="str">
        <f t="shared" si="5"/>
        <v>-</v>
      </c>
      <c r="B147" s="830" t="s">
        <v>521</v>
      </c>
      <c r="C147" s="331"/>
      <c r="D147" s="331"/>
      <c r="E147" s="790"/>
      <c r="F147" s="791"/>
      <c r="G147" s="331"/>
      <c r="H147" s="331"/>
      <c r="I147" s="331"/>
      <c r="J147" s="331"/>
      <c r="K147" s="331"/>
      <c r="L147" s="331"/>
      <c r="M147" s="331"/>
      <c r="N147" s="331"/>
      <c r="O147" s="331"/>
      <c r="P147" s="792"/>
      <c r="AB147" s="314"/>
      <c r="AC147" s="314"/>
      <c r="AD147" s="314"/>
      <c r="AE147" s="314"/>
      <c r="AF147" s="314"/>
      <c r="AG147" s="314"/>
      <c r="AJ147" s="13" t="str">
        <f t="shared" ref="AJ147:AQ147" si="298">IF(OR(E147=$C147,E147=$D147,E147=""),"0","1")</f>
        <v>0</v>
      </c>
      <c r="AK147" s="13" t="str">
        <f t="shared" si="298"/>
        <v>0</v>
      </c>
      <c r="AL147" s="13" t="str">
        <f t="shared" si="298"/>
        <v>0</v>
      </c>
      <c r="AM147" s="13" t="str">
        <f t="shared" si="298"/>
        <v>0</v>
      </c>
      <c r="AN147" s="13" t="str">
        <f t="shared" si="298"/>
        <v>0</v>
      </c>
      <c r="AO147" s="13" t="str">
        <f t="shared" si="298"/>
        <v>0</v>
      </c>
      <c r="AP147" s="13" t="str">
        <f t="shared" si="298"/>
        <v>0</v>
      </c>
      <c r="AQ147" s="13" t="str">
        <f t="shared" si="298"/>
        <v>0</v>
      </c>
      <c r="AR147" s="13" t="str">
        <f t="shared" ref="AR147:AS147" si="299">IF(OR(O147=$C147,O147=$D147,O147=""),"0","1")</f>
        <v>0</v>
      </c>
      <c r="AS147" s="13" t="str">
        <f t="shared" si="299"/>
        <v>0</v>
      </c>
      <c r="AT147" s="698">
        <f t="shared" si="11"/>
        <v>0</v>
      </c>
    </row>
    <row r="148" ht="15.75" customHeight="1">
      <c r="A148" s="788" t="str">
        <f t="shared" si="5"/>
        <v>-</v>
      </c>
      <c r="B148" s="830" t="s">
        <v>521</v>
      </c>
      <c r="C148" s="331"/>
      <c r="D148" s="331"/>
      <c r="E148" s="790"/>
      <c r="F148" s="791"/>
      <c r="G148" s="331"/>
      <c r="H148" s="331"/>
      <c r="I148" s="331"/>
      <c r="J148" s="331"/>
      <c r="K148" s="331"/>
      <c r="L148" s="331"/>
      <c r="M148" s="331"/>
      <c r="N148" s="331"/>
      <c r="O148" s="331"/>
      <c r="P148" s="792"/>
      <c r="AB148" s="314"/>
      <c r="AC148" s="314"/>
      <c r="AD148" s="314"/>
      <c r="AE148" s="314"/>
      <c r="AF148" s="314"/>
      <c r="AG148" s="314"/>
      <c r="AJ148" s="13" t="str">
        <f t="shared" ref="AJ148:AQ148" si="300">IF(OR(E148=$C148,E148=$D148,E148=""),"0","1")</f>
        <v>0</v>
      </c>
      <c r="AK148" s="13" t="str">
        <f t="shared" si="300"/>
        <v>0</v>
      </c>
      <c r="AL148" s="13" t="str">
        <f t="shared" si="300"/>
        <v>0</v>
      </c>
      <c r="AM148" s="13" t="str">
        <f t="shared" si="300"/>
        <v>0</v>
      </c>
      <c r="AN148" s="13" t="str">
        <f t="shared" si="300"/>
        <v>0</v>
      </c>
      <c r="AO148" s="13" t="str">
        <f t="shared" si="300"/>
        <v>0</v>
      </c>
      <c r="AP148" s="13" t="str">
        <f t="shared" si="300"/>
        <v>0</v>
      </c>
      <c r="AQ148" s="13" t="str">
        <f t="shared" si="300"/>
        <v>0</v>
      </c>
      <c r="AR148" s="13" t="str">
        <f t="shared" ref="AR148:AS148" si="301">IF(OR(O148=$C148,O148=$D148,O148=""),"0","1")</f>
        <v>0</v>
      </c>
      <c r="AS148" s="13" t="str">
        <f t="shared" si="301"/>
        <v>0</v>
      </c>
      <c r="AT148" s="698">
        <f t="shared" si="11"/>
        <v>0</v>
      </c>
    </row>
    <row r="149" ht="15.75" customHeight="1">
      <c r="A149" s="788" t="str">
        <f t="shared" si="5"/>
        <v>-</v>
      </c>
      <c r="B149" s="830" t="s">
        <v>521</v>
      </c>
      <c r="C149" s="331"/>
      <c r="D149" s="331"/>
      <c r="E149" s="790"/>
      <c r="F149" s="791"/>
      <c r="G149" s="331"/>
      <c r="H149" s="331"/>
      <c r="I149" s="331"/>
      <c r="J149" s="331"/>
      <c r="K149" s="331"/>
      <c r="L149" s="331"/>
      <c r="M149" s="331"/>
      <c r="N149" s="331"/>
      <c r="O149" s="331"/>
      <c r="P149" s="792"/>
      <c r="AB149" s="314"/>
      <c r="AC149" s="314"/>
      <c r="AD149" s="314"/>
      <c r="AE149" s="314"/>
      <c r="AF149" s="314"/>
      <c r="AG149" s="314"/>
      <c r="AJ149" s="13" t="str">
        <f t="shared" ref="AJ149:AQ149" si="302">IF(OR(E149=$C149,E149=$D149,E149=""),"0","1")</f>
        <v>0</v>
      </c>
      <c r="AK149" s="13" t="str">
        <f t="shared" si="302"/>
        <v>0</v>
      </c>
      <c r="AL149" s="13" t="str">
        <f t="shared" si="302"/>
        <v>0</v>
      </c>
      <c r="AM149" s="13" t="str">
        <f t="shared" si="302"/>
        <v>0</v>
      </c>
      <c r="AN149" s="13" t="str">
        <f t="shared" si="302"/>
        <v>0</v>
      </c>
      <c r="AO149" s="13" t="str">
        <f t="shared" si="302"/>
        <v>0</v>
      </c>
      <c r="AP149" s="13" t="str">
        <f t="shared" si="302"/>
        <v>0</v>
      </c>
      <c r="AQ149" s="13" t="str">
        <f t="shared" si="302"/>
        <v>0</v>
      </c>
      <c r="AR149" s="13" t="str">
        <f t="shared" ref="AR149:AS149" si="303">IF(OR(O149=$C149,O149=$D149,O149=""),"0","1")</f>
        <v>0</v>
      </c>
      <c r="AS149" s="13" t="str">
        <f t="shared" si="303"/>
        <v>0</v>
      </c>
      <c r="AT149" s="698">
        <f t="shared" si="11"/>
        <v>0</v>
      </c>
    </row>
    <row r="150" ht="15.75" customHeight="1">
      <c r="A150" s="788" t="str">
        <f t="shared" si="5"/>
        <v>-</v>
      </c>
      <c r="B150" s="789" t="s">
        <v>522</v>
      </c>
      <c r="C150" s="331"/>
      <c r="D150" s="331"/>
      <c r="E150" s="790"/>
      <c r="F150" s="791"/>
      <c r="G150" s="331"/>
      <c r="H150" s="331"/>
      <c r="I150" s="331"/>
      <c r="J150" s="331"/>
      <c r="K150" s="331"/>
      <c r="L150" s="331"/>
      <c r="M150" s="331"/>
      <c r="N150" s="331"/>
      <c r="O150" s="331"/>
      <c r="P150" s="792"/>
      <c r="AB150" s="314"/>
      <c r="AC150" s="314"/>
      <c r="AD150" s="314"/>
      <c r="AE150" s="314"/>
      <c r="AF150" s="314"/>
      <c r="AG150" s="314"/>
      <c r="AJ150" s="13" t="str">
        <f t="shared" ref="AJ150:AQ150" si="304">IF(OR(E150=$C150,E150=$D150,E150=""),"0","1")</f>
        <v>0</v>
      </c>
      <c r="AK150" s="13" t="str">
        <f t="shared" si="304"/>
        <v>0</v>
      </c>
      <c r="AL150" s="13" t="str">
        <f t="shared" si="304"/>
        <v>0</v>
      </c>
      <c r="AM150" s="13" t="str">
        <f t="shared" si="304"/>
        <v>0</v>
      </c>
      <c r="AN150" s="13" t="str">
        <f t="shared" si="304"/>
        <v>0</v>
      </c>
      <c r="AO150" s="13" t="str">
        <f t="shared" si="304"/>
        <v>0</v>
      </c>
      <c r="AP150" s="13" t="str">
        <f t="shared" si="304"/>
        <v>0</v>
      </c>
      <c r="AQ150" s="13" t="str">
        <f t="shared" si="304"/>
        <v>0</v>
      </c>
      <c r="AR150" s="13" t="str">
        <f t="shared" ref="AR150:AS150" si="305">IF(OR(O150=$C150,O150=$D150,O150=""),"0","1")</f>
        <v>0</v>
      </c>
      <c r="AS150" s="13" t="str">
        <f t="shared" si="305"/>
        <v>0</v>
      </c>
      <c r="AT150" s="698">
        <f t="shared" si="11"/>
        <v>0</v>
      </c>
    </row>
    <row r="151" ht="15.75" customHeight="1">
      <c r="A151" s="788" t="str">
        <f t="shared" si="5"/>
        <v>-</v>
      </c>
      <c r="B151" s="789" t="s">
        <v>522</v>
      </c>
      <c r="C151" s="331"/>
      <c r="D151" s="331"/>
      <c r="E151" s="790"/>
      <c r="F151" s="791"/>
      <c r="G151" s="331"/>
      <c r="H151" s="331"/>
      <c r="I151" s="331"/>
      <c r="J151" s="331"/>
      <c r="K151" s="331"/>
      <c r="L151" s="331"/>
      <c r="M151" s="331"/>
      <c r="N151" s="331"/>
      <c r="O151" s="331"/>
      <c r="P151" s="792"/>
      <c r="AB151" s="314"/>
      <c r="AC151" s="314"/>
      <c r="AD151" s="314"/>
      <c r="AE151" s="314"/>
      <c r="AF151" s="314"/>
      <c r="AG151" s="314"/>
      <c r="AJ151" s="13" t="str">
        <f t="shared" ref="AJ151:AQ151" si="306">IF(OR(E151=$C151,E151=$D151,E151=""),"0","1")</f>
        <v>0</v>
      </c>
      <c r="AK151" s="13" t="str">
        <f t="shared" si="306"/>
        <v>0</v>
      </c>
      <c r="AL151" s="13" t="str">
        <f t="shared" si="306"/>
        <v>0</v>
      </c>
      <c r="AM151" s="13" t="str">
        <f t="shared" si="306"/>
        <v>0</v>
      </c>
      <c r="AN151" s="13" t="str">
        <f t="shared" si="306"/>
        <v>0</v>
      </c>
      <c r="AO151" s="13" t="str">
        <f t="shared" si="306"/>
        <v>0</v>
      </c>
      <c r="AP151" s="13" t="str">
        <f t="shared" si="306"/>
        <v>0</v>
      </c>
      <c r="AQ151" s="13" t="str">
        <f t="shared" si="306"/>
        <v>0</v>
      </c>
      <c r="AR151" s="13" t="str">
        <f t="shared" ref="AR151:AS151" si="307">IF(OR(O151=$C151,O151=$D151,O151=""),"0","1")</f>
        <v>0</v>
      </c>
      <c r="AS151" s="13" t="str">
        <f t="shared" si="307"/>
        <v>0</v>
      </c>
      <c r="AT151" s="698">
        <f t="shared" si="11"/>
        <v>0</v>
      </c>
    </row>
    <row r="152" ht="15.75" customHeight="1">
      <c r="A152" s="788" t="str">
        <f t="shared" si="5"/>
        <v>-</v>
      </c>
      <c r="B152" s="789" t="s">
        <v>522</v>
      </c>
      <c r="C152" s="331"/>
      <c r="D152" s="331"/>
      <c r="E152" s="790"/>
      <c r="F152" s="791"/>
      <c r="G152" s="331"/>
      <c r="H152" s="331"/>
      <c r="I152" s="331"/>
      <c r="J152" s="331"/>
      <c r="K152" s="331"/>
      <c r="L152" s="331"/>
      <c r="M152" s="331"/>
      <c r="N152" s="331"/>
      <c r="O152" s="331"/>
      <c r="P152" s="792"/>
      <c r="AB152" s="314"/>
      <c r="AC152" s="314"/>
      <c r="AD152" s="314"/>
      <c r="AE152" s="314"/>
      <c r="AF152" s="314"/>
      <c r="AG152" s="314"/>
      <c r="AJ152" s="13" t="str">
        <f t="shared" ref="AJ152:AQ152" si="308">IF(OR(E152=$C152,E152=$D152,E152=""),"0","1")</f>
        <v>0</v>
      </c>
      <c r="AK152" s="13" t="str">
        <f t="shared" si="308"/>
        <v>0</v>
      </c>
      <c r="AL152" s="13" t="str">
        <f t="shared" si="308"/>
        <v>0</v>
      </c>
      <c r="AM152" s="13" t="str">
        <f t="shared" si="308"/>
        <v>0</v>
      </c>
      <c r="AN152" s="13" t="str">
        <f t="shared" si="308"/>
        <v>0</v>
      </c>
      <c r="AO152" s="13" t="str">
        <f t="shared" si="308"/>
        <v>0</v>
      </c>
      <c r="AP152" s="13" t="str">
        <f t="shared" si="308"/>
        <v>0</v>
      </c>
      <c r="AQ152" s="13" t="str">
        <f t="shared" si="308"/>
        <v>0</v>
      </c>
      <c r="AR152" s="13" t="str">
        <f t="shared" ref="AR152:AS152" si="309">IF(OR(O152=$C152,O152=$D152,O152=""),"0","1")</f>
        <v>0</v>
      </c>
      <c r="AS152" s="13" t="str">
        <f t="shared" si="309"/>
        <v>0</v>
      </c>
      <c r="AT152" s="698">
        <f t="shared" si="11"/>
        <v>0</v>
      </c>
    </row>
    <row r="153" ht="15.75" customHeight="1">
      <c r="A153" s="788" t="str">
        <f t="shared" si="5"/>
        <v>-</v>
      </c>
      <c r="B153" s="789" t="s">
        <v>522</v>
      </c>
      <c r="C153" s="331"/>
      <c r="D153" s="331"/>
      <c r="E153" s="790"/>
      <c r="F153" s="791"/>
      <c r="G153" s="331"/>
      <c r="H153" s="331"/>
      <c r="I153" s="331"/>
      <c r="J153" s="331"/>
      <c r="K153" s="331"/>
      <c r="L153" s="331"/>
      <c r="M153" s="331"/>
      <c r="N153" s="331"/>
      <c r="O153" s="331"/>
      <c r="P153" s="792"/>
      <c r="AB153" s="314"/>
      <c r="AC153" s="314"/>
      <c r="AD153" s="314"/>
      <c r="AE153" s="314"/>
      <c r="AF153" s="314"/>
      <c r="AG153" s="314"/>
      <c r="AJ153" s="13" t="str">
        <f t="shared" ref="AJ153:AQ153" si="310">IF(OR(E153=$C153,E153=$D153,E153=""),"0","1")</f>
        <v>0</v>
      </c>
      <c r="AK153" s="13" t="str">
        <f t="shared" si="310"/>
        <v>0</v>
      </c>
      <c r="AL153" s="13" t="str">
        <f t="shared" si="310"/>
        <v>0</v>
      </c>
      <c r="AM153" s="13" t="str">
        <f t="shared" si="310"/>
        <v>0</v>
      </c>
      <c r="AN153" s="13" t="str">
        <f t="shared" si="310"/>
        <v>0</v>
      </c>
      <c r="AO153" s="13" t="str">
        <f t="shared" si="310"/>
        <v>0</v>
      </c>
      <c r="AP153" s="13" t="str">
        <f t="shared" si="310"/>
        <v>0</v>
      </c>
      <c r="AQ153" s="13" t="str">
        <f t="shared" si="310"/>
        <v>0</v>
      </c>
      <c r="AR153" s="13" t="str">
        <f t="shared" ref="AR153:AS153" si="311">IF(OR(O153=$C153,O153=$D153,O153=""),"0","1")</f>
        <v>0</v>
      </c>
      <c r="AS153" s="13" t="str">
        <f t="shared" si="311"/>
        <v>0</v>
      </c>
      <c r="AT153" s="698">
        <f t="shared" si="11"/>
        <v>0</v>
      </c>
    </row>
    <row r="154" ht="15.75" customHeight="1">
      <c r="A154" s="788" t="str">
        <f t="shared" si="5"/>
        <v>-</v>
      </c>
      <c r="B154" s="789" t="s">
        <v>522</v>
      </c>
      <c r="C154" s="331"/>
      <c r="D154" s="331"/>
      <c r="E154" s="790"/>
      <c r="F154" s="791"/>
      <c r="G154" s="331"/>
      <c r="H154" s="331"/>
      <c r="I154" s="331"/>
      <c r="J154" s="331"/>
      <c r="K154" s="331"/>
      <c r="L154" s="331"/>
      <c r="M154" s="331"/>
      <c r="N154" s="331"/>
      <c r="O154" s="331"/>
      <c r="P154" s="792"/>
      <c r="AB154" s="314"/>
      <c r="AC154" s="314"/>
      <c r="AD154" s="314"/>
      <c r="AE154" s="314"/>
      <c r="AF154" s="314"/>
      <c r="AG154" s="314"/>
      <c r="AJ154" s="13" t="str">
        <f t="shared" ref="AJ154:AQ154" si="312">IF(OR(E154=$C154,E154=$D154,E154=""),"0","1")</f>
        <v>0</v>
      </c>
      <c r="AK154" s="13" t="str">
        <f t="shared" si="312"/>
        <v>0</v>
      </c>
      <c r="AL154" s="13" t="str">
        <f t="shared" si="312"/>
        <v>0</v>
      </c>
      <c r="AM154" s="13" t="str">
        <f t="shared" si="312"/>
        <v>0</v>
      </c>
      <c r="AN154" s="13" t="str">
        <f t="shared" si="312"/>
        <v>0</v>
      </c>
      <c r="AO154" s="13" t="str">
        <f t="shared" si="312"/>
        <v>0</v>
      </c>
      <c r="AP154" s="13" t="str">
        <f t="shared" si="312"/>
        <v>0</v>
      </c>
      <c r="AQ154" s="13" t="str">
        <f t="shared" si="312"/>
        <v>0</v>
      </c>
      <c r="AR154" s="13" t="str">
        <f t="shared" ref="AR154:AS154" si="313">IF(OR(O154=$C154,O154=$D154,O154=""),"0","1")</f>
        <v>0</v>
      </c>
      <c r="AS154" s="13" t="str">
        <f t="shared" si="313"/>
        <v>0</v>
      </c>
      <c r="AT154" s="698">
        <f t="shared" si="11"/>
        <v>0</v>
      </c>
    </row>
    <row r="155" ht="15.75" customHeight="1">
      <c r="A155" s="788" t="str">
        <f t="shared" si="5"/>
        <v>-</v>
      </c>
      <c r="B155" s="789" t="s">
        <v>522</v>
      </c>
      <c r="C155" s="331"/>
      <c r="D155" s="331"/>
      <c r="E155" s="790"/>
      <c r="F155" s="791"/>
      <c r="G155" s="331"/>
      <c r="H155" s="331"/>
      <c r="I155" s="331"/>
      <c r="J155" s="331"/>
      <c r="K155" s="331"/>
      <c r="L155" s="331"/>
      <c r="M155" s="331"/>
      <c r="N155" s="331"/>
      <c r="O155" s="331"/>
      <c r="P155" s="792"/>
      <c r="AB155" s="314"/>
      <c r="AC155" s="314"/>
      <c r="AD155" s="314"/>
      <c r="AE155" s="314"/>
      <c r="AF155" s="314"/>
      <c r="AG155" s="314"/>
      <c r="AJ155" s="13" t="str">
        <f t="shared" ref="AJ155:AQ155" si="314">IF(OR(E155=$C155,E155=$D155,E155=""),"0","1")</f>
        <v>0</v>
      </c>
      <c r="AK155" s="13" t="str">
        <f t="shared" si="314"/>
        <v>0</v>
      </c>
      <c r="AL155" s="13" t="str">
        <f t="shared" si="314"/>
        <v>0</v>
      </c>
      <c r="AM155" s="13" t="str">
        <f t="shared" si="314"/>
        <v>0</v>
      </c>
      <c r="AN155" s="13" t="str">
        <f t="shared" si="314"/>
        <v>0</v>
      </c>
      <c r="AO155" s="13" t="str">
        <f t="shared" si="314"/>
        <v>0</v>
      </c>
      <c r="AP155" s="13" t="str">
        <f t="shared" si="314"/>
        <v>0</v>
      </c>
      <c r="AQ155" s="13" t="str">
        <f t="shared" si="314"/>
        <v>0</v>
      </c>
      <c r="AR155" s="13" t="str">
        <f t="shared" ref="AR155:AS155" si="315">IF(OR(O155=$C155,O155=$D155,O155=""),"0","1")</f>
        <v>0</v>
      </c>
      <c r="AS155" s="13" t="str">
        <f t="shared" si="315"/>
        <v>0</v>
      </c>
      <c r="AT155" s="698">
        <f t="shared" si="11"/>
        <v>0</v>
      </c>
    </row>
    <row r="156" ht="15.75" customHeight="1">
      <c r="A156" s="788" t="str">
        <f t="shared" si="5"/>
        <v>-</v>
      </c>
      <c r="B156" s="789" t="s">
        <v>522</v>
      </c>
      <c r="C156" s="331"/>
      <c r="D156" s="331"/>
      <c r="E156" s="790"/>
      <c r="F156" s="791"/>
      <c r="G156" s="331"/>
      <c r="H156" s="331"/>
      <c r="I156" s="331"/>
      <c r="J156" s="331"/>
      <c r="K156" s="331"/>
      <c r="L156" s="331"/>
      <c r="M156" s="331"/>
      <c r="N156" s="331"/>
      <c r="O156" s="331"/>
      <c r="P156" s="792"/>
      <c r="AB156" s="314"/>
      <c r="AC156" s="314"/>
      <c r="AD156" s="314"/>
      <c r="AE156" s="314"/>
      <c r="AF156" s="314"/>
      <c r="AG156" s="314"/>
      <c r="AJ156" s="13" t="str">
        <f t="shared" ref="AJ156:AQ156" si="316">IF(OR(E156=$C156,E156=$D156,E156=""),"0","1")</f>
        <v>0</v>
      </c>
      <c r="AK156" s="13" t="str">
        <f t="shared" si="316"/>
        <v>0</v>
      </c>
      <c r="AL156" s="13" t="str">
        <f t="shared" si="316"/>
        <v>0</v>
      </c>
      <c r="AM156" s="13" t="str">
        <f t="shared" si="316"/>
        <v>0</v>
      </c>
      <c r="AN156" s="13" t="str">
        <f t="shared" si="316"/>
        <v>0</v>
      </c>
      <c r="AO156" s="13" t="str">
        <f t="shared" si="316"/>
        <v>0</v>
      </c>
      <c r="AP156" s="13" t="str">
        <f t="shared" si="316"/>
        <v>0</v>
      </c>
      <c r="AQ156" s="13" t="str">
        <f t="shared" si="316"/>
        <v>0</v>
      </c>
      <c r="AR156" s="13" t="str">
        <f t="shared" ref="AR156:AS156" si="317">IF(OR(O156=$C156,O156=$D156,O156=""),"0","1")</f>
        <v>0</v>
      </c>
      <c r="AS156" s="13" t="str">
        <f t="shared" si="317"/>
        <v>0</v>
      </c>
      <c r="AT156" s="698">
        <f t="shared" si="11"/>
        <v>0</v>
      </c>
    </row>
    <row r="157" ht="15.75" customHeight="1">
      <c r="A157" s="788" t="str">
        <f t="shared" si="5"/>
        <v>-</v>
      </c>
      <c r="B157" s="789" t="s">
        <v>522</v>
      </c>
      <c r="C157" s="331"/>
      <c r="D157" s="331"/>
      <c r="E157" s="790"/>
      <c r="F157" s="791"/>
      <c r="G157" s="331"/>
      <c r="H157" s="331"/>
      <c r="I157" s="331"/>
      <c r="J157" s="331"/>
      <c r="K157" s="331"/>
      <c r="L157" s="331"/>
      <c r="M157" s="331"/>
      <c r="N157" s="331"/>
      <c r="O157" s="331"/>
      <c r="P157" s="792"/>
      <c r="AB157" s="314"/>
      <c r="AC157" s="314"/>
      <c r="AD157" s="314"/>
      <c r="AE157" s="314"/>
      <c r="AF157" s="314"/>
      <c r="AG157" s="314"/>
      <c r="AJ157" s="13" t="str">
        <f t="shared" ref="AJ157:AQ157" si="318">IF(OR(E157=$C157,E157=$D157,E157=""),"0","1")</f>
        <v>0</v>
      </c>
      <c r="AK157" s="13" t="str">
        <f t="shared" si="318"/>
        <v>0</v>
      </c>
      <c r="AL157" s="13" t="str">
        <f t="shared" si="318"/>
        <v>0</v>
      </c>
      <c r="AM157" s="13" t="str">
        <f t="shared" si="318"/>
        <v>0</v>
      </c>
      <c r="AN157" s="13" t="str">
        <f t="shared" si="318"/>
        <v>0</v>
      </c>
      <c r="AO157" s="13" t="str">
        <f t="shared" si="318"/>
        <v>0</v>
      </c>
      <c r="AP157" s="13" t="str">
        <f t="shared" si="318"/>
        <v>0</v>
      </c>
      <c r="AQ157" s="13" t="str">
        <f t="shared" si="318"/>
        <v>0</v>
      </c>
      <c r="AR157" s="13" t="str">
        <f t="shared" ref="AR157:AS157" si="319">IF(OR(O157=$C157,O157=$D157,O157=""),"0","1")</f>
        <v>0</v>
      </c>
      <c r="AS157" s="13" t="str">
        <f t="shared" si="319"/>
        <v>0</v>
      </c>
      <c r="AT157" s="698">
        <f t="shared" si="11"/>
        <v>0</v>
      </c>
    </row>
    <row r="158" ht="15.75" customHeight="1">
      <c r="A158" s="788" t="str">
        <f t="shared" si="5"/>
        <v>-</v>
      </c>
      <c r="B158" s="789" t="s">
        <v>522</v>
      </c>
      <c r="C158" s="331"/>
      <c r="D158" s="331"/>
      <c r="E158" s="790"/>
      <c r="F158" s="791"/>
      <c r="G158" s="331"/>
      <c r="H158" s="331"/>
      <c r="I158" s="331"/>
      <c r="J158" s="331"/>
      <c r="K158" s="331"/>
      <c r="L158" s="331"/>
      <c r="M158" s="331"/>
      <c r="N158" s="331"/>
      <c r="O158" s="331"/>
      <c r="P158" s="792"/>
      <c r="AB158" s="314"/>
      <c r="AC158" s="314"/>
      <c r="AD158" s="314"/>
      <c r="AE158" s="314"/>
      <c r="AF158" s="314"/>
      <c r="AG158" s="314"/>
      <c r="AJ158" s="13" t="str">
        <f t="shared" ref="AJ158:AQ158" si="320">IF(OR(E158=$C158,E158=$D158,E158=""),"0","1")</f>
        <v>0</v>
      </c>
      <c r="AK158" s="13" t="str">
        <f t="shared" si="320"/>
        <v>0</v>
      </c>
      <c r="AL158" s="13" t="str">
        <f t="shared" si="320"/>
        <v>0</v>
      </c>
      <c r="AM158" s="13" t="str">
        <f t="shared" si="320"/>
        <v>0</v>
      </c>
      <c r="AN158" s="13" t="str">
        <f t="shared" si="320"/>
        <v>0</v>
      </c>
      <c r="AO158" s="13" t="str">
        <f t="shared" si="320"/>
        <v>0</v>
      </c>
      <c r="AP158" s="13" t="str">
        <f t="shared" si="320"/>
        <v>0</v>
      </c>
      <c r="AQ158" s="13" t="str">
        <f t="shared" si="320"/>
        <v>0</v>
      </c>
      <c r="AR158" s="13" t="str">
        <f t="shared" ref="AR158:AS158" si="321">IF(OR(O158=$C158,O158=$D158,O158=""),"0","1")</f>
        <v>0</v>
      </c>
      <c r="AS158" s="13" t="str">
        <f t="shared" si="321"/>
        <v>0</v>
      </c>
      <c r="AT158" s="698">
        <f t="shared" si="11"/>
        <v>0</v>
      </c>
    </row>
    <row r="159" ht="15.75" customHeight="1">
      <c r="A159" s="788" t="str">
        <f t="shared" si="5"/>
        <v>-</v>
      </c>
      <c r="B159" s="789" t="s">
        <v>522</v>
      </c>
      <c r="C159" s="331"/>
      <c r="D159" s="331"/>
      <c r="E159" s="790"/>
      <c r="F159" s="791"/>
      <c r="G159" s="331"/>
      <c r="H159" s="331"/>
      <c r="I159" s="331"/>
      <c r="J159" s="331"/>
      <c r="K159" s="331"/>
      <c r="L159" s="331"/>
      <c r="M159" s="331"/>
      <c r="N159" s="331"/>
      <c r="O159" s="331"/>
      <c r="P159" s="792"/>
      <c r="AB159" s="314"/>
      <c r="AC159" s="314"/>
      <c r="AD159" s="314"/>
      <c r="AE159" s="314"/>
      <c r="AF159" s="314"/>
      <c r="AG159" s="314"/>
      <c r="AJ159" s="13" t="str">
        <f t="shared" ref="AJ159:AQ159" si="322">IF(OR(E159=$C159,E159=$D159,E159=""),"0","1")</f>
        <v>0</v>
      </c>
      <c r="AK159" s="13" t="str">
        <f t="shared" si="322"/>
        <v>0</v>
      </c>
      <c r="AL159" s="13" t="str">
        <f t="shared" si="322"/>
        <v>0</v>
      </c>
      <c r="AM159" s="13" t="str">
        <f t="shared" si="322"/>
        <v>0</v>
      </c>
      <c r="AN159" s="13" t="str">
        <f t="shared" si="322"/>
        <v>0</v>
      </c>
      <c r="AO159" s="13" t="str">
        <f t="shared" si="322"/>
        <v>0</v>
      </c>
      <c r="AP159" s="13" t="str">
        <f t="shared" si="322"/>
        <v>0</v>
      </c>
      <c r="AQ159" s="13" t="str">
        <f t="shared" si="322"/>
        <v>0</v>
      </c>
      <c r="AR159" s="13" t="str">
        <f t="shared" ref="AR159:AS159" si="323">IF(OR(O159=$C159,O159=$D159,O159=""),"0","1")</f>
        <v>0</v>
      </c>
      <c r="AS159" s="13" t="str">
        <f t="shared" si="323"/>
        <v>0</v>
      </c>
      <c r="AT159" s="698">
        <f t="shared" si="11"/>
        <v>0</v>
      </c>
    </row>
    <row r="160" ht="15.75" customHeight="1">
      <c r="A160" s="788" t="str">
        <f t="shared" si="5"/>
        <v>-</v>
      </c>
      <c r="B160" s="789" t="s">
        <v>522</v>
      </c>
      <c r="C160" s="331"/>
      <c r="D160" s="331"/>
      <c r="E160" s="790"/>
      <c r="F160" s="791"/>
      <c r="G160" s="331"/>
      <c r="H160" s="331"/>
      <c r="I160" s="331"/>
      <c r="J160" s="331"/>
      <c r="K160" s="331"/>
      <c r="L160" s="331"/>
      <c r="M160" s="331"/>
      <c r="N160" s="331"/>
      <c r="O160" s="331"/>
      <c r="P160" s="792"/>
      <c r="AB160" s="314"/>
      <c r="AC160" s="314"/>
      <c r="AD160" s="314"/>
      <c r="AE160" s="314"/>
      <c r="AF160" s="314"/>
      <c r="AG160" s="314"/>
      <c r="AJ160" s="13" t="str">
        <f t="shared" ref="AJ160:AQ160" si="324">IF(OR(E160=$C160,E160=$D160,E160=""),"0","1")</f>
        <v>0</v>
      </c>
      <c r="AK160" s="13" t="str">
        <f t="shared" si="324"/>
        <v>0</v>
      </c>
      <c r="AL160" s="13" t="str">
        <f t="shared" si="324"/>
        <v>0</v>
      </c>
      <c r="AM160" s="13" t="str">
        <f t="shared" si="324"/>
        <v>0</v>
      </c>
      <c r="AN160" s="13" t="str">
        <f t="shared" si="324"/>
        <v>0</v>
      </c>
      <c r="AO160" s="13" t="str">
        <f t="shared" si="324"/>
        <v>0</v>
      </c>
      <c r="AP160" s="13" t="str">
        <f t="shared" si="324"/>
        <v>0</v>
      </c>
      <c r="AQ160" s="13" t="str">
        <f t="shared" si="324"/>
        <v>0</v>
      </c>
      <c r="AR160" s="13" t="str">
        <f t="shared" ref="AR160:AS160" si="325">IF(OR(O160=$C160,O160=$D160,O160=""),"0","1")</f>
        <v>0</v>
      </c>
      <c r="AS160" s="13" t="str">
        <f t="shared" si="325"/>
        <v>0</v>
      </c>
      <c r="AT160" s="698">
        <f t="shared" si="11"/>
        <v>0</v>
      </c>
    </row>
    <row r="161" ht="15.75" customHeight="1">
      <c r="A161" s="788" t="str">
        <f t="shared" si="5"/>
        <v>-</v>
      </c>
      <c r="B161" s="789" t="s">
        <v>522</v>
      </c>
      <c r="C161" s="331"/>
      <c r="D161" s="331"/>
      <c r="E161" s="790"/>
      <c r="F161" s="791"/>
      <c r="G161" s="331"/>
      <c r="H161" s="331"/>
      <c r="I161" s="331"/>
      <c r="J161" s="331"/>
      <c r="K161" s="331"/>
      <c r="L161" s="331"/>
      <c r="M161" s="331"/>
      <c r="N161" s="331"/>
      <c r="O161" s="331"/>
      <c r="P161" s="792"/>
      <c r="AB161" s="314"/>
      <c r="AC161" s="314"/>
      <c r="AD161" s="314"/>
      <c r="AE161" s="314"/>
      <c r="AF161" s="314"/>
      <c r="AG161" s="314"/>
      <c r="AJ161" s="13" t="str">
        <f t="shared" ref="AJ161:AQ161" si="326">IF(OR(E161=$C161,E161=$D161,E161=""),"0","1")</f>
        <v>0</v>
      </c>
      <c r="AK161" s="13" t="str">
        <f t="shared" si="326"/>
        <v>0</v>
      </c>
      <c r="AL161" s="13" t="str">
        <f t="shared" si="326"/>
        <v>0</v>
      </c>
      <c r="AM161" s="13" t="str">
        <f t="shared" si="326"/>
        <v>0</v>
      </c>
      <c r="AN161" s="13" t="str">
        <f t="shared" si="326"/>
        <v>0</v>
      </c>
      <c r="AO161" s="13" t="str">
        <f t="shared" si="326"/>
        <v>0</v>
      </c>
      <c r="AP161" s="13" t="str">
        <f t="shared" si="326"/>
        <v>0</v>
      </c>
      <c r="AQ161" s="13" t="str">
        <f t="shared" si="326"/>
        <v>0</v>
      </c>
      <c r="AR161" s="13" t="str">
        <f t="shared" ref="AR161:AS161" si="327">IF(OR(O161=$C161,O161=$D161,O161=""),"0","1")</f>
        <v>0</v>
      </c>
      <c r="AS161" s="13" t="str">
        <f t="shared" si="327"/>
        <v>0</v>
      </c>
      <c r="AT161" s="698">
        <f t="shared" si="11"/>
        <v>0</v>
      </c>
    </row>
    <row r="162" ht="15.75" customHeight="1">
      <c r="A162" s="788" t="str">
        <f t="shared" si="5"/>
        <v>-</v>
      </c>
      <c r="B162" s="789" t="s">
        <v>522</v>
      </c>
      <c r="C162" s="331"/>
      <c r="D162" s="331"/>
      <c r="E162" s="790"/>
      <c r="F162" s="791"/>
      <c r="G162" s="331"/>
      <c r="H162" s="331"/>
      <c r="I162" s="331"/>
      <c r="J162" s="331"/>
      <c r="K162" s="331"/>
      <c r="L162" s="331"/>
      <c r="M162" s="331"/>
      <c r="N162" s="331"/>
      <c r="O162" s="331"/>
      <c r="P162" s="792"/>
      <c r="AB162" s="314"/>
      <c r="AC162" s="314"/>
      <c r="AD162" s="314"/>
      <c r="AE162" s="314"/>
      <c r="AF162" s="314"/>
      <c r="AG162" s="314"/>
      <c r="AJ162" s="13" t="str">
        <f t="shared" ref="AJ162:AQ162" si="328">IF(OR(E162=$C162,E162=$D162,E162=""),"0","1")</f>
        <v>0</v>
      </c>
      <c r="AK162" s="13" t="str">
        <f t="shared" si="328"/>
        <v>0</v>
      </c>
      <c r="AL162" s="13" t="str">
        <f t="shared" si="328"/>
        <v>0</v>
      </c>
      <c r="AM162" s="13" t="str">
        <f t="shared" si="328"/>
        <v>0</v>
      </c>
      <c r="AN162" s="13" t="str">
        <f t="shared" si="328"/>
        <v>0</v>
      </c>
      <c r="AO162" s="13" t="str">
        <f t="shared" si="328"/>
        <v>0</v>
      </c>
      <c r="AP162" s="13" t="str">
        <f t="shared" si="328"/>
        <v>0</v>
      </c>
      <c r="AQ162" s="13" t="str">
        <f t="shared" si="328"/>
        <v>0</v>
      </c>
      <c r="AR162" s="13" t="str">
        <f t="shared" ref="AR162:AS162" si="329">IF(OR(O162=$C162,O162=$D162,O162=""),"0","1")</f>
        <v>0</v>
      </c>
      <c r="AS162" s="13" t="str">
        <f t="shared" si="329"/>
        <v>0</v>
      </c>
      <c r="AT162" s="698">
        <f t="shared" si="11"/>
        <v>0</v>
      </c>
    </row>
    <row r="163" ht="15.75" customHeight="1">
      <c r="A163" s="788" t="str">
        <f t="shared" si="5"/>
        <v>-</v>
      </c>
      <c r="B163" s="789" t="s">
        <v>522</v>
      </c>
      <c r="C163" s="331"/>
      <c r="D163" s="331"/>
      <c r="E163" s="790"/>
      <c r="F163" s="791"/>
      <c r="G163" s="331"/>
      <c r="H163" s="331"/>
      <c r="I163" s="331"/>
      <c r="J163" s="331"/>
      <c r="K163" s="331"/>
      <c r="L163" s="331"/>
      <c r="M163" s="331"/>
      <c r="N163" s="331"/>
      <c r="O163" s="331"/>
      <c r="P163" s="792"/>
      <c r="AB163" s="314"/>
      <c r="AC163" s="314"/>
      <c r="AD163" s="314"/>
      <c r="AE163" s="314"/>
      <c r="AF163" s="314"/>
      <c r="AG163" s="314"/>
      <c r="AJ163" s="13" t="str">
        <f t="shared" ref="AJ163:AQ163" si="330">IF(OR(E163=$C163,E163=$D163,E163=""),"0","1")</f>
        <v>0</v>
      </c>
      <c r="AK163" s="13" t="str">
        <f t="shared" si="330"/>
        <v>0</v>
      </c>
      <c r="AL163" s="13" t="str">
        <f t="shared" si="330"/>
        <v>0</v>
      </c>
      <c r="AM163" s="13" t="str">
        <f t="shared" si="330"/>
        <v>0</v>
      </c>
      <c r="AN163" s="13" t="str">
        <f t="shared" si="330"/>
        <v>0</v>
      </c>
      <c r="AO163" s="13" t="str">
        <f t="shared" si="330"/>
        <v>0</v>
      </c>
      <c r="AP163" s="13" t="str">
        <f t="shared" si="330"/>
        <v>0</v>
      </c>
      <c r="AQ163" s="13" t="str">
        <f t="shared" si="330"/>
        <v>0</v>
      </c>
      <c r="AR163" s="13" t="str">
        <f t="shared" ref="AR163:AS163" si="331">IF(OR(O163=$C163,O163=$D163,O163=""),"0","1")</f>
        <v>0</v>
      </c>
      <c r="AS163" s="13" t="str">
        <f t="shared" si="331"/>
        <v>0</v>
      </c>
      <c r="AT163" s="698">
        <f t="shared" si="11"/>
        <v>0</v>
      </c>
    </row>
    <row r="164" ht="15.75" customHeight="1">
      <c r="A164" s="788" t="str">
        <f t="shared" si="5"/>
        <v>-</v>
      </c>
      <c r="B164" s="830" t="s">
        <v>523</v>
      </c>
      <c r="C164" s="331"/>
      <c r="D164" s="331"/>
      <c r="E164" s="790"/>
      <c r="F164" s="791"/>
      <c r="G164" s="331"/>
      <c r="H164" s="331"/>
      <c r="I164" s="331"/>
      <c r="J164" s="331"/>
      <c r="K164" s="331"/>
      <c r="L164" s="331"/>
      <c r="M164" s="331"/>
      <c r="N164" s="331"/>
      <c r="O164" s="331"/>
      <c r="P164" s="331"/>
      <c r="AB164" s="314"/>
      <c r="AC164" s="314"/>
      <c r="AD164" s="314"/>
      <c r="AE164" s="314"/>
      <c r="AF164" s="314"/>
      <c r="AG164" s="314"/>
      <c r="AJ164" s="13" t="str">
        <f t="shared" ref="AJ164:AQ164" si="332">IF(OR(E164=$C164,E164=$D164,E164=""),"0","1")</f>
        <v>0</v>
      </c>
      <c r="AK164" s="13" t="str">
        <f t="shared" si="332"/>
        <v>0</v>
      </c>
      <c r="AL164" s="13" t="str">
        <f t="shared" si="332"/>
        <v>0</v>
      </c>
      <c r="AM164" s="13" t="str">
        <f t="shared" si="332"/>
        <v>0</v>
      </c>
      <c r="AN164" s="13" t="str">
        <f t="shared" si="332"/>
        <v>0</v>
      </c>
      <c r="AO164" s="13" t="str">
        <f t="shared" si="332"/>
        <v>0</v>
      </c>
      <c r="AP164" s="13" t="str">
        <f t="shared" si="332"/>
        <v>0</v>
      </c>
      <c r="AQ164" s="13" t="str">
        <f t="shared" si="332"/>
        <v>0</v>
      </c>
      <c r="AR164" s="13" t="str">
        <f t="shared" ref="AR164:AS164" si="333">IF(OR(O164=$C164,O164=$D164,O164=""),"0","1")</f>
        <v>0</v>
      </c>
      <c r="AS164" s="13" t="str">
        <f t="shared" si="333"/>
        <v>0</v>
      </c>
      <c r="AT164" s="698">
        <f t="shared" si="11"/>
        <v>0</v>
      </c>
    </row>
    <row r="165" ht="15.75" customHeight="1">
      <c r="A165" s="788" t="str">
        <f t="shared" si="5"/>
        <v>-</v>
      </c>
      <c r="B165" s="830" t="s">
        <v>523</v>
      </c>
      <c r="C165" s="331"/>
      <c r="D165" s="331"/>
      <c r="E165" s="790"/>
      <c r="F165" s="791"/>
      <c r="G165" s="331"/>
      <c r="H165" s="331"/>
      <c r="I165" s="331"/>
      <c r="J165" s="331"/>
      <c r="K165" s="331"/>
      <c r="L165" s="331"/>
      <c r="M165" s="331"/>
      <c r="N165" s="331"/>
      <c r="O165" s="331"/>
      <c r="P165" s="331"/>
      <c r="AB165" s="314"/>
      <c r="AC165" s="314"/>
      <c r="AD165" s="314"/>
      <c r="AE165" s="314"/>
      <c r="AF165" s="314"/>
      <c r="AG165" s="314"/>
      <c r="AJ165" s="13" t="str">
        <f t="shared" ref="AJ165:AQ165" si="334">IF(OR(E165=$C165,E165=$D165,E165=""),"0","1")</f>
        <v>0</v>
      </c>
      <c r="AK165" s="13" t="str">
        <f t="shared" si="334"/>
        <v>0</v>
      </c>
      <c r="AL165" s="13" t="str">
        <f t="shared" si="334"/>
        <v>0</v>
      </c>
      <c r="AM165" s="13" t="str">
        <f t="shared" si="334"/>
        <v>0</v>
      </c>
      <c r="AN165" s="13" t="str">
        <f t="shared" si="334"/>
        <v>0</v>
      </c>
      <c r="AO165" s="13" t="str">
        <f t="shared" si="334"/>
        <v>0</v>
      </c>
      <c r="AP165" s="13" t="str">
        <f t="shared" si="334"/>
        <v>0</v>
      </c>
      <c r="AQ165" s="13" t="str">
        <f t="shared" si="334"/>
        <v>0</v>
      </c>
      <c r="AR165" s="13" t="str">
        <f t="shared" ref="AR165:AS165" si="335">IF(OR(O165=$C165,O165=$D165,O165=""),"0","1")</f>
        <v>0</v>
      </c>
      <c r="AS165" s="13" t="str">
        <f t="shared" si="335"/>
        <v>0</v>
      </c>
      <c r="AT165" s="698">
        <f t="shared" si="11"/>
        <v>0</v>
      </c>
    </row>
    <row r="166" ht="15.75" customHeight="1">
      <c r="A166" s="788" t="str">
        <f t="shared" si="5"/>
        <v>-</v>
      </c>
      <c r="B166" s="830" t="s">
        <v>523</v>
      </c>
      <c r="C166" s="331"/>
      <c r="D166" s="331"/>
      <c r="E166" s="790"/>
      <c r="F166" s="791"/>
      <c r="G166" s="331"/>
      <c r="H166" s="331"/>
      <c r="I166" s="331"/>
      <c r="J166" s="331"/>
      <c r="K166" s="331"/>
      <c r="L166" s="331"/>
      <c r="M166" s="331"/>
      <c r="N166" s="331"/>
      <c r="O166" s="331"/>
      <c r="P166" s="331"/>
      <c r="AB166" s="314"/>
      <c r="AC166" s="314"/>
      <c r="AD166" s="314"/>
      <c r="AE166" s="314"/>
      <c r="AF166" s="314"/>
      <c r="AG166" s="314"/>
      <c r="AJ166" s="13" t="str">
        <f t="shared" ref="AJ166:AQ166" si="336">IF(OR(E166=$C166,E166=$D166,E166=""),"0","1")</f>
        <v>0</v>
      </c>
      <c r="AK166" s="13" t="str">
        <f t="shared" si="336"/>
        <v>0</v>
      </c>
      <c r="AL166" s="13" t="str">
        <f t="shared" si="336"/>
        <v>0</v>
      </c>
      <c r="AM166" s="13" t="str">
        <f t="shared" si="336"/>
        <v>0</v>
      </c>
      <c r="AN166" s="13" t="str">
        <f t="shared" si="336"/>
        <v>0</v>
      </c>
      <c r="AO166" s="13" t="str">
        <f t="shared" si="336"/>
        <v>0</v>
      </c>
      <c r="AP166" s="13" t="str">
        <f t="shared" si="336"/>
        <v>0</v>
      </c>
      <c r="AQ166" s="13" t="str">
        <f t="shared" si="336"/>
        <v>0</v>
      </c>
      <c r="AR166" s="13" t="str">
        <f t="shared" ref="AR166:AS166" si="337">IF(OR(O166=$C166,O166=$D166,O166=""),"0","1")</f>
        <v>0</v>
      </c>
      <c r="AS166" s="13" t="str">
        <f t="shared" si="337"/>
        <v>0</v>
      </c>
      <c r="AT166" s="698">
        <f t="shared" si="11"/>
        <v>0</v>
      </c>
    </row>
    <row r="167" ht="15.75" customHeight="1">
      <c r="A167" s="788" t="str">
        <f t="shared" si="5"/>
        <v>-</v>
      </c>
      <c r="B167" s="830" t="s">
        <v>523</v>
      </c>
      <c r="C167" s="331"/>
      <c r="D167" s="331"/>
      <c r="E167" s="790"/>
      <c r="F167" s="791"/>
      <c r="G167" s="331"/>
      <c r="H167" s="331"/>
      <c r="I167" s="331"/>
      <c r="J167" s="331"/>
      <c r="K167" s="331"/>
      <c r="L167" s="331"/>
      <c r="M167" s="331"/>
      <c r="N167" s="331"/>
      <c r="O167" s="331"/>
      <c r="P167" s="331"/>
      <c r="AB167" s="314"/>
      <c r="AC167" s="314"/>
      <c r="AD167" s="314"/>
      <c r="AE167" s="314"/>
      <c r="AF167" s="314"/>
      <c r="AG167" s="314"/>
      <c r="AJ167" s="13" t="str">
        <f t="shared" ref="AJ167:AQ167" si="338">IF(OR(E167=$C167,E167=$D167,E167=""),"0","1")</f>
        <v>0</v>
      </c>
      <c r="AK167" s="13" t="str">
        <f t="shared" si="338"/>
        <v>0</v>
      </c>
      <c r="AL167" s="13" t="str">
        <f t="shared" si="338"/>
        <v>0</v>
      </c>
      <c r="AM167" s="13" t="str">
        <f t="shared" si="338"/>
        <v>0</v>
      </c>
      <c r="AN167" s="13" t="str">
        <f t="shared" si="338"/>
        <v>0</v>
      </c>
      <c r="AO167" s="13" t="str">
        <f t="shared" si="338"/>
        <v>0</v>
      </c>
      <c r="AP167" s="13" t="str">
        <f t="shared" si="338"/>
        <v>0</v>
      </c>
      <c r="AQ167" s="13" t="str">
        <f t="shared" si="338"/>
        <v>0</v>
      </c>
      <c r="AR167" s="13" t="str">
        <f t="shared" ref="AR167:AS167" si="339">IF(OR(O167=$C167,O167=$D167,O167=""),"0","1")</f>
        <v>0</v>
      </c>
      <c r="AS167" s="13" t="str">
        <f t="shared" si="339"/>
        <v>0</v>
      </c>
      <c r="AT167" s="698">
        <f t="shared" si="11"/>
        <v>0</v>
      </c>
    </row>
    <row r="168" ht="15.75" customHeight="1">
      <c r="A168" s="788" t="str">
        <f t="shared" si="5"/>
        <v>-</v>
      </c>
      <c r="B168" s="830" t="s">
        <v>523</v>
      </c>
      <c r="C168" s="331"/>
      <c r="D168" s="331"/>
      <c r="E168" s="790"/>
      <c r="F168" s="791"/>
      <c r="G168" s="331"/>
      <c r="H168" s="331"/>
      <c r="I168" s="331"/>
      <c r="J168" s="331"/>
      <c r="K168" s="331"/>
      <c r="L168" s="331"/>
      <c r="M168" s="331"/>
      <c r="N168" s="331"/>
      <c r="O168" s="331"/>
      <c r="P168" s="331"/>
      <c r="AB168" s="314"/>
      <c r="AC168" s="314"/>
      <c r="AD168" s="314"/>
      <c r="AE168" s="314"/>
      <c r="AF168" s="314"/>
      <c r="AG168" s="314"/>
      <c r="AJ168" s="13" t="str">
        <f t="shared" ref="AJ168:AQ168" si="340">IF(OR(E168=$C168,E168=$D168,E168=""),"0","1")</f>
        <v>0</v>
      </c>
      <c r="AK168" s="13" t="str">
        <f t="shared" si="340"/>
        <v>0</v>
      </c>
      <c r="AL168" s="13" t="str">
        <f t="shared" si="340"/>
        <v>0</v>
      </c>
      <c r="AM168" s="13" t="str">
        <f t="shared" si="340"/>
        <v>0</v>
      </c>
      <c r="AN168" s="13" t="str">
        <f t="shared" si="340"/>
        <v>0</v>
      </c>
      <c r="AO168" s="13" t="str">
        <f t="shared" si="340"/>
        <v>0</v>
      </c>
      <c r="AP168" s="13" t="str">
        <f t="shared" si="340"/>
        <v>0</v>
      </c>
      <c r="AQ168" s="13" t="str">
        <f t="shared" si="340"/>
        <v>0</v>
      </c>
      <c r="AR168" s="13" t="str">
        <f t="shared" ref="AR168:AS168" si="341">IF(OR(O168=$C168,O168=$D168,O168=""),"0","1")</f>
        <v>0</v>
      </c>
      <c r="AS168" s="13" t="str">
        <f t="shared" si="341"/>
        <v>0</v>
      </c>
      <c r="AT168" s="698">
        <f t="shared" si="11"/>
        <v>0</v>
      </c>
    </row>
    <row r="169" ht="15.75" customHeight="1">
      <c r="A169" s="788" t="str">
        <f t="shared" si="5"/>
        <v>-</v>
      </c>
      <c r="B169" s="830" t="s">
        <v>523</v>
      </c>
      <c r="C169" s="331"/>
      <c r="D169" s="331"/>
      <c r="E169" s="790"/>
      <c r="F169" s="791"/>
      <c r="G169" s="331"/>
      <c r="H169" s="331"/>
      <c r="I169" s="331"/>
      <c r="J169" s="331"/>
      <c r="K169" s="331"/>
      <c r="L169" s="331"/>
      <c r="M169" s="331"/>
      <c r="N169" s="331"/>
      <c r="O169" s="331"/>
      <c r="P169" s="331"/>
      <c r="AB169" s="314"/>
      <c r="AC169" s="314"/>
      <c r="AD169" s="314"/>
      <c r="AE169" s="314"/>
      <c r="AF169" s="314"/>
      <c r="AG169" s="314"/>
      <c r="AJ169" s="13" t="str">
        <f t="shared" ref="AJ169:AQ169" si="342">IF(OR(E169=$C169,E169=$D169,E169=""),"0","1")</f>
        <v>0</v>
      </c>
      <c r="AK169" s="13" t="str">
        <f t="shared" si="342"/>
        <v>0</v>
      </c>
      <c r="AL169" s="13" t="str">
        <f t="shared" si="342"/>
        <v>0</v>
      </c>
      <c r="AM169" s="13" t="str">
        <f t="shared" si="342"/>
        <v>0</v>
      </c>
      <c r="AN169" s="13" t="str">
        <f t="shared" si="342"/>
        <v>0</v>
      </c>
      <c r="AO169" s="13" t="str">
        <f t="shared" si="342"/>
        <v>0</v>
      </c>
      <c r="AP169" s="13" t="str">
        <f t="shared" si="342"/>
        <v>0</v>
      </c>
      <c r="AQ169" s="13" t="str">
        <f t="shared" si="342"/>
        <v>0</v>
      </c>
      <c r="AR169" s="13" t="str">
        <f t="shared" ref="AR169:AS169" si="343">IF(OR(O169=$C169,O169=$D169,O169=""),"0","1")</f>
        <v>0</v>
      </c>
      <c r="AS169" s="13" t="str">
        <f t="shared" si="343"/>
        <v>0</v>
      </c>
      <c r="AT169" s="698">
        <f t="shared" si="11"/>
        <v>0</v>
      </c>
    </row>
    <row r="170" ht="15.75" customHeight="1">
      <c r="A170" s="788" t="str">
        <f t="shared" si="5"/>
        <v>-</v>
      </c>
      <c r="B170" s="830" t="s">
        <v>523</v>
      </c>
      <c r="C170" s="331"/>
      <c r="D170" s="331"/>
      <c r="E170" s="790"/>
      <c r="F170" s="791"/>
      <c r="G170" s="331"/>
      <c r="H170" s="331"/>
      <c r="I170" s="331"/>
      <c r="J170" s="331"/>
      <c r="K170" s="331"/>
      <c r="L170" s="331"/>
      <c r="M170" s="331"/>
      <c r="N170" s="331"/>
      <c r="O170" s="331"/>
      <c r="P170" s="331"/>
      <c r="AB170" s="314"/>
      <c r="AC170" s="314"/>
      <c r="AD170" s="314"/>
      <c r="AE170" s="314"/>
      <c r="AF170" s="314"/>
      <c r="AG170" s="314"/>
      <c r="AJ170" s="13" t="str">
        <f t="shared" ref="AJ170:AQ170" si="344">IF(OR(E170=$C170,E170=$D170,E170=""),"0","1")</f>
        <v>0</v>
      </c>
      <c r="AK170" s="13" t="str">
        <f t="shared" si="344"/>
        <v>0</v>
      </c>
      <c r="AL170" s="13" t="str">
        <f t="shared" si="344"/>
        <v>0</v>
      </c>
      <c r="AM170" s="13" t="str">
        <f t="shared" si="344"/>
        <v>0</v>
      </c>
      <c r="AN170" s="13" t="str">
        <f t="shared" si="344"/>
        <v>0</v>
      </c>
      <c r="AO170" s="13" t="str">
        <f t="shared" si="344"/>
        <v>0</v>
      </c>
      <c r="AP170" s="13" t="str">
        <f t="shared" si="344"/>
        <v>0</v>
      </c>
      <c r="AQ170" s="13" t="str">
        <f t="shared" si="344"/>
        <v>0</v>
      </c>
      <c r="AR170" s="13" t="str">
        <f t="shared" ref="AR170:AS170" si="345">IF(OR(O170=$C170,O170=$D170,O170=""),"0","1")</f>
        <v>0</v>
      </c>
      <c r="AS170" s="13" t="str">
        <f t="shared" si="345"/>
        <v>0</v>
      </c>
      <c r="AT170" s="698">
        <f t="shared" si="11"/>
        <v>0</v>
      </c>
    </row>
    <row r="171" ht="15.75" customHeight="1">
      <c r="A171" s="788" t="str">
        <f t="shared" si="5"/>
        <v>-</v>
      </c>
      <c r="B171" s="830" t="s">
        <v>523</v>
      </c>
      <c r="C171" s="331"/>
      <c r="D171" s="331"/>
      <c r="E171" s="790"/>
      <c r="F171" s="791"/>
      <c r="G171" s="331"/>
      <c r="H171" s="331"/>
      <c r="I171" s="331"/>
      <c r="J171" s="331"/>
      <c r="K171" s="331"/>
      <c r="L171" s="331"/>
      <c r="M171" s="331"/>
      <c r="N171" s="331"/>
      <c r="O171" s="331"/>
      <c r="P171" s="331"/>
      <c r="AB171" s="314"/>
      <c r="AC171" s="314"/>
      <c r="AD171" s="314"/>
      <c r="AE171" s="314"/>
      <c r="AF171" s="314"/>
      <c r="AG171" s="314"/>
      <c r="AJ171" s="13" t="str">
        <f t="shared" ref="AJ171:AQ171" si="346">IF(OR(E171=$C171,E171=$D171,E171=""),"0","1")</f>
        <v>0</v>
      </c>
      <c r="AK171" s="13" t="str">
        <f t="shared" si="346"/>
        <v>0</v>
      </c>
      <c r="AL171" s="13" t="str">
        <f t="shared" si="346"/>
        <v>0</v>
      </c>
      <c r="AM171" s="13" t="str">
        <f t="shared" si="346"/>
        <v>0</v>
      </c>
      <c r="AN171" s="13" t="str">
        <f t="shared" si="346"/>
        <v>0</v>
      </c>
      <c r="AO171" s="13" t="str">
        <f t="shared" si="346"/>
        <v>0</v>
      </c>
      <c r="AP171" s="13" t="str">
        <f t="shared" si="346"/>
        <v>0</v>
      </c>
      <c r="AQ171" s="13" t="str">
        <f t="shared" si="346"/>
        <v>0</v>
      </c>
      <c r="AR171" s="13" t="str">
        <f t="shared" ref="AR171:AS171" si="347">IF(OR(O171=$C171,O171=$D171,O171=""),"0","1")</f>
        <v>0</v>
      </c>
      <c r="AS171" s="13" t="str">
        <f t="shared" si="347"/>
        <v>0</v>
      </c>
      <c r="AT171" s="698">
        <f t="shared" si="11"/>
        <v>0</v>
      </c>
    </row>
    <row r="172" ht="15.75" customHeight="1">
      <c r="A172" s="788" t="str">
        <f t="shared" si="5"/>
        <v>-</v>
      </c>
      <c r="B172" s="830" t="s">
        <v>523</v>
      </c>
      <c r="C172" s="331"/>
      <c r="D172" s="331"/>
      <c r="E172" s="790"/>
      <c r="F172" s="791"/>
      <c r="G172" s="331"/>
      <c r="H172" s="331"/>
      <c r="I172" s="331"/>
      <c r="J172" s="331"/>
      <c r="K172" s="331"/>
      <c r="L172" s="331"/>
      <c r="M172" s="331"/>
      <c r="N172" s="331"/>
      <c r="O172" s="331"/>
      <c r="P172" s="331"/>
      <c r="AB172" s="314"/>
      <c r="AC172" s="314"/>
      <c r="AD172" s="314"/>
      <c r="AE172" s="314"/>
      <c r="AF172" s="314"/>
      <c r="AG172" s="314"/>
      <c r="AJ172" s="13" t="str">
        <f t="shared" ref="AJ172:AQ172" si="348">IF(OR(E172=$C172,E172=$D172,E172=""),"0","1")</f>
        <v>0</v>
      </c>
      <c r="AK172" s="13" t="str">
        <f t="shared" si="348"/>
        <v>0</v>
      </c>
      <c r="AL172" s="13" t="str">
        <f t="shared" si="348"/>
        <v>0</v>
      </c>
      <c r="AM172" s="13" t="str">
        <f t="shared" si="348"/>
        <v>0</v>
      </c>
      <c r="AN172" s="13" t="str">
        <f t="shared" si="348"/>
        <v>0</v>
      </c>
      <c r="AO172" s="13" t="str">
        <f t="shared" si="348"/>
        <v>0</v>
      </c>
      <c r="AP172" s="13" t="str">
        <f t="shared" si="348"/>
        <v>0</v>
      </c>
      <c r="AQ172" s="13" t="str">
        <f t="shared" si="348"/>
        <v>0</v>
      </c>
      <c r="AR172" s="13" t="str">
        <f t="shared" ref="AR172:AS172" si="349">IF(OR(O172=$C172,O172=$D172,O172=""),"0","1")</f>
        <v>0</v>
      </c>
      <c r="AS172" s="13" t="str">
        <f t="shared" si="349"/>
        <v>0</v>
      </c>
      <c r="AT172" s="698">
        <f t="shared" si="11"/>
        <v>0</v>
      </c>
    </row>
    <row r="173" ht="15.75" customHeight="1">
      <c r="A173" s="788" t="str">
        <f t="shared" si="5"/>
        <v>-</v>
      </c>
      <c r="B173" s="830" t="s">
        <v>523</v>
      </c>
      <c r="C173" s="331"/>
      <c r="D173" s="331"/>
      <c r="E173" s="790"/>
      <c r="F173" s="791"/>
      <c r="G173" s="331"/>
      <c r="H173" s="331"/>
      <c r="I173" s="331"/>
      <c r="J173" s="331"/>
      <c r="K173" s="331"/>
      <c r="L173" s="331"/>
      <c r="M173" s="331"/>
      <c r="N173" s="331"/>
      <c r="O173" s="331"/>
      <c r="P173" s="331"/>
      <c r="AB173" s="314"/>
      <c r="AC173" s="314"/>
      <c r="AD173" s="314"/>
      <c r="AE173" s="314"/>
      <c r="AF173" s="314"/>
      <c r="AG173" s="314"/>
      <c r="AJ173" s="13" t="str">
        <f t="shared" ref="AJ173:AQ173" si="350">IF(OR(E173=$C173,E173=$D173,E173=""),"0","1")</f>
        <v>0</v>
      </c>
      <c r="AK173" s="13" t="str">
        <f t="shared" si="350"/>
        <v>0</v>
      </c>
      <c r="AL173" s="13" t="str">
        <f t="shared" si="350"/>
        <v>0</v>
      </c>
      <c r="AM173" s="13" t="str">
        <f t="shared" si="350"/>
        <v>0</v>
      </c>
      <c r="AN173" s="13" t="str">
        <f t="shared" si="350"/>
        <v>0</v>
      </c>
      <c r="AO173" s="13" t="str">
        <f t="shared" si="350"/>
        <v>0</v>
      </c>
      <c r="AP173" s="13" t="str">
        <f t="shared" si="350"/>
        <v>0</v>
      </c>
      <c r="AQ173" s="13" t="str">
        <f t="shared" si="350"/>
        <v>0</v>
      </c>
      <c r="AR173" s="13" t="str">
        <f t="shared" ref="AR173:AS173" si="351">IF(OR(O173=$C173,O173=$D173,O173=""),"0","1")</f>
        <v>0</v>
      </c>
      <c r="AS173" s="13" t="str">
        <f t="shared" si="351"/>
        <v>0</v>
      </c>
      <c r="AT173" s="698">
        <f t="shared" si="11"/>
        <v>0</v>
      </c>
    </row>
    <row r="174" ht="15.75" customHeight="1">
      <c r="A174" s="788" t="str">
        <f t="shared" si="5"/>
        <v>-</v>
      </c>
      <c r="B174" s="830" t="s">
        <v>523</v>
      </c>
      <c r="C174" s="331"/>
      <c r="D174" s="331"/>
      <c r="E174" s="790"/>
      <c r="F174" s="791"/>
      <c r="G174" s="331"/>
      <c r="H174" s="331"/>
      <c r="I174" s="331"/>
      <c r="J174" s="331"/>
      <c r="K174" s="331"/>
      <c r="L174" s="331"/>
      <c r="M174" s="331"/>
      <c r="N174" s="331"/>
      <c r="O174" s="331"/>
      <c r="P174" s="331"/>
      <c r="AB174" s="314"/>
      <c r="AC174" s="314"/>
      <c r="AD174" s="314"/>
      <c r="AE174" s="314"/>
      <c r="AF174" s="314"/>
      <c r="AG174" s="314"/>
      <c r="AJ174" s="13" t="str">
        <f t="shared" ref="AJ174:AQ174" si="352">IF(OR(E174=$C174,E174=$D174,E174=""),"0","1")</f>
        <v>0</v>
      </c>
      <c r="AK174" s="13" t="str">
        <f t="shared" si="352"/>
        <v>0</v>
      </c>
      <c r="AL174" s="13" t="str">
        <f t="shared" si="352"/>
        <v>0</v>
      </c>
      <c r="AM174" s="13" t="str">
        <f t="shared" si="352"/>
        <v>0</v>
      </c>
      <c r="AN174" s="13" t="str">
        <f t="shared" si="352"/>
        <v>0</v>
      </c>
      <c r="AO174" s="13" t="str">
        <f t="shared" si="352"/>
        <v>0</v>
      </c>
      <c r="AP174" s="13" t="str">
        <f t="shared" si="352"/>
        <v>0</v>
      </c>
      <c r="AQ174" s="13" t="str">
        <f t="shared" si="352"/>
        <v>0</v>
      </c>
      <c r="AR174" s="13" t="str">
        <f t="shared" ref="AR174:AS174" si="353">IF(OR(O174=$C174,O174=$D174,O174=""),"0","1")</f>
        <v>0</v>
      </c>
      <c r="AS174" s="13" t="str">
        <f t="shared" si="353"/>
        <v>0</v>
      </c>
      <c r="AT174" s="698">
        <f t="shared" si="11"/>
        <v>0</v>
      </c>
    </row>
    <row r="175" ht="15.75" customHeight="1">
      <c r="A175" s="788" t="str">
        <f t="shared" si="5"/>
        <v>-</v>
      </c>
      <c r="B175" s="830" t="s">
        <v>523</v>
      </c>
      <c r="C175" s="331"/>
      <c r="D175" s="331"/>
      <c r="E175" s="790"/>
      <c r="F175" s="791"/>
      <c r="G175" s="331"/>
      <c r="H175" s="331"/>
      <c r="I175" s="331"/>
      <c r="J175" s="331"/>
      <c r="K175" s="331"/>
      <c r="L175" s="331"/>
      <c r="M175" s="331"/>
      <c r="N175" s="331"/>
      <c r="O175" s="331"/>
      <c r="P175" s="331"/>
      <c r="AB175" s="314"/>
      <c r="AC175" s="314"/>
      <c r="AD175" s="314"/>
      <c r="AE175" s="314"/>
      <c r="AF175" s="314"/>
      <c r="AG175" s="314"/>
      <c r="AJ175" s="13" t="str">
        <f t="shared" ref="AJ175:AQ175" si="354">IF(OR(E175=$C175,E175=$D175,E175=""),"0","1")</f>
        <v>0</v>
      </c>
      <c r="AK175" s="13" t="str">
        <f t="shared" si="354"/>
        <v>0</v>
      </c>
      <c r="AL175" s="13" t="str">
        <f t="shared" si="354"/>
        <v>0</v>
      </c>
      <c r="AM175" s="13" t="str">
        <f t="shared" si="354"/>
        <v>0</v>
      </c>
      <c r="AN175" s="13" t="str">
        <f t="shared" si="354"/>
        <v>0</v>
      </c>
      <c r="AO175" s="13" t="str">
        <f t="shared" si="354"/>
        <v>0</v>
      </c>
      <c r="AP175" s="13" t="str">
        <f t="shared" si="354"/>
        <v>0</v>
      </c>
      <c r="AQ175" s="13" t="str">
        <f t="shared" si="354"/>
        <v>0</v>
      </c>
      <c r="AR175" s="13" t="str">
        <f t="shared" ref="AR175:AS175" si="355">IF(OR(O175=$C175,O175=$D175,O175=""),"0","1")</f>
        <v>0</v>
      </c>
      <c r="AS175" s="13" t="str">
        <f t="shared" si="355"/>
        <v>0</v>
      </c>
      <c r="AT175" s="698">
        <f t="shared" si="11"/>
        <v>0</v>
      </c>
    </row>
    <row r="176" ht="15.75" customHeight="1">
      <c r="A176" s="788" t="str">
        <f t="shared" si="5"/>
        <v>-</v>
      </c>
      <c r="B176" s="830" t="s">
        <v>523</v>
      </c>
      <c r="C176" s="331"/>
      <c r="D176" s="331"/>
      <c r="E176" s="790"/>
      <c r="F176" s="791"/>
      <c r="G176" s="331"/>
      <c r="H176" s="331"/>
      <c r="I176" s="331"/>
      <c r="J176" s="331"/>
      <c r="K176" s="331"/>
      <c r="L176" s="331"/>
      <c r="M176" s="331"/>
      <c r="N176" s="331"/>
      <c r="O176" s="331"/>
      <c r="P176" s="331"/>
      <c r="AB176" s="314"/>
      <c r="AC176" s="314"/>
      <c r="AD176" s="314"/>
      <c r="AE176" s="314"/>
      <c r="AF176" s="314"/>
      <c r="AG176" s="314"/>
      <c r="AJ176" s="13" t="str">
        <f t="shared" ref="AJ176:AQ176" si="356">IF(OR(E176=$C176,E176=$D176,E176=""),"0","1")</f>
        <v>0</v>
      </c>
      <c r="AK176" s="13" t="str">
        <f t="shared" si="356"/>
        <v>0</v>
      </c>
      <c r="AL176" s="13" t="str">
        <f t="shared" si="356"/>
        <v>0</v>
      </c>
      <c r="AM176" s="13" t="str">
        <f t="shared" si="356"/>
        <v>0</v>
      </c>
      <c r="AN176" s="13" t="str">
        <f t="shared" si="356"/>
        <v>0</v>
      </c>
      <c r="AO176" s="13" t="str">
        <f t="shared" si="356"/>
        <v>0</v>
      </c>
      <c r="AP176" s="13" t="str">
        <f t="shared" si="356"/>
        <v>0</v>
      </c>
      <c r="AQ176" s="13" t="str">
        <f t="shared" si="356"/>
        <v>0</v>
      </c>
      <c r="AR176" s="13" t="str">
        <f t="shared" ref="AR176:AS176" si="357">IF(OR(O176=$C176,O176=$D176,O176=""),"0","1")</f>
        <v>0</v>
      </c>
      <c r="AS176" s="13" t="str">
        <f t="shared" si="357"/>
        <v>0</v>
      </c>
      <c r="AT176" s="698">
        <f t="shared" si="11"/>
        <v>0</v>
      </c>
    </row>
    <row r="177" ht="15.75" customHeight="1">
      <c r="A177" s="788" t="str">
        <f t="shared" si="5"/>
        <v>-</v>
      </c>
      <c r="B177" s="830" t="s">
        <v>523</v>
      </c>
      <c r="C177" s="331"/>
      <c r="D177" s="331"/>
      <c r="E177" s="790"/>
      <c r="F177" s="791"/>
      <c r="G177" s="331"/>
      <c r="H177" s="331"/>
      <c r="I177" s="331"/>
      <c r="J177" s="331"/>
      <c r="K177" s="331"/>
      <c r="L177" s="331"/>
      <c r="M177" s="331"/>
      <c r="N177" s="331"/>
      <c r="O177" s="331"/>
      <c r="P177" s="331"/>
      <c r="AB177" s="314"/>
      <c r="AC177" s="314"/>
      <c r="AD177" s="314"/>
      <c r="AE177" s="314"/>
      <c r="AF177" s="314"/>
      <c r="AG177" s="314"/>
      <c r="AJ177" s="13" t="str">
        <f t="shared" ref="AJ177:AQ177" si="358">IF(OR(E177=$C177,E177=$D177,E177=""),"0","1")</f>
        <v>0</v>
      </c>
      <c r="AK177" s="13" t="str">
        <f t="shared" si="358"/>
        <v>0</v>
      </c>
      <c r="AL177" s="13" t="str">
        <f t="shared" si="358"/>
        <v>0</v>
      </c>
      <c r="AM177" s="13" t="str">
        <f t="shared" si="358"/>
        <v>0</v>
      </c>
      <c r="AN177" s="13" t="str">
        <f t="shared" si="358"/>
        <v>0</v>
      </c>
      <c r="AO177" s="13" t="str">
        <f t="shared" si="358"/>
        <v>0</v>
      </c>
      <c r="AP177" s="13" t="str">
        <f t="shared" si="358"/>
        <v>0</v>
      </c>
      <c r="AQ177" s="13" t="str">
        <f t="shared" si="358"/>
        <v>0</v>
      </c>
      <c r="AR177" s="13" t="str">
        <f t="shared" ref="AR177:AS177" si="359">IF(OR(O177=$C177,O177=$D177,O177=""),"0","1")</f>
        <v>0</v>
      </c>
      <c r="AS177" s="13" t="str">
        <f t="shared" si="359"/>
        <v>0</v>
      </c>
      <c r="AT177" s="698">
        <f t="shared" si="11"/>
        <v>0</v>
      </c>
    </row>
    <row r="178" ht="15.75" customHeight="1">
      <c r="A178" s="788" t="str">
        <f t="shared" si="5"/>
        <v>-</v>
      </c>
      <c r="B178" s="830" t="s">
        <v>523</v>
      </c>
      <c r="C178" s="331"/>
      <c r="D178" s="331"/>
      <c r="E178" s="790"/>
      <c r="F178" s="791"/>
      <c r="G178" s="331"/>
      <c r="H178" s="331"/>
      <c r="I178" s="331"/>
      <c r="J178" s="331"/>
      <c r="K178" s="331"/>
      <c r="L178" s="331"/>
      <c r="M178" s="331"/>
      <c r="N178" s="331"/>
      <c r="O178" s="331"/>
      <c r="P178" s="331"/>
      <c r="AB178" s="314"/>
      <c r="AC178" s="314"/>
      <c r="AD178" s="314"/>
      <c r="AE178" s="314"/>
      <c r="AF178" s="314"/>
      <c r="AG178" s="314"/>
      <c r="AJ178" s="13" t="str">
        <f t="shared" ref="AJ178:AQ178" si="360">IF(OR(E178=$C178,E178=$D178,E178=""),"0","1")</f>
        <v>0</v>
      </c>
      <c r="AK178" s="13" t="str">
        <f t="shared" si="360"/>
        <v>0</v>
      </c>
      <c r="AL178" s="13" t="str">
        <f t="shared" si="360"/>
        <v>0</v>
      </c>
      <c r="AM178" s="13" t="str">
        <f t="shared" si="360"/>
        <v>0</v>
      </c>
      <c r="AN178" s="13" t="str">
        <f t="shared" si="360"/>
        <v>0</v>
      </c>
      <c r="AO178" s="13" t="str">
        <f t="shared" si="360"/>
        <v>0</v>
      </c>
      <c r="AP178" s="13" t="str">
        <f t="shared" si="360"/>
        <v>0</v>
      </c>
      <c r="AQ178" s="13" t="str">
        <f t="shared" si="360"/>
        <v>0</v>
      </c>
      <c r="AR178" s="13" t="str">
        <f t="shared" ref="AR178:AS178" si="361">IF(OR(O178=$C178,O178=$D178,O178=""),"0","1")</f>
        <v>0</v>
      </c>
      <c r="AS178" s="13" t="str">
        <f t="shared" si="361"/>
        <v>0</v>
      </c>
      <c r="AT178" s="698">
        <f t="shared" si="11"/>
        <v>0</v>
      </c>
    </row>
    <row r="179" ht="15.75" customHeight="1">
      <c r="A179" s="788" t="str">
        <f t="shared" si="5"/>
        <v>-</v>
      </c>
      <c r="B179" s="830" t="s">
        <v>523</v>
      </c>
      <c r="C179" s="331"/>
      <c r="D179" s="331"/>
      <c r="E179" s="790"/>
      <c r="F179" s="791"/>
      <c r="G179" s="331"/>
      <c r="H179" s="331"/>
      <c r="I179" s="331"/>
      <c r="J179" s="331"/>
      <c r="K179" s="331"/>
      <c r="L179" s="331"/>
      <c r="M179" s="331"/>
      <c r="N179" s="331"/>
      <c r="O179" s="331"/>
      <c r="P179" s="331"/>
      <c r="AB179" s="314"/>
      <c r="AC179" s="314"/>
      <c r="AD179" s="314"/>
      <c r="AE179" s="314"/>
      <c r="AF179" s="314"/>
      <c r="AG179" s="314"/>
      <c r="AJ179" s="13" t="str">
        <f t="shared" ref="AJ179:AQ179" si="362">IF(OR(E179=$C179,E179=$D179,E179=""),"0","1")</f>
        <v>0</v>
      </c>
      <c r="AK179" s="13" t="str">
        <f t="shared" si="362"/>
        <v>0</v>
      </c>
      <c r="AL179" s="13" t="str">
        <f t="shared" si="362"/>
        <v>0</v>
      </c>
      <c r="AM179" s="13" t="str">
        <f t="shared" si="362"/>
        <v>0</v>
      </c>
      <c r="AN179" s="13" t="str">
        <f t="shared" si="362"/>
        <v>0</v>
      </c>
      <c r="AO179" s="13" t="str">
        <f t="shared" si="362"/>
        <v>0</v>
      </c>
      <c r="AP179" s="13" t="str">
        <f t="shared" si="362"/>
        <v>0</v>
      </c>
      <c r="AQ179" s="13" t="str">
        <f t="shared" si="362"/>
        <v>0</v>
      </c>
      <c r="AR179" s="13" t="str">
        <f t="shared" ref="AR179:AS179" si="363">IF(OR(O179=$C179,O179=$D179,O179=""),"0","1")</f>
        <v>0</v>
      </c>
      <c r="AS179" s="13" t="str">
        <f t="shared" si="363"/>
        <v>0</v>
      </c>
      <c r="AT179" s="698">
        <f t="shared" si="11"/>
        <v>0</v>
      </c>
    </row>
    <row r="180" ht="15.75" customHeight="1">
      <c r="A180" s="788" t="str">
        <f t="shared" si="5"/>
        <v>-</v>
      </c>
      <c r="B180" s="789" t="s">
        <v>524</v>
      </c>
      <c r="C180" s="331"/>
      <c r="D180" s="331"/>
      <c r="E180" s="790"/>
      <c r="F180" s="791"/>
      <c r="G180" s="331"/>
      <c r="H180" s="331"/>
      <c r="I180" s="331"/>
      <c r="J180" s="331"/>
      <c r="K180" s="331"/>
      <c r="L180" s="331"/>
      <c r="M180" s="331"/>
      <c r="N180" s="331"/>
      <c r="O180" s="331"/>
      <c r="P180" s="792"/>
      <c r="AB180" s="314">
        <v>1.0</v>
      </c>
      <c r="AC180" s="314"/>
      <c r="AD180" s="314"/>
      <c r="AE180" s="314"/>
      <c r="AF180" s="314"/>
      <c r="AG180" s="314"/>
      <c r="AJ180" s="13" t="str">
        <f t="shared" ref="AJ180:AQ180" si="364">IF(OR(E180=$C180,E180=$D180,E180=""),"0","1")</f>
        <v>0</v>
      </c>
      <c r="AK180" s="13" t="str">
        <f t="shared" si="364"/>
        <v>0</v>
      </c>
      <c r="AL180" s="13" t="str">
        <f t="shared" si="364"/>
        <v>0</v>
      </c>
      <c r="AM180" s="13" t="str">
        <f t="shared" si="364"/>
        <v>0</v>
      </c>
      <c r="AN180" s="13" t="str">
        <f t="shared" si="364"/>
        <v>0</v>
      </c>
      <c r="AO180" s="13" t="str">
        <f t="shared" si="364"/>
        <v>0</v>
      </c>
      <c r="AP180" s="13" t="str">
        <f t="shared" si="364"/>
        <v>0</v>
      </c>
      <c r="AQ180" s="13" t="str">
        <f t="shared" si="364"/>
        <v>0</v>
      </c>
      <c r="AR180" s="13" t="str">
        <f t="shared" ref="AR180:AS180" si="365">IF(OR(O180=$C180,O180=$D180,O180=""),"0","1")</f>
        <v>0</v>
      </c>
      <c r="AS180" s="13" t="str">
        <f t="shared" si="365"/>
        <v>0</v>
      </c>
      <c r="AT180" s="698">
        <f t="shared" si="11"/>
        <v>0</v>
      </c>
    </row>
    <row r="181" ht="15.75" customHeight="1">
      <c r="A181" s="788" t="str">
        <f t="shared" si="5"/>
        <v>-</v>
      </c>
      <c r="B181" s="789" t="s">
        <v>524</v>
      </c>
      <c r="C181" s="331"/>
      <c r="D181" s="331"/>
      <c r="E181" s="790"/>
      <c r="F181" s="791"/>
      <c r="G181" s="331"/>
      <c r="H181" s="331"/>
      <c r="I181" s="331"/>
      <c r="J181" s="331"/>
      <c r="K181" s="331"/>
      <c r="L181" s="331"/>
      <c r="M181" s="331"/>
      <c r="N181" s="331"/>
      <c r="O181" s="331"/>
      <c r="P181" s="792"/>
      <c r="AB181" s="314"/>
      <c r="AC181" s="314"/>
      <c r="AD181" s="314"/>
      <c r="AE181" s="314"/>
      <c r="AF181" s="314"/>
      <c r="AG181" s="314"/>
      <c r="AJ181" s="13" t="str">
        <f t="shared" ref="AJ181:AQ181" si="366">IF(OR(E181=$C181,E181=$D181,E181=""),"0","1")</f>
        <v>0</v>
      </c>
      <c r="AK181" s="13" t="str">
        <f t="shared" si="366"/>
        <v>0</v>
      </c>
      <c r="AL181" s="13" t="str">
        <f t="shared" si="366"/>
        <v>0</v>
      </c>
      <c r="AM181" s="13" t="str">
        <f t="shared" si="366"/>
        <v>0</v>
      </c>
      <c r="AN181" s="13" t="str">
        <f t="shared" si="366"/>
        <v>0</v>
      </c>
      <c r="AO181" s="13" t="str">
        <f t="shared" si="366"/>
        <v>0</v>
      </c>
      <c r="AP181" s="13" t="str">
        <f t="shared" si="366"/>
        <v>0</v>
      </c>
      <c r="AQ181" s="13" t="str">
        <f t="shared" si="366"/>
        <v>0</v>
      </c>
      <c r="AR181" s="13" t="str">
        <f t="shared" ref="AR181:AS181" si="367">IF(OR(O181=$C181,O181=$D181,O181=""),"0","1")</f>
        <v>0</v>
      </c>
      <c r="AS181" s="13" t="str">
        <f t="shared" si="367"/>
        <v>0</v>
      </c>
      <c r="AT181" s="698">
        <f t="shared" si="11"/>
        <v>0</v>
      </c>
    </row>
    <row r="182" ht="15.75" customHeight="1">
      <c r="A182" s="788" t="str">
        <f t="shared" si="5"/>
        <v>-</v>
      </c>
      <c r="B182" s="789" t="s">
        <v>524</v>
      </c>
      <c r="C182" s="331"/>
      <c r="D182" s="331"/>
      <c r="E182" s="790"/>
      <c r="F182" s="791"/>
      <c r="G182" s="331"/>
      <c r="H182" s="331"/>
      <c r="I182" s="331"/>
      <c r="J182" s="331"/>
      <c r="K182" s="331"/>
      <c r="L182" s="331"/>
      <c r="M182" s="331"/>
      <c r="N182" s="331"/>
      <c r="O182" s="331"/>
      <c r="P182" s="792"/>
      <c r="AB182" s="314"/>
      <c r="AC182" s="314"/>
      <c r="AD182" s="314"/>
      <c r="AE182" s="314"/>
      <c r="AF182" s="314"/>
      <c r="AG182" s="314"/>
      <c r="AJ182" s="13" t="str">
        <f t="shared" ref="AJ182:AQ182" si="368">IF(OR(E182=$C182,E182=$D182,E182=""),"0","1")</f>
        <v>0</v>
      </c>
      <c r="AK182" s="13" t="str">
        <f t="shared" si="368"/>
        <v>0</v>
      </c>
      <c r="AL182" s="13" t="str">
        <f t="shared" si="368"/>
        <v>0</v>
      </c>
      <c r="AM182" s="13" t="str">
        <f t="shared" si="368"/>
        <v>0</v>
      </c>
      <c r="AN182" s="13" t="str">
        <f t="shared" si="368"/>
        <v>0</v>
      </c>
      <c r="AO182" s="13" t="str">
        <f t="shared" si="368"/>
        <v>0</v>
      </c>
      <c r="AP182" s="13" t="str">
        <f t="shared" si="368"/>
        <v>0</v>
      </c>
      <c r="AQ182" s="13" t="str">
        <f t="shared" si="368"/>
        <v>0</v>
      </c>
      <c r="AR182" s="13" t="str">
        <f t="shared" ref="AR182:AS182" si="369">IF(OR(O182=$C182,O182=$D182,O182=""),"0","1")</f>
        <v>0</v>
      </c>
      <c r="AS182" s="13" t="str">
        <f t="shared" si="369"/>
        <v>0</v>
      </c>
      <c r="AT182" s="698">
        <f t="shared" si="11"/>
        <v>0</v>
      </c>
    </row>
    <row r="183" ht="15.75" customHeight="1">
      <c r="A183" s="788" t="str">
        <f t="shared" si="5"/>
        <v>-</v>
      </c>
      <c r="B183" s="789" t="s">
        <v>524</v>
      </c>
      <c r="C183" s="331"/>
      <c r="D183" s="331"/>
      <c r="E183" s="790"/>
      <c r="F183" s="791"/>
      <c r="G183" s="331"/>
      <c r="H183" s="331"/>
      <c r="I183" s="331"/>
      <c r="J183" s="331"/>
      <c r="K183" s="331"/>
      <c r="L183" s="331"/>
      <c r="M183" s="331"/>
      <c r="N183" s="331"/>
      <c r="O183" s="331"/>
      <c r="P183" s="792"/>
      <c r="AB183" s="314"/>
      <c r="AC183" s="314"/>
      <c r="AD183" s="314"/>
      <c r="AE183" s="314"/>
      <c r="AF183" s="314"/>
      <c r="AG183" s="314"/>
      <c r="AJ183" s="13" t="str">
        <f t="shared" ref="AJ183:AQ183" si="370">IF(OR(E183=$C183,E183=$D183,E183=""),"0","1")</f>
        <v>0</v>
      </c>
      <c r="AK183" s="13" t="str">
        <f t="shared" si="370"/>
        <v>0</v>
      </c>
      <c r="AL183" s="13" t="str">
        <f t="shared" si="370"/>
        <v>0</v>
      </c>
      <c r="AM183" s="13" t="str">
        <f t="shared" si="370"/>
        <v>0</v>
      </c>
      <c r="AN183" s="13" t="str">
        <f t="shared" si="370"/>
        <v>0</v>
      </c>
      <c r="AO183" s="13" t="str">
        <f t="shared" si="370"/>
        <v>0</v>
      </c>
      <c r="AP183" s="13" t="str">
        <f t="shared" si="370"/>
        <v>0</v>
      </c>
      <c r="AQ183" s="13" t="str">
        <f t="shared" si="370"/>
        <v>0</v>
      </c>
      <c r="AR183" s="13" t="str">
        <f t="shared" ref="AR183:AS183" si="371">IF(OR(O183=$C183,O183=$D183,O183=""),"0","1")</f>
        <v>0</v>
      </c>
      <c r="AS183" s="13" t="str">
        <f t="shared" si="371"/>
        <v>0</v>
      </c>
      <c r="AT183" s="698">
        <f t="shared" si="11"/>
        <v>0</v>
      </c>
    </row>
    <row r="184" ht="15.75" customHeight="1">
      <c r="A184" s="788" t="str">
        <f t="shared" si="5"/>
        <v>-</v>
      </c>
      <c r="B184" s="789" t="s">
        <v>524</v>
      </c>
      <c r="C184" s="331"/>
      <c r="D184" s="331"/>
      <c r="E184" s="790"/>
      <c r="F184" s="791"/>
      <c r="G184" s="331"/>
      <c r="H184" s="331"/>
      <c r="I184" s="331"/>
      <c r="J184" s="331"/>
      <c r="K184" s="331"/>
      <c r="L184" s="331"/>
      <c r="M184" s="331"/>
      <c r="N184" s="331"/>
      <c r="O184" s="331"/>
      <c r="P184" s="792"/>
      <c r="AB184" s="314"/>
      <c r="AC184" s="314"/>
      <c r="AD184" s="314"/>
      <c r="AE184" s="314"/>
      <c r="AF184" s="314"/>
      <c r="AG184" s="314"/>
      <c r="AJ184" s="13" t="str">
        <f t="shared" ref="AJ184:AQ184" si="372">IF(OR(E184=$C184,E184=$D184,E184=""),"0","1")</f>
        <v>0</v>
      </c>
      <c r="AK184" s="13" t="str">
        <f t="shared" si="372"/>
        <v>0</v>
      </c>
      <c r="AL184" s="13" t="str">
        <f t="shared" si="372"/>
        <v>0</v>
      </c>
      <c r="AM184" s="13" t="str">
        <f t="shared" si="372"/>
        <v>0</v>
      </c>
      <c r="AN184" s="13" t="str">
        <f t="shared" si="372"/>
        <v>0</v>
      </c>
      <c r="AO184" s="13" t="str">
        <f t="shared" si="372"/>
        <v>0</v>
      </c>
      <c r="AP184" s="13" t="str">
        <f t="shared" si="372"/>
        <v>0</v>
      </c>
      <c r="AQ184" s="13" t="str">
        <f t="shared" si="372"/>
        <v>0</v>
      </c>
      <c r="AR184" s="13" t="str">
        <f t="shared" ref="AR184:AS184" si="373">IF(OR(O184=$C184,O184=$D184,O184=""),"0","1")</f>
        <v>0</v>
      </c>
      <c r="AS184" s="13" t="str">
        <f t="shared" si="373"/>
        <v>0</v>
      </c>
      <c r="AT184" s="698">
        <f t="shared" si="11"/>
        <v>0</v>
      </c>
    </row>
    <row r="185" ht="15.75" customHeight="1">
      <c r="A185" s="788" t="str">
        <f t="shared" si="5"/>
        <v>-</v>
      </c>
      <c r="B185" s="789" t="s">
        <v>524</v>
      </c>
      <c r="C185" s="331"/>
      <c r="D185" s="331"/>
      <c r="E185" s="790"/>
      <c r="F185" s="791"/>
      <c r="G185" s="331"/>
      <c r="H185" s="331"/>
      <c r="I185" s="331"/>
      <c r="J185" s="331"/>
      <c r="K185" s="331"/>
      <c r="L185" s="331"/>
      <c r="M185" s="331"/>
      <c r="N185" s="331"/>
      <c r="O185" s="331"/>
      <c r="P185" s="792"/>
      <c r="AB185" s="314"/>
      <c r="AC185" s="314"/>
      <c r="AD185" s="314"/>
      <c r="AE185" s="314"/>
      <c r="AF185" s="314"/>
      <c r="AG185" s="314"/>
      <c r="AJ185" s="13" t="str">
        <f t="shared" ref="AJ185:AQ185" si="374">IF(OR(E185=$C185,E185=$D185,E185=""),"0","1")</f>
        <v>0</v>
      </c>
      <c r="AK185" s="13" t="str">
        <f t="shared" si="374"/>
        <v>0</v>
      </c>
      <c r="AL185" s="13" t="str">
        <f t="shared" si="374"/>
        <v>0</v>
      </c>
      <c r="AM185" s="13" t="str">
        <f t="shared" si="374"/>
        <v>0</v>
      </c>
      <c r="AN185" s="13" t="str">
        <f t="shared" si="374"/>
        <v>0</v>
      </c>
      <c r="AO185" s="13" t="str">
        <f t="shared" si="374"/>
        <v>0</v>
      </c>
      <c r="AP185" s="13" t="str">
        <f t="shared" si="374"/>
        <v>0</v>
      </c>
      <c r="AQ185" s="13" t="str">
        <f t="shared" si="374"/>
        <v>0</v>
      </c>
      <c r="AR185" s="13" t="str">
        <f t="shared" ref="AR185:AS185" si="375">IF(OR(O185=$C185,O185=$D185,O185=""),"0","1")</f>
        <v>0</v>
      </c>
      <c r="AS185" s="13" t="str">
        <f t="shared" si="375"/>
        <v>0</v>
      </c>
      <c r="AT185" s="698">
        <f t="shared" si="11"/>
        <v>0</v>
      </c>
    </row>
    <row r="186" ht="15.75" customHeight="1">
      <c r="A186" s="788" t="str">
        <f t="shared" si="5"/>
        <v>-</v>
      </c>
      <c r="B186" s="789" t="s">
        <v>524</v>
      </c>
      <c r="C186" s="331"/>
      <c r="D186" s="331"/>
      <c r="E186" s="790"/>
      <c r="F186" s="791"/>
      <c r="G186" s="331"/>
      <c r="H186" s="331"/>
      <c r="I186" s="331"/>
      <c r="J186" s="331"/>
      <c r="K186" s="331"/>
      <c r="L186" s="331"/>
      <c r="M186" s="331"/>
      <c r="N186" s="331"/>
      <c r="O186" s="331"/>
      <c r="P186" s="792"/>
      <c r="AB186" s="314"/>
      <c r="AC186" s="314"/>
      <c r="AD186" s="314"/>
      <c r="AE186" s="314"/>
      <c r="AF186" s="314"/>
      <c r="AG186" s="314"/>
      <c r="AJ186" s="13" t="str">
        <f t="shared" ref="AJ186:AQ186" si="376">IF(OR(E186=$C186,E186=$D186,E186=""),"0","1")</f>
        <v>0</v>
      </c>
      <c r="AK186" s="13" t="str">
        <f t="shared" si="376"/>
        <v>0</v>
      </c>
      <c r="AL186" s="13" t="str">
        <f t="shared" si="376"/>
        <v>0</v>
      </c>
      <c r="AM186" s="13" t="str">
        <f t="shared" si="376"/>
        <v>0</v>
      </c>
      <c r="AN186" s="13" t="str">
        <f t="shared" si="376"/>
        <v>0</v>
      </c>
      <c r="AO186" s="13" t="str">
        <f t="shared" si="376"/>
        <v>0</v>
      </c>
      <c r="AP186" s="13" t="str">
        <f t="shared" si="376"/>
        <v>0</v>
      </c>
      <c r="AQ186" s="13" t="str">
        <f t="shared" si="376"/>
        <v>0</v>
      </c>
      <c r="AR186" s="13" t="str">
        <f t="shared" ref="AR186:AS186" si="377">IF(OR(O186=$C186,O186=$D186,O186=""),"0","1")</f>
        <v>0</v>
      </c>
      <c r="AS186" s="13" t="str">
        <f t="shared" si="377"/>
        <v>0</v>
      </c>
      <c r="AT186" s="698">
        <f t="shared" si="11"/>
        <v>0</v>
      </c>
    </row>
    <row r="187" ht="15.75" customHeight="1">
      <c r="A187" s="788" t="str">
        <f t="shared" si="5"/>
        <v>-</v>
      </c>
      <c r="B187" s="789" t="s">
        <v>524</v>
      </c>
      <c r="C187" s="331"/>
      <c r="D187" s="331"/>
      <c r="E187" s="790"/>
      <c r="F187" s="791"/>
      <c r="G187" s="331"/>
      <c r="H187" s="331"/>
      <c r="I187" s="331"/>
      <c r="J187" s="331"/>
      <c r="K187" s="331"/>
      <c r="L187" s="331"/>
      <c r="M187" s="331"/>
      <c r="N187" s="331"/>
      <c r="O187" s="331"/>
      <c r="P187" s="792"/>
      <c r="AB187" s="314"/>
      <c r="AC187" s="314"/>
      <c r="AD187" s="314"/>
      <c r="AE187" s="314"/>
      <c r="AF187" s="314"/>
      <c r="AG187" s="314"/>
      <c r="AJ187" s="13" t="str">
        <f t="shared" ref="AJ187:AQ187" si="378">IF(OR(E187=$C187,E187=$D187,E187=""),"0","1")</f>
        <v>0</v>
      </c>
      <c r="AK187" s="13" t="str">
        <f t="shared" si="378"/>
        <v>0</v>
      </c>
      <c r="AL187" s="13" t="str">
        <f t="shared" si="378"/>
        <v>0</v>
      </c>
      <c r="AM187" s="13" t="str">
        <f t="shared" si="378"/>
        <v>0</v>
      </c>
      <c r="AN187" s="13" t="str">
        <f t="shared" si="378"/>
        <v>0</v>
      </c>
      <c r="AO187" s="13" t="str">
        <f t="shared" si="378"/>
        <v>0</v>
      </c>
      <c r="AP187" s="13" t="str">
        <f t="shared" si="378"/>
        <v>0</v>
      </c>
      <c r="AQ187" s="13" t="str">
        <f t="shared" si="378"/>
        <v>0</v>
      </c>
      <c r="AR187" s="13" t="str">
        <f t="shared" ref="AR187:AS187" si="379">IF(OR(O187=$C187,O187=$D187,O187=""),"0","1")</f>
        <v>0</v>
      </c>
      <c r="AS187" s="13" t="str">
        <f t="shared" si="379"/>
        <v>0</v>
      </c>
      <c r="AT187" s="698">
        <f t="shared" si="11"/>
        <v>0</v>
      </c>
    </row>
    <row r="188" ht="15.75" customHeight="1">
      <c r="A188" s="788" t="str">
        <f t="shared" si="5"/>
        <v>-</v>
      </c>
      <c r="B188" s="789" t="s">
        <v>524</v>
      </c>
      <c r="C188" s="331"/>
      <c r="D188" s="331"/>
      <c r="E188" s="790"/>
      <c r="F188" s="791"/>
      <c r="G188" s="331"/>
      <c r="H188" s="331"/>
      <c r="I188" s="331"/>
      <c r="J188" s="331"/>
      <c r="K188" s="331"/>
      <c r="L188" s="331"/>
      <c r="M188" s="331"/>
      <c r="N188" s="331"/>
      <c r="O188" s="331"/>
      <c r="P188" s="792"/>
      <c r="AB188" s="314"/>
      <c r="AC188" s="314"/>
      <c r="AD188" s="314"/>
      <c r="AE188" s="314"/>
      <c r="AF188" s="314"/>
      <c r="AG188" s="314"/>
      <c r="AJ188" s="13" t="str">
        <f t="shared" ref="AJ188:AQ188" si="380">IF(OR(E188=$C188,E188=$D188,E188=""),"0","1")</f>
        <v>0</v>
      </c>
      <c r="AK188" s="13" t="str">
        <f t="shared" si="380"/>
        <v>0</v>
      </c>
      <c r="AL188" s="13" t="str">
        <f t="shared" si="380"/>
        <v>0</v>
      </c>
      <c r="AM188" s="13" t="str">
        <f t="shared" si="380"/>
        <v>0</v>
      </c>
      <c r="AN188" s="13" t="str">
        <f t="shared" si="380"/>
        <v>0</v>
      </c>
      <c r="AO188" s="13" t="str">
        <f t="shared" si="380"/>
        <v>0</v>
      </c>
      <c r="AP188" s="13" t="str">
        <f t="shared" si="380"/>
        <v>0</v>
      </c>
      <c r="AQ188" s="13" t="str">
        <f t="shared" si="380"/>
        <v>0</v>
      </c>
      <c r="AR188" s="13" t="str">
        <f t="shared" ref="AR188:AS188" si="381">IF(OR(O188=$C188,O188=$D188,O188=""),"0","1")</f>
        <v>0</v>
      </c>
      <c r="AS188" s="13" t="str">
        <f t="shared" si="381"/>
        <v>0</v>
      </c>
      <c r="AT188" s="698">
        <f t="shared" si="11"/>
        <v>0</v>
      </c>
    </row>
    <row r="189" ht="15.75" customHeight="1">
      <c r="A189" s="788" t="str">
        <f t="shared" si="5"/>
        <v>-</v>
      </c>
      <c r="B189" s="789" t="s">
        <v>524</v>
      </c>
      <c r="C189" s="331"/>
      <c r="D189" s="331"/>
      <c r="E189" s="790"/>
      <c r="F189" s="791"/>
      <c r="G189" s="331"/>
      <c r="H189" s="331"/>
      <c r="I189" s="331"/>
      <c r="J189" s="331"/>
      <c r="K189" s="331"/>
      <c r="L189" s="331"/>
      <c r="M189" s="331"/>
      <c r="N189" s="331"/>
      <c r="O189" s="331"/>
      <c r="P189" s="792"/>
      <c r="AB189" s="314"/>
      <c r="AC189" s="314"/>
      <c r="AD189" s="314"/>
      <c r="AE189" s="314"/>
      <c r="AF189" s="314"/>
      <c r="AG189" s="314"/>
      <c r="AJ189" s="13" t="str">
        <f t="shared" ref="AJ189:AQ189" si="382">IF(OR(E189=$C189,E189=$D189,E189=""),"0","1")</f>
        <v>0</v>
      </c>
      <c r="AK189" s="13" t="str">
        <f t="shared" si="382"/>
        <v>0</v>
      </c>
      <c r="AL189" s="13" t="str">
        <f t="shared" si="382"/>
        <v>0</v>
      </c>
      <c r="AM189" s="13" t="str">
        <f t="shared" si="382"/>
        <v>0</v>
      </c>
      <c r="AN189" s="13" t="str">
        <f t="shared" si="382"/>
        <v>0</v>
      </c>
      <c r="AO189" s="13" t="str">
        <f t="shared" si="382"/>
        <v>0</v>
      </c>
      <c r="AP189" s="13" t="str">
        <f t="shared" si="382"/>
        <v>0</v>
      </c>
      <c r="AQ189" s="13" t="str">
        <f t="shared" si="382"/>
        <v>0</v>
      </c>
      <c r="AR189" s="13" t="str">
        <f t="shared" ref="AR189:AS189" si="383">IF(OR(O189=$C189,O189=$D189,O189=""),"0","1")</f>
        <v>0</v>
      </c>
      <c r="AS189" s="13" t="str">
        <f t="shared" si="383"/>
        <v>0</v>
      </c>
      <c r="AT189" s="698">
        <f t="shared" si="11"/>
        <v>0</v>
      </c>
    </row>
    <row r="190" ht="15.75" customHeight="1">
      <c r="A190" s="788" t="str">
        <f t="shared" si="5"/>
        <v>-</v>
      </c>
      <c r="B190" s="789" t="s">
        <v>524</v>
      </c>
      <c r="C190" s="331"/>
      <c r="D190" s="331"/>
      <c r="E190" s="790"/>
      <c r="F190" s="791"/>
      <c r="G190" s="331"/>
      <c r="H190" s="331"/>
      <c r="I190" s="331"/>
      <c r="J190" s="331"/>
      <c r="K190" s="331"/>
      <c r="L190" s="331"/>
      <c r="M190" s="331"/>
      <c r="N190" s="331"/>
      <c r="O190" s="331"/>
      <c r="P190" s="792"/>
      <c r="AB190" s="314"/>
      <c r="AC190" s="314"/>
      <c r="AD190" s="314"/>
      <c r="AE190" s="314"/>
      <c r="AF190" s="314"/>
      <c r="AG190" s="314"/>
      <c r="AJ190" s="13" t="str">
        <f t="shared" ref="AJ190:AQ190" si="384">IF(OR(E190=$C190,E190=$D190,E190=""),"0","1")</f>
        <v>0</v>
      </c>
      <c r="AK190" s="13" t="str">
        <f t="shared" si="384"/>
        <v>0</v>
      </c>
      <c r="AL190" s="13" t="str">
        <f t="shared" si="384"/>
        <v>0</v>
      </c>
      <c r="AM190" s="13" t="str">
        <f t="shared" si="384"/>
        <v>0</v>
      </c>
      <c r="AN190" s="13" t="str">
        <f t="shared" si="384"/>
        <v>0</v>
      </c>
      <c r="AO190" s="13" t="str">
        <f t="shared" si="384"/>
        <v>0</v>
      </c>
      <c r="AP190" s="13" t="str">
        <f t="shared" si="384"/>
        <v>0</v>
      </c>
      <c r="AQ190" s="13" t="str">
        <f t="shared" si="384"/>
        <v>0</v>
      </c>
      <c r="AR190" s="13" t="str">
        <f t="shared" ref="AR190:AS190" si="385">IF(OR(O190=$C190,O190=$D190,O190=""),"0","1")</f>
        <v>0</v>
      </c>
      <c r="AS190" s="13" t="str">
        <f t="shared" si="385"/>
        <v>0</v>
      </c>
      <c r="AT190" s="698">
        <f t="shared" si="11"/>
        <v>0</v>
      </c>
    </row>
    <row r="191" ht="15.75" customHeight="1">
      <c r="A191" s="788" t="str">
        <f t="shared" si="5"/>
        <v>-</v>
      </c>
      <c r="B191" s="789" t="s">
        <v>524</v>
      </c>
      <c r="C191" s="331"/>
      <c r="D191" s="331"/>
      <c r="E191" s="790"/>
      <c r="F191" s="791"/>
      <c r="G191" s="331"/>
      <c r="H191" s="331"/>
      <c r="I191" s="331"/>
      <c r="J191" s="331"/>
      <c r="K191" s="331"/>
      <c r="L191" s="331"/>
      <c r="M191" s="331"/>
      <c r="N191" s="331"/>
      <c r="O191" s="331"/>
      <c r="P191" s="792"/>
      <c r="AB191" s="314"/>
      <c r="AC191" s="314"/>
      <c r="AD191" s="314"/>
      <c r="AE191" s="314"/>
      <c r="AF191" s="314"/>
      <c r="AG191" s="314"/>
      <c r="AJ191" s="13" t="str">
        <f t="shared" ref="AJ191:AQ191" si="386">IF(OR(E191=$C191,E191=$D191,E191=""),"0","1")</f>
        <v>0</v>
      </c>
      <c r="AK191" s="13" t="str">
        <f t="shared" si="386"/>
        <v>0</v>
      </c>
      <c r="AL191" s="13" t="str">
        <f t="shared" si="386"/>
        <v>0</v>
      </c>
      <c r="AM191" s="13" t="str">
        <f t="shared" si="386"/>
        <v>0</v>
      </c>
      <c r="AN191" s="13" t="str">
        <f t="shared" si="386"/>
        <v>0</v>
      </c>
      <c r="AO191" s="13" t="str">
        <f t="shared" si="386"/>
        <v>0</v>
      </c>
      <c r="AP191" s="13" t="str">
        <f t="shared" si="386"/>
        <v>0</v>
      </c>
      <c r="AQ191" s="13" t="str">
        <f t="shared" si="386"/>
        <v>0</v>
      </c>
      <c r="AR191" s="13" t="str">
        <f t="shared" ref="AR191:AS191" si="387">IF(OR(O191=$C191,O191=$D191,O191=""),"0","1")</f>
        <v>0</v>
      </c>
      <c r="AS191" s="13" t="str">
        <f t="shared" si="387"/>
        <v>0</v>
      </c>
      <c r="AT191" s="698">
        <f t="shared" si="11"/>
        <v>0</v>
      </c>
    </row>
    <row r="192" ht="15.75" customHeight="1">
      <c r="A192" s="788" t="str">
        <f t="shared" si="5"/>
        <v>-</v>
      </c>
      <c r="B192" s="789" t="s">
        <v>524</v>
      </c>
      <c r="C192" s="331"/>
      <c r="D192" s="331"/>
      <c r="E192" s="790"/>
      <c r="F192" s="791"/>
      <c r="G192" s="331"/>
      <c r="H192" s="331"/>
      <c r="I192" s="331"/>
      <c r="J192" s="331"/>
      <c r="K192" s="331"/>
      <c r="L192" s="331"/>
      <c r="M192" s="331"/>
      <c r="N192" s="331"/>
      <c r="O192" s="331"/>
      <c r="P192" s="792"/>
      <c r="AB192" s="314"/>
      <c r="AC192" s="314"/>
      <c r="AD192" s="314"/>
      <c r="AE192" s="314"/>
      <c r="AF192" s="314"/>
      <c r="AG192" s="314"/>
      <c r="AJ192" s="13" t="str">
        <f t="shared" ref="AJ192:AQ192" si="388">IF(OR(E192=$C192,E192=$D192,E192=""),"0","1")</f>
        <v>0</v>
      </c>
      <c r="AK192" s="13" t="str">
        <f t="shared" si="388"/>
        <v>0</v>
      </c>
      <c r="AL192" s="13" t="str">
        <f t="shared" si="388"/>
        <v>0</v>
      </c>
      <c r="AM192" s="13" t="str">
        <f t="shared" si="388"/>
        <v>0</v>
      </c>
      <c r="AN192" s="13" t="str">
        <f t="shared" si="388"/>
        <v>0</v>
      </c>
      <c r="AO192" s="13" t="str">
        <f t="shared" si="388"/>
        <v>0</v>
      </c>
      <c r="AP192" s="13" t="str">
        <f t="shared" si="388"/>
        <v>0</v>
      </c>
      <c r="AQ192" s="13" t="str">
        <f t="shared" si="388"/>
        <v>0</v>
      </c>
      <c r="AR192" s="13" t="str">
        <f t="shared" ref="AR192:AS192" si="389">IF(OR(O192=$C192,O192=$D192,O192=""),"0","1")</f>
        <v>0</v>
      </c>
      <c r="AS192" s="13" t="str">
        <f t="shared" si="389"/>
        <v>0</v>
      </c>
      <c r="AT192" s="698">
        <f t="shared" si="11"/>
        <v>0</v>
      </c>
    </row>
    <row r="193" ht="15.75" customHeight="1">
      <c r="A193" s="788" t="str">
        <f t="shared" si="5"/>
        <v>-</v>
      </c>
      <c r="B193" s="830" t="s">
        <v>525</v>
      </c>
      <c r="C193" s="331"/>
      <c r="D193" s="331"/>
      <c r="E193" s="790"/>
      <c r="F193" s="791"/>
      <c r="G193" s="331"/>
      <c r="H193" s="331"/>
      <c r="I193" s="331"/>
      <c r="J193" s="331"/>
      <c r="K193" s="331"/>
      <c r="L193" s="331"/>
      <c r="M193" s="331"/>
      <c r="N193" s="331"/>
      <c r="O193" s="331"/>
      <c r="P193" s="331"/>
      <c r="AB193" s="314"/>
      <c r="AC193" s="314"/>
      <c r="AD193" s="314"/>
      <c r="AE193" s="314"/>
      <c r="AF193" s="314"/>
      <c r="AG193" s="314"/>
      <c r="AJ193" s="13" t="str">
        <f t="shared" ref="AJ193:AQ193" si="390">IF(OR(E193=$C193,E193=$D193,E193=""),"0","1")</f>
        <v>0</v>
      </c>
      <c r="AK193" s="13" t="str">
        <f t="shared" si="390"/>
        <v>0</v>
      </c>
      <c r="AL193" s="13" t="str">
        <f t="shared" si="390"/>
        <v>0</v>
      </c>
      <c r="AM193" s="13" t="str">
        <f t="shared" si="390"/>
        <v>0</v>
      </c>
      <c r="AN193" s="13" t="str">
        <f t="shared" si="390"/>
        <v>0</v>
      </c>
      <c r="AO193" s="13" t="str">
        <f t="shared" si="390"/>
        <v>0</v>
      </c>
      <c r="AP193" s="13" t="str">
        <f t="shared" si="390"/>
        <v>0</v>
      </c>
      <c r="AQ193" s="13" t="str">
        <f t="shared" si="390"/>
        <v>0</v>
      </c>
      <c r="AR193" s="13" t="str">
        <f t="shared" ref="AR193:AS193" si="391">IF(OR(O193=$C193,O193=$D193,O193=""),"0","1")</f>
        <v>0</v>
      </c>
      <c r="AS193" s="13" t="str">
        <f t="shared" si="391"/>
        <v>0</v>
      </c>
      <c r="AT193" s="698">
        <f t="shared" si="11"/>
        <v>0</v>
      </c>
    </row>
    <row r="194" ht="15.75" customHeight="1">
      <c r="A194" s="788" t="str">
        <f t="shared" si="5"/>
        <v>-</v>
      </c>
      <c r="B194" s="830" t="s">
        <v>525</v>
      </c>
      <c r="C194" s="331"/>
      <c r="D194" s="331"/>
      <c r="E194" s="790"/>
      <c r="F194" s="791"/>
      <c r="G194" s="331"/>
      <c r="H194" s="331"/>
      <c r="I194" s="331"/>
      <c r="J194" s="331"/>
      <c r="K194" s="331"/>
      <c r="L194" s="331"/>
      <c r="M194" s="331"/>
      <c r="N194" s="331"/>
      <c r="O194" s="331"/>
      <c r="P194" s="331"/>
      <c r="AB194" s="314"/>
      <c r="AC194" s="314"/>
      <c r="AD194" s="314"/>
      <c r="AE194" s="314"/>
      <c r="AF194" s="314"/>
      <c r="AG194" s="314"/>
      <c r="AJ194" s="13" t="str">
        <f t="shared" ref="AJ194:AQ194" si="392">IF(OR(E194=$C194,E194=$D194,E194=""),"0","1")</f>
        <v>0</v>
      </c>
      <c r="AK194" s="13" t="str">
        <f t="shared" si="392"/>
        <v>0</v>
      </c>
      <c r="AL194" s="13" t="str">
        <f t="shared" si="392"/>
        <v>0</v>
      </c>
      <c r="AM194" s="13" t="str">
        <f t="shared" si="392"/>
        <v>0</v>
      </c>
      <c r="AN194" s="13" t="str">
        <f t="shared" si="392"/>
        <v>0</v>
      </c>
      <c r="AO194" s="13" t="str">
        <f t="shared" si="392"/>
        <v>0</v>
      </c>
      <c r="AP194" s="13" t="str">
        <f t="shared" si="392"/>
        <v>0</v>
      </c>
      <c r="AQ194" s="13" t="str">
        <f t="shared" si="392"/>
        <v>0</v>
      </c>
      <c r="AR194" s="13" t="str">
        <f t="shared" ref="AR194:AS194" si="393">IF(OR(O194=$C194,O194=$D194,O194=""),"0","1")</f>
        <v>0</v>
      </c>
      <c r="AS194" s="13" t="str">
        <f t="shared" si="393"/>
        <v>0</v>
      </c>
      <c r="AT194" s="698">
        <f t="shared" si="11"/>
        <v>0</v>
      </c>
    </row>
    <row r="195" ht="15.75" customHeight="1">
      <c r="A195" s="788" t="str">
        <f t="shared" si="5"/>
        <v>-</v>
      </c>
      <c r="B195" s="830" t="s">
        <v>525</v>
      </c>
      <c r="C195" s="331"/>
      <c r="D195" s="331"/>
      <c r="E195" s="790"/>
      <c r="F195" s="791"/>
      <c r="G195" s="331"/>
      <c r="H195" s="331"/>
      <c r="I195" s="331"/>
      <c r="J195" s="331"/>
      <c r="K195" s="331"/>
      <c r="L195" s="331"/>
      <c r="M195" s="331"/>
      <c r="N195" s="331"/>
      <c r="O195" s="331"/>
      <c r="P195" s="331"/>
      <c r="AB195" s="314"/>
      <c r="AC195" s="314"/>
      <c r="AD195" s="314"/>
      <c r="AE195" s="314"/>
      <c r="AF195" s="314"/>
      <c r="AG195" s="314"/>
      <c r="AJ195" s="13" t="str">
        <f t="shared" ref="AJ195:AQ195" si="394">IF(OR(E195=$C195,E195=$D195,E195=""),"0","1")</f>
        <v>0</v>
      </c>
      <c r="AK195" s="13" t="str">
        <f t="shared" si="394"/>
        <v>0</v>
      </c>
      <c r="AL195" s="13" t="str">
        <f t="shared" si="394"/>
        <v>0</v>
      </c>
      <c r="AM195" s="13" t="str">
        <f t="shared" si="394"/>
        <v>0</v>
      </c>
      <c r="AN195" s="13" t="str">
        <f t="shared" si="394"/>
        <v>0</v>
      </c>
      <c r="AO195" s="13" t="str">
        <f t="shared" si="394"/>
        <v>0</v>
      </c>
      <c r="AP195" s="13" t="str">
        <f t="shared" si="394"/>
        <v>0</v>
      </c>
      <c r="AQ195" s="13" t="str">
        <f t="shared" si="394"/>
        <v>0</v>
      </c>
      <c r="AR195" s="13" t="str">
        <f t="shared" ref="AR195:AS195" si="395">IF(OR(O195=$C195,O195=$D195,O195=""),"0","1")</f>
        <v>0</v>
      </c>
      <c r="AS195" s="13" t="str">
        <f t="shared" si="395"/>
        <v>0</v>
      </c>
      <c r="AT195" s="698">
        <f t="shared" si="11"/>
        <v>0</v>
      </c>
    </row>
    <row r="196" ht="15.75" customHeight="1">
      <c r="A196" s="788" t="str">
        <f t="shared" si="5"/>
        <v>-</v>
      </c>
      <c r="B196" s="830" t="s">
        <v>525</v>
      </c>
      <c r="C196" s="331"/>
      <c r="D196" s="331"/>
      <c r="E196" s="790"/>
      <c r="F196" s="791"/>
      <c r="G196" s="331"/>
      <c r="H196" s="331"/>
      <c r="I196" s="331"/>
      <c r="J196" s="331"/>
      <c r="K196" s="331"/>
      <c r="L196" s="331"/>
      <c r="M196" s="331"/>
      <c r="N196" s="331"/>
      <c r="O196" s="331"/>
      <c r="P196" s="331"/>
      <c r="AB196" s="314"/>
      <c r="AC196" s="314"/>
      <c r="AD196" s="314"/>
      <c r="AE196" s="314"/>
      <c r="AF196" s="314"/>
      <c r="AG196" s="314"/>
      <c r="AJ196" s="13" t="str">
        <f t="shared" ref="AJ196:AQ196" si="396">IF(OR(E196=$C196,E196=$D196,E196=""),"0","1")</f>
        <v>0</v>
      </c>
      <c r="AK196" s="13" t="str">
        <f t="shared" si="396"/>
        <v>0</v>
      </c>
      <c r="AL196" s="13" t="str">
        <f t="shared" si="396"/>
        <v>0</v>
      </c>
      <c r="AM196" s="13" t="str">
        <f t="shared" si="396"/>
        <v>0</v>
      </c>
      <c r="AN196" s="13" t="str">
        <f t="shared" si="396"/>
        <v>0</v>
      </c>
      <c r="AO196" s="13" t="str">
        <f t="shared" si="396"/>
        <v>0</v>
      </c>
      <c r="AP196" s="13" t="str">
        <f t="shared" si="396"/>
        <v>0</v>
      </c>
      <c r="AQ196" s="13" t="str">
        <f t="shared" si="396"/>
        <v>0</v>
      </c>
      <c r="AR196" s="13" t="str">
        <f t="shared" ref="AR196:AS196" si="397">IF(OR(O196=$C196,O196=$D196,O196=""),"0","1")</f>
        <v>0</v>
      </c>
      <c r="AS196" s="13" t="str">
        <f t="shared" si="397"/>
        <v>0</v>
      </c>
      <c r="AT196" s="698">
        <f t="shared" si="11"/>
        <v>0</v>
      </c>
    </row>
    <row r="197" ht="15.75" customHeight="1">
      <c r="A197" s="788" t="str">
        <f t="shared" si="5"/>
        <v>-</v>
      </c>
      <c r="B197" s="830" t="s">
        <v>525</v>
      </c>
      <c r="C197" s="331"/>
      <c r="D197" s="331"/>
      <c r="E197" s="790"/>
      <c r="F197" s="791"/>
      <c r="G197" s="331"/>
      <c r="H197" s="331"/>
      <c r="I197" s="331"/>
      <c r="J197" s="331"/>
      <c r="K197" s="331"/>
      <c r="L197" s="331"/>
      <c r="M197" s="331"/>
      <c r="N197" s="331"/>
      <c r="O197" s="331"/>
      <c r="P197" s="331"/>
      <c r="AB197" s="314"/>
      <c r="AC197" s="314"/>
      <c r="AD197" s="314"/>
      <c r="AE197" s="314"/>
      <c r="AF197" s="314"/>
      <c r="AG197" s="314"/>
      <c r="AJ197" s="13" t="str">
        <f t="shared" ref="AJ197:AQ197" si="398">IF(OR(E197=$C197,E197=$D197,E197=""),"0","1")</f>
        <v>0</v>
      </c>
      <c r="AK197" s="13" t="str">
        <f t="shared" si="398"/>
        <v>0</v>
      </c>
      <c r="AL197" s="13" t="str">
        <f t="shared" si="398"/>
        <v>0</v>
      </c>
      <c r="AM197" s="13" t="str">
        <f t="shared" si="398"/>
        <v>0</v>
      </c>
      <c r="AN197" s="13" t="str">
        <f t="shared" si="398"/>
        <v>0</v>
      </c>
      <c r="AO197" s="13" t="str">
        <f t="shared" si="398"/>
        <v>0</v>
      </c>
      <c r="AP197" s="13" t="str">
        <f t="shared" si="398"/>
        <v>0</v>
      </c>
      <c r="AQ197" s="13" t="str">
        <f t="shared" si="398"/>
        <v>0</v>
      </c>
      <c r="AR197" s="13" t="str">
        <f t="shared" ref="AR197:AS197" si="399">IF(OR(O197=$C197,O197=$D197,O197=""),"0","1")</f>
        <v>0</v>
      </c>
      <c r="AS197" s="13" t="str">
        <f t="shared" si="399"/>
        <v>0</v>
      </c>
      <c r="AT197" s="698">
        <f t="shared" si="11"/>
        <v>0</v>
      </c>
    </row>
    <row r="198" ht="15.75" customHeight="1">
      <c r="A198" s="788" t="str">
        <f t="shared" si="5"/>
        <v>-</v>
      </c>
      <c r="B198" s="830" t="s">
        <v>525</v>
      </c>
      <c r="C198" s="331"/>
      <c r="D198" s="331"/>
      <c r="E198" s="790"/>
      <c r="F198" s="791"/>
      <c r="G198" s="331"/>
      <c r="H198" s="331"/>
      <c r="I198" s="331"/>
      <c r="J198" s="331"/>
      <c r="K198" s="331"/>
      <c r="L198" s="331"/>
      <c r="M198" s="331"/>
      <c r="N198" s="331"/>
      <c r="O198" s="331"/>
      <c r="P198" s="331"/>
      <c r="AB198" s="314"/>
      <c r="AC198" s="314"/>
      <c r="AD198" s="314"/>
      <c r="AE198" s="314"/>
      <c r="AF198" s="314"/>
      <c r="AG198" s="314"/>
      <c r="AJ198" s="13" t="str">
        <f t="shared" ref="AJ198:AQ198" si="400">IF(OR(E198=$C198,E198=$D198,E198=""),"0","1")</f>
        <v>0</v>
      </c>
      <c r="AK198" s="13" t="str">
        <f t="shared" si="400"/>
        <v>0</v>
      </c>
      <c r="AL198" s="13" t="str">
        <f t="shared" si="400"/>
        <v>0</v>
      </c>
      <c r="AM198" s="13" t="str">
        <f t="shared" si="400"/>
        <v>0</v>
      </c>
      <c r="AN198" s="13" t="str">
        <f t="shared" si="400"/>
        <v>0</v>
      </c>
      <c r="AO198" s="13" t="str">
        <f t="shared" si="400"/>
        <v>0</v>
      </c>
      <c r="AP198" s="13" t="str">
        <f t="shared" si="400"/>
        <v>0</v>
      </c>
      <c r="AQ198" s="13" t="str">
        <f t="shared" si="400"/>
        <v>0</v>
      </c>
      <c r="AR198" s="13" t="str">
        <f t="shared" ref="AR198:AS198" si="401">IF(OR(O198=$C198,O198=$D198,O198=""),"0","1")</f>
        <v>0</v>
      </c>
      <c r="AS198" s="13" t="str">
        <f t="shared" si="401"/>
        <v>0</v>
      </c>
      <c r="AT198" s="698">
        <f t="shared" si="11"/>
        <v>0</v>
      </c>
    </row>
    <row r="199" ht="15.75" customHeight="1">
      <c r="A199" s="788" t="str">
        <f t="shared" si="5"/>
        <v>-</v>
      </c>
      <c r="B199" s="830" t="s">
        <v>525</v>
      </c>
      <c r="C199" s="331"/>
      <c r="D199" s="331"/>
      <c r="E199" s="790"/>
      <c r="F199" s="791"/>
      <c r="G199" s="331"/>
      <c r="H199" s="331"/>
      <c r="I199" s="331"/>
      <c r="J199" s="331"/>
      <c r="K199" s="331"/>
      <c r="L199" s="331"/>
      <c r="M199" s="331"/>
      <c r="N199" s="331"/>
      <c r="O199" s="331"/>
      <c r="P199" s="331"/>
      <c r="AB199" s="314"/>
      <c r="AC199" s="314"/>
      <c r="AD199" s="314"/>
      <c r="AE199" s="314"/>
      <c r="AF199" s="314"/>
      <c r="AG199" s="314"/>
      <c r="AJ199" s="13" t="str">
        <f t="shared" ref="AJ199:AQ199" si="402">IF(OR(E199=$C199,E199=$D199,E199=""),"0","1")</f>
        <v>0</v>
      </c>
      <c r="AK199" s="13" t="str">
        <f t="shared" si="402"/>
        <v>0</v>
      </c>
      <c r="AL199" s="13" t="str">
        <f t="shared" si="402"/>
        <v>0</v>
      </c>
      <c r="AM199" s="13" t="str">
        <f t="shared" si="402"/>
        <v>0</v>
      </c>
      <c r="AN199" s="13" t="str">
        <f t="shared" si="402"/>
        <v>0</v>
      </c>
      <c r="AO199" s="13" t="str">
        <f t="shared" si="402"/>
        <v>0</v>
      </c>
      <c r="AP199" s="13" t="str">
        <f t="shared" si="402"/>
        <v>0</v>
      </c>
      <c r="AQ199" s="13" t="str">
        <f t="shared" si="402"/>
        <v>0</v>
      </c>
      <c r="AR199" s="13" t="str">
        <f t="shared" ref="AR199:AS199" si="403">IF(OR(O199=$C199,O199=$D199,O199=""),"0","1")</f>
        <v>0</v>
      </c>
      <c r="AS199" s="13" t="str">
        <f t="shared" si="403"/>
        <v>0</v>
      </c>
      <c r="AT199" s="698">
        <f t="shared" si="11"/>
        <v>0</v>
      </c>
    </row>
    <row r="200" ht="15.75" customHeight="1">
      <c r="A200" s="788" t="str">
        <f t="shared" si="5"/>
        <v>-</v>
      </c>
      <c r="B200" s="830" t="s">
        <v>525</v>
      </c>
      <c r="C200" s="331"/>
      <c r="D200" s="331"/>
      <c r="E200" s="790"/>
      <c r="F200" s="791"/>
      <c r="G200" s="331"/>
      <c r="H200" s="331"/>
      <c r="I200" s="331"/>
      <c r="J200" s="331"/>
      <c r="K200" s="331"/>
      <c r="L200" s="331"/>
      <c r="M200" s="331"/>
      <c r="N200" s="331"/>
      <c r="O200" s="331"/>
      <c r="P200" s="331"/>
      <c r="AB200" s="314"/>
      <c r="AC200" s="314"/>
      <c r="AD200" s="314"/>
      <c r="AE200" s="314"/>
      <c r="AF200" s="314"/>
      <c r="AG200" s="314"/>
      <c r="AJ200" s="13" t="str">
        <f t="shared" ref="AJ200:AQ200" si="404">IF(OR(E200=$C200,E200=$D200,E200=""),"0","1")</f>
        <v>0</v>
      </c>
      <c r="AK200" s="13" t="str">
        <f t="shared" si="404"/>
        <v>0</v>
      </c>
      <c r="AL200" s="13" t="str">
        <f t="shared" si="404"/>
        <v>0</v>
      </c>
      <c r="AM200" s="13" t="str">
        <f t="shared" si="404"/>
        <v>0</v>
      </c>
      <c r="AN200" s="13" t="str">
        <f t="shared" si="404"/>
        <v>0</v>
      </c>
      <c r="AO200" s="13" t="str">
        <f t="shared" si="404"/>
        <v>0</v>
      </c>
      <c r="AP200" s="13" t="str">
        <f t="shared" si="404"/>
        <v>0</v>
      </c>
      <c r="AQ200" s="13" t="str">
        <f t="shared" si="404"/>
        <v>0</v>
      </c>
      <c r="AR200" s="13" t="str">
        <f t="shared" ref="AR200:AS200" si="405">IF(OR(O200=$C200,O200=$D200,O200=""),"0","1")</f>
        <v>0</v>
      </c>
      <c r="AS200" s="13" t="str">
        <f t="shared" si="405"/>
        <v>0</v>
      </c>
      <c r="AT200" s="698">
        <f t="shared" si="11"/>
        <v>0</v>
      </c>
    </row>
    <row r="201" ht="15.75" customHeight="1">
      <c r="A201" s="788" t="str">
        <f t="shared" si="5"/>
        <v>-</v>
      </c>
      <c r="B201" s="830" t="s">
        <v>525</v>
      </c>
      <c r="C201" s="331"/>
      <c r="D201" s="331"/>
      <c r="E201" s="790"/>
      <c r="F201" s="791"/>
      <c r="G201" s="331"/>
      <c r="H201" s="331"/>
      <c r="I201" s="331"/>
      <c r="J201" s="331"/>
      <c r="K201" s="331"/>
      <c r="L201" s="331"/>
      <c r="M201" s="331"/>
      <c r="N201" s="331"/>
      <c r="O201" s="331"/>
      <c r="P201" s="331"/>
      <c r="AB201" s="314"/>
      <c r="AC201" s="314"/>
      <c r="AD201" s="314"/>
      <c r="AE201" s="314"/>
      <c r="AF201" s="314"/>
      <c r="AG201" s="314"/>
      <c r="AJ201" s="13" t="str">
        <f t="shared" ref="AJ201:AQ201" si="406">IF(OR(E201=$C201,E201=$D201,E201=""),"0","1")</f>
        <v>0</v>
      </c>
      <c r="AK201" s="13" t="str">
        <f t="shared" si="406"/>
        <v>0</v>
      </c>
      <c r="AL201" s="13" t="str">
        <f t="shared" si="406"/>
        <v>0</v>
      </c>
      <c r="AM201" s="13" t="str">
        <f t="shared" si="406"/>
        <v>0</v>
      </c>
      <c r="AN201" s="13" t="str">
        <f t="shared" si="406"/>
        <v>0</v>
      </c>
      <c r="AO201" s="13" t="str">
        <f t="shared" si="406"/>
        <v>0</v>
      </c>
      <c r="AP201" s="13" t="str">
        <f t="shared" si="406"/>
        <v>0</v>
      </c>
      <c r="AQ201" s="13" t="str">
        <f t="shared" si="406"/>
        <v>0</v>
      </c>
      <c r="AR201" s="13" t="str">
        <f t="shared" ref="AR201:AS201" si="407">IF(OR(O201=$C201,O201=$D201,O201=""),"0","1")</f>
        <v>0</v>
      </c>
      <c r="AS201" s="13" t="str">
        <f t="shared" si="407"/>
        <v>0</v>
      </c>
      <c r="AT201" s="698">
        <f t="shared" si="11"/>
        <v>0</v>
      </c>
    </row>
    <row r="202" ht="15.75" customHeight="1">
      <c r="A202" s="788" t="str">
        <f t="shared" si="5"/>
        <v>-</v>
      </c>
      <c r="B202" s="830" t="s">
        <v>525</v>
      </c>
      <c r="C202" s="331"/>
      <c r="D202" s="331"/>
      <c r="E202" s="790"/>
      <c r="F202" s="791"/>
      <c r="G202" s="331"/>
      <c r="H202" s="331"/>
      <c r="I202" s="331"/>
      <c r="J202" s="331"/>
      <c r="K202" s="331"/>
      <c r="L202" s="331"/>
      <c r="M202" s="331"/>
      <c r="N202" s="331"/>
      <c r="O202" s="331"/>
      <c r="P202" s="331"/>
      <c r="AB202" s="314"/>
      <c r="AC202" s="314"/>
      <c r="AD202" s="314"/>
      <c r="AE202" s="314"/>
      <c r="AF202" s="314"/>
      <c r="AG202" s="314"/>
      <c r="AJ202" s="13" t="str">
        <f t="shared" ref="AJ202:AQ202" si="408">IF(OR(E202=$C202,E202=$D202,E202=""),"0","1")</f>
        <v>0</v>
      </c>
      <c r="AK202" s="13" t="str">
        <f t="shared" si="408"/>
        <v>0</v>
      </c>
      <c r="AL202" s="13" t="str">
        <f t="shared" si="408"/>
        <v>0</v>
      </c>
      <c r="AM202" s="13" t="str">
        <f t="shared" si="408"/>
        <v>0</v>
      </c>
      <c r="AN202" s="13" t="str">
        <f t="shared" si="408"/>
        <v>0</v>
      </c>
      <c r="AO202" s="13" t="str">
        <f t="shared" si="408"/>
        <v>0</v>
      </c>
      <c r="AP202" s="13" t="str">
        <f t="shared" si="408"/>
        <v>0</v>
      </c>
      <c r="AQ202" s="13" t="str">
        <f t="shared" si="408"/>
        <v>0</v>
      </c>
      <c r="AR202" s="13" t="str">
        <f t="shared" ref="AR202:AS202" si="409">IF(OR(O202=$C202,O202=$D202,O202=""),"0","1")</f>
        <v>0</v>
      </c>
      <c r="AS202" s="13" t="str">
        <f t="shared" si="409"/>
        <v>0</v>
      </c>
      <c r="AT202" s="698">
        <f t="shared" si="11"/>
        <v>0</v>
      </c>
    </row>
    <row r="203" ht="15.75" customHeight="1">
      <c r="A203" s="788" t="str">
        <f t="shared" si="5"/>
        <v>-</v>
      </c>
      <c r="B203" s="830" t="s">
        <v>525</v>
      </c>
      <c r="C203" s="331"/>
      <c r="D203" s="331"/>
      <c r="E203" s="790"/>
      <c r="F203" s="791"/>
      <c r="G203" s="331"/>
      <c r="H203" s="331"/>
      <c r="I203" s="331"/>
      <c r="J203" s="331"/>
      <c r="K203" s="331"/>
      <c r="L203" s="331"/>
      <c r="M203" s="331"/>
      <c r="N203" s="331"/>
      <c r="O203" s="331"/>
      <c r="P203" s="331"/>
      <c r="AB203" s="314"/>
      <c r="AC203" s="314"/>
      <c r="AD203" s="314"/>
      <c r="AE203" s="314"/>
      <c r="AF203" s="314"/>
      <c r="AG203" s="314"/>
      <c r="AJ203" s="13" t="str">
        <f t="shared" ref="AJ203:AQ203" si="410">IF(OR(E203=$C203,E203=$D203,E203=""),"0","1")</f>
        <v>0</v>
      </c>
      <c r="AK203" s="13" t="str">
        <f t="shared" si="410"/>
        <v>0</v>
      </c>
      <c r="AL203" s="13" t="str">
        <f t="shared" si="410"/>
        <v>0</v>
      </c>
      <c r="AM203" s="13" t="str">
        <f t="shared" si="410"/>
        <v>0</v>
      </c>
      <c r="AN203" s="13" t="str">
        <f t="shared" si="410"/>
        <v>0</v>
      </c>
      <c r="AO203" s="13" t="str">
        <f t="shared" si="410"/>
        <v>0</v>
      </c>
      <c r="AP203" s="13" t="str">
        <f t="shared" si="410"/>
        <v>0</v>
      </c>
      <c r="AQ203" s="13" t="str">
        <f t="shared" si="410"/>
        <v>0</v>
      </c>
      <c r="AR203" s="13" t="str">
        <f t="shared" ref="AR203:AS203" si="411">IF(OR(O203=$C203,O203=$D203,O203=""),"0","1")</f>
        <v>0</v>
      </c>
      <c r="AS203" s="13" t="str">
        <f t="shared" si="411"/>
        <v>0</v>
      </c>
      <c r="AT203" s="698">
        <f t="shared" si="11"/>
        <v>0</v>
      </c>
    </row>
    <row r="204" ht="15.75" customHeight="1">
      <c r="A204" s="788" t="str">
        <f t="shared" si="5"/>
        <v>-</v>
      </c>
      <c r="B204" s="830" t="s">
        <v>525</v>
      </c>
      <c r="C204" s="331"/>
      <c r="D204" s="331"/>
      <c r="E204" s="790"/>
      <c r="F204" s="791"/>
      <c r="G204" s="331"/>
      <c r="H204" s="331"/>
      <c r="I204" s="331"/>
      <c r="J204" s="331"/>
      <c r="K204" s="331"/>
      <c r="L204" s="331"/>
      <c r="M204" s="331"/>
      <c r="N204" s="331"/>
      <c r="O204" s="331"/>
      <c r="P204" s="331"/>
      <c r="AB204" s="314"/>
      <c r="AC204" s="314"/>
      <c r="AD204" s="314"/>
      <c r="AE204" s="314"/>
      <c r="AF204" s="314"/>
      <c r="AG204" s="314"/>
      <c r="AJ204" s="13" t="str">
        <f t="shared" ref="AJ204:AQ204" si="412">IF(OR(E204=$C204,E204=$D204,E204=""),"0","1")</f>
        <v>0</v>
      </c>
      <c r="AK204" s="13" t="str">
        <f t="shared" si="412"/>
        <v>0</v>
      </c>
      <c r="AL204" s="13" t="str">
        <f t="shared" si="412"/>
        <v>0</v>
      </c>
      <c r="AM204" s="13" t="str">
        <f t="shared" si="412"/>
        <v>0</v>
      </c>
      <c r="AN204" s="13" t="str">
        <f t="shared" si="412"/>
        <v>0</v>
      </c>
      <c r="AO204" s="13" t="str">
        <f t="shared" si="412"/>
        <v>0</v>
      </c>
      <c r="AP204" s="13" t="str">
        <f t="shared" si="412"/>
        <v>0</v>
      </c>
      <c r="AQ204" s="13" t="str">
        <f t="shared" si="412"/>
        <v>0</v>
      </c>
      <c r="AR204" s="13" t="str">
        <f t="shared" ref="AR204:AS204" si="413">IF(OR(O204=$C204,O204=$D204,O204=""),"0","1")</f>
        <v>0</v>
      </c>
      <c r="AS204" s="13" t="str">
        <f t="shared" si="413"/>
        <v>0</v>
      </c>
      <c r="AT204" s="698">
        <f t="shared" si="11"/>
        <v>0</v>
      </c>
    </row>
    <row r="205" ht="15.75" customHeight="1">
      <c r="A205" s="788" t="str">
        <f t="shared" si="5"/>
        <v>-</v>
      </c>
      <c r="B205" s="830" t="s">
        <v>525</v>
      </c>
      <c r="C205" s="331"/>
      <c r="D205" s="331"/>
      <c r="E205" s="790"/>
      <c r="F205" s="791"/>
      <c r="G205" s="331"/>
      <c r="H205" s="331"/>
      <c r="I205" s="331"/>
      <c r="J205" s="331"/>
      <c r="K205" s="331"/>
      <c r="L205" s="331"/>
      <c r="M205" s="331"/>
      <c r="N205" s="331"/>
      <c r="O205" s="331"/>
      <c r="P205" s="331"/>
      <c r="AB205" s="314"/>
      <c r="AC205" s="314"/>
      <c r="AD205" s="314"/>
      <c r="AE205" s="314"/>
      <c r="AF205" s="314"/>
      <c r="AG205" s="314"/>
      <c r="AJ205" s="13" t="str">
        <f t="shared" ref="AJ205:AQ205" si="414">IF(OR(E205=$C205,E205=$D205,E205=""),"0","1")</f>
        <v>0</v>
      </c>
      <c r="AK205" s="13" t="str">
        <f t="shared" si="414"/>
        <v>0</v>
      </c>
      <c r="AL205" s="13" t="str">
        <f t="shared" si="414"/>
        <v>0</v>
      </c>
      <c r="AM205" s="13" t="str">
        <f t="shared" si="414"/>
        <v>0</v>
      </c>
      <c r="AN205" s="13" t="str">
        <f t="shared" si="414"/>
        <v>0</v>
      </c>
      <c r="AO205" s="13" t="str">
        <f t="shared" si="414"/>
        <v>0</v>
      </c>
      <c r="AP205" s="13" t="str">
        <f t="shared" si="414"/>
        <v>0</v>
      </c>
      <c r="AQ205" s="13" t="str">
        <f t="shared" si="414"/>
        <v>0</v>
      </c>
      <c r="AR205" s="13" t="str">
        <f t="shared" ref="AR205:AS205" si="415">IF(OR(O205=$C205,O205=$D205,O205=""),"0","1")</f>
        <v>0</v>
      </c>
      <c r="AS205" s="13" t="str">
        <f t="shared" si="415"/>
        <v>0</v>
      </c>
      <c r="AT205" s="698">
        <f t="shared" si="11"/>
        <v>0</v>
      </c>
    </row>
    <row r="206" ht="15.75" customHeight="1">
      <c r="A206" s="788" t="str">
        <f t="shared" si="5"/>
        <v>-</v>
      </c>
      <c r="B206" s="830" t="s">
        <v>525</v>
      </c>
      <c r="C206" s="331"/>
      <c r="D206" s="331"/>
      <c r="E206" s="790"/>
      <c r="F206" s="791"/>
      <c r="G206" s="331"/>
      <c r="H206" s="331"/>
      <c r="I206" s="331"/>
      <c r="J206" s="331"/>
      <c r="K206" s="331"/>
      <c r="L206" s="331"/>
      <c r="M206" s="331"/>
      <c r="N206" s="331"/>
      <c r="O206" s="331"/>
      <c r="P206" s="331"/>
      <c r="AB206" s="314"/>
      <c r="AC206" s="314"/>
      <c r="AD206" s="314"/>
      <c r="AE206" s="314"/>
      <c r="AF206" s="314"/>
      <c r="AG206" s="314"/>
      <c r="AJ206" s="13" t="str">
        <f t="shared" ref="AJ206:AQ206" si="416">IF(OR(E206=$C206,E206=$D206,E206=""),"0","1")</f>
        <v>0</v>
      </c>
      <c r="AK206" s="13" t="str">
        <f t="shared" si="416"/>
        <v>0</v>
      </c>
      <c r="AL206" s="13" t="str">
        <f t="shared" si="416"/>
        <v>0</v>
      </c>
      <c r="AM206" s="13" t="str">
        <f t="shared" si="416"/>
        <v>0</v>
      </c>
      <c r="AN206" s="13" t="str">
        <f t="shared" si="416"/>
        <v>0</v>
      </c>
      <c r="AO206" s="13" t="str">
        <f t="shared" si="416"/>
        <v>0</v>
      </c>
      <c r="AP206" s="13" t="str">
        <f t="shared" si="416"/>
        <v>0</v>
      </c>
      <c r="AQ206" s="13" t="str">
        <f t="shared" si="416"/>
        <v>0</v>
      </c>
      <c r="AR206" s="13" t="str">
        <f t="shared" ref="AR206:AS206" si="417">IF(OR(O206=$C206,O206=$D206,O206=""),"0","1")</f>
        <v>0</v>
      </c>
      <c r="AS206" s="13" t="str">
        <f t="shared" si="417"/>
        <v>0</v>
      </c>
      <c r="AT206" s="698">
        <f t="shared" si="11"/>
        <v>0</v>
      </c>
    </row>
    <row r="207" ht="15.75" customHeight="1">
      <c r="A207" s="788" t="str">
        <f t="shared" si="5"/>
        <v>-</v>
      </c>
      <c r="B207" s="830" t="s">
        <v>525</v>
      </c>
      <c r="C207" s="331"/>
      <c r="D207" s="331"/>
      <c r="E207" s="790"/>
      <c r="F207" s="791"/>
      <c r="G207" s="331"/>
      <c r="H207" s="331"/>
      <c r="I207" s="331"/>
      <c r="J207" s="331"/>
      <c r="K207" s="331"/>
      <c r="L207" s="331"/>
      <c r="M207" s="331"/>
      <c r="N207" s="331"/>
      <c r="O207" s="331"/>
      <c r="P207" s="331"/>
      <c r="AB207" s="314"/>
      <c r="AC207" s="314"/>
      <c r="AD207" s="314"/>
      <c r="AE207" s="314"/>
      <c r="AF207" s="314"/>
      <c r="AG207" s="314"/>
      <c r="AJ207" s="13" t="str">
        <f t="shared" ref="AJ207:AQ207" si="418">IF(OR(E207=$C207,E207=$D207,E207=""),"0","1")</f>
        <v>0</v>
      </c>
      <c r="AK207" s="13" t="str">
        <f t="shared" si="418"/>
        <v>0</v>
      </c>
      <c r="AL207" s="13" t="str">
        <f t="shared" si="418"/>
        <v>0</v>
      </c>
      <c r="AM207" s="13" t="str">
        <f t="shared" si="418"/>
        <v>0</v>
      </c>
      <c r="AN207" s="13" t="str">
        <f t="shared" si="418"/>
        <v>0</v>
      </c>
      <c r="AO207" s="13" t="str">
        <f t="shared" si="418"/>
        <v>0</v>
      </c>
      <c r="AP207" s="13" t="str">
        <f t="shared" si="418"/>
        <v>0</v>
      </c>
      <c r="AQ207" s="13" t="str">
        <f t="shared" si="418"/>
        <v>0</v>
      </c>
      <c r="AR207" s="13" t="str">
        <f t="shared" ref="AR207:AS207" si="419">IF(OR(O207=$C207,O207=$D207,O207=""),"0","1")</f>
        <v>0</v>
      </c>
      <c r="AS207" s="13" t="str">
        <f t="shared" si="419"/>
        <v>0</v>
      </c>
      <c r="AT207" s="698">
        <f t="shared" si="11"/>
        <v>0</v>
      </c>
    </row>
    <row r="208" ht="15.75" customHeight="1">
      <c r="A208" s="788" t="str">
        <f t="shared" si="5"/>
        <v>-</v>
      </c>
      <c r="B208" s="789" t="s">
        <v>587</v>
      </c>
      <c r="C208" s="331"/>
      <c r="D208" s="331"/>
      <c r="E208" s="790"/>
      <c r="F208" s="791"/>
      <c r="G208" s="331"/>
      <c r="H208" s="331"/>
      <c r="I208" s="331"/>
      <c r="J208" s="331"/>
      <c r="K208" s="331"/>
      <c r="L208" s="331"/>
      <c r="M208" s="331"/>
      <c r="N208" s="331"/>
      <c r="O208" s="331"/>
      <c r="P208" s="331"/>
      <c r="AB208" s="314"/>
      <c r="AC208" s="314"/>
      <c r="AD208" s="314"/>
      <c r="AE208" s="314"/>
      <c r="AF208" s="314"/>
      <c r="AG208" s="314"/>
      <c r="AJ208" s="13" t="str">
        <f t="shared" ref="AJ208:AQ208" si="420">IF(OR(E208=$C208,E208=$D208,E208=""),"0","1")</f>
        <v>0</v>
      </c>
      <c r="AK208" s="13" t="str">
        <f t="shared" si="420"/>
        <v>0</v>
      </c>
      <c r="AL208" s="13" t="str">
        <f t="shared" si="420"/>
        <v>0</v>
      </c>
      <c r="AM208" s="13" t="str">
        <f t="shared" si="420"/>
        <v>0</v>
      </c>
      <c r="AN208" s="13" t="str">
        <f t="shared" si="420"/>
        <v>0</v>
      </c>
      <c r="AO208" s="13" t="str">
        <f t="shared" si="420"/>
        <v>0</v>
      </c>
      <c r="AP208" s="13" t="str">
        <f t="shared" si="420"/>
        <v>0</v>
      </c>
      <c r="AQ208" s="13" t="str">
        <f t="shared" si="420"/>
        <v>0</v>
      </c>
      <c r="AR208" s="13" t="str">
        <f t="shared" ref="AR208:AS208" si="421">IF(OR(O208=$C208,O208=$D208,O208=""),"0","1")</f>
        <v>0</v>
      </c>
      <c r="AS208" s="13" t="str">
        <f t="shared" si="421"/>
        <v>0</v>
      </c>
      <c r="AT208" s="698">
        <f t="shared" si="11"/>
        <v>0</v>
      </c>
    </row>
    <row r="209" ht="15.75" customHeight="1">
      <c r="A209" s="788" t="str">
        <f t="shared" si="5"/>
        <v>-</v>
      </c>
      <c r="B209" s="789" t="s">
        <v>587</v>
      </c>
      <c r="C209" s="331"/>
      <c r="D209" s="331"/>
      <c r="E209" s="790"/>
      <c r="F209" s="791"/>
      <c r="G209" s="331"/>
      <c r="H209" s="331"/>
      <c r="I209" s="331"/>
      <c r="J209" s="331"/>
      <c r="K209" s="331"/>
      <c r="L209" s="331"/>
      <c r="M209" s="331"/>
      <c r="N209" s="331"/>
      <c r="O209" s="331"/>
      <c r="P209" s="331"/>
      <c r="AB209" s="314"/>
      <c r="AC209" s="314"/>
      <c r="AD209" s="314"/>
      <c r="AE209" s="314"/>
      <c r="AF209" s="314"/>
      <c r="AG209" s="314"/>
      <c r="AJ209" s="13" t="str">
        <f t="shared" ref="AJ209:AQ209" si="422">IF(OR(E209=$C209,E209=$D209,E209=""),"0","1")</f>
        <v>0</v>
      </c>
      <c r="AK209" s="13" t="str">
        <f t="shared" si="422"/>
        <v>0</v>
      </c>
      <c r="AL209" s="13" t="str">
        <f t="shared" si="422"/>
        <v>0</v>
      </c>
      <c r="AM209" s="13" t="str">
        <f t="shared" si="422"/>
        <v>0</v>
      </c>
      <c r="AN209" s="13" t="str">
        <f t="shared" si="422"/>
        <v>0</v>
      </c>
      <c r="AO209" s="13" t="str">
        <f t="shared" si="422"/>
        <v>0</v>
      </c>
      <c r="AP209" s="13" t="str">
        <f t="shared" si="422"/>
        <v>0</v>
      </c>
      <c r="AQ209" s="13" t="str">
        <f t="shared" si="422"/>
        <v>0</v>
      </c>
      <c r="AR209" s="13" t="str">
        <f t="shared" ref="AR209:AS209" si="423">IF(OR(O209=$C209,O209=$D209,O209=""),"0","1")</f>
        <v>0</v>
      </c>
      <c r="AS209" s="13" t="str">
        <f t="shared" si="423"/>
        <v>0</v>
      </c>
      <c r="AT209" s="698">
        <f t="shared" si="11"/>
        <v>0</v>
      </c>
    </row>
    <row r="210" ht="15.75" customHeight="1">
      <c r="A210" s="788" t="str">
        <f t="shared" si="5"/>
        <v>-</v>
      </c>
      <c r="B210" s="789" t="s">
        <v>587</v>
      </c>
      <c r="C210" s="331"/>
      <c r="D210" s="331"/>
      <c r="E210" s="790"/>
      <c r="F210" s="791"/>
      <c r="G210" s="331"/>
      <c r="H210" s="331"/>
      <c r="I210" s="331"/>
      <c r="J210" s="331"/>
      <c r="K210" s="331"/>
      <c r="L210" s="331"/>
      <c r="M210" s="331"/>
      <c r="N210" s="331"/>
      <c r="O210" s="331"/>
      <c r="P210" s="331"/>
      <c r="AB210" s="314"/>
      <c r="AC210" s="314"/>
      <c r="AD210" s="314"/>
      <c r="AE210" s="314"/>
      <c r="AF210" s="314"/>
      <c r="AG210" s="314"/>
      <c r="AJ210" s="13" t="str">
        <f t="shared" ref="AJ210:AQ210" si="424">IF(OR(E210=$C210,E210=$D210,E210=""),"0","1")</f>
        <v>0</v>
      </c>
      <c r="AK210" s="13" t="str">
        <f t="shared" si="424"/>
        <v>0</v>
      </c>
      <c r="AL210" s="13" t="str">
        <f t="shared" si="424"/>
        <v>0</v>
      </c>
      <c r="AM210" s="13" t="str">
        <f t="shared" si="424"/>
        <v>0</v>
      </c>
      <c r="AN210" s="13" t="str">
        <f t="shared" si="424"/>
        <v>0</v>
      </c>
      <c r="AO210" s="13" t="str">
        <f t="shared" si="424"/>
        <v>0</v>
      </c>
      <c r="AP210" s="13" t="str">
        <f t="shared" si="424"/>
        <v>0</v>
      </c>
      <c r="AQ210" s="13" t="str">
        <f t="shared" si="424"/>
        <v>0</v>
      </c>
      <c r="AR210" s="13" t="str">
        <f t="shared" ref="AR210:AS210" si="425">IF(OR(O210=$C210,O210=$D210,O210=""),"0","1")</f>
        <v>0</v>
      </c>
      <c r="AS210" s="13" t="str">
        <f t="shared" si="425"/>
        <v>0</v>
      </c>
      <c r="AT210" s="698">
        <f t="shared" si="11"/>
        <v>0</v>
      </c>
    </row>
    <row r="211" ht="15.75" customHeight="1">
      <c r="A211" s="788" t="str">
        <f t="shared" si="5"/>
        <v>-</v>
      </c>
      <c r="B211" s="789" t="s">
        <v>587</v>
      </c>
      <c r="C211" s="331"/>
      <c r="D211" s="331"/>
      <c r="E211" s="790"/>
      <c r="F211" s="791"/>
      <c r="G211" s="331"/>
      <c r="H211" s="331"/>
      <c r="I211" s="331"/>
      <c r="J211" s="331"/>
      <c r="K211" s="331"/>
      <c r="L211" s="331"/>
      <c r="M211" s="331"/>
      <c r="N211" s="331"/>
      <c r="O211" s="331"/>
      <c r="P211" s="331"/>
      <c r="AB211" s="314"/>
      <c r="AC211" s="314"/>
      <c r="AD211" s="314"/>
      <c r="AE211" s="314"/>
      <c r="AF211" s="314"/>
      <c r="AG211" s="314"/>
      <c r="AJ211" s="13" t="str">
        <f t="shared" ref="AJ211:AQ211" si="426">IF(OR(E211=$C211,E211=$D211,E211=""),"0","1")</f>
        <v>0</v>
      </c>
      <c r="AK211" s="13" t="str">
        <f t="shared" si="426"/>
        <v>0</v>
      </c>
      <c r="AL211" s="13" t="str">
        <f t="shared" si="426"/>
        <v>0</v>
      </c>
      <c r="AM211" s="13" t="str">
        <f t="shared" si="426"/>
        <v>0</v>
      </c>
      <c r="AN211" s="13" t="str">
        <f t="shared" si="426"/>
        <v>0</v>
      </c>
      <c r="AO211" s="13" t="str">
        <f t="shared" si="426"/>
        <v>0</v>
      </c>
      <c r="AP211" s="13" t="str">
        <f t="shared" si="426"/>
        <v>0</v>
      </c>
      <c r="AQ211" s="13" t="str">
        <f t="shared" si="426"/>
        <v>0</v>
      </c>
      <c r="AR211" s="13" t="str">
        <f t="shared" ref="AR211:AS211" si="427">IF(OR(O211=$C211,O211=$D211,O211=""),"0","1")</f>
        <v>0</v>
      </c>
      <c r="AS211" s="13" t="str">
        <f t="shared" si="427"/>
        <v>0</v>
      </c>
      <c r="AT211" s="698">
        <f t="shared" si="11"/>
        <v>0</v>
      </c>
    </row>
    <row r="212" ht="15.75" customHeight="1">
      <c r="A212" s="788" t="str">
        <f t="shared" si="5"/>
        <v>-</v>
      </c>
      <c r="B212" s="789" t="s">
        <v>587</v>
      </c>
      <c r="C212" s="331"/>
      <c r="D212" s="331"/>
      <c r="E212" s="790"/>
      <c r="F212" s="791"/>
      <c r="G212" s="331"/>
      <c r="H212" s="331"/>
      <c r="I212" s="331"/>
      <c r="J212" s="331"/>
      <c r="K212" s="331"/>
      <c r="L212" s="331"/>
      <c r="M212" s="331"/>
      <c r="N212" s="331"/>
      <c r="O212" s="331"/>
      <c r="P212" s="331"/>
      <c r="AB212" s="314"/>
      <c r="AC212" s="314"/>
      <c r="AD212" s="314"/>
      <c r="AE212" s="314"/>
      <c r="AF212" s="314"/>
      <c r="AG212" s="314"/>
      <c r="AJ212" s="13" t="str">
        <f t="shared" ref="AJ212:AQ212" si="428">IF(OR(E212=$C212,E212=$D212,E212=""),"0","1")</f>
        <v>0</v>
      </c>
      <c r="AK212" s="13" t="str">
        <f t="shared" si="428"/>
        <v>0</v>
      </c>
      <c r="AL212" s="13" t="str">
        <f t="shared" si="428"/>
        <v>0</v>
      </c>
      <c r="AM212" s="13" t="str">
        <f t="shared" si="428"/>
        <v>0</v>
      </c>
      <c r="AN212" s="13" t="str">
        <f t="shared" si="428"/>
        <v>0</v>
      </c>
      <c r="AO212" s="13" t="str">
        <f t="shared" si="428"/>
        <v>0</v>
      </c>
      <c r="AP212" s="13" t="str">
        <f t="shared" si="428"/>
        <v>0</v>
      </c>
      <c r="AQ212" s="13" t="str">
        <f t="shared" si="428"/>
        <v>0</v>
      </c>
      <c r="AR212" s="13" t="str">
        <f t="shared" ref="AR212:AS212" si="429">IF(OR(O212=$C212,O212=$D212,O212=""),"0","1")</f>
        <v>0</v>
      </c>
      <c r="AS212" s="13" t="str">
        <f t="shared" si="429"/>
        <v>0</v>
      </c>
      <c r="AT212" s="698">
        <f t="shared" si="11"/>
        <v>0</v>
      </c>
    </row>
    <row r="213" ht="15.75" customHeight="1">
      <c r="A213" s="788" t="str">
        <f t="shared" si="5"/>
        <v>-</v>
      </c>
      <c r="B213" s="789" t="s">
        <v>587</v>
      </c>
      <c r="C213" s="331"/>
      <c r="D213" s="331"/>
      <c r="E213" s="790"/>
      <c r="F213" s="791"/>
      <c r="G213" s="331"/>
      <c r="H213" s="331"/>
      <c r="I213" s="331"/>
      <c r="J213" s="331"/>
      <c r="K213" s="331"/>
      <c r="L213" s="331"/>
      <c r="M213" s="331"/>
      <c r="N213" s="331"/>
      <c r="O213" s="331"/>
      <c r="P213" s="331"/>
      <c r="AB213" s="314"/>
      <c r="AC213" s="314"/>
      <c r="AD213" s="314"/>
      <c r="AE213" s="314"/>
      <c r="AF213" s="314"/>
      <c r="AG213" s="314"/>
      <c r="AJ213" s="13" t="str">
        <f t="shared" ref="AJ213:AQ213" si="430">IF(OR(E213=$C213,E213=$D213,E213=""),"0","1")</f>
        <v>0</v>
      </c>
      <c r="AK213" s="13" t="str">
        <f t="shared" si="430"/>
        <v>0</v>
      </c>
      <c r="AL213" s="13" t="str">
        <f t="shared" si="430"/>
        <v>0</v>
      </c>
      <c r="AM213" s="13" t="str">
        <f t="shared" si="430"/>
        <v>0</v>
      </c>
      <c r="AN213" s="13" t="str">
        <f t="shared" si="430"/>
        <v>0</v>
      </c>
      <c r="AO213" s="13" t="str">
        <f t="shared" si="430"/>
        <v>0</v>
      </c>
      <c r="AP213" s="13" t="str">
        <f t="shared" si="430"/>
        <v>0</v>
      </c>
      <c r="AQ213" s="13" t="str">
        <f t="shared" si="430"/>
        <v>0</v>
      </c>
      <c r="AR213" s="13" t="str">
        <f t="shared" ref="AR213:AS213" si="431">IF(OR(O213=$C213,O213=$D213,O213=""),"0","1")</f>
        <v>0</v>
      </c>
      <c r="AS213" s="13" t="str">
        <f t="shared" si="431"/>
        <v>0</v>
      </c>
      <c r="AT213" s="698">
        <f t="shared" si="11"/>
        <v>0</v>
      </c>
    </row>
    <row r="214" ht="15.75" customHeight="1">
      <c r="A214" s="788" t="str">
        <f t="shared" si="5"/>
        <v>-</v>
      </c>
      <c r="B214" s="789" t="s">
        <v>587</v>
      </c>
      <c r="C214" s="331"/>
      <c r="D214" s="331"/>
      <c r="E214" s="790"/>
      <c r="F214" s="791"/>
      <c r="G214" s="331"/>
      <c r="H214" s="331"/>
      <c r="I214" s="331"/>
      <c r="J214" s="331"/>
      <c r="K214" s="331"/>
      <c r="L214" s="331"/>
      <c r="M214" s="331"/>
      <c r="N214" s="331"/>
      <c r="O214" s="331"/>
      <c r="P214" s="331"/>
      <c r="AB214" s="314"/>
      <c r="AC214" s="314"/>
      <c r="AD214" s="314"/>
      <c r="AE214" s="314"/>
      <c r="AF214" s="314"/>
      <c r="AG214" s="314"/>
      <c r="AJ214" s="13" t="str">
        <f t="shared" ref="AJ214:AQ214" si="432">IF(OR(E214=$C214,E214=$D214,E214=""),"0","1")</f>
        <v>0</v>
      </c>
      <c r="AK214" s="13" t="str">
        <f t="shared" si="432"/>
        <v>0</v>
      </c>
      <c r="AL214" s="13" t="str">
        <f t="shared" si="432"/>
        <v>0</v>
      </c>
      <c r="AM214" s="13" t="str">
        <f t="shared" si="432"/>
        <v>0</v>
      </c>
      <c r="AN214" s="13" t="str">
        <f t="shared" si="432"/>
        <v>0</v>
      </c>
      <c r="AO214" s="13" t="str">
        <f t="shared" si="432"/>
        <v>0</v>
      </c>
      <c r="AP214" s="13" t="str">
        <f t="shared" si="432"/>
        <v>0</v>
      </c>
      <c r="AQ214" s="13" t="str">
        <f t="shared" si="432"/>
        <v>0</v>
      </c>
      <c r="AR214" s="13" t="str">
        <f t="shared" ref="AR214:AS214" si="433">IF(OR(O214=$C214,O214=$D214,O214=""),"0","1")</f>
        <v>0</v>
      </c>
      <c r="AS214" s="13" t="str">
        <f t="shared" si="433"/>
        <v>0</v>
      </c>
      <c r="AT214" s="698">
        <f t="shared" si="11"/>
        <v>0</v>
      </c>
    </row>
    <row r="215" ht="15.75" customHeight="1">
      <c r="A215" s="788" t="str">
        <f t="shared" si="5"/>
        <v>-</v>
      </c>
      <c r="B215" s="789" t="s">
        <v>587</v>
      </c>
      <c r="C215" s="331"/>
      <c r="D215" s="331"/>
      <c r="E215" s="790"/>
      <c r="F215" s="791"/>
      <c r="G215" s="331"/>
      <c r="H215" s="331"/>
      <c r="I215" s="331"/>
      <c r="J215" s="331"/>
      <c r="K215" s="331"/>
      <c r="L215" s="331"/>
      <c r="M215" s="331"/>
      <c r="N215" s="331"/>
      <c r="O215" s="331"/>
      <c r="P215" s="331"/>
      <c r="AB215" s="314"/>
      <c r="AC215" s="314"/>
      <c r="AD215" s="314"/>
      <c r="AE215" s="314"/>
      <c r="AF215" s="314"/>
      <c r="AG215" s="314"/>
      <c r="AJ215" s="13" t="str">
        <f t="shared" ref="AJ215:AQ215" si="434">IF(OR(E215=$C215,E215=$D215,E215=""),"0","1")</f>
        <v>0</v>
      </c>
      <c r="AK215" s="13" t="str">
        <f t="shared" si="434"/>
        <v>0</v>
      </c>
      <c r="AL215" s="13" t="str">
        <f t="shared" si="434"/>
        <v>0</v>
      </c>
      <c r="AM215" s="13" t="str">
        <f t="shared" si="434"/>
        <v>0</v>
      </c>
      <c r="AN215" s="13" t="str">
        <f t="shared" si="434"/>
        <v>0</v>
      </c>
      <c r="AO215" s="13" t="str">
        <f t="shared" si="434"/>
        <v>0</v>
      </c>
      <c r="AP215" s="13" t="str">
        <f t="shared" si="434"/>
        <v>0</v>
      </c>
      <c r="AQ215" s="13" t="str">
        <f t="shared" si="434"/>
        <v>0</v>
      </c>
      <c r="AR215" s="13" t="str">
        <f t="shared" ref="AR215:AS215" si="435">IF(OR(O215=$C215,O215=$D215,O215=""),"0","1")</f>
        <v>0</v>
      </c>
      <c r="AS215" s="13" t="str">
        <f t="shared" si="435"/>
        <v>0</v>
      </c>
      <c r="AT215" s="698">
        <f t="shared" si="11"/>
        <v>0</v>
      </c>
    </row>
    <row r="216" ht="15.75" customHeight="1">
      <c r="A216" s="788" t="str">
        <f t="shared" si="5"/>
        <v>-</v>
      </c>
      <c r="B216" s="789" t="s">
        <v>587</v>
      </c>
      <c r="C216" s="331"/>
      <c r="D216" s="331"/>
      <c r="E216" s="790"/>
      <c r="F216" s="791"/>
      <c r="G216" s="331"/>
      <c r="H216" s="331"/>
      <c r="I216" s="331"/>
      <c r="J216" s="331"/>
      <c r="K216" s="331"/>
      <c r="L216" s="331"/>
      <c r="M216" s="331"/>
      <c r="N216" s="331"/>
      <c r="O216" s="331"/>
      <c r="P216" s="331"/>
      <c r="AB216" s="314"/>
      <c r="AC216" s="314"/>
      <c r="AD216" s="314"/>
      <c r="AE216" s="314"/>
      <c r="AF216" s="314"/>
      <c r="AG216" s="314"/>
      <c r="AJ216" s="13" t="str">
        <f t="shared" ref="AJ216:AQ216" si="436">IF(OR(E216=$C216,E216=$D216,E216=""),"0","1")</f>
        <v>0</v>
      </c>
      <c r="AK216" s="13" t="str">
        <f t="shared" si="436"/>
        <v>0</v>
      </c>
      <c r="AL216" s="13" t="str">
        <f t="shared" si="436"/>
        <v>0</v>
      </c>
      <c r="AM216" s="13" t="str">
        <f t="shared" si="436"/>
        <v>0</v>
      </c>
      <c r="AN216" s="13" t="str">
        <f t="shared" si="436"/>
        <v>0</v>
      </c>
      <c r="AO216" s="13" t="str">
        <f t="shared" si="436"/>
        <v>0</v>
      </c>
      <c r="AP216" s="13" t="str">
        <f t="shared" si="436"/>
        <v>0</v>
      </c>
      <c r="AQ216" s="13" t="str">
        <f t="shared" si="436"/>
        <v>0</v>
      </c>
      <c r="AR216" s="13" t="str">
        <f t="shared" ref="AR216:AS216" si="437">IF(OR(O216=$C216,O216=$D216,O216=""),"0","1")</f>
        <v>0</v>
      </c>
      <c r="AS216" s="13" t="str">
        <f t="shared" si="437"/>
        <v>0</v>
      </c>
      <c r="AT216" s="698">
        <f t="shared" si="11"/>
        <v>0</v>
      </c>
    </row>
    <row r="217" ht="15.75" customHeight="1">
      <c r="A217" s="788" t="str">
        <f t="shared" si="5"/>
        <v>-</v>
      </c>
      <c r="B217" s="789" t="s">
        <v>587</v>
      </c>
      <c r="C217" s="331"/>
      <c r="D217" s="331"/>
      <c r="E217" s="790"/>
      <c r="F217" s="791"/>
      <c r="G217" s="331"/>
      <c r="H217" s="331"/>
      <c r="I217" s="331"/>
      <c r="J217" s="331"/>
      <c r="K217" s="331"/>
      <c r="L217" s="331"/>
      <c r="M217" s="331"/>
      <c r="N217" s="331"/>
      <c r="O217" s="331"/>
      <c r="P217" s="331"/>
      <c r="AB217" s="314"/>
      <c r="AC217" s="314"/>
      <c r="AD217" s="314"/>
      <c r="AE217" s="314"/>
      <c r="AF217" s="314"/>
      <c r="AG217" s="314"/>
      <c r="AJ217" s="13" t="str">
        <f t="shared" ref="AJ217:AQ217" si="438">IF(OR(E217=$C217,E217=$D217,E217=""),"0","1")</f>
        <v>0</v>
      </c>
      <c r="AK217" s="13" t="str">
        <f t="shared" si="438"/>
        <v>0</v>
      </c>
      <c r="AL217" s="13" t="str">
        <f t="shared" si="438"/>
        <v>0</v>
      </c>
      <c r="AM217" s="13" t="str">
        <f t="shared" si="438"/>
        <v>0</v>
      </c>
      <c r="AN217" s="13" t="str">
        <f t="shared" si="438"/>
        <v>0</v>
      </c>
      <c r="AO217" s="13" t="str">
        <f t="shared" si="438"/>
        <v>0</v>
      </c>
      <c r="AP217" s="13" t="str">
        <f t="shared" si="438"/>
        <v>0</v>
      </c>
      <c r="AQ217" s="13" t="str">
        <f t="shared" si="438"/>
        <v>0</v>
      </c>
      <c r="AR217" s="13" t="str">
        <f t="shared" ref="AR217:AS217" si="439">IF(OR(O217=$C217,O217=$D217,O217=""),"0","1")</f>
        <v>0</v>
      </c>
      <c r="AS217" s="13" t="str">
        <f t="shared" si="439"/>
        <v>0</v>
      </c>
      <c r="AT217" s="698">
        <f t="shared" si="11"/>
        <v>0</v>
      </c>
    </row>
    <row r="218" ht="15.75" customHeight="1">
      <c r="A218" s="788" t="str">
        <f t="shared" si="5"/>
        <v>-</v>
      </c>
      <c r="B218" s="789" t="s">
        <v>587</v>
      </c>
      <c r="C218" s="331"/>
      <c r="D218" s="331"/>
      <c r="E218" s="790"/>
      <c r="F218" s="791"/>
      <c r="G218" s="331"/>
      <c r="H218" s="331"/>
      <c r="I218" s="331"/>
      <c r="J218" s="331"/>
      <c r="K218" s="331"/>
      <c r="L218" s="331"/>
      <c r="M218" s="331"/>
      <c r="N218" s="331"/>
      <c r="O218" s="331"/>
      <c r="P218" s="331"/>
      <c r="AB218" s="314"/>
      <c r="AC218" s="314"/>
      <c r="AD218" s="314"/>
      <c r="AE218" s="314"/>
      <c r="AF218" s="314"/>
      <c r="AG218" s="314"/>
      <c r="AJ218" s="13" t="str">
        <f t="shared" ref="AJ218:AQ218" si="440">IF(OR(E218=$C218,E218=$D218,E218=""),"0","1")</f>
        <v>0</v>
      </c>
      <c r="AK218" s="13" t="str">
        <f t="shared" si="440"/>
        <v>0</v>
      </c>
      <c r="AL218" s="13" t="str">
        <f t="shared" si="440"/>
        <v>0</v>
      </c>
      <c r="AM218" s="13" t="str">
        <f t="shared" si="440"/>
        <v>0</v>
      </c>
      <c r="AN218" s="13" t="str">
        <f t="shared" si="440"/>
        <v>0</v>
      </c>
      <c r="AO218" s="13" t="str">
        <f t="shared" si="440"/>
        <v>0</v>
      </c>
      <c r="AP218" s="13" t="str">
        <f t="shared" si="440"/>
        <v>0</v>
      </c>
      <c r="AQ218" s="13" t="str">
        <f t="shared" si="440"/>
        <v>0</v>
      </c>
      <c r="AR218" s="13" t="str">
        <f t="shared" ref="AR218:AS218" si="441">IF(OR(O218=$C218,O218=$D218,O218=""),"0","1")</f>
        <v>0</v>
      </c>
      <c r="AS218" s="13" t="str">
        <f t="shared" si="441"/>
        <v>0</v>
      </c>
      <c r="AT218" s="698">
        <f t="shared" si="11"/>
        <v>0</v>
      </c>
    </row>
    <row r="219" ht="15.75" customHeight="1">
      <c r="A219" s="788" t="str">
        <f t="shared" si="5"/>
        <v>-</v>
      </c>
      <c r="B219" s="789" t="s">
        <v>587</v>
      </c>
      <c r="C219" s="331"/>
      <c r="D219" s="331"/>
      <c r="E219" s="790"/>
      <c r="F219" s="791"/>
      <c r="G219" s="331"/>
      <c r="H219" s="331"/>
      <c r="I219" s="331"/>
      <c r="J219" s="331"/>
      <c r="K219" s="331"/>
      <c r="L219" s="331"/>
      <c r="M219" s="331"/>
      <c r="N219" s="331"/>
      <c r="O219" s="331"/>
      <c r="P219" s="331"/>
      <c r="AB219" s="314"/>
      <c r="AC219" s="314"/>
      <c r="AD219" s="314"/>
      <c r="AE219" s="314"/>
      <c r="AF219" s="314"/>
      <c r="AG219" s="314"/>
      <c r="AJ219" s="13" t="str">
        <f t="shared" ref="AJ219:AQ219" si="442">IF(OR(E219=$C219,E219=$D219,E219=""),"0","1")</f>
        <v>0</v>
      </c>
      <c r="AK219" s="13" t="str">
        <f t="shared" si="442"/>
        <v>0</v>
      </c>
      <c r="AL219" s="13" t="str">
        <f t="shared" si="442"/>
        <v>0</v>
      </c>
      <c r="AM219" s="13" t="str">
        <f t="shared" si="442"/>
        <v>0</v>
      </c>
      <c r="AN219" s="13" t="str">
        <f t="shared" si="442"/>
        <v>0</v>
      </c>
      <c r="AO219" s="13" t="str">
        <f t="shared" si="442"/>
        <v>0</v>
      </c>
      <c r="AP219" s="13" t="str">
        <f t="shared" si="442"/>
        <v>0</v>
      </c>
      <c r="AQ219" s="13" t="str">
        <f t="shared" si="442"/>
        <v>0</v>
      </c>
      <c r="AR219" s="13" t="str">
        <f t="shared" ref="AR219:AS219" si="443">IF(OR(O219=$C219,O219=$D219,O219=""),"0","1")</f>
        <v>0</v>
      </c>
      <c r="AS219" s="13" t="str">
        <f t="shared" si="443"/>
        <v>0</v>
      </c>
      <c r="AT219" s="698">
        <f t="shared" si="11"/>
        <v>0</v>
      </c>
    </row>
    <row r="220" ht="15.75" customHeight="1">
      <c r="A220" s="788" t="str">
        <f t="shared" si="5"/>
        <v>-</v>
      </c>
      <c r="B220" s="789" t="s">
        <v>587</v>
      </c>
      <c r="C220" s="331"/>
      <c r="D220" s="331"/>
      <c r="E220" s="790"/>
      <c r="F220" s="791"/>
      <c r="G220" s="331"/>
      <c r="H220" s="331"/>
      <c r="I220" s="331"/>
      <c r="J220" s="331"/>
      <c r="K220" s="331"/>
      <c r="L220" s="331"/>
      <c r="M220" s="331"/>
      <c r="N220" s="331"/>
      <c r="O220" s="331"/>
      <c r="P220" s="331"/>
      <c r="AB220" s="314"/>
      <c r="AC220" s="314"/>
      <c r="AD220" s="314"/>
      <c r="AE220" s="314"/>
      <c r="AF220" s="314"/>
      <c r="AG220" s="314"/>
      <c r="AJ220" s="13" t="str">
        <f t="shared" ref="AJ220:AQ220" si="444">IF(OR(E220=$C220,E220=$D220,E220=""),"0","1")</f>
        <v>0</v>
      </c>
      <c r="AK220" s="13" t="str">
        <f t="shared" si="444"/>
        <v>0</v>
      </c>
      <c r="AL220" s="13" t="str">
        <f t="shared" si="444"/>
        <v>0</v>
      </c>
      <c r="AM220" s="13" t="str">
        <f t="shared" si="444"/>
        <v>0</v>
      </c>
      <c r="AN220" s="13" t="str">
        <f t="shared" si="444"/>
        <v>0</v>
      </c>
      <c r="AO220" s="13" t="str">
        <f t="shared" si="444"/>
        <v>0</v>
      </c>
      <c r="AP220" s="13" t="str">
        <f t="shared" si="444"/>
        <v>0</v>
      </c>
      <c r="AQ220" s="13" t="str">
        <f t="shared" si="444"/>
        <v>0</v>
      </c>
      <c r="AR220" s="13" t="str">
        <f t="shared" ref="AR220:AS220" si="445">IF(OR(O220=$C220,O220=$D220,O220=""),"0","1")</f>
        <v>0</v>
      </c>
      <c r="AS220" s="13" t="str">
        <f t="shared" si="445"/>
        <v>0</v>
      </c>
      <c r="AT220" s="698">
        <f t="shared" si="11"/>
        <v>0</v>
      </c>
    </row>
    <row r="221" ht="15.75" customHeight="1">
      <c r="A221" s="788" t="str">
        <f t="shared" si="5"/>
        <v>-</v>
      </c>
      <c r="B221" s="789" t="s">
        <v>587</v>
      </c>
      <c r="C221" s="331"/>
      <c r="D221" s="331"/>
      <c r="E221" s="790"/>
      <c r="F221" s="791"/>
      <c r="G221" s="331"/>
      <c r="H221" s="331"/>
      <c r="I221" s="331"/>
      <c r="J221" s="331"/>
      <c r="K221" s="331"/>
      <c r="L221" s="331"/>
      <c r="M221" s="331"/>
      <c r="N221" s="331"/>
      <c r="O221" s="331"/>
      <c r="P221" s="331"/>
      <c r="AB221" s="314"/>
      <c r="AC221" s="314"/>
      <c r="AD221" s="314"/>
      <c r="AE221" s="314"/>
      <c r="AF221" s="314"/>
      <c r="AG221" s="314"/>
      <c r="AJ221" s="13" t="str">
        <f t="shared" ref="AJ221:AQ221" si="446">IF(OR(E221=$C221,E221=$D221,E221=""),"0","1")</f>
        <v>0</v>
      </c>
      <c r="AK221" s="13" t="str">
        <f t="shared" si="446"/>
        <v>0</v>
      </c>
      <c r="AL221" s="13" t="str">
        <f t="shared" si="446"/>
        <v>0</v>
      </c>
      <c r="AM221" s="13" t="str">
        <f t="shared" si="446"/>
        <v>0</v>
      </c>
      <c r="AN221" s="13" t="str">
        <f t="shared" si="446"/>
        <v>0</v>
      </c>
      <c r="AO221" s="13" t="str">
        <f t="shared" si="446"/>
        <v>0</v>
      </c>
      <c r="AP221" s="13" t="str">
        <f t="shared" si="446"/>
        <v>0</v>
      </c>
      <c r="AQ221" s="13" t="str">
        <f t="shared" si="446"/>
        <v>0</v>
      </c>
      <c r="AR221" s="13" t="str">
        <f t="shared" ref="AR221:AS221" si="447">IF(OR(O221=$C221,O221=$D221,O221=""),"0","1")</f>
        <v>0</v>
      </c>
      <c r="AS221" s="13" t="str">
        <f t="shared" si="447"/>
        <v>0</v>
      </c>
      <c r="AT221" s="698">
        <f t="shared" si="11"/>
        <v>0</v>
      </c>
    </row>
    <row r="222" ht="15.75" customHeight="1">
      <c r="A222" s="788" t="str">
        <f t="shared" si="5"/>
        <v>-</v>
      </c>
      <c r="B222" s="789" t="s">
        <v>587</v>
      </c>
      <c r="C222" s="331"/>
      <c r="D222" s="331"/>
      <c r="E222" s="790"/>
      <c r="F222" s="791"/>
      <c r="G222" s="331"/>
      <c r="H222" s="331"/>
      <c r="I222" s="331"/>
      <c r="J222" s="331"/>
      <c r="K222" s="331"/>
      <c r="L222" s="331"/>
      <c r="M222" s="331"/>
      <c r="N222" s="331"/>
      <c r="O222" s="331"/>
      <c r="P222" s="331"/>
      <c r="AB222" s="314"/>
      <c r="AC222" s="314"/>
      <c r="AD222" s="314"/>
      <c r="AE222" s="314"/>
      <c r="AF222" s="314"/>
      <c r="AG222" s="314"/>
      <c r="AJ222" s="13" t="str">
        <f t="shared" ref="AJ222:AQ222" si="448">IF(OR(E222=$C222,E222=$D222,E222=""),"0","1")</f>
        <v>0</v>
      </c>
      <c r="AK222" s="13" t="str">
        <f t="shared" si="448"/>
        <v>0</v>
      </c>
      <c r="AL222" s="13" t="str">
        <f t="shared" si="448"/>
        <v>0</v>
      </c>
      <c r="AM222" s="13" t="str">
        <f t="shared" si="448"/>
        <v>0</v>
      </c>
      <c r="AN222" s="13" t="str">
        <f t="shared" si="448"/>
        <v>0</v>
      </c>
      <c r="AO222" s="13" t="str">
        <f t="shared" si="448"/>
        <v>0</v>
      </c>
      <c r="AP222" s="13" t="str">
        <f t="shared" si="448"/>
        <v>0</v>
      </c>
      <c r="AQ222" s="13" t="str">
        <f t="shared" si="448"/>
        <v>0</v>
      </c>
      <c r="AR222" s="13" t="str">
        <f t="shared" ref="AR222:AS222" si="449">IF(OR(O222=$C222,O222=$D222,O222=""),"0","1")</f>
        <v>0</v>
      </c>
      <c r="AS222" s="13" t="str">
        <f t="shared" si="449"/>
        <v>0</v>
      </c>
      <c r="AT222" s="698">
        <f t="shared" si="11"/>
        <v>0</v>
      </c>
    </row>
    <row r="223" ht="15.75" customHeight="1">
      <c r="A223" s="788" t="str">
        <f t="shared" si="5"/>
        <v>-</v>
      </c>
      <c r="B223" s="789" t="s">
        <v>587</v>
      </c>
      <c r="C223" s="331"/>
      <c r="D223" s="331"/>
      <c r="E223" s="790"/>
      <c r="F223" s="791"/>
      <c r="G223" s="331"/>
      <c r="H223" s="331"/>
      <c r="I223" s="331"/>
      <c r="J223" s="331"/>
      <c r="K223" s="331"/>
      <c r="L223" s="331"/>
      <c r="M223" s="331"/>
      <c r="N223" s="331"/>
      <c r="O223" s="331"/>
      <c r="P223" s="331"/>
      <c r="AB223" s="314"/>
      <c r="AC223" s="314"/>
      <c r="AD223" s="314"/>
      <c r="AE223" s="314"/>
      <c r="AF223" s="314"/>
      <c r="AG223" s="314"/>
      <c r="AJ223" s="13" t="str">
        <f t="shared" ref="AJ223:AQ223" si="450">IF(OR(E223=$C223,E223=$D223,E223=""),"0","1")</f>
        <v>0</v>
      </c>
      <c r="AK223" s="13" t="str">
        <f t="shared" si="450"/>
        <v>0</v>
      </c>
      <c r="AL223" s="13" t="str">
        <f t="shared" si="450"/>
        <v>0</v>
      </c>
      <c r="AM223" s="13" t="str">
        <f t="shared" si="450"/>
        <v>0</v>
      </c>
      <c r="AN223" s="13" t="str">
        <f t="shared" si="450"/>
        <v>0</v>
      </c>
      <c r="AO223" s="13" t="str">
        <f t="shared" si="450"/>
        <v>0</v>
      </c>
      <c r="AP223" s="13" t="str">
        <f t="shared" si="450"/>
        <v>0</v>
      </c>
      <c r="AQ223" s="13" t="str">
        <f t="shared" si="450"/>
        <v>0</v>
      </c>
      <c r="AR223" s="13" t="str">
        <f t="shared" ref="AR223:AS223" si="451">IF(OR(O223=$C223,O223=$D223,O223=""),"0","1")</f>
        <v>0</v>
      </c>
      <c r="AS223" s="13" t="str">
        <f t="shared" si="451"/>
        <v>0</v>
      </c>
      <c r="AT223" s="698">
        <f t="shared" si="11"/>
        <v>0</v>
      </c>
    </row>
    <row r="224" ht="15.75" customHeight="1">
      <c r="A224" s="788" t="str">
        <f t="shared" si="5"/>
        <v>-</v>
      </c>
      <c r="B224" s="830" t="s">
        <v>588</v>
      </c>
      <c r="C224" s="331"/>
      <c r="D224" s="331"/>
      <c r="E224" s="790"/>
      <c r="F224" s="791"/>
      <c r="G224" s="331"/>
      <c r="H224" s="331"/>
      <c r="I224" s="331"/>
      <c r="J224" s="331"/>
      <c r="K224" s="331"/>
      <c r="L224" s="331"/>
      <c r="M224" s="331"/>
      <c r="N224" s="331"/>
      <c r="O224" s="331"/>
      <c r="P224" s="331"/>
      <c r="AB224" s="314"/>
      <c r="AC224" s="314"/>
      <c r="AD224" s="314"/>
      <c r="AE224" s="314"/>
      <c r="AF224" s="314"/>
      <c r="AG224" s="314"/>
      <c r="AJ224" s="13" t="str">
        <f t="shared" ref="AJ224:AQ224" si="452">IF(OR(E224=$C224,E224=$D224,E224=""),"0","1")</f>
        <v>0</v>
      </c>
      <c r="AK224" s="13" t="str">
        <f t="shared" si="452"/>
        <v>0</v>
      </c>
      <c r="AL224" s="13" t="str">
        <f t="shared" si="452"/>
        <v>0</v>
      </c>
      <c r="AM224" s="13" t="str">
        <f t="shared" si="452"/>
        <v>0</v>
      </c>
      <c r="AN224" s="13" t="str">
        <f t="shared" si="452"/>
        <v>0</v>
      </c>
      <c r="AO224" s="13" t="str">
        <f t="shared" si="452"/>
        <v>0</v>
      </c>
      <c r="AP224" s="13" t="str">
        <f t="shared" si="452"/>
        <v>0</v>
      </c>
      <c r="AQ224" s="13" t="str">
        <f t="shared" si="452"/>
        <v>0</v>
      </c>
      <c r="AR224" s="13" t="str">
        <f t="shared" ref="AR224:AS224" si="453">IF(OR(O224=$C224,O224=$D224,O224=""),"0","1")</f>
        <v>0</v>
      </c>
      <c r="AS224" s="13" t="str">
        <f t="shared" si="453"/>
        <v>0</v>
      </c>
      <c r="AT224" s="698">
        <f t="shared" si="11"/>
        <v>0</v>
      </c>
    </row>
    <row r="225" ht="15.75" customHeight="1">
      <c r="A225" s="788" t="str">
        <f t="shared" si="5"/>
        <v>-</v>
      </c>
      <c r="B225" s="830" t="s">
        <v>588</v>
      </c>
      <c r="C225" s="331"/>
      <c r="D225" s="331"/>
      <c r="E225" s="790"/>
      <c r="F225" s="791"/>
      <c r="G225" s="331"/>
      <c r="H225" s="331"/>
      <c r="I225" s="331"/>
      <c r="J225" s="331"/>
      <c r="K225" s="331"/>
      <c r="L225" s="331"/>
      <c r="M225" s="331"/>
      <c r="N225" s="331"/>
      <c r="O225" s="331"/>
      <c r="P225" s="331"/>
      <c r="AB225" s="314"/>
      <c r="AC225" s="314"/>
      <c r="AD225" s="314"/>
      <c r="AE225" s="314"/>
      <c r="AF225" s="314"/>
      <c r="AG225" s="314"/>
      <c r="AJ225" s="13" t="str">
        <f t="shared" ref="AJ225:AQ225" si="454">IF(OR(E225=$C225,E225=$D225,E225=""),"0","1")</f>
        <v>0</v>
      </c>
      <c r="AK225" s="13" t="str">
        <f t="shared" si="454"/>
        <v>0</v>
      </c>
      <c r="AL225" s="13" t="str">
        <f t="shared" si="454"/>
        <v>0</v>
      </c>
      <c r="AM225" s="13" t="str">
        <f t="shared" si="454"/>
        <v>0</v>
      </c>
      <c r="AN225" s="13" t="str">
        <f t="shared" si="454"/>
        <v>0</v>
      </c>
      <c r="AO225" s="13" t="str">
        <f t="shared" si="454"/>
        <v>0</v>
      </c>
      <c r="AP225" s="13" t="str">
        <f t="shared" si="454"/>
        <v>0</v>
      </c>
      <c r="AQ225" s="13" t="str">
        <f t="shared" si="454"/>
        <v>0</v>
      </c>
      <c r="AR225" s="13" t="str">
        <f t="shared" ref="AR225:AS225" si="455">IF(OR(O225=$C225,O225=$D225,O225=""),"0","1")</f>
        <v>0</v>
      </c>
      <c r="AS225" s="13" t="str">
        <f t="shared" si="455"/>
        <v>0</v>
      </c>
      <c r="AT225" s="698">
        <f t="shared" si="11"/>
        <v>0</v>
      </c>
    </row>
    <row r="226" ht="15.75" customHeight="1">
      <c r="A226" s="788" t="str">
        <f t="shared" si="5"/>
        <v>-</v>
      </c>
      <c r="B226" s="830" t="s">
        <v>588</v>
      </c>
      <c r="C226" s="331"/>
      <c r="D226" s="331"/>
      <c r="E226" s="790"/>
      <c r="F226" s="791"/>
      <c r="G226" s="331"/>
      <c r="H226" s="331"/>
      <c r="I226" s="331"/>
      <c r="J226" s="331"/>
      <c r="K226" s="331"/>
      <c r="L226" s="331"/>
      <c r="M226" s="331"/>
      <c r="N226" s="331"/>
      <c r="O226" s="331"/>
      <c r="P226" s="331"/>
      <c r="AB226" s="314"/>
      <c r="AC226" s="314"/>
      <c r="AD226" s="314"/>
      <c r="AE226" s="314"/>
      <c r="AF226" s="314"/>
      <c r="AG226" s="314"/>
      <c r="AJ226" s="13" t="str">
        <f t="shared" ref="AJ226:AQ226" si="456">IF(OR(E226=$C226,E226=$D226,E226=""),"0","1")</f>
        <v>0</v>
      </c>
      <c r="AK226" s="13" t="str">
        <f t="shared" si="456"/>
        <v>0</v>
      </c>
      <c r="AL226" s="13" t="str">
        <f t="shared" si="456"/>
        <v>0</v>
      </c>
      <c r="AM226" s="13" t="str">
        <f t="shared" si="456"/>
        <v>0</v>
      </c>
      <c r="AN226" s="13" t="str">
        <f t="shared" si="456"/>
        <v>0</v>
      </c>
      <c r="AO226" s="13" t="str">
        <f t="shared" si="456"/>
        <v>0</v>
      </c>
      <c r="AP226" s="13" t="str">
        <f t="shared" si="456"/>
        <v>0</v>
      </c>
      <c r="AQ226" s="13" t="str">
        <f t="shared" si="456"/>
        <v>0</v>
      </c>
      <c r="AR226" s="13" t="str">
        <f t="shared" ref="AR226:AS226" si="457">IF(OR(O226=$C226,O226=$D226,O226=""),"0","1")</f>
        <v>0</v>
      </c>
      <c r="AS226" s="13" t="str">
        <f t="shared" si="457"/>
        <v>0</v>
      </c>
      <c r="AT226" s="698">
        <f t="shared" si="11"/>
        <v>0</v>
      </c>
    </row>
    <row r="227" ht="15.75" customHeight="1">
      <c r="A227" s="788" t="str">
        <f t="shared" si="5"/>
        <v>-</v>
      </c>
      <c r="B227" s="830" t="s">
        <v>588</v>
      </c>
      <c r="C227" s="331"/>
      <c r="D227" s="331"/>
      <c r="E227" s="790"/>
      <c r="F227" s="791"/>
      <c r="G227" s="331"/>
      <c r="H227" s="331"/>
      <c r="I227" s="331"/>
      <c r="J227" s="331"/>
      <c r="K227" s="331"/>
      <c r="L227" s="331"/>
      <c r="M227" s="331"/>
      <c r="N227" s="331"/>
      <c r="O227" s="331"/>
      <c r="P227" s="331"/>
      <c r="AB227" s="314"/>
      <c r="AC227" s="314"/>
      <c r="AD227" s="314"/>
      <c r="AE227" s="314"/>
      <c r="AF227" s="314"/>
      <c r="AG227" s="314"/>
      <c r="AJ227" s="13" t="str">
        <f t="shared" ref="AJ227:AQ227" si="458">IF(OR(E227=$C227,E227=$D227,E227=""),"0","1")</f>
        <v>0</v>
      </c>
      <c r="AK227" s="13" t="str">
        <f t="shared" si="458"/>
        <v>0</v>
      </c>
      <c r="AL227" s="13" t="str">
        <f t="shared" si="458"/>
        <v>0</v>
      </c>
      <c r="AM227" s="13" t="str">
        <f t="shared" si="458"/>
        <v>0</v>
      </c>
      <c r="AN227" s="13" t="str">
        <f t="shared" si="458"/>
        <v>0</v>
      </c>
      <c r="AO227" s="13" t="str">
        <f t="shared" si="458"/>
        <v>0</v>
      </c>
      <c r="AP227" s="13" t="str">
        <f t="shared" si="458"/>
        <v>0</v>
      </c>
      <c r="AQ227" s="13" t="str">
        <f t="shared" si="458"/>
        <v>0</v>
      </c>
      <c r="AR227" s="13" t="str">
        <f t="shared" ref="AR227:AS227" si="459">IF(OR(O227=$C227,O227=$D227,O227=""),"0","1")</f>
        <v>0</v>
      </c>
      <c r="AS227" s="13" t="str">
        <f t="shared" si="459"/>
        <v>0</v>
      </c>
      <c r="AT227" s="698">
        <f t="shared" si="11"/>
        <v>0</v>
      </c>
    </row>
    <row r="228" ht="15.75" customHeight="1">
      <c r="A228" s="788" t="str">
        <f t="shared" si="5"/>
        <v>-</v>
      </c>
      <c r="B228" s="830" t="s">
        <v>588</v>
      </c>
      <c r="C228" s="331"/>
      <c r="D228" s="331"/>
      <c r="E228" s="790"/>
      <c r="F228" s="791"/>
      <c r="G228" s="331"/>
      <c r="H228" s="331"/>
      <c r="I228" s="331"/>
      <c r="J228" s="331"/>
      <c r="K228" s="331"/>
      <c r="L228" s="331"/>
      <c r="M228" s="331"/>
      <c r="N228" s="331"/>
      <c r="O228" s="331"/>
      <c r="P228" s="331"/>
      <c r="AB228" s="314"/>
      <c r="AC228" s="314"/>
      <c r="AD228" s="314"/>
      <c r="AE228" s="314"/>
      <c r="AF228" s="314"/>
      <c r="AG228" s="314"/>
      <c r="AJ228" s="13" t="str">
        <f t="shared" ref="AJ228:AQ228" si="460">IF(OR(E228=$C228,E228=$D228,E228=""),"0","1")</f>
        <v>0</v>
      </c>
      <c r="AK228" s="13" t="str">
        <f t="shared" si="460"/>
        <v>0</v>
      </c>
      <c r="AL228" s="13" t="str">
        <f t="shared" si="460"/>
        <v>0</v>
      </c>
      <c r="AM228" s="13" t="str">
        <f t="shared" si="460"/>
        <v>0</v>
      </c>
      <c r="AN228" s="13" t="str">
        <f t="shared" si="460"/>
        <v>0</v>
      </c>
      <c r="AO228" s="13" t="str">
        <f t="shared" si="460"/>
        <v>0</v>
      </c>
      <c r="AP228" s="13" t="str">
        <f t="shared" si="460"/>
        <v>0</v>
      </c>
      <c r="AQ228" s="13" t="str">
        <f t="shared" si="460"/>
        <v>0</v>
      </c>
      <c r="AR228" s="13" t="str">
        <f t="shared" ref="AR228:AS228" si="461">IF(OR(O228=$C228,O228=$D228,O228=""),"0","1")</f>
        <v>0</v>
      </c>
      <c r="AS228" s="13" t="str">
        <f t="shared" si="461"/>
        <v>0</v>
      </c>
      <c r="AT228" s="698">
        <f t="shared" si="11"/>
        <v>0</v>
      </c>
    </row>
    <row r="229" ht="15.75" customHeight="1">
      <c r="A229" s="788" t="str">
        <f t="shared" si="5"/>
        <v>-</v>
      </c>
      <c r="B229" s="830" t="s">
        <v>588</v>
      </c>
      <c r="C229" s="331"/>
      <c r="D229" s="331"/>
      <c r="E229" s="790"/>
      <c r="F229" s="791"/>
      <c r="G229" s="331"/>
      <c r="H229" s="331"/>
      <c r="I229" s="331"/>
      <c r="J229" s="331"/>
      <c r="K229" s="331"/>
      <c r="L229" s="331"/>
      <c r="M229" s="331"/>
      <c r="N229" s="331"/>
      <c r="O229" s="331"/>
      <c r="P229" s="331"/>
      <c r="AB229" s="314"/>
      <c r="AC229" s="314"/>
      <c r="AD229" s="314"/>
      <c r="AE229" s="314"/>
      <c r="AF229" s="314"/>
      <c r="AG229" s="314"/>
      <c r="AJ229" s="13" t="str">
        <f t="shared" ref="AJ229:AQ229" si="462">IF(OR(E229=$C229,E229=$D229,E229=""),"0","1")</f>
        <v>0</v>
      </c>
      <c r="AK229" s="13" t="str">
        <f t="shared" si="462"/>
        <v>0</v>
      </c>
      <c r="AL229" s="13" t="str">
        <f t="shared" si="462"/>
        <v>0</v>
      </c>
      <c r="AM229" s="13" t="str">
        <f t="shared" si="462"/>
        <v>0</v>
      </c>
      <c r="AN229" s="13" t="str">
        <f t="shared" si="462"/>
        <v>0</v>
      </c>
      <c r="AO229" s="13" t="str">
        <f t="shared" si="462"/>
        <v>0</v>
      </c>
      <c r="AP229" s="13" t="str">
        <f t="shared" si="462"/>
        <v>0</v>
      </c>
      <c r="AQ229" s="13" t="str">
        <f t="shared" si="462"/>
        <v>0</v>
      </c>
      <c r="AR229" s="13" t="str">
        <f t="shared" ref="AR229:AS229" si="463">IF(OR(O229=$C229,O229=$D229,O229=""),"0","1")</f>
        <v>0</v>
      </c>
      <c r="AS229" s="13" t="str">
        <f t="shared" si="463"/>
        <v>0</v>
      </c>
      <c r="AT229" s="698">
        <f t="shared" si="11"/>
        <v>0</v>
      </c>
    </row>
    <row r="230" ht="15.75" customHeight="1">
      <c r="A230" s="788" t="str">
        <f t="shared" si="5"/>
        <v>-</v>
      </c>
      <c r="B230" s="830" t="s">
        <v>588</v>
      </c>
      <c r="C230" s="331"/>
      <c r="D230" s="331"/>
      <c r="E230" s="790"/>
      <c r="F230" s="791"/>
      <c r="G230" s="331"/>
      <c r="H230" s="331"/>
      <c r="I230" s="331"/>
      <c r="J230" s="331"/>
      <c r="K230" s="331"/>
      <c r="L230" s="331"/>
      <c r="M230" s="331"/>
      <c r="N230" s="331"/>
      <c r="O230" s="331"/>
      <c r="P230" s="331"/>
      <c r="AB230" s="314"/>
      <c r="AC230" s="314"/>
      <c r="AD230" s="314"/>
      <c r="AE230" s="314"/>
      <c r="AF230" s="314"/>
      <c r="AG230" s="314"/>
      <c r="AJ230" s="13" t="str">
        <f t="shared" ref="AJ230:AQ230" si="464">IF(OR(E230=$C230,E230=$D230,E230=""),"0","1")</f>
        <v>0</v>
      </c>
      <c r="AK230" s="13" t="str">
        <f t="shared" si="464"/>
        <v>0</v>
      </c>
      <c r="AL230" s="13" t="str">
        <f t="shared" si="464"/>
        <v>0</v>
      </c>
      <c r="AM230" s="13" t="str">
        <f t="shared" si="464"/>
        <v>0</v>
      </c>
      <c r="AN230" s="13" t="str">
        <f t="shared" si="464"/>
        <v>0</v>
      </c>
      <c r="AO230" s="13" t="str">
        <f t="shared" si="464"/>
        <v>0</v>
      </c>
      <c r="AP230" s="13" t="str">
        <f t="shared" si="464"/>
        <v>0</v>
      </c>
      <c r="AQ230" s="13" t="str">
        <f t="shared" si="464"/>
        <v>0</v>
      </c>
      <c r="AR230" s="13" t="str">
        <f t="shared" ref="AR230:AS230" si="465">IF(OR(O230=$C230,O230=$D230,O230=""),"0","1")</f>
        <v>0</v>
      </c>
      <c r="AS230" s="13" t="str">
        <f t="shared" si="465"/>
        <v>0</v>
      </c>
      <c r="AT230" s="698">
        <f t="shared" si="11"/>
        <v>0</v>
      </c>
    </row>
    <row r="231" ht="15.75" customHeight="1">
      <c r="A231" s="788" t="str">
        <f t="shared" si="5"/>
        <v>-</v>
      </c>
      <c r="B231" s="830" t="s">
        <v>588</v>
      </c>
      <c r="C231" s="331"/>
      <c r="D231" s="331"/>
      <c r="E231" s="790"/>
      <c r="F231" s="791"/>
      <c r="G231" s="331"/>
      <c r="H231" s="331"/>
      <c r="I231" s="331"/>
      <c r="J231" s="331"/>
      <c r="K231" s="331"/>
      <c r="L231" s="331"/>
      <c r="M231" s="331"/>
      <c r="N231" s="331"/>
      <c r="O231" s="331"/>
      <c r="P231" s="331"/>
      <c r="AB231" s="314"/>
      <c r="AC231" s="314"/>
      <c r="AD231" s="314"/>
      <c r="AE231" s="314"/>
      <c r="AF231" s="314"/>
      <c r="AG231" s="314"/>
      <c r="AJ231" s="13" t="str">
        <f t="shared" ref="AJ231:AQ231" si="466">IF(OR(E231=$C231,E231=$D231,E231=""),"0","1")</f>
        <v>0</v>
      </c>
      <c r="AK231" s="13" t="str">
        <f t="shared" si="466"/>
        <v>0</v>
      </c>
      <c r="AL231" s="13" t="str">
        <f t="shared" si="466"/>
        <v>0</v>
      </c>
      <c r="AM231" s="13" t="str">
        <f t="shared" si="466"/>
        <v>0</v>
      </c>
      <c r="AN231" s="13" t="str">
        <f t="shared" si="466"/>
        <v>0</v>
      </c>
      <c r="AO231" s="13" t="str">
        <f t="shared" si="466"/>
        <v>0</v>
      </c>
      <c r="AP231" s="13" t="str">
        <f t="shared" si="466"/>
        <v>0</v>
      </c>
      <c r="AQ231" s="13" t="str">
        <f t="shared" si="466"/>
        <v>0</v>
      </c>
      <c r="AR231" s="13" t="str">
        <f t="shared" ref="AR231:AS231" si="467">IF(OR(O231=$C231,O231=$D231,O231=""),"0","1")</f>
        <v>0</v>
      </c>
      <c r="AS231" s="13" t="str">
        <f t="shared" si="467"/>
        <v>0</v>
      </c>
      <c r="AT231" s="698">
        <f t="shared" si="11"/>
        <v>0</v>
      </c>
    </row>
    <row r="232" ht="15.75" customHeight="1">
      <c r="A232" s="788" t="str">
        <f t="shared" si="5"/>
        <v>-</v>
      </c>
      <c r="B232" s="830" t="s">
        <v>588</v>
      </c>
      <c r="C232" s="331"/>
      <c r="D232" s="331"/>
      <c r="E232" s="790"/>
      <c r="F232" s="791"/>
      <c r="G232" s="331"/>
      <c r="H232" s="331"/>
      <c r="I232" s="331"/>
      <c r="J232" s="331"/>
      <c r="K232" s="331"/>
      <c r="L232" s="331"/>
      <c r="M232" s="331"/>
      <c r="N232" s="331"/>
      <c r="O232" s="331"/>
      <c r="P232" s="331"/>
      <c r="AB232" s="314"/>
      <c r="AC232" s="314"/>
      <c r="AD232" s="314"/>
      <c r="AE232" s="314"/>
      <c r="AF232" s="314"/>
      <c r="AG232" s="314"/>
      <c r="AJ232" s="13" t="str">
        <f t="shared" ref="AJ232:AQ232" si="468">IF(OR(E232=$C232,E232=$D232,E232=""),"0","1")</f>
        <v>0</v>
      </c>
      <c r="AK232" s="13" t="str">
        <f t="shared" si="468"/>
        <v>0</v>
      </c>
      <c r="AL232" s="13" t="str">
        <f t="shared" si="468"/>
        <v>0</v>
      </c>
      <c r="AM232" s="13" t="str">
        <f t="shared" si="468"/>
        <v>0</v>
      </c>
      <c r="AN232" s="13" t="str">
        <f t="shared" si="468"/>
        <v>0</v>
      </c>
      <c r="AO232" s="13" t="str">
        <f t="shared" si="468"/>
        <v>0</v>
      </c>
      <c r="AP232" s="13" t="str">
        <f t="shared" si="468"/>
        <v>0</v>
      </c>
      <c r="AQ232" s="13" t="str">
        <f t="shared" si="468"/>
        <v>0</v>
      </c>
      <c r="AR232" s="13" t="str">
        <f t="shared" ref="AR232:AS232" si="469">IF(OR(O232=$C232,O232=$D232,O232=""),"0","1")</f>
        <v>0</v>
      </c>
      <c r="AS232" s="13" t="str">
        <f t="shared" si="469"/>
        <v>0</v>
      </c>
      <c r="AT232" s="698">
        <f t="shared" si="11"/>
        <v>0</v>
      </c>
    </row>
    <row r="233" ht="15.75" customHeight="1">
      <c r="A233" s="788" t="str">
        <f t="shared" si="5"/>
        <v>-</v>
      </c>
      <c r="B233" s="830" t="s">
        <v>588</v>
      </c>
      <c r="C233" s="331"/>
      <c r="D233" s="331"/>
      <c r="E233" s="790"/>
      <c r="F233" s="791"/>
      <c r="G233" s="331"/>
      <c r="H233" s="331"/>
      <c r="I233" s="331"/>
      <c r="J233" s="331"/>
      <c r="K233" s="331"/>
      <c r="L233" s="331"/>
      <c r="M233" s="331"/>
      <c r="N233" s="331"/>
      <c r="O233" s="331"/>
      <c r="P233" s="331"/>
      <c r="AB233" s="314"/>
      <c r="AC233" s="314"/>
      <c r="AD233" s="314"/>
      <c r="AE233" s="314"/>
      <c r="AF233" s="314"/>
      <c r="AG233" s="314"/>
      <c r="AJ233" s="13" t="str">
        <f t="shared" ref="AJ233:AQ233" si="470">IF(OR(E233=$C233,E233=$D233,E233=""),"0","1")</f>
        <v>0</v>
      </c>
      <c r="AK233" s="13" t="str">
        <f t="shared" si="470"/>
        <v>0</v>
      </c>
      <c r="AL233" s="13" t="str">
        <f t="shared" si="470"/>
        <v>0</v>
      </c>
      <c r="AM233" s="13" t="str">
        <f t="shared" si="470"/>
        <v>0</v>
      </c>
      <c r="AN233" s="13" t="str">
        <f t="shared" si="470"/>
        <v>0</v>
      </c>
      <c r="AO233" s="13" t="str">
        <f t="shared" si="470"/>
        <v>0</v>
      </c>
      <c r="AP233" s="13" t="str">
        <f t="shared" si="470"/>
        <v>0</v>
      </c>
      <c r="AQ233" s="13" t="str">
        <f t="shared" si="470"/>
        <v>0</v>
      </c>
      <c r="AR233" s="13" t="str">
        <f t="shared" ref="AR233:AS233" si="471">IF(OR(O233=$C233,O233=$D233,O233=""),"0","1")</f>
        <v>0</v>
      </c>
      <c r="AS233" s="13" t="str">
        <f t="shared" si="471"/>
        <v>0</v>
      </c>
      <c r="AT233" s="698">
        <f t="shared" si="11"/>
        <v>0</v>
      </c>
    </row>
    <row r="234" ht="15.75" customHeight="1">
      <c r="A234" s="788" t="str">
        <f t="shared" si="5"/>
        <v>-</v>
      </c>
      <c r="B234" s="830" t="s">
        <v>588</v>
      </c>
      <c r="C234" s="331"/>
      <c r="D234" s="331"/>
      <c r="E234" s="790"/>
      <c r="F234" s="791"/>
      <c r="G234" s="331"/>
      <c r="H234" s="331"/>
      <c r="I234" s="331"/>
      <c r="J234" s="331"/>
      <c r="K234" s="331"/>
      <c r="L234" s="331"/>
      <c r="M234" s="331"/>
      <c r="N234" s="331"/>
      <c r="O234" s="331"/>
      <c r="P234" s="331"/>
      <c r="AB234" s="314"/>
      <c r="AC234" s="314"/>
      <c r="AD234" s="314"/>
      <c r="AE234" s="314"/>
      <c r="AF234" s="314"/>
      <c r="AG234" s="314"/>
      <c r="AJ234" s="13" t="str">
        <f t="shared" ref="AJ234:AQ234" si="472">IF(OR(E234=$C234,E234=$D234,E234=""),"0","1")</f>
        <v>0</v>
      </c>
      <c r="AK234" s="13" t="str">
        <f t="shared" si="472"/>
        <v>0</v>
      </c>
      <c r="AL234" s="13" t="str">
        <f t="shared" si="472"/>
        <v>0</v>
      </c>
      <c r="AM234" s="13" t="str">
        <f t="shared" si="472"/>
        <v>0</v>
      </c>
      <c r="AN234" s="13" t="str">
        <f t="shared" si="472"/>
        <v>0</v>
      </c>
      <c r="AO234" s="13" t="str">
        <f t="shared" si="472"/>
        <v>0</v>
      </c>
      <c r="AP234" s="13" t="str">
        <f t="shared" si="472"/>
        <v>0</v>
      </c>
      <c r="AQ234" s="13" t="str">
        <f t="shared" si="472"/>
        <v>0</v>
      </c>
      <c r="AR234" s="13" t="str">
        <f t="shared" ref="AR234:AS234" si="473">IF(OR(O234=$C234,O234=$D234,O234=""),"0","1")</f>
        <v>0</v>
      </c>
      <c r="AS234" s="13" t="str">
        <f t="shared" si="473"/>
        <v>0</v>
      </c>
      <c r="AT234" s="698">
        <f t="shared" si="11"/>
        <v>0</v>
      </c>
    </row>
    <row r="235" ht="15.75" customHeight="1">
      <c r="A235" s="788" t="str">
        <f t="shared" si="5"/>
        <v>-</v>
      </c>
      <c r="B235" s="830" t="s">
        <v>588</v>
      </c>
      <c r="C235" s="331"/>
      <c r="D235" s="331"/>
      <c r="E235" s="790"/>
      <c r="F235" s="791"/>
      <c r="G235" s="331"/>
      <c r="H235" s="331"/>
      <c r="I235" s="331"/>
      <c r="J235" s="331"/>
      <c r="K235" s="331"/>
      <c r="L235" s="331"/>
      <c r="M235" s="331"/>
      <c r="N235" s="331"/>
      <c r="O235" s="331"/>
      <c r="P235" s="331"/>
      <c r="AB235" s="314"/>
      <c r="AC235" s="314"/>
      <c r="AD235" s="314"/>
      <c r="AE235" s="314"/>
      <c r="AF235" s="314"/>
      <c r="AG235" s="314"/>
      <c r="AJ235" s="13" t="str">
        <f t="shared" ref="AJ235:AQ235" si="474">IF(OR(E235=$C235,E235=$D235,E235=""),"0","1")</f>
        <v>0</v>
      </c>
      <c r="AK235" s="13" t="str">
        <f t="shared" si="474"/>
        <v>0</v>
      </c>
      <c r="AL235" s="13" t="str">
        <f t="shared" si="474"/>
        <v>0</v>
      </c>
      <c r="AM235" s="13" t="str">
        <f t="shared" si="474"/>
        <v>0</v>
      </c>
      <c r="AN235" s="13" t="str">
        <f t="shared" si="474"/>
        <v>0</v>
      </c>
      <c r="AO235" s="13" t="str">
        <f t="shared" si="474"/>
        <v>0</v>
      </c>
      <c r="AP235" s="13" t="str">
        <f t="shared" si="474"/>
        <v>0</v>
      </c>
      <c r="AQ235" s="13" t="str">
        <f t="shared" si="474"/>
        <v>0</v>
      </c>
      <c r="AR235" s="13" t="str">
        <f t="shared" ref="AR235:AS235" si="475">IF(OR(O235=$C235,O235=$D235,O235=""),"0","1")</f>
        <v>0</v>
      </c>
      <c r="AS235" s="13" t="str">
        <f t="shared" si="475"/>
        <v>0</v>
      </c>
      <c r="AT235" s="698">
        <f t="shared" si="11"/>
        <v>0</v>
      </c>
    </row>
    <row r="236" ht="15.75" customHeight="1">
      <c r="A236" s="788" t="str">
        <f t="shared" si="5"/>
        <v>-</v>
      </c>
      <c r="B236" s="830" t="s">
        <v>588</v>
      </c>
      <c r="C236" s="331"/>
      <c r="D236" s="331"/>
      <c r="E236" s="790"/>
      <c r="F236" s="791"/>
      <c r="G236" s="331"/>
      <c r="H236" s="331"/>
      <c r="I236" s="331"/>
      <c r="J236" s="331"/>
      <c r="K236" s="331"/>
      <c r="L236" s="331"/>
      <c r="M236" s="331"/>
      <c r="N236" s="331"/>
      <c r="O236" s="331"/>
      <c r="P236" s="331"/>
      <c r="AB236" s="314"/>
      <c r="AC236" s="314"/>
      <c r="AD236" s="314"/>
      <c r="AE236" s="314"/>
      <c r="AF236" s="314"/>
      <c r="AG236" s="314"/>
      <c r="AJ236" s="13" t="str">
        <f t="shared" ref="AJ236:AQ236" si="476">IF(OR(E236=$C236,E236=$D236,E236=""),"0","1")</f>
        <v>0</v>
      </c>
      <c r="AK236" s="13" t="str">
        <f t="shared" si="476"/>
        <v>0</v>
      </c>
      <c r="AL236" s="13" t="str">
        <f t="shared" si="476"/>
        <v>0</v>
      </c>
      <c r="AM236" s="13" t="str">
        <f t="shared" si="476"/>
        <v>0</v>
      </c>
      <c r="AN236" s="13" t="str">
        <f t="shared" si="476"/>
        <v>0</v>
      </c>
      <c r="AO236" s="13" t="str">
        <f t="shared" si="476"/>
        <v>0</v>
      </c>
      <c r="AP236" s="13" t="str">
        <f t="shared" si="476"/>
        <v>0</v>
      </c>
      <c r="AQ236" s="13" t="str">
        <f t="shared" si="476"/>
        <v>0</v>
      </c>
      <c r="AR236" s="13" t="str">
        <f t="shared" ref="AR236:AS236" si="477">IF(OR(O236=$C236,O236=$D236,O236=""),"0","1")</f>
        <v>0</v>
      </c>
      <c r="AS236" s="13" t="str">
        <f t="shared" si="477"/>
        <v>0</v>
      </c>
      <c r="AT236" s="698">
        <f t="shared" si="11"/>
        <v>0</v>
      </c>
    </row>
    <row r="237" ht="15.75" customHeight="1">
      <c r="A237" s="788" t="str">
        <f t="shared" si="5"/>
        <v>-</v>
      </c>
      <c r="B237" s="830" t="s">
        <v>588</v>
      </c>
      <c r="C237" s="331"/>
      <c r="D237" s="331"/>
      <c r="E237" s="790"/>
      <c r="F237" s="791"/>
      <c r="G237" s="331"/>
      <c r="H237" s="331"/>
      <c r="I237" s="331"/>
      <c r="J237" s="331"/>
      <c r="K237" s="331"/>
      <c r="L237" s="331"/>
      <c r="M237" s="331"/>
      <c r="N237" s="331"/>
      <c r="O237" s="331"/>
      <c r="P237" s="331"/>
      <c r="AB237" s="314"/>
      <c r="AC237" s="314"/>
      <c r="AD237" s="314"/>
      <c r="AE237" s="314"/>
      <c r="AF237" s="314"/>
      <c r="AG237" s="314"/>
      <c r="AJ237" s="13" t="str">
        <f t="shared" ref="AJ237:AQ237" si="478">IF(OR(E237=$C237,E237=$D237,E237=""),"0","1")</f>
        <v>0</v>
      </c>
      <c r="AK237" s="13" t="str">
        <f t="shared" si="478"/>
        <v>0</v>
      </c>
      <c r="AL237" s="13" t="str">
        <f t="shared" si="478"/>
        <v>0</v>
      </c>
      <c r="AM237" s="13" t="str">
        <f t="shared" si="478"/>
        <v>0</v>
      </c>
      <c r="AN237" s="13" t="str">
        <f t="shared" si="478"/>
        <v>0</v>
      </c>
      <c r="AO237" s="13" t="str">
        <f t="shared" si="478"/>
        <v>0</v>
      </c>
      <c r="AP237" s="13" t="str">
        <f t="shared" si="478"/>
        <v>0</v>
      </c>
      <c r="AQ237" s="13" t="str">
        <f t="shared" si="478"/>
        <v>0</v>
      </c>
      <c r="AR237" s="13" t="str">
        <f t="shared" ref="AR237:AS237" si="479">IF(OR(O237=$C237,O237=$D237,O237=""),"0","1")</f>
        <v>0</v>
      </c>
      <c r="AS237" s="13" t="str">
        <f t="shared" si="479"/>
        <v>0</v>
      </c>
      <c r="AT237" s="698">
        <f t="shared" si="11"/>
        <v>0</v>
      </c>
    </row>
    <row r="238" ht="15.75" customHeight="1">
      <c r="A238" s="788" t="str">
        <f t="shared" si="5"/>
        <v>-</v>
      </c>
      <c r="B238" s="830" t="s">
        <v>588</v>
      </c>
      <c r="C238" s="331"/>
      <c r="D238" s="331"/>
      <c r="E238" s="790"/>
      <c r="F238" s="791"/>
      <c r="G238" s="331"/>
      <c r="H238" s="331"/>
      <c r="I238" s="331"/>
      <c r="J238" s="331"/>
      <c r="K238" s="331"/>
      <c r="L238" s="331"/>
      <c r="M238" s="331"/>
      <c r="N238" s="331"/>
      <c r="O238" s="331"/>
      <c r="P238" s="331"/>
      <c r="AB238" s="314"/>
      <c r="AC238" s="314"/>
      <c r="AD238" s="314"/>
      <c r="AE238" s="314"/>
      <c r="AF238" s="314"/>
      <c r="AG238" s="314"/>
      <c r="AJ238" s="13" t="str">
        <f t="shared" ref="AJ238:AQ238" si="480">IF(OR(E238=$C238,E238=$D238,E238=""),"0","1")</f>
        <v>0</v>
      </c>
      <c r="AK238" s="13" t="str">
        <f t="shared" si="480"/>
        <v>0</v>
      </c>
      <c r="AL238" s="13" t="str">
        <f t="shared" si="480"/>
        <v>0</v>
      </c>
      <c r="AM238" s="13" t="str">
        <f t="shared" si="480"/>
        <v>0</v>
      </c>
      <c r="AN238" s="13" t="str">
        <f t="shared" si="480"/>
        <v>0</v>
      </c>
      <c r="AO238" s="13" t="str">
        <f t="shared" si="480"/>
        <v>0</v>
      </c>
      <c r="AP238" s="13" t="str">
        <f t="shared" si="480"/>
        <v>0</v>
      </c>
      <c r="AQ238" s="13" t="str">
        <f t="shared" si="480"/>
        <v>0</v>
      </c>
      <c r="AR238" s="13" t="str">
        <f t="shared" ref="AR238:AS238" si="481">IF(OR(O238=$C238,O238=$D238,O238=""),"0","1")</f>
        <v>0</v>
      </c>
      <c r="AS238" s="13" t="str">
        <f t="shared" si="481"/>
        <v>0</v>
      </c>
      <c r="AT238" s="698">
        <f t="shared" si="11"/>
        <v>0</v>
      </c>
    </row>
    <row r="239" ht="15.75" customHeight="1">
      <c r="A239" s="788" t="str">
        <f t="shared" si="5"/>
        <v>-</v>
      </c>
      <c r="B239" s="830" t="s">
        <v>588</v>
      </c>
      <c r="C239" s="331"/>
      <c r="D239" s="331"/>
      <c r="E239" s="790"/>
      <c r="F239" s="791"/>
      <c r="G239" s="331"/>
      <c r="H239" s="331"/>
      <c r="I239" s="331"/>
      <c r="J239" s="331"/>
      <c r="K239" s="331"/>
      <c r="L239" s="331"/>
      <c r="M239" s="331"/>
      <c r="N239" s="331"/>
      <c r="O239" s="331"/>
      <c r="P239" s="331"/>
      <c r="AB239" s="314"/>
      <c r="AC239" s="314"/>
      <c r="AD239" s="314"/>
      <c r="AE239" s="314"/>
      <c r="AF239" s="314"/>
      <c r="AG239" s="314"/>
      <c r="AJ239" s="13" t="str">
        <f t="shared" ref="AJ239:AQ239" si="482">IF(OR(E239=$C239,E239=$D239,E239=""),"0","1")</f>
        <v>0</v>
      </c>
      <c r="AK239" s="13" t="str">
        <f t="shared" si="482"/>
        <v>0</v>
      </c>
      <c r="AL239" s="13" t="str">
        <f t="shared" si="482"/>
        <v>0</v>
      </c>
      <c r="AM239" s="13" t="str">
        <f t="shared" si="482"/>
        <v>0</v>
      </c>
      <c r="AN239" s="13" t="str">
        <f t="shared" si="482"/>
        <v>0</v>
      </c>
      <c r="AO239" s="13" t="str">
        <f t="shared" si="482"/>
        <v>0</v>
      </c>
      <c r="AP239" s="13" t="str">
        <f t="shared" si="482"/>
        <v>0</v>
      </c>
      <c r="AQ239" s="13" t="str">
        <f t="shared" si="482"/>
        <v>0</v>
      </c>
      <c r="AR239" s="13" t="str">
        <f t="shared" ref="AR239:AS239" si="483">IF(OR(O239=$C239,O239=$D239,O239=""),"0","1")</f>
        <v>0</v>
      </c>
      <c r="AS239" s="13" t="str">
        <f t="shared" si="483"/>
        <v>0</v>
      </c>
      <c r="AT239" s="698">
        <f t="shared" si="11"/>
        <v>0</v>
      </c>
    </row>
    <row r="240" ht="15.75" customHeight="1">
      <c r="A240" s="788" t="str">
        <f t="shared" si="5"/>
        <v>-</v>
      </c>
      <c r="B240" s="789" t="s">
        <v>589</v>
      </c>
      <c r="C240" s="331"/>
      <c r="D240" s="331"/>
      <c r="E240" s="790"/>
      <c r="F240" s="791"/>
      <c r="G240" s="331"/>
      <c r="H240" s="331"/>
      <c r="I240" s="331"/>
      <c r="J240" s="331"/>
      <c r="K240" s="331"/>
      <c r="L240" s="331"/>
      <c r="M240" s="331"/>
      <c r="N240" s="331"/>
      <c r="O240" s="331"/>
      <c r="P240" s="331"/>
      <c r="AB240" s="314"/>
      <c r="AC240" s="314"/>
      <c r="AD240" s="314"/>
      <c r="AE240" s="314"/>
      <c r="AF240" s="314"/>
      <c r="AG240" s="314"/>
      <c r="AJ240" s="13" t="str">
        <f t="shared" ref="AJ240:AQ240" si="484">IF(OR(E240=$C240,E240=$D240,E240=""),"0","1")</f>
        <v>0</v>
      </c>
      <c r="AK240" s="13" t="str">
        <f t="shared" si="484"/>
        <v>0</v>
      </c>
      <c r="AL240" s="13" t="str">
        <f t="shared" si="484"/>
        <v>0</v>
      </c>
      <c r="AM240" s="13" t="str">
        <f t="shared" si="484"/>
        <v>0</v>
      </c>
      <c r="AN240" s="13" t="str">
        <f t="shared" si="484"/>
        <v>0</v>
      </c>
      <c r="AO240" s="13" t="str">
        <f t="shared" si="484"/>
        <v>0</v>
      </c>
      <c r="AP240" s="13" t="str">
        <f t="shared" si="484"/>
        <v>0</v>
      </c>
      <c r="AQ240" s="13" t="str">
        <f t="shared" si="484"/>
        <v>0</v>
      </c>
      <c r="AR240" s="13" t="str">
        <f t="shared" ref="AR240:AS240" si="485">IF(OR(O240=$C240,O240=$D240,O240=""),"0","1")</f>
        <v>0</v>
      </c>
      <c r="AS240" s="13" t="str">
        <f t="shared" si="485"/>
        <v>0</v>
      </c>
      <c r="AT240" s="698">
        <f t="shared" si="11"/>
        <v>0</v>
      </c>
    </row>
    <row r="241" ht="15.75" customHeight="1">
      <c r="A241" s="788" t="str">
        <f t="shared" si="5"/>
        <v>-</v>
      </c>
      <c r="B241" s="789" t="s">
        <v>589</v>
      </c>
      <c r="C241" s="331"/>
      <c r="D241" s="331"/>
      <c r="E241" s="790"/>
      <c r="F241" s="791"/>
      <c r="G241" s="331"/>
      <c r="H241" s="331"/>
      <c r="I241" s="331"/>
      <c r="J241" s="331"/>
      <c r="K241" s="331"/>
      <c r="L241" s="331"/>
      <c r="M241" s="331"/>
      <c r="N241" s="331"/>
      <c r="O241" s="331"/>
      <c r="P241" s="331"/>
      <c r="AB241" s="314"/>
      <c r="AC241" s="314"/>
      <c r="AD241" s="314"/>
      <c r="AE241" s="314"/>
      <c r="AF241" s="314"/>
      <c r="AG241" s="314"/>
      <c r="AJ241" s="13" t="str">
        <f t="shared" ref="AJ241:AQ241" si="486">IF(OR(E241=$C241,E241=$D241,E241=""),"0","1")</f>
        <v>0</v>
      </c>
      <c r="AK241" s="13" t="str">
        <f t="shared" si="486"/>
        <v>0</v>
      </c>
      <c r="AL241" s="13" t="str">
        <f t="shared" si="486"/>
        <v>0</v>
      </c>
      <c r="AM241" s="13" t="str">
        <f t="shared" si="486"/>
        <v>0</v>
      </c>
      <c r="AN241" s="13" t="str">
        <f t="shared" si="486"/>
        <v>0</v>
      </c>
      <c r="AO241" s="13" t="str">
        <f t="shared" si="486"/>
        <v>0</v>
      </c>
      <c r="AP241" s="13" t="str">
        <f t="shared" si="486"/>
        <v>0</v>
      </c>
      <c r="AQ241" s="13" t="str">
        <f t="shared" si="486"/>
        <v>0</v>
      </c>
      <c r="AR241" s="13" t="str">
        <f t="shared" ref="AR241:AS241" si="487">IF(OR(O241=$C241,O241=$D241,O241=""),"0","1")</f>
        <v>0</v>
      </c>
      <c r="AS241" s="13" t="str">
        <f t="shared" si="487"/>
        <v>0</v>
      </c>
      <c r="AT241" s="698">
        <f t="shared" si="11"/>
        <v>0</v>
      </c>
    </row>
    <row r="242" ht="15.75" customHeight="1">
      <c r="A242" s="788" t="str">
        <f t="shared" si="5"/>
        <v>-</v>
      </c>
      <c r="B242" s="789" t="s">
        <v>589</v>
      </c>
      <c r="C242" s="331"/>
      <c r="D242" s="331"/>
      <c r="E242" s="790"/>
      <c r="F242" s="791"/>
      <c r="G242" s="331"/>
      <c r="H242" s="331"/>
      <c r="I242" s="331"/>
      <c r="J242" s="331"/>
      <c r="K242" s="331"/>
      <c r="L242" s="331"/>
      <c r="M242" s="331"/>
      <c r="N242" s="331"/>
      <c r="O242" s="331"/>
      <c r="P242" s="331"/>
      <c r="AB242" s="314"/>
      <c r="AC242" s="314"/>
      <c r="AD242" s="314"/>
      <c r="AE242" s="314"/>
      <c r="AF242" s="314"/>
      <c r="AG242" s="314"/>
      <c r="AJ242" s="13" t="str">
        <f t="shared" ref="AJ242:AQ242" si="488">IF(OR(E242=$C242,E242=$D242,E242=""),"0","1")</f>
        <v>0</v>
      </c>
      <c r="AK242" s="13" t="str">
        <f t="shared" si="488"/>
        <v>0</v>
      </c>
      <c r="AL242" s="13" t="str">
        <f t="shared" si="488"/>
        <v>0</v>
      </c>
      <c r="AM242" s="13" t="str">
        <f t="shared" si="488"/>
        <v>0</v>
      </c>
      <c r="AN242" s="13" t="str">
        <f t="shared" si="488"/>
        <v>0</v>
      </c>
      <c r="AO242" s="13" t="str">
        <f t="shared" si="488"/>
        <v>0</v>
      </c>
      <c r="AP242" s="13" t="str">
        <f t="shared" si="488"/>
        <v>0</v>
      </c>
      <c r="AQ242" s="13" t="str">
        <f t="shared" si="488"/>
        <v>0</v>
      </c>
      <c r="AR242" s="13" t="str">
        <f t="shared" ref="AR242:AS242" si="489">IF(OR(O242=$C242,O242=$D242,O242=""),"0","1")</f>
        <v>0</v>
      </c>
      <c r="AS242" s="13" t="str">
        <f t="shared" si="489"/>
        <v>0</v>
      </c>
      <c r="AT242" s="698">
        <f t="shared" si="11"/>
        <v>0</v>
      </c>
    </row>
    <row r="243" ht="15.75" customHeight="1">
      <c r="A243" s="788" t="str">
        <f t="shared" si="5"/>
        <v>-</v>
      </c>
      <c r="B243" s="789" t="s">
        <v>589</v>
      </c>
      <c r="C243" s="331"/>
      <c r="D243" s="331"/>
      <c r="E243" s="790"/>
      <c r="F243" s="791"/>
      <c r="G243" s="331"/>
      <c r="H243" s="331"/>
      <c r="I243" s="331"/>
      <c r="J243" s="331"/>
      <c r="K243" s="331"/>
      <c r="L243" s="331"/>
      <c r="M243" s="331"/>
      <c r="N243" s="331"/>
      <c r="O243" s="331"/>
      <c r="P243" s="331"/>
      <c r="AB243" s="314"/>
      <c r="AC243" s="314"/>
      <c r="AD243" s="314"/>
      <c r="AE243" s="314"/>
      <c r="AF243" s="314"/>
      <c r="AG243" s="314"/>
      <c r="AJ243" s="13" t="str">
        <f t="shared" ref="AJ243:AQ243" si="490">IF(OR(E243=$C243,E243=$D243,E243=""),"0","1")</f>
        <v>0</v>
      </c>
      <c r="AK243" s="13" t="str">
        <f t="shared" si="490"/>
        <v>0</v>
      </c>
      <c r="AL243" s="13" t="str">
        <f t="shared" si="490"/>
        <v>0</v>
      </c>
      <c r="AM243" s="13" t="str">
        <f t="shared" si="490"/>
        <v>0</v>
      </c>
      <c r="AN243" s="13" t="str">
        <f t="shared" si="490"/>
        <v>0</v>
      </c>
      <c r="AO243" s="13" t="str">
        <f t="shared" si="490"/>
        <v>0</v>
      </c>
      <c r="AP243" s="13" t="str">
        <f t="shared" si="490"/>
        <v>0</v>
      </c>
      <c r="AQ243" s="13" t="str">
        <f t="shared" si="490"/>
        <v>0</v>
      </c>
      <c r="AR243" s="13" t="str">
        <f t="shared" ref="AR243:AS243" si="491">IF(OR(O243=$C243,O243=$D243,O243=""),"0","1")</f>
        <v>0</v>
      </c>
      <c r="AS243" s="13" t="str">
        <f t="shared" si="491"/>
        <v>0</v>
      </c>
      <c r="AT243" s="698">
        <f t="shared" si="11"/>
        <v>0</v>
      </c>
    </row>
    <row r="244" ht="15.75" customHeight="1">
      <c r="A244" s="788" t="str">
        <f t="shared" si="5"/>
        <v>-</v>
      </c>
      <c r="B244" s="789" t="s">
        <v>589</v>
      </c>
      <c r="C244" s="331"/>
      <c r="D244" s="331"/>
      <c r="E244" s="790"/>
      <c r="F244" s="791"/>
      <c r="G244" s="331"/>
      <c r="H244" s="331"/>
      <c r="I244" s="331"/>
      <c r="J244" s="331"/>
      <c r="K244" s="331"/>
      <c r="L244" s="331"/>
      <c r="M244" s="331"/>
      <c r="N244" s="331"/>
      <c r="O244" s="331"/>
      <c r="P244" s="331"/>
      <c r="AB244" s="314"/>
      <c r="AC244" s="314"/>
      <c r="AD244" s="314"/>
      <c r="AE244" s="314"/>
      <c r="AF244" s="314"/>
      <c r="AG244" s="314"/>
      <c r="AJ244" s="13" t="str">
        <f t="shared" ref="AJ244:AQ244" si="492">IF(OR(E244=$C244,E244=$D244,E244=""),"0","1")</f>
        <v>0</v>
      </c>
      <c r="AK244" s="13" t="str">
        <f t="shared" si="492"/>
        <v>0</v>
      </c>
      <c r="AL244" s="13" t="str">
        <f t="shared" si="492"/>
        <v>0</v>
      </c>
      <c r="AM244" s="13" t="str">
        <f t="shared" si="492"/>
        <v>0</v>
      </c>
      <c r="AN244" s="13" t="str">
        <f t="shared" si="492"/>
        <v>0</v>
      </c>
      <c r="AO244" s="13" t="str">
        <f t="shared" si="492"/>
        <v>0</v>
      </c>
      <c r="AP244" s="13" t="str">
        <f t="shared" si="492"/>
        <v>0</v>
      </c>
      <c r="AQ244" s="13" t="str">
        <f t="shared" si="492"/>
        <v>0</v>
      </c>
      <c r="AR244" s="13" t="str">
        <f t="shared" ref="AR244:AS244" si="493">IF(OR(O244=$C244,O244=$D244,O244=""),"0","1")</f>
        <v>0</v>
      </c>
      <c r="AS244" s="13" t="str">
        <f t="shared" si="493"/>
        <v>0</v>
      </c>
      <c r="AT244" s="698">
        <f t="shared" si="11"/>
        <v>0</v>
      </c>
    </row>
    <row r="245" ht="15.75" customHeight="1">
      <c r="A245" s="788" t="str">
        <f t="shared" si="5"/>
        <v>-</v>
      </c>
      <c r="B245" s="789" t="s">
        <v>589</v>
      </c>
      <c r="C245" s="331"/>
      <c r="D245" s="331"/>
      <c r="E245" s="790"/>
      <c r="F245" s="791"/>
      <c r="G245" s="331"/>
      <c r="H245" s="331"/>
      <c r="I245" s="331"/>
      <c r="J245" s="331"/>
      <c r="K245" s="331"/>
      <c r="L245" s="331"/>
      <c r="M245" s="331"/>
      <c r="N245" s="331"/>
      <c r="O245" s="331"/>
      <c r="P245" s="331"/>
      <c r="AB245" s="314"/>
      <c r="AC245" s="314"/>
      <c r="AD245" s="314"/>
      <c r="AE245" s="314"/>
      <c r="AF245" s="314"/>
      <c r="AG245" s="314"/>
      <c r="AJ245" s="13" t="str">
        <f t="shared" ref="AJ245:AQ245" si="494">IF(OR(E245=$C245,E245=$D245,E245=""),"0","1")</f>
        <v>0</v>
      </c>
      <c r="AK245" s="13" t="str">
        <f t="shared" si="494"/>
        <v>0</v>
      </c>
      <c r="AL245" s="13" t="str">
        <f t="shared" si="494"/>
        <v>0</v>
      </c>
      <c r="AM245" s="13" t="str">
        <f t="shared" si="494"/>
        <v>0</v>
      </c>
      <c r="AN245" s="13" t="str">
        <f t="shared" si="494"/>
        <v>0</v>
      </c>
      <c r="AO245" s="13" t="str">
        <f t="shared" si="494"/>
        <v>0</v>
      </c>
      <c r="AP245" s="13" t="str">
        <f t="shared" si="494"/>
        <v>0</v>
      </c>
      <c r="AQ245" s="13" t="str">
        <f t="shared" si="494"/>
        <v>0</v>
      </c>
      <c r="AR245" s="13" t="str">
        <f t="shared" ref="AR245:AS245" si="495">IF(OR(O245=$C245,O245=$D245,O245=""),"0","1")</f>
        <v>0</v>
      </c>
      <c r="AS245" s="13" t="str">
        <f t="shared" si="495"/>
        <v>0</v>
      </c>
      <c r="AT245" s="698">
        <f t="shared" si="11"/>
        <v>0</v>
      </c>
    </row>
    <row r="246" ht="15.75" customHeight="1">
      <c r="A246" s="788" t="str">
        <f t="shared" si="5"/>
        <v>-</v>
      </c>
      <c r="B246" s="789" t="s">
        <v>589</v>
      </c>
      <c r="C246" s="331"/>
      <c r="D246" s="331"/>
      <c r="E246" s="790"/>
      <c r="F246" s="791"/>
      <c r="G246" s="331"/>
      <c r="H246" s="331"/>
      <c r="I246" s="331"/>
      <c r="J246" s="331"/>
      <c r="K246" s="331"/>
      <c r="L246" s="331"/>
      <c r="M246" s="331"/>
      <c r="N246" s="331"/>
      <c r="O246" s="331"/>
      <c r="P246" s="331"/>
      <c r="AB246" s="314"/>
      <c r="AC246" s="314"/>
      <c r="AD246" s="314"/>
      <c r="AE246" s="314"/>
      <c r="AF246" s="314"/>
      <c r="AG246" s="314"/>
      <c r="AJ246" s="13" t="str">
        <f t="shared" ref="AJ246:AQ246" si="496">IF(OR(E246=$C246,E246=$D246,E246=""),"0","1")</f>
        <v>0</v>
      </c>
      <c r="AK246" s="13" t="str">
        <f t="shared" si="496"/>
        <v>0</v>
      </c>
      <c r="AL246" s="13" t="str">
        <f t="shared" si="496"/>
        <v>0</v>
      </c>
      <c r="AM246" s="13" t="str">
        <f t="shared" si="496"/>
        <v>0</v>
      </c>
      <c r="AN246" s="13" t="str">
        <f t="shared" si="496"/>
        <v>0</v>
      </c>
      <c r="AO246" s="13" t="str">
        <f t="shared" si="496"/>
        <v>0</v>
      </c>
      <c r="AP246" s="13" t="str">
        <f t="shared" si="496"/>
        <v>0</v>
      </c>
      <c r="AQ246" s="13" t="str">
        <f t="shared" si="496"/>
        <v>0</v>
      </c>
      <c r="AR246" s="13" t="str">
        <f t="shared" ref="AR246:AS246" si="497">IF(OR(O246=$C246,O246=$D246,O246=""),"0","1")</f>
        <v>0</v>
      </c>
      <c r="AS246" s="13" t="str">
        <f t="shared" si="497"/>
        <v>0</v>
      </c>
      <c r="AT246" s="698">
        <f t="shared" si="11"/>
        <v>0</v>
      </c>
    </row>
    <row r="247" ht="15.75" customHeight="1">
      <c r="A247" s="788" t="str">
        <f t="shared" si="5"/>
        <v>-</v>
      </c>
      <c r="B247" s="789" t="s">
        <v>589</v>
      </c>
      <c r="C247" s="331"/>
      <c r="D247" s="331"/>
      <c r="E247" s="790"/>
      <c r="F247" s="791"/>
      <c r="G247" s="331"/>
      <c r="H247" s="331"/>
      <c r="I247" s="331"/>
      <c r="J247" s="331"/>
      <c r="K247" s="331"/>
      <c r="L247" s="331"/>
      <c r="M247" s="331"/>
      <c r="N247" s="331"/>
      <c r="O247" s="331"/>
      <c r="P247" s="331"/>
      <c r="AB247" s="314"/>
      <c r="AC247" s="314"/>
      <c r="AD247" s="314"/>
      <c r="AE247" s="314"/>
      <c r="AF247" s="314"/>
      <c r="AG247" s="314"/>
      <c r="AJ247" s="13" t="str">
        <f t="shared" ref="AJ247:AQ247" si="498">IF(OR(E247=$C247,E247=$D247,E247=""),"0","1")</f>
        <v>0</v>
      </c>
      <c r="AK247" s="13" t="str">
        <f t="shared" si="498"/>
        <v>0</v>
      </c>
      <c r="AL247" s="13" t="str">
        <f t="shared" si="498"/>
        <v>0</v>
      </c>
      <c r="AM247" s="13" t="str">
        <f t="shared" si="498"/>
        <v>0</v>
      </c>
      <c r="AN247" s="13" t="str">
        <f t="shared" si="498"/>
        <v>0</v>
      </c>
      <c r="AO247" s="13" t="str">
        <f t="shared" si="498"/>
        <v>0</v>
      </c>
      <c r="AP247" s="13" t="str">
        <f t="shared" si="498"/>
        <v>0</v>
      </c>
      <c r="AQ247" s="13" t="str">
        <f t="shared" si="498"/>
        <v>0</v>
      </c>
      <c r="AR247" s="13" t="str">
        <f t="shared" ref="AR247:AS247" si="499">IF(OR(O247=$C247,O247=$D247,O247=""),"0","1")</f>
        <v>0</v>
      </c>
      <c r="AS247" s="13" t="str">
        <f t="shared" si="499"/>
        <v>0</v>
      </c>
      <c r="AT247" s="698">
        <f t="shared" si="11"/>
        <v>0</v>
      </c>
    </row>
    <row r="248" ht="15.75" customHeight="1">
      <c r="A248" s="788" t="str">
        <f t="shared" si="5"/>
        <v>-</v>
      </c>
      <c r="B248" s="789" t="s">
        <v>589</v>
      </c>
      <c r="C248" s="331"/>
      <c r="D248" s="331"/>
      <c r="E248" s="790"/>
      <c r="F248" s="791"/>
      <c r="G248" s="331"/>
      <c r="H248" s="331"/>
      <c r="I248" s="331"/>
      <c r="J248" s="331"/>
      <c r="K248" s="331"/>
      <c r="L248" s="331"/>
      <c r="M248" s="331"/>
      <c r="N248" s="331"/>
      <c r="O248" s="331"/>
      <c r="P248" s="331"/>
      <c r="AB248" s="314"/>
      <c r="AC248" s="314"/>
      <c r="AD248" s="314"/>
      <c r="AE248" s="314"/>
      <c r="AF248" s="314"/>
      <c r="AG248" s="314"/>
      <c r="AJ248" s="13" t="str">
        <f t="shared" ref="AJ248:AQ248" si="500">IF(OR(E248=$C248,E248=$D248,E248=""),"0","1")</f>
        <v>0</v>
      </c>
      <c r="AK248" s="13" t="str">
        <f t="shared" si="500"/>
        <v>0</v>
      </c>
      <c r="AL248" s="13" t="str">
        <f t="shared" si="500"/>
        <v>0</v>
      </c>
      <c r="AM248" s="13" t="str">
        <f t="shared" si="500"/>
        <v>0</v>
      </c>
      <c r="AN248" s="13" t="str">
        <f t="shared" si="500"/>
        <v>0</v>
      </c>
      <c r="AO248" s="13" t="str">
        <f t="shared" si="500"/>
        <v>0</v>
      </c>
      <c r="AP248" s="13" t="str">
        <f t="shared" si="500"/>
        <v>0</v>
      </c>
      <c r="AQ248" s="13" t="str">
        <f t="shared" si="500"/>
        <v>0</v>
      </c>
      <c r="AR248" s="13" t="str">
        <f t="shared" ref="AR248:AS248" si="501">IF(OR(O248=$C248,O248=$D248,O248=""),"0","1")</f>
        <v>0</v>
      </c>
      <c r="AS248" s="13" t="str">
        <f t="shared" si="501"/>
        <v>0</v>
      </c>
      <c r="AT248" s="698">
        <f t="shared" si="11"/>
        <v>0</v>
      </c>
    </row>
    <row r="249" ht="15.75" customHeight="1">
      <c r="A249" s="788" t="str">
        <f t="shared" si="5"/>
        <v>-</v>
      </c>
      <c r="B249" s="789" t="s">
        <v>589</v>
      </c>
      <c r="C249" s="331"/>
      <c r="D249" s="331"/>
      <c r="E249" s="790"/>
      <c r="F249" s="791"/>
      <c r="G249" s="331"/>
      <c r="H249" s="331"/>
      <c r="I249" s="331"/>
      <c r="J249" s="331"/>
      <c r="K249" s="331"/>
      <c r="L249" s="331"/>
      <c r="M249" s="331"/>
      <c r="N249" s="331"/>
      <c r="O249" s="331"/>
      <c r="P249" s="331"/>
      <c r="AB249" s="314"/>
      <c r="AC249" s="314"/>
      <c r="AD249" s="314"/>
      <c r="AE249" s="314"/>
      <c r="AF249" s="314"/>
      <c r="AG249" s="314"/>
      <c r="AJ249" s="13" t="str">
        <f t="shared" ref="AJ249:AQ249" si="502">IF(OR(E249=$C249,E249=$D249,E249=""),"0","1")</f>
        <v>0</v>
      </c>
      <c r="AK249" s="13" t="str">
        <f t="shared" si="502"/>
        <v>0</v>
      </c>
      <c r="AL249" s="13" t="str">
        <f t="shared" si="502"/>
        <v>0</v>
      </c>
      <c r="AM249" s="13" t="str">
        <f t="shared" si="502"/>
        <v>0</v>
      </c>
      <c r="AN249" s="13" t="str">
        <f t="shared" si="502"/>
        <v>0</v>
      </c>
      <c r="AO249" s="13" t="str">
        <f t="shared" si="502"/>
        <v>0</v>
      </c>
      <c r="AP249" s="13" t="str">
        <f t="shared" si="502"/>
        <v>0</v>
      </c>
      <c r="AQ249" s="13" t="str">
        <f t="shared" si="502"/>
        <v>0</v>
      </c>
      <c r="AR249" s="13" t="str">
        <f t="shared" ref="AR249:AS249" si="503">IF(OR(O249=$C249,O249=$D249,O249=""),"0","1")</f>
        <v>0</v>
      </c>
      <c r="AS249" s="13" t="str">
        <f t="shared" si="503"/>
        <v>0</v>
      </c>
      <c r="AT249" s="698">
        <f t="shared" si="11"/>
        <v>0</v>
      </c>
    </row>
    <row r="250" ht="15.75" customHeight="1">
      <c r="A250" s="788" t="str">
        <f t="shared" si="5"/>
        <v>-</v>
      </c>
      <c r="B250" s="789" t="s">
        <v>589</v>
      </c>
      <c r="C250" s="331"/>
      <c r="D250" s="331"/>
      <c r="E250" s="790"/>
      <c r="F250" s="791"/>
      <c r="G250" s="331"/>
      <c r="H250" s="331"/>
      <c r="I250" s="331"/>
      <c r="J250" s="331"/>
      <c r="K250" s="331"/>
      <c r="L250" s="331"/>
      <c r="M250" s="331"/>
      <c r="N250" s="331"/>
      <c r="O250" s="331"/>
      <c r="P250" s="331"/>
      <c r="AB250" s="314"/>
      <c r="AC250" s="314"/>
      <c r="AD250" s="314"/>
      <c r="AE250" s="314"/>
      <c r="AF250" s="314"/>
      <c r="AG250" s="314"/>
      <c r="AJ250" s="13" t="str">
        <f t="shared" ref="AJ250:AQ250" si="504">IF(OR(E250=$C250,E250=$D250,E250=""),"0","1")</f>
        <v>0</v>
      </c>
      <c r="AK250" s="13" t="str">
        <f t="shared" si="504"/>
        <v>0</v>
      </c>
      <c r="AL250" s="13" t="str">
        <f t="shared" si="504"/>
        <v>0</v>
      </c>
      <c r="AM250" s="13" t="str">
        <f t="shared" si="504"/>
        <v>0</v>
      </c>
      <c r="AN250" s="13" t="str">
        <f t="shared" si="504"/>
        <v>0</v>
      </c>
      <c r="AO250" s="13" t="str">
        <f t="shared" si="504"/>
        <v>0</v>
      </c>
      <c r="AP250" s="13" t="str">
        <f t="shared" si="504"/>
        <v>0</v>
      </c>
      <c r="AQ250" s="13" t="str">
        <f t="shared" si="504"/>
        <v>0</v>
      </c>
      <c r="AR250" s="13" t="str">
        <f t="shared" ref="AR250:AS250" si="505">IF(OR(O250=$C250,O250=$D250,O250=""),"0","1")</f>
        <v>0</v>
      </c>
      <c r="AS250" s="13" t="str">
        <f t="shared" si="505"/>
        <v>0</v>
      </c>
      <c r="AT250" s="698">
        <f t="shared" si="11"/>
        <v>0</v>
      </c>
    </row>
    <row r="251" ht="15.75" customHeight="1">
      <c r="A251" s="788" t="str">
        <f t="shared" si="5"/>
        <v>-</v>
      </c>
      <c r="B251" s="789" t="s">
        <v>589</v>
      </c>
      <c r="C251" s="331"/>
      <c r="D251" s="331"/>
      <c r="E251" s="790"/>
      <c r="F251" s="791"/>
      <c r="G251" s="331"/>
      <c r="H251" s="331"/>
      <c r="I251" s="331"/>
      <c r="J251" s="331"/>
      <c r="K251" s="331"/>
      <c r="L251" s="331"/>
      <c r="M251" s="331"/>
      <c r="N251" s="331"/>
      <c r="O251" s="331"/>
      <c r="P251" s="331"/>
      <c r="AB251" s="314"/>
      <c r="AC251" s="314"/>
      <c r="AD251" s="314"/>
      <c r="AE251" s="314"/>
      <c r="AF251" s="314"/>
      <c r="AG251" s="314"/>
      <c r="AJ251" s="13" t="str">
        <f t="shared" ref="AJ251:AQ251" si="506">IF(OR(E251=$C251,E251=$D251,E251=""),"0","1")</f>
        <v>0</v>
      </c>
      <c r="AK251" s="13" t="str">
        <f t="shared" si="506"/>
        <v>0</v>
      </c>
      <c r="AL251" s="13" t="str">
        <f t="shared" si="506"/>
        <v>0</v>
      </c>
      <c r="AM251" s="13" t="str">
        <f t="shared" si="506"/>
        <v>0</v>
      </c>
      <c r="AN251" s="13" t="str">
        <f t="shared" si="506"/>
        <v>0</v>
      </c>
      <c r="AO251" s="13" t="str">
        <f t="shared" si="506"/>
        <v>0</v>
      </c>
      <c r="AP251" s="13" t="str">
        <f t="shared" si="506"/>
        <v>0</v>
      </c>
      <c r="AQ251" s="13" t="str">
        <f t="shared" si="506"/>
        <v>0</v>
      </c>
      <c r="AR251" s="13" t="str">
        <f t="shared" ref="AR251:AS251" si="507">IF(OR(O251=$C251,O251=$D251,O251=""),"0","1")</f>
        <v>0</v>
      </c>
      <c r="AS251" s="13" t="str">
        <f t="shared" si="507"/>
        <v>0</v>
      </c>
      <c r="AT251" s="698">
        <f t="shared" si="11"/>
        <v>0</v>
      </c>
    </row>
    <row r="252" ht="15.75" customHeight="1">
      <c r="A252" s="788" t="str">
        <f t="shared" si="5"/>
        <v>-</v>
      </c>
      <c r="B252" s="789" t="s">
        <v>589</v>
      </c>
      <c r="C252" s="331"/>
      <c r="D252" s="331"/>
      <c r="E252" s="790"/>
      <c r="F252" s="791"/>
      <c r="G252" s="331"/>
      <c r="H252" s="331"/>
      <c r="I252" s="331"/>
      <c r="J252" s="331"/>
      <c r="K252" s="331"/>
      <c r="L252" s="331"/>
      <c r="M252" s="331"/>
      <c r="N252" s="331"/>
      <c r="O252" s="331"/>
      <c r="P252" s="331"/>
      <c r="AB252" s="314"/>
      <c r="AC252" s="314"/>
      <c r="AD252" s="314"/>
      <c r="AE252" s="314"/>
      <c r="AF252" s="314"/>
      <c r="AG252" s="314"/>
      <c r="AJ252" s="13" t="str">
        <f t="shared" ref="AJ252:AQ252" si="508">IF(OR(E252=$C252,E252=$D252,E252=""),"0","1")</f>
        <v>0</v>
      </c>
      <c r="AK252" s="13" t="str">
        <f t="shared" si="508"/>
        <v>0</v>
      </c>
      <c r="AL252" s="13" t="str">
        <f t="shared" si="508"/>
        <v>0</v>
      </c>
      <c r="AM252" s="13" t="str">
        <f t="shared" si="508"/>
        <v>0</v>
      </c>
      <c r="AN252" s="13" t="str">
        <f t="shared" si="508"/>
        <v>0</v>
      </c>
      <c r="AO252" s="13" t="str">
        <f t="shared" si="508"/>
        <v>0</v>
      </c>
      <c r="AP252" s="13" t="str">
        <f t="shared" si="508"/>
        <v>0</v>
      </c>
      <c r="AQ252" s="13" t="str">
        <f t="shared" si="508"/>
        <v>0</v>
      </c>
      <c r="AR252" s="13" t="str">
        <f t="shared" ref="AR252:AS252" si="509">IF(OR(O252=$C252,O252=$D252,O252=""),"0","1")</f>
        <v>0</v>
      </c>
      <c r="AS252" s="13" t="str">
        <f t="shared" si="509"/>
        <v>0</v>
      </c>
      <c r="AT252" s="698">
        <f t="shared" si="11"/>
        <v>0</v>
      </c>
    </row>
    <row r="253" ht="15.75" customHeight="1">
      <c r="A253" s="788" t="str">
        <f t="shared" si="5"/>
        <v>-</v>
      </c>
      <c r="B253" s="789" t="s">
        <v>589</v>
      </c>
      <c r="C253" s="331"/>
      <c r="D253" s="331"/>
      <c r="E253" s="790"/>
      <c r="F253" s="791"/>
      <c r="G253" s="331"/>
      <c r="H253" s="331"/>
      <c r="I253" s="331"/>
      <c r="J253" s="331"/>
      <c r="K253" s="331"/>
      <c r="L253" s="331"/>
      <c r="M253" s="331"/>
      <c r="N253" s="331"/>
      <c r="O253" s="331"/>
      <c r="P253" s="331"/>
      <c r="AB253" s="314"/>
      <c r="AC253" s="314"/>
      <c r="AD253" s="314"/>
      <c r="AE253" s="314"/>
      <c r="AF253" s="314"/>
      <c r="AG253" s="314"/>
      <c r="AJ253" s="13" t="str">
        <f t="shared" ref="AJ253:AQ253" si="510">IF(OR(E253=$C253,E253=$D253,E253=""),"0","1")</f>
        <v>0</v>
      </c>
      <c r="AK253" s="13" t="str">
        <f t="shared" si="510"/>
        <v>0</v>
      </c>
      <c r="AL253" s="13" t="str">
        <f t="shared" si="510"/>
        <v>0</v>
      </c>
      <c r="AM253" s="13" t="str">
        <f t="shared" si="510"/>
        <v>0</v>
      </c>
      <c r="AN253" s="13" t="str">
        <f t="shared" si="510"/>
        <v>0</v>
      </c>
      <c r="AO253" s="13" t="str">
        <f t="shared" si="510"/>
        <v>0</v>
      </c>
      <c r="AP253" s="13" t="str">
        <f t="shared" si="510"/>
        <v>0</v>
      </c>
      <c r="AQ253" s="13" t="str">
        <f t="shared" si="510"/>
        <v>0</v>
      </c>
      <c r="AR253" s="13" t="str">
        <f t="shared" ref="AR253:AS253" si="511">IF(OR(O253=$C253,O253=$D253,O253=""),"0","1")</f>
        <v>0</v>
      </c>
      <c r="AS253" s="13" t="str">
        <f t="shared" si="511"/>
        <v>0</v>
      </c>
      <c r="AT253" s="698">
        <f t="shared" si="11"/>
        <v>0</v>
      </c>
    </row>
    <row r="254" ht="15.75" customHeight="1">
      <c r="A254" s="788" t="str">
        <f t="shared" si="5"/>
        <v>-</v>
      </c>
      <c r="B254" s="789" t="s">
        <v>589</v>
      </c>
      <c r="C254" s="331"/>
      <c r="D254" s="331"/>
      <c r="E254" s="790"/>
      <c r="F254" s="791"/>
      <c r="G254" s="331"/>
      <c r="H254" s="331"/>
      <c r="I254" s="331"/>
      <c r="J254" s="331"/>
      <c r="K254" s="331"/>
      <c r="L254" s="331"/>
      <c r="M254" s="331"/>
      <c r="N254" s="331"/>
      <c r="O254" s="331"/>
      <c r="P254" s="331"/>
      <c r="AB254" s="314"/>
      <c r="AC254" s="314"/>
      <c r="AD254" s="314"/>
      <c r="AE254" s="314"/>
      <c r="AF254" s="314"/>
      <c r="AG254" s="314"/>
      <c r="AJ254" s="13" t="str">
        <f t="shared" ref="AJ254:AQ254" si="512">IF(OR(E254=$C254,E254=$D254,E254=""),"0","1")</f>
        <v>0</v>
      </c>
      <c r="AK254" s="13" t="str">
        <f t="shared" si="512"/>
        <v>0</v>
      </c>
      <c r="AL254" s="13" t="str">
        <f t="shared" si="512"/>
        <v>0</v>
      </c>
      <c r="AM254" s="13" t="str">
        <f t="shared" si="512"/>
        <v>0</v>
      </c>
      <c r="AN254" s="13" t="str">
        <f t="shared" si="512"/>
        <v>0</v>
      </c>
      <c r="AO254" s="13" t="str">
        <f t="shared" si="512"/>
        <v>0</v>
      </c>
      <c r="AP254" s="13" t="str">
        <f t="shared" si="512"/>
        <v>0</v>
      </c>
      <c r="AQ254" s="13" t="str">
        <f t="shared" si="512"/>
        <v>0</v>
      </c>
      <c r="AR254" s="13" t="str">
        <f t="shared" ref="AR254:AS254" si="513">IF(OR(O254=$C254,O254=$D254,O254=""),"0","1")</f>
        <v>0</v>
      </c>
      <c r="AS254" s="13" t="str">
        <f t="shared" si="513"/>
        <v>0</v>
      </c>
      <c r="AT254" s="698">
        <f t="shared" si="11"/>
        <v>0</v>
      </c>
    </row>
    <row r="255" ht="15.75" customHeight="1">
      <c r="A255" s="788" t="str">
        <f t="shared" si="5"/>
        <v>-</v>
      </c>
      <c r="B255" s="789" t="s">
        <v>589</v>
      </c>
      <c r="C255" s="331"/>
      <c r="D255" s="331"/>
      <c r="E255" s="790"/>
      <c r="F255" s="791"/>
      <c r="G255" s="331"/>
      <c r="H255" s="331"/>
      <c r="I255" s="331"/>
      <c r="J255" s="331"/>
      <c r="K255" s="331"/>
      <c r="L255" s="331"/>
      <c r="M255" s="331"/>
      <c r="N255" s="331"/>
      <c r="O255" s="331"/>
      <c r="P255" s="331"/>
      <c r="AB255" s="314"/>
      <c r="AC255" s="314"/>
      <c r="AD255" s="314"/>
      <c r="AE255" s="314"/>
      <c r="AF255" s="314"/>
      <c r="AG255" s="314"/>
      <c r="AJ255" s="13" t="str">
        <f t="shared" ref="AJ255:AQ255" si="514">IF(OR(E255=$C255,E255=$D255,E255=""),"0","1")</f>
        <v>0</v>
      </c>
      <c r="AK255" s="13" t="str">
        <f t="shared" si="514"/>
        <v>0</v>
      </c>
      <c r="AL255" s="13" t="str">
        <f t="shared" si="514"/>
        <v>0</v>
      </c>
      <c r="AM255" s="13" t="str">
        <f t="shared" si="514"/>
        <v>0</v>
      </c>
      <c r="AN255" s="13" t="str">
        <f t="shared" si="514"/>
        <v>0</v>
      </c>
      <c r="AO255" s="13" t="str">
        <f t="shared" si="514"/>
        <v>0</v>
      </c>
      <c r="AP255" s="13" t="str">
        <f t="shared" si="514"/>
        <v>0</v>
      </c>
      <c r="AQ255" s="13" t="str">
        <f t="shared" si="514"/>
        <v>0</v>
      </c>
      <c r="AR255" s="13" t="str">
        <f t="shared" ref="AR255:AS255" si="515">IF(OR(O255=$C255,O255=$D255,O255=""),"0","1")</f>
        <v>0</v>
      </c>
      <c r="AS255" s="13" t="str">
        <f t="shared" si="515"/>
        <v>0</v>
      </c>
      <c r="AT255" s="698">
        <f t="shared" si="11"/>
        <v>0</v>
      </c>
    </row>
    <row r="256" ht="15.75" customHeight="1">
      <c r="A256" s="788" t="str">
        <f t="shared" si="5"/>
        <v>-</v>
      </c>
      <c r="B256" s="830" t="s">
        <v>590</v>
      </c>
      <c r="C256" s="331"/>
      <c r="D256" s="331"/>
      <c r="E256" s="790"/>
      <c r="F256" s="791"/>
      <c r="G256" s="331"/>
      <c r="H256" s="331"/>
      <c r="I256" s="331"/>
      <c r="J256" s="331"/>
      <c r="K256" s="331"/>
      <c r="L256" s="331"/>
      <c r="M256" s="331"/>
      <c r="N256" s="331"/>
      <c r="O256" s="331"/>
      <c r="P256" s="331"/>
      <c r="AB256" s="314"/>
      <c r="AC256" s="314"/>
      <c r="AD256" s="314"/>
      <c r="AE256" s="314"/>
      <c r="AF256" s="314"/>
      <c r="AG256" s="314"/>
      <c r="AJ256" s="13" t="str">
        <f t="shared" ref="AJ256:AQ256" si="516">IF(OR(E256=$C256,E256=$D256,E256=""),"0","1")</f>
        <v>0</v>
      </c>
      <c r="AK256" s="13" t="str">
        <f t="shared" si="516"/>
        <v>0</v>
      </c>
      <c r="AL256" s="13" t="str">
        <f t="shared" si="516"/>
        <v>0</v>
      </c>
      <c r="AM256" s="13" t="str">
        <f t="shared" si="516"/>
        <v>0</v>
      </c>
      <c r="AN256" s="13" t="str">
        <f t="shared" si="516"/>
        <v>0</v>
      </c>
      <c r="AO256" s="13" t="str">
        <f t="shared" si="516"/>
        <v>0</v>
      </c>
      <c r="AP256" s="13" t="str">
        <f t="shared" si="516"/>
        <v>0</v>
      </c>
      <c r="AQ256" s="13" t="str">
        <f t="shared" si="516"/>
        <v>0</v>
      </c>
      <c r="AR256" s="13" t="str">
        <f t="shared" ref="AR256:AS256" si="517">IF(OR(O256=$C256,O256=$D256,O256=""),"0","1")</f>
        <v>0</v>
      </c>
      <c r="AS256" s="13" t="str">
        <f t="shared" si="517"/>
        <v>0</v>
      </c>
      <c r="AT256" s="698">
        <f t="shared" si="11"/>
        <v>0</v>
      </c>
    </row>
    <row r="257" ht="15.75" customHeight="1">
      <c r="A257" s="788" t="str">
        <f t="shared" si="5"/>
        <v>-</v>
      </c>
      <c r="B257" s="830" t="s">
        <v>590</v>
      </c>
      <c r="C257" s="331"/>
      <c r="D257" s="331"/>
      <c r="E257" s="790"/>
      <c r="F257" s="791"/>
      <c r="G257" s="331"/>
      <c r="H257" s="331"/>
      <c r="I257" s="331"/>
      <c r="J257" s="331"/>
      <c r="K257" s="331"/>
      <c r="L257" s="331"/>
      <c r="M257" s="331"/>
      <c r="N257" s="331"/>
      <c r="O257" s="331"/>
      <c r="P257" s="331"/>
      <c r="AB257" s="314"/>
      <c r="AC257" s="314"/>
      <c r="AD257" s="314"/>
      <c r="AE257" s="314"/>
      <c r="AF257" s="314"/>
      <c r="AG257" s="314"/>
      <c r="AJ257" s="13" t="str">
        <f t="shared" ref="AJ257:AQ257" si="518">IF(OR(E257=$C257,E257=$D257,E257=""),"0","1")</f>
        <v>0</v>
      </c>
      <c r="AK257" s="13" t="str">
        <f t="shared" si="518"/>
        <v>0</v>
      </c>
      <c r="AL257" s="13" t="str">
        <f t="shared" si="518"/>
        <v>0</v>
      </c>
      <c r="AM257" s="13" t="str">
        <f t="shared" si="518"/>
        <v>0</v>
      </c>
      <c r="AN257" s="13" t="str">
        <f t="shared" si="518"/>
        <v>0</v>
      </c>
      <c r="AO257" s="13" t="str">
        <f t="shared" si="518"/>
        <v>0</v>
      </c>
      <c r="AP257" s="13" t="str">
        <f t="shared" si="518"/>
        <v>0</v>
      </c>
      <c r="AQ257" s="13" t="str">
        <f t="shared" si="518"/>
        <v>0</v>
      </c>
      <c r="AR257" s="13" t="str">
        <f t="shared" ref="AR257:AS257" si="519">IF(OR(O257=$C257,O257=$D257,O257=""),"0","1")</f>
        <v>0</v>
      </c>
      <c r="AS257" s="13" t="str">
        <f t="shared" si="519"/>
        <v>0</v>
      </c>
      <c r="AT257" s="698">
        <f t="shared" si="11"/>
        <v>0</v>
      </c>
    </row>
    <row r="258" ht="15.75" customHeight="1">
      <c r="A258" s="788" t="str">
        <f t="shared" si="5"/>
        <v>-</v>
      </c>
      <c r="B258" s="830" t="s">
        <v>590</v>
      </c>
      <c r="C258" s="331"/>
      <c r="D258" s="331"/>
      <c r="E258" s="790"/>
      <c r="F258" s="791"/>
      <c r="G258" s="331"/>
      <c r="H258" s="331"/>
      <c r="I258" s="331"/>
      <c r="J258" s="331"/>
      <c r="K258" s="331"/>
      <c r="L258" s="331"/>
      <c r="M258" s="331"/>
      <c r="N258" s="331"/>
      <c r="O258" s="331"/>
      <c r="P258" s="331"/>
      <c r="AB258" s="314"/>
      <c r="AC258" s="314"/>
      <c r="AD258" s="314"/>
      <c r="AE258" s="314"/>
      <c r="AF258" s="314"/>
      <c r="AG258" s="314"/>
      <c r="AJ258" s="13" t="str">
        <f t="shared" ref="AJ258:AQ258" si="520">IF(OR(E258=$C258,E258=$D258,E258=""),"0","1")</f>
        <v>0</v>
      </c>
      <c r="AK258" s="13" t="str">
        <f t="shared" si="520"/>
        <v>0</v>
      </c>
      <c r="AL258" s="13" t="str">
        <f t="shared" si="520"/>
        <v>0</v>
      </c>
      <c r="AM258" s="13" t="str">
        <f t="shared" si="520"/>
        <v>0</v>
      </c>
      <c r="AN258" s="13" t="str">
        <f t="shared" si="520"/>
        <v>0</v>
      </c>
      <c r="AO258" s="13" t="str">
        <f t="shared" si="520"/>
        <v>0</v>
      </c>
      <c r="AP258" s="13" t="str">
        <f t="shared" si="520"/>
        <v>0</v>
      </c>
      <c r="AQ258" s="13" t="str">
        <f t="shared" si="520"/>
        <v>0</v>
      </c>
      <c r="AR258" s="13" t="str">
        <f t="shared" ref="AR258:AS258" si="521">IF(OR(O258=$C258,O258=$D258,O258=""),"0","1")</f>
        <v>0</v>
      </c>
      <c r="AS258" s="13" t="str">
        <f t="shared" si="521"/>
        <v>0</v>
      </c>
      <c r="AT258" s="698">
        <f t="shared" si="11"/>
        <v>0</v>
      </c>
    </row>
    <row r="259" ht="15.75" customHeight="1">
      <c r="A259" s="788" t="str">
        <f t="shared" si="5"/>
        <v>-</v>
      </c>
      <c r="B259" s="830" t="s">
        <v>590</v>
      </c>
      <c r="C259" s="331"/>
      <c r="D259" s="331"/>
      <c r="E259" s="790"/>
      <c r="F259" s="791"/>
      <c r="G259" s="331"/>
      <c r="H259" s="331"/>
      <c r="I259" s="331"/>
      <c r="J259" s="331"/>
      <c r="K259" s="331"/>
      <c r="L259" s="331"/>
      <c r="M259" s="331"/>
      <c r="N259" s="331"/>
      <c r="O259" s="331"/>
      <c r="P259" s="331"/>
      <c r="AB259" s="314"/>
      <c r="AC259" s="314"/>
      <c r="AD259" s="314"/>
      <c r="AE259" s="314"/>
      <c r="AF259" s="314"/>
      <c r="AG259" s="314"/>
      <c r="AJ259" s="13" t="str">
        <f t="shared" ref="AJ259:AQ259" si="522">IF(OR(E259=$C259,E259=$D259,E259=""),"0","1")</f>
        <v>0</v>
      </c>
      <c r="AK259" s="13" t="str">
        <f t="shared" si="522"/>
        <v>0</v>
      </c>
      <c r="AL259" s="13" t="str">
        <f t="shared" si="522"/>
        <v>0</v>
      </c>
      <c r="AM259" s="13" t="str">
        <f t="shared" si="522"/>
        <v>0</v>
      </c>
      <c r="AN259" s="13" t="str">
        <f t="shared" si="522"/>
        <v>0</v>
      </c>
      <c r="AO259" s="13" t="str">
        <f t="shared" si="522"/>
        <v>0</v>
      </c>
      <c r="AP259" s="13" t="str">
        <f t="shared" si="522"/>
        <v>0</v>
      </c>
      <c r="AQ259" s="13" t="str">
        <f t="shared" si="522"/>
        <v>0</v>
      </c>
      <c r="AR259" s="13" t="str">
        <f t="shared" ref="AR259:AS259" si="523">IF(OR(O259=$C259,O259=$D259,O259=""),"0","1")</f>
        <v>0</v>
      </c>
      <c r="AS259" s="13" t="str">
        <f t="shared" si="523"/>
        <v>0</v>
      </c>
      <c r="AT259" s="698">
        <f t="shared" si="11"/>
        <v>0</v>
      </c>
    </row>
    <row r="260" ht="15.75" customHeight="1">
      <c r="A260" s="788" t="str">
        <f t="shared" si="5"/>
        <v>-</v>
      </c>
      <c r="B260" s="830" t="s">
        <v>590</v>
      </c>
      <c r="C260" s="331"/>
      <c r="D260" s="331"/>
      <c r="E260" s="790"/>
      <c r="F260" s="791"/>
      <c r="G260" s="331"/>
      <c r="H260" s="331"/>
      <c r="I260" s="331"/>
      <c r="J260" s="331"/>
      <c r="K260" s="331"/>
      <c r="L260" s="331"/>
      <c r="M260" s="331"/>
      <c r="N260" s="331"/>
      <c r="O260" s="331"/>
      <c r="P260" s="331"/>
      <c r="AB260" s="314"/>
      <c r="AC260" s="314"/>
      <c r="AD260" s="314"/>
      <c r="AE260" s="314"/>
      <c r="AF260" s="314"/>
      <c r="AG260" s="314"/>
      <c r="AJ260" s="13" t="str">
        <f t="shared" ref="AJ260:AQ260" si="524">IF(OR(E260=$C260,E260=$D260,E260=""),"0","1")</f>
        <v>0</v>
      </c>
      <c r="AK260" s="13" t="str">
        <f t="shared" si="524"/>
        <v>0</v>
      </c>
      <c r="AL260" s="13" t="str">
        <f t="shared" si="524"/>
        <v>0</v>
      </c>
      <c r="AM260" s="13" t="str">
        <f t="shared" si="524"/>
        <v>0</v>
      </c>
      <c r="AN260" s="13" t="str">
        <f t="shared" si="524"/>
        <v>0</v>
      </c>
      <c r="AO260" s="13" t="str">
        <f t="shared" si="524"/>
        <v>0</v>
      </c>
      <c r="AP260" s="13" t="str">
        <f t="shared" si="524"/>
        <v>0</v>
      </c>
      <c r="AQ260" s="13" t="str">
        <f t="shared" si="524"/>
        <v>0</v>
      </c>
      <c r="AR260" s="13" t="str">
        <f t="shared" ref="AR260:AS260" si="525">IF(OR(O260=$C260,O260=$D260,O260=""),"0","1")</f>
        <v>0</v>
      </c>
      <c r="AS260" s="13" t="str">
        <f t="shared" si="525"/>
        <v>0</v>
      </c>
      <c r="AT260" s="698">
        <f t="shared" si="11"/>
        <v>0</v>
      </c>
    </row>
    <row r="261" ht="15.75" customHeight="1">
      <c r="A261" s="788" t="str">
        <f t="shared" si="5"/>
        <v>-</v>
      </c>
      <c r="B261" s="830" t="s">
        <v>590</v>
      </c>
      <c r="C261" s="331"/>
      <c r="D261" s="331"/>
      <c r="E261" s="790"/>
      <c r="F261" s="791"/>
      <c r="G261" s="331"/>
      <c r="H261" s="331"/>
      <c r="I261" s="331"/>
      <c r="J261" s="331"/>
      <c r="K261" s="331"/>
      <c r="L261" s="331"/>
      <c r="M261" s="331"/>
      <c r="N261" s="331"/>
      <c r="O261" s="331"/>
      <c r="P261" s="331"/>
      <c r="AB261" s="314"/>
      <c r="AC261" s="314"/>
      <c r="AD261" s="314"/>
      <c r="AE261" s="314"/>
      <c r="AF261" s="314"/>
      <c r="AG261" s="314"/>
      <c r="AJ261" s="13" t="str">
        <f t="shared" ref="AJ261:AQ261" si="526">IF(OR(E261=$C261,E261=$D261,E261=""),"0","1")</f>
        <v>0</v>
      </c>
      <c r="AK261" s="13" t="str">
        <f t="shared" si="526"/>
        <v>0</v>
      </c>
      <c r="AL261" s="13" t="str">
        <f t="shared" si="526"/>
        <v>0</v>
      </c>
      <c r="AM261" s="13" t="str">
        <f t="shared" si="526"/>
        <v>0</v>
      </c>
      <c r="AN261" s="13" t="str">
        <f t="shared" si="526"/>
        <v>0</v>
      </c>
      <c r="AO261" s="13" t="str">
        <f t="shared" si="526"/>
        <v>0</v>
      </c>
      <c r="AP261" s="13" t="str">
        <f t="shared" si="526"/>
        <v>0</v>
      </c>
      <c r="AQ261" s="13" t="str">
        <f t="shared" si="526"/>
        <v>0</v>
      </c>
      <c r="AR261" s="13" t="str">
        <f t="shared" ref="AR261:AS261" si="527">IF(OR(O261=$C261,O261=$D261,O261=""),"0","1")</f>
        <v>0</v>
      </c>
      <c r="AS261" s="13" t="str">
        <f t="shared" si="527"/>
        <v>0</v>
      </c>
      <c r="AT261" s="698">
        <f t="shared" si="11"/>
        <v>0</v>
      </c>
    </row>
    <row r="262" ht="15.75" customHeight="1">
      <c r="A262" s="788" t="str">
        <f t="shared" si="5"/>
        <v>-</v>
      </c>
      <c r="B262" s="830" t="s">
        <v>590</v>
      </c>
      <c r="C262" s="331"/>
      <c r="D262" s="331"/>
      <c r="E262" s="790"/>
      <c r="F262" s="791"/>
      <c r="G262" s="331"/>
      <c r="H262" s="331"/>
      <c r="I262" s="331"/>
      <c r="J262" s="331"/>
      <c r="K262" s="331"/>
      <c r="L262" s="331"/>
      <c r="M262" s="331"/>
      <c r="N262" s="331"/>
      <c r="O262" s="331"/>
      <c r="P262" s="331"/>
      <c r="AB262" s="314"/>
      <c r="AC262" s="314"/>
      <c r="AD262" s="314"/>
      <c r="AE262" s="314"/>
      <c r="AF262" s="314"/>
      <c r="AG262" s="314"/>
      <c r="AJ262" s="13" t="str">
        <f t="shared" ref="AJ262:AQ262" si="528">IF(OR(E262=$C262,E262=$D262,E262=""),"0","1")</f>
        <v>0</v>
      </c>
      <c r="AK262" s="13" t="str">
        <f t="shared" si="528"/>
        <v>0</v>
      </c>
      <c r="AL262" s="13" t="str">
        <f t="shared" si="528"/>
        <v>0</v>
      </c>
      <c r="AM262" s="13" t="str">
        <f t="shared" si="528"/>
        <v>0</v>
      </c>
      <c r="AN262" s="13" t="str">
        <f t="shared" si="528"/>
        <v>0</v>
      </c>
      <c r="AO262" s="13" t="str">
        <f t="shared" si="528"/>
        <v>0</v>
      </c>
      <c r="AP262" s="13" t="str">
        <f t="shared" si="528"/>
        <v>0</v>
      </c>
      <c r="AQ262" s="13" t="str">
        <f t="shared" si="528"/>
        <v>0</v>
      </c>
      <c r="AR262" s="13" t="str">
        <f t="shared" ref="AR262:AS262" si="529">IF(OR(O262=$C262,O262=$D262,O262=""),"0","1")</f>
        <v>0</v>
      </c>
      <c r="AS262" s="13" t="str">
        <f t="shared" si="529"/>
        <v>0</v>
      </c>
      <c r="AT262" s="698">
        <f t="shared" si="11"/>
        <v>0</v>
      </c>
    </row>
    <row r="263" ht="15.75" customHeight="1">
      <c r="A263" s="788" t="str">
        <f t="shared" si="5"/>
        <v>-</v>
      </c>
      <c r="B263" s="830" t="s">
        <v>590</v>
      </c>
      <c r="C263" s="331"/>
      <c r="D263" s="331"/>
      <c r="E263" s="790"/>
      <c r="F263" s="791"/>
      <c r="G263" s="331"/>
      <c r="H263" s="331"/>
      <c r="I263" s="331"/>
      <c r="J263" s="331"/>
      <c r="K263" s="331"/>
      <c r="L263" s="331"/>
      <c r="M263" s="331"/>
      <c r="N263" s="331"/>
      <c r="O263" s="331"/>
      <c r="P263" s="331"/>
      <c r="AB263" s="314"/>
      <c r="AC263" s="314"/>
      <c r="AD263" s="314"/>
      <c r="AE263" s="314"/>
      <c r="AF263" s="314"/>
      <c r="AG263" s="314"/>
      <c r="AJ263" s="13" t="str">
        <f t="shared" ref="AJ263:AQ263" si="530">IF(OR(E263=$C263,E263=$D263,E263=""),"0","1")</f>
        <v>0</v>
      </c>
      <c r="AK263" s="13" t="str">
        <f t="shared" si="530"/>
        <v>0</v>
      </c>
      <c r="AL263" s="13" t="str">
        <f t="shared" si="530"/>
        <v>0</v>
      </c>
      <c r="AM263" s="13" t="str">
        <f t="shared" si="530"/>
        <v>0</v>
      </c>
      <c r="AN263" s="13" t="str">
        <f t="shared" si="530"/>
        <v>0</v>
      </c>
      <c r="AO263" s="13" t="str">
        <f t="shared" si="530"/>
        <v>0</v>
      </c>
      <c r="AP263" s="13" t="str">
        <f t="shared" si="530"/>
        <v>0</v>
      </c>
      <c r="AQ263" s="13" t="str">
        <f t="shared" si="530"/>
        <v>0</v>
      </c>
      <c r="AR263" s="13" t="str">
        <f t="shared" ref="AR263:AS263" si="531">IF(OR(O263=$C263,O263=$D263,O263=""),"0","1")</f>
        <v>0</v>
      </c>
      <c r="AS263" s="13" t="str">
        <f t="shared" si="531"/>
        <v>0</v>
      </c>
      <c r="AT263" s="698">
        <f t="shared" si="11"/>
        <v>0</v>
      </c>
    </row>
    <row r="264" ht="15.75" customHeight="1">
      <c r="A264" s="788" t="str">
        <f t="shared" si="5"/>
        <v>-</v>
      </c>
      <c r="B264" s="830" t="s">
        <v>590</v>
      </c>
      <c r="C264" s="331"/>
      <c r="D264" s="331"/>
      <c r="E264" s="790"/>
      <c r="F264" s="791"/>
      <c r="G264" s="331"/>
      <c r="H264" s="331"/>
      <c r="I264" s="331"/>
      <c r="J264" s="331"/>
      <c r="K264" s="331"/>
      <c r="L264" s="331"/>
      <c r="M264" s="331"/>
      <c r="N264" s="331"/>
      <c r="O264" s="331"/>
      <c r="P264" s="331"/>
      <c r="AB264" s="314"/>
      <c r="AC264" s="314"/>
      <c r="AD264" s="314"/>
      <c r="AE264" s="314"/>
      <c r="AF264" s="314"/>
      <c r="AG264" s="314"/>
      <c r="AJ264" s="13" t="str">
        <f t="shared" ref="AJ264:AQ264" si="532">IF(OR(E264=$C264,E264=$D264,E264=""),"0","1")</f>
        <v>0</v>
      </c>
      <c r="AK264" s="13" t="str">
        <f t="shared" si="532"/>
        <v>0</v>
      </c>
      <c r="AL264" s="13" t="str">
        <f t="shared" si="532"/>
        <v>0</v>
      </c>
      <c r="AM264" s="13" t="str">
        <f t="shared" si="532"/>
        <v>0</v>
      </c>
      <c r="AN264" s="13" t="str">
        <f t="shared" si="532"/>
        <v>0</v>
      </c>
      <c r="AO264" s="13" t="str">
        <f t="shared" si="532"/>
        <v>0</v>
      </c>
      <c r="AP264" s="13" t="str">
        <f t="shared" si="532"/>
        <v>0</v>
      </c>
      <c r="AQ264" s="13" t="str">
        <f t="shared" si="532"/>
        <v>0</v>
      </c>
      <c r="AR264" s="13" t="str">
        <f t="shared" ref="AR264:AS264" si="533">IF(OR(O264=$C264,O264=$D264,O264=""),"0","1")</f>
        <v>0</v>
      </c>
      <c r="AS264" s="13" t="str">
        <f t="shared" si="533"/>
        <v>0</v>
      </c>
      <c r="AT264" s="698">
        <f t="shared" si="11"/>
        <v>0</v>
      </c>
    </row>
    <row r="265" ht="16.5" customHeight="1">
      <c r="A265" s="788" t="str">
        <f t="shared" si="5"/>
        <v>-</v>
      </c>
      <c r="B265" s="830" t="s">
        <v>590</v>
      </c>
      <c r="C265" s="331"/>
      <c r="D265" s="331"/>
      <c r="E265" s="790"/>
      <c r="F265" s="791"/>
      <c r="G265" s="331"/>
      <c r="H265" s="331"/>
      <c r="I265" s="331"/>
      <c r="J265" s="331"/>
      <c r="K265" s="331"/>
      <c r="L265" s="331"/>
      <c r="M265" s="331"/>
      <c r="N265" s="331"/>
      <c r="O265" s="331"/>
      <c r="P265" s="331"/>
      <c r="AB265" s="314"/>
      <c r="AC265" s="314"/>
      <c r="AD265" s="314"/>
      <c r="AE265" s="314"/>
      <c r="AF265" s="314"/>
      <c r="AG265" s="314"/>
      <c r="AJ265" s="13" t="str">
        <f t="shared" ref="AJ265:AQ265" si="534">IF(OR(E265=$C265,E265=$D265,E265=""),"0","1")</f>
        <v>0</v>
      </c>
      <c r="AK265" s="13" t="str">
        <f t="shared" si="534"/>
        <v>0</v>
      </c>
      <c r="AL265" s="13" t="str">
        <f t="shared" si="534"/>
        <v>0</v>
      </c>
      <c r="AM265" s="13" t="str">
        <f t="shared" si="534"/>
        <v>0</v>
      </c>
      <c r="AN265" s="13" t="str">
        <f t="shared" si="534"/>
        <v>0</v>
      </c>
      <c r="AO265" s="13" t="str">
        <f t="shared" si="534"/>
        <v>0</v>
      </c>
      <c r="AP265" s="13" t="str">
        <f t="shared" si="534"/>
        <v>0</v>
      </c>
      <c r="AQ265" s="13" t="str">
        <f t="shared" si="534"/>
        <v>0</v>
      </c>
      <c r="AR265" s="13" t="str">
        <f t="shared" ref="AR265:AS265" si="535">IF(OR(O265=$C265,O265=$D265,O265=""),"0","1")</f>
        <v>0</v>
      </c>
      <c r="AS265" s="13" t="str">
        <f t="shared" si="535"/>
        <v>0</v>
      </c>
      <c r="AT265" s="698">
        <f t="shared" si="11"/>
        <v>0</v>
      </c>
    </row>
    <row r="266" ht="15.75" customHeight="1">
      <c r="A266" s="788" t="str">
        <f t="shared" si="5"/>
        <v>-</v>
      </c>
      <c r="B266" s="830" t="s">
        <v>590</v>
      </c>
      <c r="C266" s="331"/>
      <c r="D266" s="331"/>
      <c r="E266" s="790"/>
      <c r="F266" s="791"/>
      <c r="G266" s="331"/>
      <c r="H266" s="331"/>
      <c r="I266" s="331"/>
      <c r="J266" s="331"/>
      <c r="K266" s="331"/>
      <c r="L266" s="331"/>
      <c r="M266" s="331"/>
      <c r="N266" s="331"/>
      <c r="O266" s="331"/>
      <c r="P266" s="331"/>
      <c r="AB266" s="314"/>
      <c r="AC266" s="314"/>
      <c r="AD266" s="314"/>
      <c r="AE266" s="314"/>
      <c r="AF266" s="314"/>
      <c r="AG266" s="314"/>
      <c r="AJ266" s="13" t="str">
        <f t="shared" ref="AJ266:AQ266" si="536">IF(OR(E266=$C266,E266=$D266,E266=""),"0","1")</f>
        <v>0</v>
      </c>
      <c r="AK266" s="13" t="str">
        <f t="shared" si="536"/>
        <v>0</v>
      </c>
      <c r="AL266" s="13" t="str">
        <f t="shared" si="536"/>
        <v>0</v>
      </c>
      <c r="AM266" s="13" t="str">
        <f t="shared" si="536"/>
        <v>0</v>
      </c>
      <c r="AN266" s="13" t="str">
        <f t="shared" si="536"/>
        <v>0</v>
      </c>
      <c r="AO266" s="13" t="str">
        <f t="shared" si="536"/>
        <v>0</v>
      </c>
      <c r="AP266" s="13" t="str">
        <f t="shared" si="536"/>
        <v>0</v>
      </c>
      <c r="AQ266" s="13" t="str">
        <f t="shared" si="536"/>
        <v>0</v>
      </c>
      <c r="AR266" s="13" t="str">
        <f t="shared" ref="AR266:AS266" si="537">IF(OR(O266=$C266,O266=$D266,O266=""),"0","1")</f>
        <v>0</v>
      </c>
      <c r="AS266" s="13" t="str">
        <f t="shared" si="537"/>
        <v>0</v>
      </c>
      <c r="AT266" s="698">
        <f t="shared" si="11"/>
        <v>0</v>
      </c>
    </row>
    <row r="267" ht="15.75" customHeight="1">
      <c r="A267" s="788" t="str">
        <f t="shared" si="5"/>
        <v>-</v>
      </c>
      <c r="B267" s="830" t="s">
        <v>590</v>
      </c>
      <c r="C267" s="331"/>
      <c r="D267" s="331"/>
      <c r="E267" s="790"/>
      <c r="F267" s="791"/>
      <c r="G267" s="331"/>
      <c r="H267" s="331"/>
      <c r="I267" s="331"/>
      <c r="J267" s="331"/>
      <c r="K267" s="331"/>
      <c r="L267" s="331"/>
      <c r="M267" s="331"/>
      <c r="N267" s="331"/>
      <c r="O267" s="331"/>
      <c r="P267" s="331"/>
      <c r="AB267" s="314"/>
      <c r="AC267" s="314"/>
      <c r="AD267" s="314"/>
      <c r="AE267" s="314"/>
      <c r="AF267" s="314"/>
      <c r="AG267" s="314"/>
      <c r="AJ267" s="13" t="str">
        <f t="shared" ref="AJ267:AQ267" si="538">IF(OR(E267=$C267,E267=$D267,E267=""),"0","1")</f>
        <v>0</v>
      </c>
      <c r="AK267" s="13" t="str">
        <f t="shared" si="538"/>
        <v>0</v>
      </c>
      <c r="AL267" s="13" t="str">
        <f t="shared" si="538"/>
        <v>0</v>
      </c>
      <c r="AM267" s="13" t="str">
        <f t="shared" si="538"/>
        <v>0</v>
      </c>
      <c r="AN267" s="13" t="str">
        <f t="shared" si="538"/>
        <v>0</v>
      </c>
      <c r="AO267" s="13" t="str">
        <f t="shared" si="538"/>
        <v>0</v>
      </c>
      <c r="AP267" s="13" t="str">
        <f t="shared" si="538"/>
        <v>0</v>
      </c>
      <c r="AQ267" s="13" t="str">
        <f t="shared" si="538"/>
        <v>0</v>
      </c>
      <c r="AR267" s="13" t="str">
        <f t="shared" ref="AR267:AS267" si="539">IF(OR(O267=$C267,O267=$D267,O267=""),"0","1")</f>
        <v>0</v>
      </c>
      <c r="AS267" s="13" t="str">
        <f t="shared" si="539"/>
        <v>0</v>
      </c>
      <c r="AT267" s="698">
        <f t="shared" si="11"/>
        <v>0</v>
      </c>
    </row>
    <row r="268" ht="15.75" customHeight="1">
      <c r="A268" s="788" t="str">
        <f t="shared" si="5"/>
        <v>-</v>
      </c>
      <c r="B268" s="830" t="s">
        <v>590</v>
      </c>
      <c r="C268" s="331"/>
      <c r="D268" s="331"/>
      <c r="E268" s="790"/>
      <c r="F268" s="791"/>
      <c r="G268" s="331"/>
      <c r="H268" s="331"/>
      <c r="I268" s="331"/>
      <c r="J268" s="331"/>
      <c r="K268" s="331"/>
      <c r="L268" s="331"/>
      <c r="M268" s="331"/>
      <c r="N268" s="331"/>
      <c r="O268" s="331"/>
      <c r="P268" s="331"/>
      <c r="AB268" s="314"/>
      <c r="AC268" s="314"/>
      <c r="AD268" s="314"/>
      <c r="AE268" s="314"/>
      <c r="AF268" s="314"/>
      <c r="AG268" s="314"/>
      <c r="AJ268" s="13" t="str">
        <f t="shared" ref="AJ268:AQ268" si="540">IF(OR(E268=$C268,E268=$D268,E268=""),"0","1")</f>
        <v>0</v>
      </c>
      <c r="AK268" s="13" t="str">
        <f t="shared" si="540"/>
        <v>0</v>
      </c>
      <c r="AL268" s="13" t="str">
        <f t="shared" si="540"/>
        <v>0</v>
      </c>
      <c r="AM268" s="13" t="str">
        <f t="shared" si="540"/>
        <v>0</v>
      </c>
      <c r="AN268" s="13" t="str">
        <f t="shared" si="540"/>
        <v>0</v>
      </c>
      <c r="AO268" s="13" t="str">
        <f t="shared" si="540"/>
        <v>0</v>
      </c>
      <c r="AP268" s="13" t="str">
        <f t="shared" si="540"/>
        <v>0</v>
      </c>
      <c r="AQ268" s="13" t="str">
        <f t="shared" si="540"/>
        <v>0</v>
      </c>
      <c r="AR268" s="13" t="str">
        <f t="shared" ref="AR268:AS268" si="541">IF(OR(O268=$C268,O268=$D268,O268=""),"0","1")</f>
        <v>0</v>
      </c>
      <c r="AS268" s="13" t="str">
        <f t="shared" si="541"/>
        <v>0</v>
      </c>
      <c r="AT268" s="698">
        <f t="shared" si="11"/>
        <v>0</v>
      </c>
    </row>
    <row r="269" ht="16.5" customHeight="1">
      <c r="A269" s="788" t="str">
        <f t="shared" si="5"/>
        <v>-</v>
      </c>
      <c r="B269" s="830" t="s">
        <v>590</v>
      </c>
      <c r="C269" s="331"/>
      <c r="D269" s="331"/>
      <c r="E269" s="790"/>
      <c r="F269" s="791"/>
      <c r="G269" s="331"/>
      <c r="H269" s="331"/>
      <c r="I269" s="331"/>
      <c r="J269" s="331"/>
      <c r="K269" s="331"/>
      <c r="L269" s="331"/>
      <c r="M269" s="331"/>
      <c r="N269" s="331"/>
      <c r="O269" s="331"/>
      <c r="P269" s="331"/>
      <c r="AB269" s="314"/>
      <c r="AC269" s="314"/>
      <c r="AD269" s="314"/>
      <c r="AE269" s="314"/>
      <c r="AF269" s="314"/>
      <c r="AG269" s="314"/>
      <c r="AJ269" s="13" t="str">
        <f t="shared" ref="AJ269:AQ269" si="542">IF(OR(E269=$C269,E269=$D269,E269=""),"0","1")</f>
        <v>0</v>
      </c>
      <c r="AK269" s="13" t="str">
        <f t="shared" si="542"/>
        <v>0</v>
      </c>
      <c r="AL269" s="13" t="str">
        <f t="shared" si="542"/>
        <v>0</v>
      </c>
      <c r="AM269" s="13" t="str">
        <f t="shared" si="542"/>
        <v>0</v>
      </c>
      <c r="AN269" s="13" t="str">
        <f t="shared" si="542"/>
        <v>0</v>
      </c>
      <c r="AO269" s="13" t="str">
        <f t="shared" si="542"/>
        <v>0</v>
      </c>
      <c r="AP269" s="13" t="str">
        <f t="shared" si="542"/>
        <v>0</v>
      </c>
      <c r="AQ269" s="13" t="str">
        <f t="shared" si="542"/>
        <v>0</v>
      </c>
      <c r="AR269" s="13" t="str">
        <f t="shared" ref="AR269:AS269" si="543">IF(OR(O269=$C269,O269=$D269,O269=""),"0","1")</f>
        <v>0</v>
      </c>
      <c r="AS269" s="13" t="str">
        <f t="shared" si="543"/>
        <v>0</v>
      </c>
      <c r="AT269" s="698">
        <f t="shared" si="11"/>
        <v>0</v>
      </c>
    </row>
    <row r="270" ht="15.75" customHeight="1">
      <c r="A270" s="788" t="str">
        <f t="shared" si="5"/>
        <v>-</v>
      </c>
      <c r="B270" s="830" t="s">
        <v>590</v>
      </c>
      <c r="C270" s="331"/>
      <c r="D270" s="331"/>
      <c r="E270" s="790"/>
      <c r="F270" s="791"/>
      <c r="G270" s="331"/>
      <c r="H270" s="331"/>
      <c r="I270" s="331"/>
      <c r="J270" s="331"/>
      <c r="K270" s="331"/>
      <c r="L270" s="331"/>
      <c r="M270" s="331"/>
      <c r="N270" s="331"/>
      <c r="O270" s="331"/>
      <c r="P270" s="331"/>
      <c r="AB270" s="314"/>
      <c r="AC270" s="314"/>
      <c r="AD270" s="314"/>
      <c r="AE270" s="314"/>
      <c r="AF270" s="314"/>
      <c r="AG270" s="314"/>
      <c r="AJ270" s="13" t="str">
        <f t="shared" ref="AJ270:AQ270" si="544">IF(OR(E270=$C270,E270=$D270,E270=""),"0","1")</f>
        <v>0</v>
      </c>
      <c r="AK270" s="13" t="str">
        <f t="shared" si="544"/>
        <v>0</v>
      </c>
      <c r="AL270" s="13" t="str">
        <f t="shared" si="544"/>
        <v>0</v>
      </c>
      <c r="AM270" s="13" t="str">
        <f t="shared" si="544"/>
        <v>0</v>
      </c>
      <c r="AN270" s="13" t="str">
        <f t="shared" si="544"/>
        <v>0</v>
      </c>
      <c r="AO270" s="13" t="str">
        <f t="shared" si="544"/>
        <v>0</v>
      </c>
      <c r="AP270" s="13" t="str">
        <f t="shared" si="544"/>
        <v>0</v>
      </c>
      <c r="AQ270" s="13" t="str">
        <f t="shared" si="544"/>
        <v>0</v>
      </c>
      <c r="AR270" s="13" t="str">
        <f t="shared" ref="AR270:AS270" si="545">IF(OR(O270=$C270,O270=$D270,O270=""),"0","1")</f>
        <v>0</v>
      </c>
      <c r="AS270" s="13" t="str">
        <f t="shared" si="545"/>
        <v>0</v>
      </c>
      <c r="AT270" s="698">
        <f t="shared" si="11"/>
        <v>0</v>
      </c>
    </row>
    <row r="271" ht="15.75" customHeight="1">
      <c r="A271" s="788" t="str">
        <f t="shared" si="5"/>
        <v>-</v>
      </c>
      <c r="B271" s="830" t="s">
        <v>590</v>
      </c>
      <c r="C271" s="331"/>
      <c r="D271" s="331"/>
      <c r="E271" s="790"/>
      <c r="F271" s="791"/>
      <c r="G271" s="331"/>
      <c r="H271" s="331"/>
      <c r="I271" s="331"/>
      <c r="J271" s="331"/>
      <c r="K271" s="331"/>
      <c r="L271" s="331"/>
      <c r="M271" s="331"/>
      <c r="N271" s="331"/>
      <c r="O271" s="331"/>
      <c r="P271" s="331"/>
      <c r="AB271" s="314"/>
      <c r="AC271" s="314"/>
      <c r="AD271" s="314"/>
      <c r="AE271" s="314"/>
      <c r="AF271" s="314"/>
      <c r="AG271" s="314"/>
      <c r="AJ271" s="13" t="str">
        <f t="shared" ref="AJ271:AQ271" si="546">IF(OR(E271=$C271,E271=$D271,E271=""),"0","1")</f>
        <v>0</v>
      </c>
      <c r="AK271" s="13" t="str">
        <f t="shared" si="546"/>
        <v>0</v>
      </c>
      <c r="AL271" s="13" t="str">
        <f t="shared" si="546"/>
        <v>0</v>
      </c>
      <c r="AM271" s="13" t="str">
        <f t="shared" si="546"/>
        <v>0</v>
      </c>
      <c r="AN271" s="13" t="str">
        <f t="shared" si="546"/>
        <v>0</v>
      </c>
      <c r="AO271" s="13" t="str">
        <f t="shared" si="546"/>
        <v>0</v>
      </c>
      <c r="AP271" s="13" t="str">
        <f t="shared" si="546"/>
        <v>0</v>
      </c>
      <c r="AQ271" s="13" t="str">
        <f t="shared" si="546"/>
        <v>0</v>
      </c>
      <c r="AR271" s="13" t="str">
        <f t="shared" ref="AR271:AS271" si="547">IF(OR(O271=$C271,O271=$D271,O271=""),"0","1")</f>
        <v>0</v>
      </c>
      <c r="AS271" s="13" t="str">
        <f t="shared" si="547"/>
        <v>0</v>
      </c>
      <c r="AT271" s="698">
        <f t="shared" si="11"/>
        <v>0</v>
      </c>
    </row>
    <row r="272" ht="15.75" customHeight="1">
      <c r="A272" s="788" t="str">
        <f t="shared" si="5"/>
        <v>-</v>
      </c>
      <c r="B272" s="331"/>
      <c r="C272" s="331"/>
      <c r="D272" s="331"/>
      <c r="E272" s="790"/>
      <c r="F272" s="791"/>
      <c r="G272" s="331"/>
      <c r="H272" s="331"/>
      <c r="I272" s="331"/>
      <c r="J272" s="331"/>
      <c r="K272" s="331"/>
      <c r="L272" s="331"/>
      <c r="M272" s="331"/>
      <c r="N272" s="331"/>
      <c r="O272" s="331"/>
      <c r="P272" s="792"/>
      <c r="AB272" s="314"/>
      <c r="AC272" s="314"/>
      <c r="AD272" s="314"/>
      <c r="AE272" s="314"/>
      <c r="AF272" s="314"/>
      <c r="AG272" s="314"/>
      <c r="AJ272" s="13" t="str">
        <f t="shared" ref="AJ272:AQ272" si="548">IF(OR(E272=$C272,E272=$D272,E272=""),"0","1")</f>
        <v>0</v>
      </c>
      <c r="AK272" s="13" t="str">
        <f t="shared" si="548"/>
        <v>0</v>
      </c>
      <c r="AL272" s="13" t="str">
        <f t="shared" si="548"/>
        <v>0</v>
      </c>
      <c r="AM272" s="13" t="str">
        <f t="shared" si="548"/>
        <v>0</v>
      </c>
      <c r="AN272" s="13" t="str">
        <f t="shared" si="548"/>
        <v>0</v>
      </c>
      <c r="AO272" s="13" t="str">
        <f t="shared" si="548"/>
        <v>0</v>
      </c>
      <c r="AP272" s="13" t="str">
        <f t="shared" si="548"/>
        <v>0</v>
      </c>
      <c r="AQ272" s="13" t="str">
        <f t="shared" si="548"/>
        <v>0</v>
      </c>
      <c r="AR272" s="13" t="str">
        <f t="shared" ref="AR272:AS272" si="549">IF(OR(O272=$C272,O272=$D272,O272=""),"0","1")</f>
        <v>0</v>
      </c>
      <c r="AS272" s="13" t="str">
        <f t="shared" si="549"/>
        <v>0</v>
      </c>
      <c r="AT272" s="698">
        <f t="shared" si="11"/>
        <v>0</v>
      </c>
    </row>
    <row r="273" ht="15.75" customHeight="1">
      <c r="A273" s="788" t="str">
        <f t="shared" si="5"/>
        <v>-</v>
      </c>
      <c r="B273" s="331"/>
      <c r="C273" s="331"/>
      <c r="D273" s="331"/>
      <c r="E273" s="790"/>
      <c r="F273" s="791"/>
      <c r="G273" s="331"/>
      <c r="H273" s="331"/>
      <c r="I273" s="331"/>
      <c r="J273" s="331"/>
      <c r="K273" s="331"/>
      <c r="L273" s="331"/>
      <c r="M273" s="331"/>
      <c r="N273" s="331"/>
      <c r="O273" s="331"/>
      <c r="P273" s="792"/>
      <c r="AB273" s="314"/>
      <c r="AC273" s="314"/>
      <c r="AD273" s="314"/>
      <c r="AE273" s="314"/>
      <c r="AF273" s="314"/>
      <c r="AG273" s="314"/>
      <c r="AJ273" s="13" t="str">
        <f t="shared" ref="AJ273:AQ273" si="550">IF(OR(E273=$C273,E273=$D273,E273=""),"0","1")</f>
        <v>0</v>
      </c>
      <c r="AK273" s="13" t="str">
        <f t="shared" si="550"/>
        <v>0</v>
      </c>
      <c r="AL273" s="13" t="str">
        <f t="shared" si="550"/>
        <v>0</v>
      </c>
      <c r="AM273" s="13" t="str">
        <f t="shared" si="550"/>
        <v>0</v>
      </c>
      <c r="AN273" s="13" t="str">
        <f t="shared" si="550"/>
        <v>0</v>
      </c>
      <c r="AO273" s="13" t="str">
        <f t="shared" si="550"/>
        <v>0</v>
      </c>
      <c r="AP273" s="13" t="str">
        <f t="shared" si="550"/>
        <v>0</v>
      </c>
      <c r="AQ273" s="13" t="str">
        <f t="shared" si="550"/>
        <v>0</v>
      </c>
      <c r="AR273" s="13" t="str">
        <f t="shared" ref="AR273:AS273" si="551">IF(OR(O273=$C273,O273=$D273,O273=""),"0","1")</f>
        <v>0</v>
      </c>
      <c r="AS273" s="13" t="str">
        <f t="shared" si="551"/>
        <v>0</v>
      </c>
      <c r="AT273" s="698">
        <f t="shared" si="11"/>
        <v>0</v>
      </c>
    </row>
    <row r="274" ht="15.75" customHeight="1">
      <c r="A274" s="788" t="str">
        <f t="shared" si="5"/>
        <v>-</v>
      </c>
      <c r="B274" s="331"/>
      <c r="C274" s="331"/>
      <c r="D274" s="331"/>
      <c r="E274" s="790"/>
      <c r="F274" s="791"/>
      <c r="G274" s="331"/>
      <c r="H274" s="331"/>
      <c r="I274" s="331"/>
      <c r="J274" s="331"/>
      <c r="K274" s="331"/>
      <c r="L274" s="331"/>
      <c r="M274" s="331"/>
      <c r="N274" s="331"/>
      <c r="O274" s="331"/>
      <c r="P274" s="792"/>
      <c r="AB274" s="314"/>
      <c r="AC274" s="314"/>
      <c r="AD274" s="314"/>
      <c r="AE274" s="314"/>
      <c r="AF274" s="314"/>
      <c r="AG274" s="314"/>
      <c r="AJ274" s="13" t="str">
        <f t="shared" ref="AJ274:AQ274" si="552">IF(OR(E274=$C274,E274=$D274,E274=""),"0","1")</f>
        <v>0</v>
      </c>
      <c r="AK274" s="13" t="str">
        <f t="shared" si="552"/>
        <v>0</v>
      </c>
      <c r="AL274" s="13" t="str">
        <f t="shared" si="552"/>
        <v>0</v>
      </c>
      <c r="AM274" s="13" t="str">
        <f t="shared" si="552"/>
        <v>0</v>
      </c>
      <c r="AN274" s="13" t="str">
        <f t="shared" si="552"/>
        <v>0</v>
      </c>
      <c r="AO274" s="13" t="str">
        <f t="shared" si="552"/>
        <v>0</v>
      </c>
      <c r="AP274" s="13" t="str">
        <f t="shared" si="552"/>
        <v>0</v>
      </c>
      <c r="AQ274" s="13" t="str">
        <f t="shared" si="552"/>
        <v>0</v>
      </c>
      <c r="AR274" s="13" t="str">
        <f t="shared" ref="AR274:AS274" si="553">IF(OR(O274=$C274,O274=$D274,O274=""),"0","1")</f>
        <v>0</v>
      </c>
      <c r="AS274" s="13" t="str">
        <f t="shared" si="553"/>
        <v>0</v>
      </c>
      <c r="AT274" s="698">
        <f t="shared" si="11"/>
        <v>0</v>
      </c>
    </row>
    <row r="275" ht="15.75" customHeight="1">
      <c r="A275" s="788" t="str">
        <f t="shared" si="5"/>
        <v>-</v>
      </c>
      <c r="B275" s="331"/>
      <c r="C275" s="331"/>
      <c r="D275" s="331"/>
      <c r="E275" s="790"/>
      <c r="F275" s="791"/>
      <c r="G275" s="331"/>
      <c r="H275" s="331"/>
      <c r="I275" s="331"/>
      <c r="J275" s="331"/>
      <c r="K275" s="331"/>
      <c r="L275" s="331"/>
      <c r="M275" s="331"/>
      <c r="N275" s="331"/>
      <c r="O275" s="331"/>
      <c r="P275" s="792"/>
      <c r="AB275" s="314"/>
      <c r="AC275" s="314"/>
      <c r="AD275" s="314"/>
      <c r="AE275" s="314"/>
      <c r="AF275" s="314"/>
      <c r="AG275" s="314"/>
      <c r="AJ275" s="13" t="str">
        <f t="shared" ref="AJ275:AQ275" si="554">IF(OR(E275=$C275,E275=$D275,E275=""),"0","1")</f>
        <v>0</v>
      </c>
      <c r="AK275" s="13" t="str">
        <f t="shared" si="554"/>
        <v>0</v>
      </c>
      <c r="AL275" s="13" t="str">
        <f t="shared" si="554"/>
        <v>0</v>
      </c>
      <c r="AM275" s="13" t="str">
        <f t="shared" si="554"/>
        <v>0</v>
      </c>
      <c r="AN275" s="13" t="str">
        <f t="shared" si="554"/>
        <v>0</v>
      </c>
      <c r="AO275" s="13" t="str">
        <f t="shared" si="554"/>
        <v>0</v>
      </c>
      <c r="AP275" s="13" t="str">
        <f t="shared" si="554"/>
        <v>0</v>
      </c>
      <c r="AQ275" s="13" t="str">
        <f t="shared" si="554"/>
        <v>0</v>
      </c>
      <c r="AR275" s="13" t="str">
        <f t="shared" ref="AR275:AS275" si="555">IF(OR(O275=$C275,O275=$D275,O275=""),"0","1")</f>
        <v>0</v>
      </c>
      <c r="AS275" s="13" t="str">
        <f t="shared" si="555"/>
        <v>0</v>
      </c>
      <c r="AT275" s="698">
        <f t="shared" si="11"/>
        <v>0</v>
      </c>
    </row>
    <row r="276" ht="15.75" customHeight="1">
      <c r="A276" s="788" t="str">
        <f t="shared" si="5"/>
        <v>-</v>
      </c>
      <c r="B276" s="331"/>
      <c r="C276" s="331"/>
      <c r="D276" s="331"/>
      <c r="E276" s="790"/>
      <c r="F276" s="791"/>
      <c r="G276" s="331"/>
      <c r="H276" s="331"/>
      <c r="I276" s="331"/>
      <c r="J276" s="331"/>
      <c r="K276" s="331"/>
      <c r="L276" s="331"/>
      <c r="M276" s="331"/>
      <c r="N276" s="331"/>
      <c r="O276" s="331"/>
      <c r="P276" s="792"/>
      <c r="AB276" s="314"/>
      <c r="AC276" s="314"/>
      <c r="AD276" s="314"/>
      <c r="AE276" s="314"/>
      <c r="AF276" s="314"/>
      <c r="AG276" s="314"/>
      <c r="AJ276" s="13" t="str">
        <f t="shared" ref="AJ276:AQ276" si="556">IF(OR(E276=$C276,E276=$D276,E276=""),"0","1")</f>
        <v>0</v>
      </c>
      <c r="AK276" s="13" t="str">
        <f t="shared" si="556"/>
        <v>0</v>
      </c>
      <c r="AL276" s="13" t="str">
        <f t="shared" si="556"/>
        <v>0</v>
      </c>
      <c r="AM276" s="13" t="str">
        <f t="shared" si="556"/>
        <v>0</v>
      </c>
      <c r="AN276" s="13" t="str">
        <f t="shared" si="556"/>
        <v>0</v>
      </c>
      <c r="AO276" s="13" t="str">
        <f t="shared" si="556"/>
        <v>0</v>
      </c>
      <c r="AP276" s="13" t="str">
        <f t="shared" si="556"/>
        <v>0</v>
      </c>
      <c r="AQ276" s="13" t="str">
        <f t="shared" si="556"/>
        <v>0</v>
      </c>
      <c r="AR276" s="13" t="str">
        <f t="shared" ref="AR276:AS276" si="557">IF(OR(O276=$C276,O276=$D276,O276=""),"0","1")</f>
        <v>0</v>
      </c>
      <c r="AS276" s="13" t="str">
        <f t="shared" si="557"/>
        <v>0</v>
      </c>
      <c r="AT276" s="698">
        <f t="shared" si="11"/>
        <v>0</v>
      </c>
    </row>
    <row r="277" ht="15.75" customHeight="1">
      <c r="A277" s="788" t="str">
        <f t="shared" si="5"/>
        <v>-</v>
      </c>
      <c r="B277" s="331"/>
      <c r="C277" s="331"/>
      <c r="D277" s="331"/>
      <c r="E277" s="790"/>
      <c r="F277" s="791"/>
      <c r="G277" s="331"/>
      <c r="H277" s="331"/>
      <c r="I277" s="331"/>
      <c r="J277" s="331"/>
      <c r="K277" s="331"/>
      <c r="L277" s="331"/>
      <c r="M277" s="331"/>
      <c r="N277" s="331"/>
      <c r="O277" s="331"/>
      <c r="P277" s="792"/>
      <c r="AB277" s="314"/>
      <c r="AC277" s="314"/>
      <c r="AD277" s="314"/>
      <c r="AE277" s="314"/>
      <c r="AF277" s="314"/>
      <c r="AG277" s="314"/>
      <c r="AJ277" s="13" t="str">
        <f t="shared" ref="AJ277:AQ277" si="558">IF(OR(E277=$C277,E277=$D277,E277=""),"0","1")</f>
        <v>0</v>
      </c>
      <c r="AK277" s="13" t="str">
        <f t="shared" si="558"/>
        <v>0</v>
      </c>
      <c r="AL277" s="13" t="str">
        <f t="shared" si="558"/>
        <v>0</v>
      </c>
      <c r="AM277" s="13" t="str">
        <f t="shared" si="558"/>
        <v>0</v>
      </c>
      <c r="AN277" s="13" t="str">
        <f t="shared" si="558"/>
        <v>0</v>
      </c>
      <c r="AO277" s="13" t="str">
        <f t="shared" si="558"/>
        <v>0</v>
      </c>
      <c r="AP277" s="13" t="str">
        <f t="shared" si="558"/>
        <v>0</v>
      </c>
      <c r="AQ277" s="13" t="str">
        <f t="shared" si="558"/>
        <v>0</v>
      </c>
      <c r="AR277" s="13" t="str">
        <f t="shared" ref="AR277:AS277" si="559">IF(OR(O277=$C277,O277=$D277,O277=""),"0","1")</f>
        <v>0</v>
      </c>
      <c r="AS277" s="13" t="str">
        <f t="shared" si="559"/>
        <v>0</v>
      </c>
      <c r="AT277" s="698">
        <f t="shared" si="11"/>
        <v>0</v>
      </c>
    </row>
    <row r="278" ht="15.75" customHeight="1">
      <c r="A278" s="788" t="str">
        <f t="shared" si="5"/>
        <v>-</v>
      </c>
      <c r="B278" s="331"/>
      <c r="C278" s="331"/>
      <c r="D278" s="331"/>
      <c r="E278" s="790"/>
      <c r="F278" s="791"/>
      <c r="G278" s="331"/>
      <c r="H278" s="331"/>
      <c r="I278" s="331"/>
      <c r="J278" s="331"/>
      <c r="K278" s="331"/>
      <c r="L278" s="331"/>
      <c r="M278" s="331"/>
      <c r="N278" s="331"/>
      <c r="O278" s="331"/>
      <c r="P278" s="792"/>
      <c r="AB278" s="314"/>
      <c r="AC278" s="314"/>
      <c r="AD278" s="314"/>
      <c r="AE278" s="314"/>
      <c r="AF278" s="314"/>
      <c r="AG278" s="314"/>
      <c r="AJ278" s="13" t="str">
        <f t="shared" ref="AJ278:AQ278" si="560">IF(OR(E278=$C278,E278=$D278,E278=""),"0","1")</f>
        <v>0</v>
      </c>
      <c r="AK278" s="13" t="str">
        <f t="shared" si="560"/>
        <v>0</v>
      </c>
      <c r="AL278" s="13" t="str">
        <f t="shared" si="560"/>
        <v>0</v>
      </c>
      <c r="AM278" s="13" t="str">
        <f t="shared" si="560"/>
        <v>0</v>
      </c>
      <c r="AN278" s="13" t="str">
        <f t="shared" si="560"/>
        <v>0</v>
      </c>
      <c r="AO278" s="13" t="str">
        <f t="shared" si="560"/>
        <v>0</v>
      </c>
      <c r="AP278" s="13" t="str">
        <f t="shared" si="560"/>
        <v>0</v>
      </c>
      <c r="AQ278" s="13" t="str">
        <f t="shared" si="560"/>
        <v>0</v>
      </c>
      <c r="AR278" s="13" t="str">
        <f t="shared" ref="AR278:AS278" si="561">IF(OR(O278=$C278,O278=$D278,O278=""),"0","1")</f>
        <v>0</v>
      </c>
      <c r="AS278" s="13" t="str">
        <f t="shared" si="561"/>
        <v>0</v>
      </c>
      <c r="AT278" s="698">
        <f t="shared" si="11"/>
        <v>0</v>
      </c>
    </row>
    <row r="279" ht="15.75" customHeight="1">
      <c r="A279" s="788" t="str">
        <f t="shared" si="5"/>
        <v>-</v>
      </c>
      <c r="B279" s="331"/>
      <c r="C279" s="331"/>
      <c r="D279" s="331"/>
      <c r="E279" s="790"/>
      <c r="F279" s="791"/>
      <c r="G279" s="331"/>
      <c r="H279" s="331"/>
      <c r="I279" s="331"/>
      <c r="J279" s="331"/>
      <c r="K279" s="331"/>
      <c r="L279" s="331"/>
      <c r="M279" s="331"/>
      <c r="N279" s="331"/>
      <c r="O279" s="331"/>
      <c r="P279" s="792"/>
      <c r="AB279" s="314"/>
      <c r="AC279" s="314"/>
      <c r="AD279" s="314"/>
      <c r="AE279" s="314"/>
      <c r="AF279" s="314"/>
      <c r="AG279" s="314"/>
      <c r="AJ279" s="13" t="str">
        <f t="shared" ref="AJ279:AQ279" si="562">IF(OR(E279=$C279,E279=$D279,E279=""),"0","1")</f>
        <v>0</v>
      </c>
      <c r="AK279" s="13" t="str">
        <f t="shared" si="562"/>
        <v>0</v>
      </c>
      <c r="AL279" s="13" t="str">
        <f t="shared" si="562"/>
        <v>0</v>
      </c>
      <c r="AM279" s="13" t="str">
        <f t="shared" si="562"/>
        <v>0</v>
      </c>
      <c r="AN279" s="13" t="str">
        <f t="shared" si="562"/>
        <v>0</v>
      </c>
      <c r="AO279" s="13" t="str">
        <f t="shared" si="562"/>
        <v>0</v>
      </c>
      <c r="AP279" s="13" t="str">
        <f t="shared" si="562"/>
        <v>0</v>
      </c>
      <c r="AQ279" s="13" t="str">
        <f t="shared" si="562"/>
        <v>0</v>
      </c>
      <c r="AR279" s="13" t="str">
        <f t="shared" ref="AR279:AS279" si="563">IF(OR(O279=$C279,O279=$D279,O279=""),"0","1")</f>
        <v>0</v>
      </c>
      <c r="AS279" s="13" t="str">
        <f t="shared" si="563"/>
        <v>0</v>
      </c>
      <c r="AT279" s="698">
        <f t="shared" si="11"/>
        <v>0</v>
      </c>
    </row>
    <row r="280" ht="15.75" customHeight="1">
      <c r="A280" s="788" t="str">
        <f t="shared" si="5"/>
        <v>-</v>
      </c>
      <c r="B280" s="331"/>
      <c r="C280" s="331"/>
      <c r="D280" s="331"/>
      <c r="E280" s="790"/>
      <c r="F280" s="791"/>
      <c r="G280" s="331"/>
      <c r="H280" s="331"/>
      <c r="I280" s="331"/>
      <c r="J280" s="331"/>
      <c r="K280" s="331"/>
      <c r="L280" s="331"/>
      <c r="M280" s="331"/>
      <c r="N280" s="331"/>
      <c r="O280" s="331"/>
      <c r="P280" s="792"/>
      <c r="AB280" s="314"/>
      <c r="AC280" s="314"/>
      <c r="AD280" s="314"/>
      <c r="AE280" s="314"/>
      <c r="AF280" s="314"/>
      <c r="AG280" s="314"/>
      <c r="AJ280" s="13" t="str">
        <f t="shared" ref="AJ280:AQ280" si="564">IF(OR(E280=$C280,E280=$D280,E280=""),"0","1")</f>
        <v>0</v>
      </c>
      <c r="AK280" s="13" t="str">
        <f t="shared" si="564"/>
        <v>0</v>
      </c>
      <c r="AL280" s="13" t="str">
        <f t="shared" si="564"/>
        <v>0</v>
      </c>
      <c r="AM280" s="13" t="str">
        <f t="shared" si="564"/>
        <v>0</v>
      </c>
      <c r="AN280" s="13" t="str">
        <f t="shared" si="564"/>
        <v>0</v>
      </c>
      <c r="AO280" s="13" t="str">
        <f t="shared" si="564"/>
        <v>0</v>
      </c>
      <c r="AP280" s="13" t="str">
        <f t="shared" si="564"/>
        <v>0</v>
      </c>
      <c r="AQ280" s="13" t="str">
        <f t="shared" si="564"/>
        <v>0</v>
      </c>
      <c r="AR280" s="13" t="str">
        <f t="shared" ref="AR280:AS280" si="565">IF(OR(O280=$C280,O280=$D280,O280=""),"0","1")</f>
        <v>0</v>
      </c>
      <c r="AS280" s="13" t="str">
        <f t="shared" si="565"/>
        <v>0</v>
      </c>
      <c r="AT280" s="698">
        <f t="shared" si="11"/>
        <v>0</v>
      </c>
    </row>
    <row r="281" ht="15.75" customHeight="1">
      <c r="A281" s="788" t="str">
        <f t="shared" si="5"/>
        <v>-</v>
      </c>
      <c r="B281" s="331"/>
      <c r="C281" s="331"/>
      <c r="D281" s="331"/>
      <c r="E281" s="790"/>
      <c r="F281" s="791"/>
      <c r="G281" s="331"/>
      <c r="H281" s="331"/>
      <c r="I281" s="331"/>
      <c r="J281" s="331"/>
      <c r="K281" s="331"/>
      <c r="L281" s="331"/>
      <c r="M281" s="331"/>
      <c r="N281" s="331"/>
      <c r="O281" s="331"/>
      <c r="P281" s="792"/>
      <c r="AB281" s="314"/>
      <c r="AC281" s="314"/>
      <c r="AD281" s="314"/>
      <c r="AE281" s="314"/>
      <c r="AF281" s="314"/>
      <c r="AG281" s="314"/>
      <c r="AJ281" s="13" t="str">
        <f t="shared" ref="AJ281:AQ281" si="566">IF(OR(E281=$C281,E281=$D281,E281=""),"0","1")</f>
        <v>0</v>
      </c>
      <c r="AK281" s="13" t="str">
        <f t="shared" si="566"/>
        <v>0</v>
      </c>
      <c r="AL281" s="13" t="str">
        <f t="shared" si="566"/>
        <v>0</v>
      </c>
      <c r="AM281" s="13" t="str">
        <f t="shared" si="566"/>
        <v>0</v>
      </c>
      <c r="AN281" s="13" t="str">
        <f t="shared" si="566"/>
        <v>0</v>
      </c>
      <c r="AO281" s="13" t="str">
        <f t="shared" si="566"/>
        <v>0</v>
      </c>
      <c r="AP281" s="13" t="str">
        <f t="shared" si="566"/>
        <v>0</v>
      </c>
      <c r="AQ281" s="13" t="str">
        <f t="shared" si="566"/>
        <v>0</v>
      </c>
      <c r="AR281" s="13" t="str">
        <f t="shared" ref="AR281:AS281" si="567">IF(OR(O281=$C281,O281=$D281,O281=""),"0","1")</f>
        <v>0</v>
      </c>
      <c r="AS281" s="13" t="str">
        <f t="shared" si="567"/>
        <v>0</v>
      </c>
      <c r="AT281" s="698">
        <f t="shared" si="11"/>
        <v>0</v>
      </c>
    </row>
    <row r="282" ht="15.75" customHeight="1">
      <c r="A282" s="788" t="str">
        <f t="shared" si="5"/>
        <v>-</v>
      </c>
      <c r="B282" s="331"/>
      <c r="C282" s="331"/>
      <c r="D282" s="331"/>
      <c r="E282" s="790"/>
      <c r="F282" s="791"/>
      <c r="G282" s="331"/>
      <c r="H282" s="331"/>
      <c r="I282" s="331"/>
      <c r="J282" s="331"/>
      <c r="K282" s="331"/>
      <c r="L282" s="331"/>
      <c r="M282" s="331"/>
      <c r="N282" s="331"/>
      <c r="O282" s="331"/>
      <c r="P282" s="792"/>
      <c r="AB282" s="314"/>
      <c r="AC282" s="314"/>
      <c r="AD282" s="314"/>
      <c r="AE282" s="314"/>
      <c r="AF282" s="314"/>
      <c r="AG282" s="314"/>
      <c r="AJ282" s="13" t="str">
        <f t="shared" ref="AJ282:AQ282" si="568">IF(OR(E282=$C282,E282=$D282,E282=""),"0","1")</f>
        <v>0</v>
      </c>
      <c r="AK282" s="13" t="str">
        <f t="shared" si="568"/>
        <v>0</v>
      </c>
      <c r="AL282" s="13" t="str">
        <f t="shared" si="568"/>
        <v>0</v>
      </c>
      <c r="AM282" s="13" t="str">
        <f t="shared" si="568"/>
        <v>0</v>
      </c>
      <c r="AN282" s="13" t="str">
        <f t="shared" si="568"/>
        <v>0</v>
      </c>
      <c r="AO282" s="13" t="str">
        <f t="shared" si="568"/>
        <v>0</v>
      </c>
      <c r="AP282" s="13" t="str">
        <f t="shared" si="568"/>
        <v>0</v>
      </c>
      <c r="AQ282" s="13" t="str">
        <f t="shared" si="568"/>
        <v>0</v>
      </c>
      <c r="AR282" s="13" t="str">
        <f t="shared" ref="AR282:AS282" si="569">IF(OR(O282=$C282,O282=$D282,O282=""),"0","1")</f>
        <v>0</v>
      </c>
      <c r="AS282" s="13" t="str">
        <f t="shared" si="569"/>
        <v>0</v>
      </c>
      <c r="AT282" s="698">
        <f t="shared" si="11"/>
        <v>0</v>
      </c>
    </row>
    <row r="283" ht="15.75" customHeight="1">
      <c r="A283" s="788" t="str">
        <f t="shared" si="5"/>
        <v>-</v>
      </c>
      <c r="B283" s="331"/>
      <c r="C283" s="331"/>
      <c r="D283" s="331"/>
      <c r="E283" s="790"/>
      <c r="F283" s="791"/>
      <c r="G283" s="331"/>
      <c r="H283" s="331"/>
      <c r="I283" s="331"/>
      <c r="J283" s="331"/>
      <c r="K283" s="331"/>
      <c r="L283" s="331"/>
      <c r="M283" s="331"/>
      <c r="N283" s="331"/>
      <c r="O283" s="331"/>
      <c r="P283" s="792"/>
      <c r="AB283" s="314"/>
      <c r="AC283" s="314"/>
      <c r="AD283" s="314"/>
      <c r="AE283" s="314"/>
      <c r="AF283" s="314"/>
      <c r="AG283" s="314"/>
      <c r="AJ283" s="13" t="str">
        <f t="shared" ref="AJ283:AQ283" si="570">IF(OR(E283=$C283,E283=$D283,E283=""),"0","1")</f>
        <v>0</v>
      </c>
      <c r="AK283" s="13" t="str">
        <f t="shared" si="570"/>
        <v>0</v>
      </c>
      <c r="AL283" s="13" t="str">
        <f t="shared" si="570"/>
        <v>0</v>
      </c>
      <c r="AM283" s="13" t="str">
        <f t="shared" si="570"/>
        <v>0</v>
      </c>
      <c r="AN283" s="13" t="str">
        <f t="shared" si="570"/>
        <v>0</v>
      </c>
      <c r="AO283" s="13" t="str">
        <f t="shared" si="570"/>
        <v>0</v>
      </c>
      <c r="AP283" s="13" t="str">
        <f t="shared" si="570"/>
        <v>0</v>
      </c>
      <c r="AQ283" s="13" t="str">
        <f t="shared" si="570"/>
        <v>0</v>
      </c>
      <c r="AR283" s="13" t="str">
        <f t="shared" ref="AR283:AS283" si="571">IF(OR(O283=$C283,O283=$D283,O283=""),"0","1")</f>
        <v>0</v>
      </c>
      <c r="AS283" s="13" t="str">
        <f t="shared" si="571"/>
        <v>0</v>
      </c>
      <c r="AT283" s="698">
        <f t="shared" si="11"/>
        <v>0</v>
      </c>
    </row>
    <row r="284" ht="15.75" customHeight="1">
      <c r="A284" s="788" t="str">
        <f t="shared" si="5"/>
        <v>-</v>
      </c>
      <c r="B284" s="331"/>
      <c r="C284" s="331"/>
      <c r="D284" s="331"/>
      <c r="E284" s="790"/>
      <c r="F284" s="791"/>
      <c r="G284" s="331"/>
      <c r="H284" s="331"/>
      <c r="I284" s="331"/>
      <c r="J284" s="331"/>
      <c r="K284" s="331"/>
      <c r="L284" s="331"/>
      <c r="M284" s="331"/>
      <c r="N284" s="331"/>
      <c r="O284" s="331"/>
      <c r="P284" s="792"/>
      <c r="AB284" s="314"/>
      <c r="AC284" s="314"/>
      <c r="AD284" s="314"/>
      <c r="AE284" s="314"/>
      <c r="AF284" s="314"/>
      <c r="AG284" s="314"/>
      <c r="AJ284" s="13" t="str">
        <f t="shared" ref="AJ284:AQ284" si="572">IF(OR(E284=$C284,E284=$D284,E284=""),"0","1")</f>
        <v>0</v>
      </c>
      <c r="AK284" s="13" t="str">
        <f t="shared" si="572"/>
        <v>0</v>
      </c>
      <c r="AL284" s="13" t="str">
        <f t="shared" si="572"/>
        <v>0</v>
      </c>
      <c r="AM284" s="13" t="str">
        <f t="shared" si="572"/>
        <v>0</v>
      </c>
      <c r="AN284" s="13" t="str">
        <f t="shared" si="572"/>
        <v>0</v>
      </c>
      <c r="AO284" s="13" t="str">
        <f t="shared" si="572"/>
        <v>0</v>
      </c>
      <c r="AP284" s="13" t="str">
        <f t="shared" si="572"/>
        <v>0</v>
      </c>
      <c r="AQ284" s="13" t="str">
        <f t="shared" si="572"/>
        <v>0</v>
      </c>
      <c r="AR284" s="13" t="str">
        <f t="shared" ref="AR284:AS284" si="573">IF(OR(O284=$C284,O284=$D284,O284=""),"0","1")</f>
        <v>0</v>
      </c>
      <c r="AS284" s="13" t="str">
        <f t="shared" si="573"/>
        <v>0</v>
      </c>
      <c r="AT284" s="698">
        <f t="shared" si="11"/>
        <v>0</v>
      </c>
    </row>
    <row r="285" ht="15.75" customHeight="1">
      <c r="A285" s="788" t="str">
        <f t="shared" si="5"/>
        <v>-</v>
      </c>
      <c r="B285" s="331"/>
      <c r="C285" s="331"/>
      <c r="D285" s="331"/>
      <c r="E285" s="790"/>
      <c r="F285" s="791"/>
      <c r="G285" s="331"/>
      <c r="H285" s="331"/>
      <c r="I285" s="331"/>
      <c r="J285" s="331"/>
      <c r="K285" s="331"/>
      <c r="L285" s="331"/>
      <c r="M285" s="331"/>
      <c r="N285" s="331"/>
      <c r="O285" s="331"/>
      <c r="P285" s="792"/>
      <c r="AB285" s="314"/>
      <c r="AC285" s="314"/>
      <c r="AD285" s="314"/>
      <c r="AE285" s="314"/>
      <c r="AF285" s="314"/>
      <c r="AG285" s="314"/>
      <c r="AJ285" s="13" t="str">
        <f t="shared" ref="AJ285:AQ285" si="574">IF(OR(E285=$C285,E285=$D285,E285=""),"0","1")</f>
        <v>0</v>
      </c>
      <c r="AK285" s="13" t="str">
        <f t="shared" si="574"/>
        <v>0</v>
      </c>
      <c r="AL285" s="13" t="str">
        <f t="shared" si="574"/>
        <v>0</v>
      </c>
      <c r="AM285" s="13" t="str">
        <f t="shared" si="574"/>
        <v>0</v>
      </c>
      <c r="AN285" s="13" t="str">
        <f t="shared" si="574"/>
        <v>0</v>
      </c>
      <c r="AO285" s="13" t="str">
        <f t="shared" si="574"/>
        <v>0</v>
      </c>
      <c r="AP285" s="13" t="str">
        <f t="shared" si="574"/>
        <v>0</v>
      </c>
      <c r="AQ285" s="13" t="str">
        <f t="shared" si="574"/>
        <v>0</v>
      </c>
      <c r="AR285" s="13" t="str">
        <f t="shared" ref="AR285:AS285" si="575">IF(OR(O285=$C285,O285=$D285,O285=""),"0","1")</f>
        <v>0</v>
      </c>
      <c r="AS285" s="13" t="str">
        <f t="shared" si="575"/>
        <v>0</v>
      </c>
      <c r="AT285" s="698">
        <f t="shared" si="11"/>
        <v>0</v>
      </c>
    </row>
    <row r="286" ht="15.75" customHeight="1">
      <c r="A286" s="788" t="str">
        <f t="shared" si="5"/>
        <v>-</v>
      </c>
      <c r="B286" s="331"/>
      <c r="C286" s="331"/>
      <c r="D286" s="331"/>
      <c r="E286" s="790"/>
      <c r="F286" s="791"/>
      <c r="G286" s="331"/>
      <c r="H286" s="331"/>
      <c r="I286" s="331"/>
      <c r="J286" s="331"/>
      <c r="K286" s="331"/>
      <c r="L286" s="331"/>
      <c r="M286" s="331"/>
      <c r="N286" s="331"/>
      <c r="O286" s="331"/>
      <c r="P286" s="792"/>
      <c r="AB286" s="314"/>
      <c r="AC286" s="314"/>
      <c r="AD286" s="314"/>
      <c r="AE286" s="314"/>
      <c r="AF286" s="314"/>
      <c r="AG286" s="314"/>
      <c r="AJ286" s="13" t="str">
        <f t="shared" ref="AJ286:AQ286" si="576">IF(OR(E286=$C286,E286=$D286,E286=""),"0","1")</f>
        <v>0</v>
      </c>
      <c r="AK286" s="13" t="str">
        <f t="shared" si="576"/>
        <v>0</v>
      </c>
      <c r="AL286" s="13" t="str">
        <f t="shared" si="576"/>
        <v>0</v>
      </c>
      <c r="AM286" s="13" t="str">
        <f t="shared" si="576"/>
        <v>0</v>
      </c>
      <c r="AN286" s="13" t="str">
        <f t="shared" si="576"/>
        <v>0</v>
      </c>
      <c r="AO286" s="13" t="str">
        <f t="shared" si="576"/>
        <v>0</v>
      </c>
      <c r="AP286" s="13" t="str">
        <f t="shared" si="576"/>
        <v>0</v>
      </c>
      <c r="AQ286" s="13" t="str">
        <f t="shared" si="576"/>
        <v>0</v>
      </c>
      <c r="AR286" s="13" t="str">
        <f t="shared" ref="AR286:AS286" si="577">IF(OR(O286=$C286,O286=$D286,O286=""),"0","1")</f>
        <v>0</v>
      </c>
      <c r="AS286" s="13" t="str">
        <f t="shared" si="577"/>
        <v>0</v>
      </c>
      <c r="AT286" s="698">
        <f t="shared" si="11"/>
        <v>0</v>
      </c>
    </row>
    <row r="287" ht="15.75" customHeight="1">
      <c r="A287" s="788" t="str">
        <f t="shared" si="5"/>
        <v>-</v>
      </c>
      <c r="B287" s="331"/>
      <c r="C287" s="331"/>
      <c r="D287" s="331"/>
      <c r="E287" s="790"/>
      <c r="F287" s="791"/>
      <c r="G287" s="331"/>
      <c r="H287" s="331"/>
      <c r="I287" s="331"/>
      <c r="J287" s="331"/>
      <c r="K287" s="331"/>
      <c r="L287" s="331"/>
      <c r="M287" s="331"/>
      <c r="N287" s="331"/>
      <c r="O287" s="331"/>
      <c r="P287" s="792"/>
      <c r="AB287" s="314"/>
      <c r="AC287" s="314"/>
      <c r="AD287" s="314"/>
      <c r="AE287" s="314"/>
      <c r="AF287" s="314"/>
      <c r="AG287" s="314"/>
      <c r="AJ287" s="13" t="str">
        <f t="shared" ref="AJ287:AQ287" si="578">IF(OR(E287=$C287,E287=$D287,E287=""),"0","1")</f>
        <v>0</v>
      </c>
      <c r="AK287" s="13" t="str">
        <f t="shared" si="578"/>
        <v>0</v>
      </c>
      <c r="AL287" s="13" t="str">
        <f t="shared" si="578"/>
        <v>0</v>
      </c>
      <c r="AM287" s="13" t="str">
        <f t="shared" si="578"/>
        <v>0</v>
      </c>
      <c r="AN287" s="13" t="str">
        <f t="shared" si="578"/>
        <v>0</v>
      </c>
      <c r="AO287" s="13" t="str">
        <f t="shared" si="578"/>
        <v>0</v>
      </c>
      <c r="AP287" s="13" t="str">
        <f t="shared" si="578"/>
        <v>0</v>
      </c>
      <c r="AQ287" s="13" t="str">
        <f t="shared" si="578"/>
        <v>0</v>
      </c>
      <c r="AR287" s="13" t="str">
        <f t="shared" ref="AR287:AS287" si="579">IF(OR(O287=$C287,O287=$D287,O287=""),"0","1")</f>
        <v>0</v>
      </c>
      <c r="AS287" s="13" t="str">
        <f t="shared" si="579"/>
        <v>0</v>
      </c>
      <c r="AT287" s="698">
        <f t="shared" si="11"/>
        <v>0</v>
      </c>
    </row>
    <row r="288" ht="15.75" customHeight="1">
      <c r="A288" s="788" t="str">
        <f t="shared" si="5"/>
        <v>-</v>
      </c>
      <c r="B288" s="331"/>
      <c r="C288" s="331"/>
      <c r="D288" s="331"/>
      <c r="E288" s="790"/>
      <c r="F288" s="791"/>
      <c r="G288" s="331"/>
      <c r="H288" s="331"/>
      <c r="I288" s="331"/>
      <c r="J288" s="331"/>
      <c r="K288" s="331"/>
      <c r="L288" s="331"/>
      <c r="M288" s="331"/>
      <c r="N288" s="331"/>
      <c r="O288" s="331"/>
      <c r="P288" s="792"/>
      <c r="AB288" s="314"/>
      <c r="AC288" s="314"/>
      <c r="AD288" s="314"/>
      <c r="AE288" s="314"/>
      <c r="AF288" s="314"/>
      <c r="AG288" s="314"/>
      <c r="AJ288" s="13" t="str">
        <f t="shared" ref="AJ288:AQ288" si="580">IF(OR(E288=$C288,E288=$D288,E288=""),"0","1")</f>
        <v>0</v>
      </c>
      <c r="AK288" s="13" t="str">
        <f t="shared" si="580"/>
        <v>0</v>
      </c>
      <c r="AL288" s="13" t="str">
        <f t="shared" si="580"/>
        <v>0</v>
      </c>
      <c r="AM288" s="13" t="str">
        <f t="shared" si="580"/>
        <v>0</v>
      </c>
      <c r="AN288" s="13" t="str">
        <f t="shared" si="580"/>
        <v>0</v>
      </c>
      <c r="AO288" s="13" t="str">
        <f t="shared" si="580"/>
        <v>0</v>
      </c>
      <c r="AP288" s="13" t="str">
        <f t="shared" si="580"/>
        <v>0</v>
      </c>
      <c r="AQ288" s="13" t="str">
        <f t="shared" si="580"/>
        <v>0</v>
      </c>
      <c r="AR288" s="13" t="str">
        <f t="shared" ref="AR288:AS288" si="581">IF(OR(O288=$C288,O288=$D288,O288=""),"0","1")</f>
        <v>0</v>
      </c>
      <c r="AS288" s="13" t="str">
        <f t="shared" si="581"/>
        <v>0</v>
      </c>
      <c r="AT288" s="698">
        <f t="shared" si="11"/>
        <v>0</v>
      </c>
    </row>
    <row r="289" ht="15.75" customHeight="1">
      <c r="A289" s="788" t="str">
        <f t="shared" si="5"/>
        <v>-</v>
      </c>
      <c r="B289" s="331"/>
      <c r="C289" s="331"/>
      <c r="D289" s="331"/>
      <c r="E289" s="790"/>
      <c r="F289" s="791"/>
      <c r="G289" s="331"/>
      <c r="H289" s="331"/>
      <c r="I289" s="331"/>
      <c r="J289" s="331"/>
      <c r="K289" s="331"/>
      <c r="L289" s="331"/>
      <c r="M289" s="331"/>
      <c r="N289" s="331"/>
      <c r="O289" s="331"/>
      <c r="P289" s="792"/>
      <c r="AB289" s="314"/>
      <c r="AC289" s="314"/>
      <c r="AD289" s="314"/>
      <c r="AE289" s="314"/>
      <c r="AF289" s="314"/>
      <c r="AG289" s="314"/>
      <c r="AJ289" s="13" t="str">
        <f t="shared" ref="AJ289:AQ289" si="582">IF(OR(E289=$C289,E289=$D289,E289=""),"0","1")</f>
        <v>0</v>
      </c>
      <c r="AK289" s="13" t="str">
        <f t="shared" si="582"/>
        <v>0</v>
      </c>
      <c r="AL289" s="13" t="str">
        <f t="shared" si="582"/>
        <v>0</v>
      </c>
      <c r="AM289" s="13" t="str">
        <f t="shared" si="582"/>
        <v>0</v>
      </c>
      <c r="AN289" s="13" t="str">
        <f t="shared" si="582"/>
        <v>0</v>
      </c>
      <c r="AO289" s="13" t="str">
        <f t="shared" si="582"/>
        <v>0</v>
      </c>
      <c r="AP289" s="13" t="str">
        <f t="shared" si="582"/>
        <v>0</v>
      </c>
      <c r="AQ289" s="13" t="str">
        <f t="shared" si="582"/>
        <v>0</v>
      </c>
      <c r="AR289" s="13" t="str">
        <f t="shared" ref="AR289:AS289" si="583">IF(OR(O289=$C289,O289=$D289,O289=""),"0","1")</f>
        <v>0</v>
      </c>
      <c r="AS289" s="13" t="str">
        <f t="shared" si="583"/>
        <v>0</v>
      </c>
      <c r="AT289" s="698">
        <f t="shared" si="11"/>
        <v>0</v>
      </c>
    </row>
    <row r="290" ht="15.75" customHeight="1">
      <c r="A290" s="788" t="str">
        <f t="shared" si="5"/>
        <v>-</v>
      </c>
      <c r="B290" s="331"/>
      <c r="C290" s="331"/>
      <c r="D290" s="331"/>
      <c r="E290" s="790"/>
      <c r="F290" s="791"/>
      <c r="G290" s="331"/>
      <c r="H290" s="331"/>
      <c r="I290" s="331"/>
      <c r="J290" s="331"/>
      <c r="K290" s="331"/>
      <c r="L290" s="331"/>
      <c r="M290" s="331"/>
      <c r="N290" s="331"/>
      <c r="O290" s="331"/>
      <c r="P290" s="792"/>
      <c r="AB290" s="314"/>
      <c r="AC290" s="314"/>
      <c r="AD290" s="314"/>
      <c r="AE290" s="314"/>
      <c r="AF290" s="314"/>
      <c r="AG290" s="314"/>
      <c r="AJ290" s="13" t="str">
        <f t="shared" ref="AJ290:AQ290" si="584">IF(OR(E290=$C290,E290=$D290,E290=""),"0","1")</f>
        <v>0</v>
      </c>
      <c r="AK290" s="13" t="str">
        <f t="shared" si="584"/>
        <v>0</v>
      </c>
      <c r="AL290" s="13" t="str">
        <f t="shared" si="584"/>
        <v>0</v>
      </c>
      <c r="AM290" s="13" t="str">
        <f t="shared" si="584"/>
        <v>0</v>
      </c>
      <c r="AN290" s="13" t="str">
        <f t="shared" si="584"/>
        <v>0</v>
      </c>
      <c r="AO290" s="13" t="str">
        <f t="shared" si="584"/>
        <v>0</v>
      </c>
      <c r="AP290" s="13" t="str">
        <f t="shared" si="584"/>
        <v>0</v>
      </c>
      <c r="AQ290" s="13" t="str">
        <f t="shared" si="584"/>
        <v>0</v>
      </c>
      <c r="AR290" s="13" t="str">
        <f t="shared" ref="AR290:AS290" si="585">IF(OR(O290=$C290,O290=$D290,O290=""),"0","1")</f>
        <v>0</v>
      </c>
      <c r="AS290" s="13" t="str">
        <f t="shared" si="585"/>
        <v>0</v>
      </c>
      <c r="AT290" s="698">
        <f t="shared" si="11"/>
        <v>0</v>
      </c>
    </row>
    <row r="291" ht="15.75" customHeight="1">
      <c r="A291" s="788" t="str">
        <f t="shared" si="5"/>
        <v>-</v>
      </c>
      <c r="B291" s="331"/>
      <c r="C291" s="331"/>
      <c r="D291" s="331"/>
      <c r="E291" s="790"/>
      <c r="F291" s="791"/>
      <c r="G291" s="331"/>
      <c r="H291" s="331"/>
      <c r="I291" s="331"/>
      <c r="J291" s="331"/>
      <c r="K291" s="331"/>
      <c r="L291" s="331"/>
      <c r="M291" s="331"/>
      <c r="N291" s="331"/>
      <c r="O291" s="331"/>
      <c r="P291" s="792"/>
      <c r="AB291" s="314"/>
      <c r="AC291" s="314"/>
      <c r="AD291" s="314"/>
      <c r="AE291" s="314"/>
      <c r="AF291" s="314"/>
      <c r="AG291" s="314"/>
      <c r="AJ291" s="13" t="str">
        <f t="shared" ref="AJ291:AQ291" si="586">IF(OR(E291=$C291,E291=$D291,E291=""),"0","1")</f>
        <v>0</v>
      </c>
      <c r="AK291" s="13" t="str">
        <f t="shared" si="586"/>
        <v>0</v>
      </c>
      <c r="AL291" s="13" t="str">
        <f t="shared" si="586"/>
        <v>0</v>
      </c>
      <c r="AM291" s="13" t="str">
        <f t="shared" si="586"/>
        <v>0</v>
      </c>
      <c r="AN291" s="13" t="str">
        <f t="shared" si="586"/>
        <v>0</v>
      </c>
      <c r="AO291" s="13" t="str">
        <f t="shared" si="586"/>
        <v>0</v>
      </c>
      <c r="AP291" s="13" t="str">
        <f t="shared" si="586"/>
        <v>0</v>
      </c>
      <c r="AQ291" s="13" t="str">
        <f t="shared" si="586"/>
        <v>0</v>
      </c>
      <c r="AR291" s="13" t="str">
        <f t="shared" ref="AR291:AS291" si="587">IF(OR(O291=$C291,O291=$D291,O291=""),"0","1")</f>
        <v>0</v>
      </c>
      <c r="AS291" s="13" t="str">
        <f t="shared" si="587"/>
        <v>0</v>
      </c>
      <c r="AT291" s="698">
        <f t="shared" si="11"/>
        <v>0</v>
      </c>
    </row>
    <row r="292" ht="15.75" customHeight="1">
      <c r="A292" s="788" t="str">
        <f t="shared" si="5"/>
        <v>-</v>
      </c>
      <c r="B292" s="331"/>
      <c r="C292" s="331"/>
      <c r="D292" s="331"/>
      <c r="E292" s="790"/>
      <c r="F292" s="791"/>
      <c r="G292" s="331"/>
      <c r="H292" s="331"/>
      <c r="I292" s="331"/>
      <c r="J292" s="331"/>
      <c r="K292" s="331"/>
      <c r="L292" s="331"/>
      <c r="M292" s="331"/>
      <c r="N292" s="331"/>
      <c r="O292" s="331"/>
      <c r="P292" s="792"/>
      <c r="AB292" s="314"/>
      <c r="AC292" s="314"/>
      <c r="AD292" s="314"/>
      <c r="AE292" s="314"/>
      <c r="AF292" s="314"/>
      <c r="AG292" s="314"/>
      <c r="AJ292" s="13" t="str">
        <f t="shared" ref="AJ292:AQ292" si="588">IF(OR(E292=$C292,E292=$D292,E292=""),"0","1")</f>
        <v>0</v>
      </c>
      <c r="AK292" s="13" t="str">
        <f t="shared" si="588"/>
        <v>0</v>
      </c>
      <c r="AL292" s="13" t="str">
        <f t="shared" si="588"/>
        <v>0</v>
      </c>
      <c r="AM292" s="13" t="str">
        <f t="shared" si="588"/>
        <v>0</v>
      </c>
      <c r="AN292" s="13" t="str">
        <f t="shared" si="588"/>
        <v>0</v>
      </c>
      <c r="AO292" s="13" t="str">
        <f t="shared" si="588"/>
        <v>0</v>
      </c>
      <c r="AP292" s="13" t="str">
        <f t="shared" si="588"/>
        <v>0</v>
      </c>
      <c r="AQ292" s="13" t="str">
        <f t="shared" si="588"/>
        <v>0</v>
      </c>
      <c r="AR292" s="13" t="str">
        <f t="shared" ref="AR292:AS292" si="589">IF(OR(O292=$C292,O292=$D292,O292=""),"0","1")</f>
        <v>0</v>
      </c>
      <c r="AS292" s="13" t="str">
        <f t="shared" si="589"/>
        <v>0</v>
      </c>
      <c r="AT292" s="698">
        <f t="shared" si="11"/>
        <v>0</v>
      </c>
    </row>
    <row r="293" ht="15.75" customHeight="1">
      <c r="A293" s="788" t="str">
        <f t="shared" si="5"/>
        <v>-</v>
      </c>
      <c r="B293" s="331"/>
      <c r="C293" s="331"/>
      <c r="D293" s="331"/>
      <c r="E293" s="790"/>
      <c r="F293" s="791"/>
      <c r="G293" s="331"/>
      <c r="H293" s="331"/>
      <c r="I293" s="331"/>
      <c r="J293" s="331"/>
      <c r="K293" s="331"/>
      <c r="L293" s="331"/>
      <c r="M293" s="331"/>
      <c r="N293" s="331"/>
      <c r="O293" s="331"/>
      <c r="P293" s="792"/>
      <c r="AB293" s="314"/>
      <c r="AC293" s="314"/>
      <c r="AD293" s="314"/>
      <c r="AE293" s="314"/>
      <c r="AF293" s="314"/>
      <c r="AG293" s="314"/>
      <c r="AJ293" s="13" t="str">
        <f t="shared" ref="AJ293:AQ293" si="590">IF(OR(E293=$C293,E293=$D293,E293=""),"0","1")</f>
        <v>0</v>
      </c>
      <c r="AK293" s="13" t="str">
        <f t="shared" si="590"/>
        <v>0</v>
      </c>
      <c r="AL293" s="13" t="str">
        <f t="shared" si="590"/>
        <v>0</v>
      </c>
      <c r="AM293" s="13" t="str">
        <f t="shared" si="590"/>
        <v>0</v>
      </c>
      <c r="AN293" s="13" t="str">
        <f t="shared" si="590"/>
        <v>0</v>
      </c>
      <c r="AO293" s="13" t="str">
        <f t="shared" si="590"/>
        <v>0</v>
      </c>
      <c r="AP293" s="13" t="str">
        <f t="shared" si="590"/>
        <v>0</v>
      </c>
      <c r="AQ293" s="13" t="str">
        <f t="shared" si="590"/>
        <v>0</v>
      </c>
      <c r="AR293" s="13" t="str">
        <f t="shared" ref="AR293:AS293" si="591">IF(OR(O293=$C293,O293=$D293,O293=""),"0","1")</f>
        <v>0</v>
      </c>
      <c r="AS293" s="13" t="str">
        <f t="shared" si="591"/>
        <v>0</v>
      </c>
      <c r="AT293" s="698">
        <f t="shared" si="11"/>
        <v>0</v>
      </c>
    </row>
    <row r="294" ht="15.75" customHeight="1">
      <c r="A294" s="788" t="str">
        <f t="shared" si="5"/>
        <v>-</v>
      </c>
      <c r="B294" s="331"/>
      <c r="C294" s="331"/>
      <c r="D294" s="331"/>
      <c r="E294" s="790"/>
      <c r="F294" s="791"/>
      <c r="G294" s="331"/>
      <c r="H294" s="331"/>
      <c r="I294" s="331"/>
      <c r="J294" s="331"/>
      <c r="K294" s="331"/>
      <c r="L294" s="331"/>
      <c r="M294" s="331"/>
      <c r="N294" s="331"/>
      <c r="O294" s="331"/>
      <c r="P294" s="792"/>
      <c r="AB294" s="314"/>
      <c r="AC294" s="314"/>
      <c r="AD294" s="314"/>
      <c r="AE294" s="314"/>
      <c r="AF294" s="314"/>
      <c r="AG294" s="314"/>
      <c r="AJ294" s="13" t="str">
        <f t="shared" ref="AJ294:AQ294" si="592">IF(OR(E294=$C294,E294=$D294,E294=""),"0","1")</f>
        <v>0</v>
      </c>
      <c r="AK294" s="13" t="str">
        <f t="shared" si="592"/>
        <v>0</v>
      </c>
      <c r="AL294" s="13" t="str">
        <f t="shared" si="592"/>
        <v>0</v>
      </c>
      <c r="AM294" s="13" t="str">
        <f t="shared" si="592"/>
        <v>0</v>
      </c>
      <c r="AN294" s="13" t="str">
        <f t="shared" si="592"/>
        <v>0</v>
      </c>
      <c r="AO294" s="13" t="str">
        <f t="shared" si="592"/>
        <v>0</v>
      </c>
      <c r="AP294" s="13" t="str">
        <f t="shared" si="592"/>
        <v>0</v>
      </c>
      <c r="AQ294" s="13" t="str">
        <f t="shared" si="592"/>
        <v>0</v>
      </c>
      <c r="AR294" s="13" t="str">
        <f t="shared" ref="AR294:AS294" si="593">IF(OR(O294=$C294,O294=$D294,O294=""),"0","1")</f>
        <v>0</v>
      </c>
      <c r="AS294" s="13" t="str">
        <f t="shared" si="593"/>
        <v>0</v>
      </c>
      <c r="AT294" s="698">
        <f t="shared" si="11"/>
        <v>0</v>
      </c>
    </row>
    <row r="295" ht="15.75" customHeight="1">
      <c r="A295" s="788" t="str">
        <f t="shared" si="5"/>
        <v>-</v>
      </c>
      <c r="B295" s="331"/>
      <c r="C295" s="331"/>
      <c r="D295" s="331"/>
      <c r="E295" s="790"/>
      <c r="F295" s="791"/>
      <c r="G295" s="331"/>
      <c r="H295" s="331"/>
      <c r="I295" s="331"/>
      <c r="J295" s="331"/>
      <c r="K295" s="331"/>
      <c r="L295" s="331"/>
      <c r="M295" s="331"/>
      <c r="N295" s="331"/>
      <c r="O295" s="331"/>
      <c r="P295" s="792"/>
      <c r="AB295" s="314"/>
      <c r="AC295" s="314"/>
      <c r="AD295" s="314"/>
      <c r="AE295" s="314"/>
      <c r="AF295" s="314"/>
      <c r="AG295" s="314"/>
      <c r="AJ295" s="13" t="str">
        <f t="shared" ref="AJ295:AQ295" si="594">IF(OR(E295=$C295,E295=$D295,E295=""),"0","1")</f>
        <v>0</v>
      </c>
      <c r="AK295" s="13" t="str">
        <f t="shared" si="594"/>
        <v>0</v>
      </c>
      <c r="AL295" s="13" t="str">
        <f t="shared" si="594"/>
        <v>0</v>
      </c>
      <c r="AM295" s="13" t="str">
        <f t="shared" si="594"/>
        <v>0</v>
      </c>
      <c r="AN295" s="13" t="str">
        <f t="shared" si="594"/>
        <v>0</v>
      </c>
      <c r="AO295" s="13" t="str">
        <f t="shared" si="594"/>
        <v>0</v>
      </c>
      <c r="AP295" s="13" t="str">
        <f t="shared" si="594"/>
        <v>0</v>
      </c>
      <c r="AQ295" s="13" t="str">
        <f t="shared" si="594"/>
        <v>0</v>
      </c>
      <c r="AR295" s="13" t="str">
        <f t="shared" ref="AR295:AS295" si="595">IF(OR(O295=$C295,O295=$D295,O295=""),"0","1")</f>
        <v>0</v>
      </c>
      <c r="AS295" s="13" t="str">
        <f t="shared" si="595"/>
        <v>0</v>
      </c>
      <c r="AT295" s="698">
        <f t="shared" si="11"/>
        <v>0</v>
      </c>
    </row>
    <row r="296" ht="15.75" customHeight="1">
      <c r="A296" s="788" t="str">
        <f t="shared" si="5"/>
        <v>-</v>
      </c>
      <c r="B296" s="331"/>
      <c r="C296" s="331"/>
      <c r="D296" s="331"/>
      <c r="E296" s="790"/>
      <c r="F296" s="791"/>
      <c r="G296" s="331"/>
      <c r="H296" s="331"/>
      <c r="I296" s="331"/>
      <c r="J296" s="331"/>
      <c r="K296" s="331"/>
      <c r="L296" s="331"/>
      <c r="M296" s="331"/>
      <c r="N296" s="331"/>
      <c r="O296" s="331"/>
      <c r="P296" s="792"/>
      <c r="AB296" s="314"/>
      <c r="AC296" s="314"/>
      <c r="AD296" s="314"/>
      <c r="AE296" s="314"/>
      <c r="AF296" s="314"/>
      <c r="AG296" s="314"/>
      <c r="AJ296" s="13" t="str">
        <f t="shared" ref="AJ296:AQ296" si="596">IF(OR(E296=$C296,E296=$D296,E296=""),"0","1")</f>
        <v>0</v>
      </c>
      <c r="AK296" s="13" t="str">
        <f t="shared" si="596"/>
        <v>0</v>
      </c>
      <c r="AL296" s="13" t="str">
        <f t="shared" si="596"/>
        <v>0</v>
      </c>
      <c r="AM296" s="13" t="str">
        <f t="shared" si="596"/>
        <v>0</v>
      </c>
      <c r="AN296" s="13" t="str">
        <f t="shared" si="596"/>
        <v>0</v>
      </c>
      <c r="AO296" s="13" t="str">
        <f t="shared" si="596"/>
        <v>0</v>
      </c>
      <c r="AP296" s="13" t="str">
        <f t="shared" si="596"/>
        <v>0</v>
      </c>
      <c r="AQ296" s="13" t="str">
        <f t="shared" si="596"/>
        <v>0</v>
      </c>
      <c r="AR296" s="13" t="str">
        <f t="shared" ref="AR296:AS296" si="597">IF(OR(O296=$C296,O296=$D296,O296=""),"0","1")</f>
        <v>0</v>
      </c>
      <c r="AS296" s="13" t="str">
        <f t="shared" si="597"/>
        <v>0</v>
      </c>
      <c r="AT296" s="698">
        <f t="shared" si="11"/>
        <v>0</v>
      </c>
    </row>
    <row r="297" ht="15.75" customHeight="1">
      <c r="A297" s="788" t="str">
        <f t="shared" si="5"/>
        <v>-</v>
      </c>
      <c r="B297" s="331"/>
      <c r="C297" s="331"/>
      <c r="D297" s="331"/>
      <c r="E297" s="790"/>
      <c r="F297" s="791"/>
      <c r="G297" s="331"/>
      <c r="H297" s="331"/>
      <c r="I297" s="331"/>
      <c r="J297" s="331"/>
      <c r="K297" s="331"/>
      <c r="L297" s="331"/>
      <c r="M297" s="331"/>
      <c r="N297" s="331"/>
      <c r="O297" s="331"/>
      <c r="P297" s="792"/>
      <c r="AB297" s="314"/>
      <c r="AC297" s="314"/>
      <c r="AD297" s="314"/>
      <c r="AE297" s="314"/>
      <c r="AF297" s="314"/>
      <c r="AG297" s="314"/>
      <c r="AJ297" s="13" t="str">
        <f t="shared" ref="AJ297:AQ297" si="598">IF(OR(E297=$C297,E297=$D297,E297=""),"0","1")</f>
        <v>0</v>
      </c>
      <c r="AK297" s="13" t="str">
        <f t="shared" si="598"/>
        <v>0</v>
      </c>
      <c r="AL297" s="13" t="str">
        <f t="shared" si="598"/>
        <v>0</v>
      </c>
      <c r="AM297" s="13" t="str">
        <f t="shared" si="598"/>
        <v>0</v>
      </c>
      <c r="AN297" s="13" t="str">
        <f t="shared" si="598"/>
        <v>0</v>
      </c>
      <c r="AO297" s="13" t="str">
        <f t="shared" si="598"/>
        <v>0</v>
      </c>
      <c r="AP297" s="13" t="str">
        <f t="shared" si="598"/>
        <v>0</v>
      </c>
      <c r="AQ297" s="13" t="str">
        <f t="shared" si="598"/>
        <v>0</v>
      </c>
      <c r="AR297" s="13" t="str">
        <f t="shared" ref="AR297:AS297" si="599">IF(OR(O297=$C297,O297=$D297,O297=""),"0","1")</f>
        <v>0</v>
      </c>
      <c r="AS297" s="13" t="str">
        <f t="shared" si="599"/>
        <v>0</v>
      </c>
      <c r="AT297" s="698">
        <f t="shared" si="11"/>
        <v>0</v>
      </c>
    </row>
    <row r="298" ht="15.75" customHeight="1">
      <c r="A298" s="788" t="str">
        <f t="shared" si="5"/>
        <v>-</v>
      </c>
      <c r="B298" s="331"/>
      <c r="C298" s="331"/>
      <c r="D298" s="331"/>
      <c r="E298" s="790"/>
      <c r="F298" s="791"/>
      <c r="G298" s="331"/>
      <c r="H298" s="331"/>
      <c r="I298" s="331"/>
      <c r="J298" s="331"/>
      <c r="K298" s="331"/>
      <c r="L298" s="331"/>
      <c r="M298" s="331"/>
      <c r="N298" s="331"/>
      <c r="O298" s="331"/>
      <c r="P298" s="792"/>
      <c r="AB298" s="314"/>
      <c r="AC298" s="314"/>
      <c r="AD298" s="314"/>
      <c r="AE298" s="314"/>
      <c r="AF298" s="314"/>
      <c r="AG298" s="314"/>
      <c r="AJ298" s="13" t="str">
        <f t="shared" ref="AJ298:AQ298" si="600">IF(OR(E298=$C298,E298=$D298,E298=""),"0","1")</f>
        <v>0</v>
      </c>
      <c r="AK298" s="13" t="str">
        <f t="shared" si="600"/>
        <v>0</v>
      </c>
      <c r="AL298" s="13" t="str">
        <f t="shared" si="600"/>
        <v>0</v>
      </c>
      <c r="AM298" s="13" t="str">
        <f t="shared" si="600"/>
        <v>0</v>
      </c>
      <c r="AN298" s="13" t="str">
        <f t="shared" si="600"/>
        <v>0</v>
      </c>
      <c r="AO298" s="13" t="str">
        <f t="shared" si="600"/>
        <v>0</v>
      </c>
      <c r="AP298" s="13" t="str">
        <f t="shared" si="600"/>
        <v>0</v>
      </c>
      <c r="AQ298" s="13" t="str">
        <f t="shared" si="600"/>
        <v>0</v>
      </c>
      <c r="AR298" s="13" t="str">
        <f t="shared" ref="AR298:AS298" si="601">IF(OR(O298=$C298,O298=$D298,O298=""),"0","1")</f>
        <v>0</v>
      </c>
      <c r="AS298" s="13" t="str">
        <f t="shared" si="601"/>
        <v>0</v>
      </c>
      <c r="AT298" s="698">
        <f t="shared" si="11"/>
        <v>0</v>
      </c>
    </row>
    <row r="299" ht="15.75" customHeight="1">
      <c r="A299" s="788" t="str">
        <f t="shared" si="5"/>
        <v>-</v>
      </c>
      <c r="B299" s="331"/>
      <c r="C299" s="331"/>
      <c r="D299" s="331"/>
      <c r="E299" s="790"/>
      <c r="F299" s="791"/>
      <c r="G299" s="331"/>
      <c r="H299" s="331"/>
      <c r="I299" s="331"/>
      <c r="J299" s="331"/>
      <c r="K299" s="331"/>
      <c r="L299" s="331"/>
      <c r="M299" s="331"/>
      <c r="N299" s="331"/>
      <c r="O299" s="331"/>
      <c r="P299" s="792"/>
      <c r="AB299" s="314"/>
      <c r="AC299" s="314"/>
      <c r="AD299" s="314"/>
      <c r="AE299" s="314"/>
      <c r="AF299" s="314"/>
      <c r="AG299" s="314"/>
      <c r="AJ299" s="13" t="str">
        <f t="shared" ref="AJ299:AQ299" si="602">IF(OR(E299=$C299,E299=$D299,E299=""),"0","1")</f>
        <v>0</v>
      </c>
      <c r="AK299" s="13" t="str">
        <f t="shared" si="602"/>
        <v>0</v>
      </c>
      <c r="AL299" s="13" t="str">
        <f t="shared" si="602"/>
        <v>0</v>
      </c>
      <c r="AM299" s="13" t="str">
        <f t="shared" si="602"/>
        <v>0</v>
      </c>
      <c r="AN299" s="13" t="str">
        <f t="shared" si="602"/>
        <v>0</v>
      </c>
      <c r="AO299" s="13" t="str">
        <f t="shared" si="602"/>
        <v>0</v>
      </c>
      <c r="AP299" s="13" t="str">
        <f t="shared" si="602"/>
        <v>0</v>
      </c>
      <c r="AQ299" s="13" t="str">
        <f t="shared" si="602"/>
        <v>0</v>
      </c>
      <c r="AR299" s="13" t="str">
        <f t="shared" ref="AR299:AS299" si="603">IF(OR(O299=$C299,O299=$D299,O299=""),"0","1")</f>
        <v>0</v>
      </c>
      <c r="AS299" s="13" t="str">
        <f t="shared" si="603"/>
        <v>0</v>
      </c>
      <c r="AT299" s="698">
        <f t="shared" si="11"/>
        <v>0</v>
      </c>
    </row>
    <row r="300" ht="15.75" customHeight="1">
      <c r="A300" s="788" t="str">
        <f t="shared" si="5"/>
        <v>-</v>
      </c>
      <c r="B300" s="331"/>
      <c r="C300" s="331"/>
      <c r="D300" s="331"/>
      <c r="E300" s="790"/>
      <c r="F300" s="791"/>
      <c r="G300" s="331"/>
      <c r="H300" s="331"/>
      <c r="I300" s="331"/>
      <c r="J300" s="331"/>
      <c r="K300" s="331"/>
      <c r="L300" s="331"/>
      <c r="M300" s="331"/>
      <c r="N300" s="331"/>
      <c r="O300" s="331"/>
      <c r="P300" s="792"/>
      <c r="AB300" s="314"/>
      <c r="AC300" s="314"/>
      <c r="AD300" s="314"/>
      <c r="AE300" s="314"/>
      <c r="AF300" s="314"/>
      <c r="AG300" s="314"/>
      <c r="AJ300" s="13" t="str">
        <f t="shared" ref="AJ300:AQ300" si="604">IF(OR(E300=$C300,E300=$D300,E300=""),"0","1")</f>
        <v>0</v>
      </c>
      <c r="AK300" s="13" t="str">
        <f t="shared" si="604"/>
        <v>0</v>
      </c>
      <c r="AL300" s="13" t="str">
        <f t="shared" si="604"/>
        <v>0</v>
      </c>
      <c r="AM300" s="13" t="str">
        <f t="shared" si="604"/>
        <v>0</v>
      </c>
      <c r="AN300" s="13" t="str">
        <f t="shared" si="604"/>
        <v>0</v>
      </c>
      <c r="AO300" s="13" t="str">
        <f t="shared" si="604"/>
        <v>0</v>
      </c>
      <c r="AP300" s="13" t="str">
        <f t="shared" si="604"/>
        <v>0</v>
      </c>
      <c r="AQ300" s="13" t="str">
        <f t="shared" si="604"/>
        <v>0</v>
      </c>
      <c r="AR300" s="13" t="str">
        <f t="shared" ref="AR300:AS300" si="605">IF(OR(O300=$C300,O300=$D300,O300=""),"0","1")</f>
        <v>0</v>
      </c>
      <c r="AS300" s="13" t="str">
        <f t="shared" si="605"/>
        <v>0</v>
      </c>
      <c r="AT300" s="698">
        <f t="shared" si="11"/>
        <v>0</v>
      </c>
    </row>
    <row r="301" ht="15.75" customHeight="1">
      <c r="A301" s="788" t="str">
        <f t="shared" si="5"/>
        <v>-</v>
      </c>
      <c r="B301" s="331"/>
      <c r="C301" s="331"/>
      <c r="D301" s="331"/>
      <c r="E301" s="790"/>
      <c r="F301" s="791"/>
      <c r="G301" s="331"/>
      <c r="H301" s="331"/>
      <c r="I301" s="331"/>
      <c r="J301" s="331"/>
      <c r="K301" s="331"/>
      <c r="L301" s="331"/>
      <c r="M301" s="331"/>
      <c r="N301" s="331"/>
      <c r="O301" s="331"/>
      <c r="P301" s="792"/>
      <c r="AB301" s="314"/>
      <c r="AC301" s="314"/>
      <c r="AD301" s="314"/>
      <c r="AE301" s="314"/>
      <c r="AF301" s="314"/>
      <c r="AG301" s="314"/>
      <c r="AJ301" s="13" t="str">
        <f t="shared" ref="AJ301:AQ301" si="606">IF(OR(E301=$C301,E301=$D301,E301=""),"0","1")</f>
        <v>0</v>
      </c>
      <c r="AK301" s="13" t="str">
        <f t="shared" si="606"/>
        <v>0</v>
      </c>
      <c r="AL301" s="13" t="str">
        <f t="shared" si="606"/>
        <v>0</v>
      </c>
      <c r="AM301" s="13" t="str">
        <f t="shared" si="606"/>
        <v>0</v>
      </c>
      <c r="AN301" s="13" t="str">
        <f t="shared" si="606"/>
        <v>0</v>
      </c>
      <c r="AO301" s="13" t="str">
        <f t="shared" si="606"/>
        <v>0</v>
      </c>
      <c r="AP301" s="13" t="str">
        <f t="shared" si="606"/>
        <v>0</v>
      </c>
      <c r="AQ301" s="13" t="str">
        <f t="shared" si="606"/>
        <v>0</v>
      </c>
      <c r="AR301" s="13" t="str">
        <f t="shared" ref="AR301:AS301" si="607">IF(OR(O301=$C301,O301=$D301,O301=""),"0","1")</f>
        <v>0</v>
      </c>
      <c r="AS301" s="13" t="str">
        <f t="shared" si="607"/>
        <v>0</v>
      </c>
      <c r="AT301" s="698">
        <f t="shared" si="11"/>
        <v>0</v>
      </c>
    </row>
    <row r="302" ht="15.75" customHeight="1">
      <c r="A302" s="788" t="str">
        <f t="shared" si="5"/>
        <v>-</v>
      </c>
      <c r="B302" s="331"/>
      <c r="C302" s="331"/>
      <c r="D302" s="331"/>
      <c r="E302" s="790"/>
      <c r="F302" s="791"/>
      <c r="G302" s="331"/>
      <c r="H302" s="331"/>
      <c r="I302" s="331"/>
      <c r="J302" s="331"/>
      <c r="K302" s="331"/>
      <c r="L302" s="331"/>
      <c r="M302" s="331"/>
      <c r="N302" s="331"/>
      <c r="O302" s="331"/>
      <c r="P302" s="792"/>
      <c r="AB302" s="314"/>
      <c r="AC302" s="314"/>
      <c r="AD302" s="314"/>
      <c r="AE302" s="314"/>
      <c r="AF302" s="314"/>
      <c r="AG302" s="314"/>
      <c r="AJ302" s="13" t="str">
        <f t="shared" ref="AJ302:AQ302" si="608">IF(OR(E302=$C302,E302=$D302,E302=""),"0","1")</f>
        <v>0</v>
      </c>
      <c r="AK302" s="13" t="str">
        <f t="shared" si="608"/>
        <v>0</v>
      </c>
      <c r="AL302" s="13" t="str">
        <f t="shared" si="608"/>
        <v>0</v>
      </c>
      <c r="AM302" s="13" t="str">
        <f t="shared" si="608"/>
        <v>0</v>
      </c>
      <c r="AN302" s="13" t="str">
        <f t="shared" si="608"/>
        <v>0</v>
      </c>
      <c r="AO302" s="13" t="str">
        <f t="shared" si="608"/>
        <v>0</v>
      </c>
      <c r="AP302" s="13" t="str">
        <f t="shared" si="608"/>
        <v>0</v>
      </c>
      <c r="AQ302" s="13" t="str">
        <f t="shared" si="608"/>
        <v>0</v>
      </c>
      <c r="AR302" s="13" t="str">
        <f t="shared" ref="AR302:AS302" si="609">IF(OR(O302=$C302,O302=$D302,O302=""),"0","1")</f>
        <v>0</v>
      </c>
      <c r="AS302" s="13" t="str">
        <f t="shared" si="609"/>
        <v>0</v>
      </c>
      <c r="AT302" s="698">
        <f t="shared" si="11"/>
        <v>0</v>
      </c>
    </row>
    <row r="303" ht="15.75" customHeight="1">
      <c r="A303" s="788" t="str">
        <f t="shared" si="5"/>
        <v>-</v>
      </c>
      <c r="B303" s="331"/>
      <c r="C303" s="331"/>
      <c r="D303" s="331"/>
      <c r="E303" s="790"/>
      <c r="F303" s="791"/>
      <c r="G303" s="331"/>
      <c r="H303" s="331"/>
      <c r="I303" s="331"/>
      <c r="J303" s="331"/>
      <c r="K303" s="331"/>
      <c r="L303" s="331"/>
      <c r="M303" s="331"/>
      <c r="N303" s="331"/>
      <c r="O303" s="331"/>
      <c r="P303" s="792"/>
      <c r="AB303" s="314"/>
      <c r="AC303" s="314"/>
      <c r="AD303" s="314"/>
      <c r="AE303" s="314"/>
      <c r="AF303" s="314"/>
      <c r="AG303" s="314"/>
      <c r="AJ303" s="13" t="str">
        <f t="shared" ref="AJ303:AQ303" si="610">IF(OR(E303=$C303,E303=$D303,E303=""),"0","1")</f>
        <v>0</v>
      </c>
      <c r="AK303" s="13" t="str">
        <f t="shared" si="610"/>
        <v>0</v>
      </c>
      <c r="AL303" s="13" t="str">
        <f t="shared" si="610"/>
        <v>0</v>
      </c>
      <c r="AM303" s="13" t="str">
        <f t="shared" si="610"/>
        <v>0</v>
      </c>
      <c r="AN303" s="13" t="str">
        <f t="shared" si="610"/>
        <v>0</v>
      </c>
      <c r="AO303" s="13" t="str">
        <f t="shared" si="610"/>
        <v>0</v>
      </c>
      <c r="AP303" s="13" t="str">
        <f t="shared" si="610"/>
        <v>0</v>
      </c>
      <c r="AQ303" s="13" t="str">
        <f t="shared" si="610"/>
        <v>0</v>
      </c>
      <c r="AR303" s="13" t="str">
        <f t="shared" ref="AR303:AS303" si="611">IF(OR(O303=$C303,O303=$D303,O303=""),"0","1")</f>
        <v>0</v>
      </c>
      <c r="AS303" s="13" t="str">
        <f t="shared" si="611"/>
        <v>0</v>
      </c>
      <c r="AT303" s="698">
        <f t="shared" si="11"/>
        <v>0</v>
      </c>
    </row>
    <row r="304" ht="15.75" customHeight="1">
      <c r="A304" s="788" t="str">
        <f t="shared" si="5"/>
        <v>-</v>
      </c>
      <c r="B304" s="331"/>
      <c r="C304" s="331"/>
      <c r="D304" s="331"/>
      <c r="E304" s="790"/>
      <c r="F304" s="791"/>
      <c r="G304" s="331"/>
      <c r="H304" s="331"/>
      <c r="I304" s="331"/>
      <c r="J304" s="331"/>
      <c r="K304" s="331"/>
      <c r="L304" s="331"/>
      <c r="M304" s="331"/>
      <c r="N304" s="331"/>
      <c r="O304" s="331"/>
      <c r="P304" s="792"/>
      <c r="AB304" s="314"/>
      <c r="AC304" s="314"/>
      <c r="AD304" s="314"/>
      <c r="AE304" s="314"/>
      <c r="AF304" s="314"/>
      <c r="AG304" s="314"/>
      <c r="AJ304" s="13" t="str">
        <f t="shared" ref="AJ304:AQ304" si="612">IF(OR(E304=$C304,E304=$D304,E304=""),"0","1")</f>
        <v>0</v>
      </c>
      <c r="AK304" s="13" t="str">
        <f t="shared" si="612"/>
        <v>0</v>
      </c>
      <c r="AL304" s="13" t="str">
        <f t="shared" si="612"/>
        <v>0</v>
      </c>
      <c r="AM304" s="13" t="str">
        <f t="shared" si="612"/>
        <v>0</v>
      </c>
      <c r="AN304" s="13" t="str">
        <f t="shared" si="612"/>
        <v>0</v>
      </c>
      <c r="AO304" s="13" t="str">
        <f t="shared" si="612"/>
        <v>0</v>
      </c>
      <c r="AP304" s="13" t="str">
        <f t="shared" si="612"/>
        <v>0</v>
      </c>
      <c r="AQ304" s="13" t="str">
        <f t="shared" si="612"/>
        <v>0</v>
      </c>
      <c r="AR304" s="13" t="str">
        <f t="shared" ref="AR304:AS304" si="613">IF(OR(O304=$C304,O304=$D304,O304=""),"0","1")</f>
        <v>0</v>
      </c>
      <c r="AS304" s="13" t="str">
        <f t="shared" si="613"/>
        <v>0</v>
      </c>
      <c r="AT304" s="698">
        <f t="shared" si="11"/>
        <v>0</v>
      </c>
    </row>
    <row r="305" ht="15.75" customHeight="1">
      <c r="A305" s="788" t="str">
        <f t="shared" si="5"/>
        <v>-</v>
      </c>
      <c r="B305" s="331"/>
      <c r="C305" s="331"/>
      <c r="D305" s="331"/>
      <c r="E305" s="790"/>
      <c r="F305" s="791"/>
      <c r="G305" s="331"/>
      <c r="H305" s="331"/>
      <c r="I305" s="331"/>
      <c r="J305" s="331"/>
      <c r="K305" s="331"/>
      <c r="L305" s="331"/>
      <c r="M305" s="331"/>
      <c r="N305" s="331"/>
      <c r="O305" s="331"/>
      <c r="P305" s="792"/>
      <c r="AB305" s="314"/>
      <c r="AC305" s="314"/>
      <c r="AD305" s="314"/>
      <c r="AE305" s="314"/>
      <c r="AF305" s="314"/>
      <c r="AG305" s="314"/>
      <c r="AJ305" s="13" t="str">
        <f t="shared" ref="AJ305:AQ305" si="614">IF(OR(E305=$C305,E305=$D305,E305=""),"0","1")</f>
        <v>0</v>
      </c>
      <c r="AK305" s="13" t="str">
        <f t="shared" si="614"/>
        <v>0</v>
      </c>
      <c r="AL305" s="13" t="str">
        <f t="shared" si="614"/>
        <v>0</v>
      </c>
      <c r="AM305" s="13" t="str">
        <f t="shared" si="614"/>
        <v>0</v>
      </c>
      <c r="AN305" s="13" t="str">
        <f t="shared" si="614"/>
        <v>0</v>
      </c>
      <c r="AO305" s="13" t="str">
        <f t="shared" si="614"/>
        <v>0</v>
      </c>
      <c r="AP305" s="13" t="str">
        <f t="shared" si="614"/>
        <v>0</v>
      </c>
      <c r="AQ305" s="13" t="str">
        <f t="shared" si="614"/>
        <v>0</v>
      </c>
      <c r="AR305" s="13" t="str">
        <f t="shared" ref="AR305:AS305" si="615">IF(OR(O305=$C305,O305=$D305,O305=""),"0","1")</f>
        <v>0</v>
      </c>
      <c r="AS305" s="13" t="str">
        <f t="shared" si="615"/>
        <v>0</v>
      </c>
      <c r="AT305" s="698">
        <f t="shared" si="11"/>
        <v>0</v>
      </c>
    </row>
    <row r="306" ht="15.75" customHeight="1">
      <c r="A306" s="788" t="str">
        <f t="shared" si="5"/>
        <v>-</v>
      </c>
      <c r="B306" s="331"/>
      <c r="C306" s="331"/>
      <c r="D306" s="331"/>
      <c r="E306" s="790"/>
      <c r="F306" s="791"/>
      <c r="G306" s="331"/>
      <c r="H306" s="331"/>
      <c r="I306" s="331"/>
      <c r="J306" s="331"/>
      <c r="K306" s="331"/>
      <c r="L306" s="331"/>
      <c r="M306" s="331"/>
      <c r="N306" s="331"/>
      <c r="O306" s="331"/>
      <c r="P306" s="792"/>
      <c r="AB306" s="314"/>
      <c r="AC306" s="314"/>
      <c r="AD306" s="314"/>
      <c r="AE306" s="314"/>
      <c r="AF306" s="314"/>
      <c r="AG306" s="314"/>
      <c r="AJ306" s="13" t="str">
        <f t="shared" ref="AJ306:AQ306" si="616">IF(OR(E306=$C306,E306=$D306,E306=""),"0","1")</f>
        <v>0</v>
      </c>
      <c r="AK306" s="13" t="str">
        <f t="shared" si="616"/>
        <v>0</v>
      </c>
      <c r="AL306" s="13" t="str">
        <f t="shared" si="616"/>
        <v>0</v>
      </c>
      <c r="AM306" s="13" t="str">
        <f t="shared" si="616"/>
        <v>0</v>
      </c>
      <c r="AN306" s="13" t="str">
        <f t="shared" si="616"/>
        <v>0</v>
      </c>
      <c r="AO306" s="13" t="str">
        <f t="shared" si="616"/>
        <v>0</v>
      </c>
      <c r="AP306" s="13" t="str">
        <f t="shared" si="616"/>
        <v>0</v>
      </c>
      <c r="AQ306" s="13" t="str">
        <f t="shared" si="616"/>
        <v>0</v>
      </c>
      <c r="AR306" s="13" t="str">
        <f t="shared" ref="AR306:AS306" si="617">IF(OR(O306=$C306,O306=$D306,O306=""),"0","1")</f>
        <v>0</v>
      </c>
      <c r="AS306" s="13" t="str">
        <f t="shared" si="617"/>
        <v>0</v>
      </c>
      <c r="AT306" s="698">
        <f t="shared" si="11"/>
        <v>0</v>
      </c>
    </row>
    <row r="307" ht="15.75" customHeight="1">
      <c r="A307" s="788" t="str">
        <f t="shared" si="5"/>
        <v>-</v>
      </c>
      <c r="B307" s="331"/>
      <c r="C307" s="331"/>
      <c r="D307" s="331"/>
      <c r="E307" s="790"/>
      <c r="F307" s="791"/>
      <c r="G307" s="331"/>
      <c r="H307" s="331"/>
      <c r="I307" s="331"/>
      <c r="J307" s="331"/>
      <c r="K307" s="331"/>
      <c r="L307" s="331"/>
      <c r="M307" s="331"/>
      <c r="N307" s="331"/>
      <c r="O307" s="331"/>
      <c r="P307" s="792"/>
      <c r="AB307" s="314"/>
      <c r="AC307" s="314"/>
      <c r="AD307" s="314"/>
      <c r="AE307" s="314"/>
      <c r="AF307" s="314"/>
      <c r="AG307" s="314"/>
      <c r="AJ307" s="13" t="str">
        <f t="shared" ref="AJ307:AQ307" si="618">IF(OR(E307=$C307,E307=$D307,E307=""),"0","1")</f>
        <v>0</v>
      </c>
      <c r="AK307" s="13" t="str">
        <f t="shared" si="618"/>
        <v>0</v>
      </c>
      <c r="AL307" s="13" t="str">
        <f t="shared" si="618"/>
        <v>0</v>
      </c>
      <c r="AM307" s="13" t="str">
        <f t="shared" si="618"/>
        <v>0</v>
      </c>
      <c r="AN307" s="13" t="str">
        <f t="shared" si="618"/>
        <v>0</v>
      </c>
      <c r="AO307" s="13" t="str">
        <f t="shared" si="618"/>
        <v>0</v>
      </c>
      <c r="AP307" s="13" t="str">
        <f t="shared" si="618"/>
        <v>0</v>
      </c>
      <c r="AQ307" s="13" t="str">
        <f t="shared" si="618"/>
        <v>0</v>
      </c>
      <c r="AR307" s="13" t="str">
        <f t="shared" ref="AR307:AS307" si="619">IF(OR(O307=$C307,O307=$D307,O307=""),"0","1")</f>
        <v>0</v>
      </c>
      <c r="AS307" s="13" t="str">
        <f t="shared" si="619"/>
        <v>0</v>
      </c>
      <c r="AT307" s="698">
        <f t="shared" si="11"/>
        <v>0</v>
      </c>
    </row>
    <row r="308" ht="15.75" customHeight="1">
      <c r="A308" s="788" t="str">
        <f t="shared" si="5"/>
        <v>-</v>
      </c>
      <c r="B308" s="331"/>
      <c r="C308" s="331"/>
      <c r="D308" s="331"/>
      <c r="E308" s="790"/>
      <c r="F308" s="791"/>
      <c r="G308" s="331"/>
      <c r="H308" s="331"/>
      <c r="I308" s="331"/>
      <c r="J308" s="331"/>
      <c r="K308" s="331"/>
      <c r="L308" s="331"/>
      <c r="M308" s="331"/>
      <c r="N308" s="331"/>
      <c r="O308" s="331"/>
      <c r="P308" s="792"/>
      <c r="AB308" s="314"/>
      <c r="AC308" s="314"/>
      <c r="AD308" s="314"/>
      <c r="AE308" s="314"/>
      <c r="AF308" s="314"/>
      <c r="AG308" s="314"/>
      <c r="AJ308" s="13" t="str">
        <f t="shared" ref="AJ308:AQ308" si="620">IF(OR(E308=$C308,E308=$D308,E308=""),"0","1")</f>
        <v>0</v>
      </c>
      <c r="AK308" s="13" t="str">
        <f t="shared" si="620"/>
        <v>0</v>
      </c>
      <c r="AL308" s="13" t="str">
        <f t="shared" si="620"/>
        <v>0</v>
      </c>
      <c r="AM308" s="13" t="str">
        <f t="shared" si="620"/>
        <v>0</v>
      </c>
      <c r="AN308" s="13" t="str">
        <f t="shared" si="620"/>
        <v>0</v>
      </c>
      <c r="AO308" s="13" t="str">
        <f t="shared" si="620"/>
        <v>0</v>
      </c>
      <c r="AP308" s="13" t="str">
        <f t="shared" si="620"/>
        <v>0</v>
      </c>
      <c r="AQ308" s="13" t="str">
        <f t="shared" si="620"/>
        <v>0</v>
      </c>
      <c r="AR308" s="13" t="str">
        <f t="shared" ref="AR308:AS308" si="621">IF(OR(O308=$C308,O308=$D308,O308=""),"0","1")</f>
        <v>0</v>
      </c>
      <c r="AS308" s="13" t="str">
        <f t="shared" si="621"/>
        <v>0</v>
      </c>
      <c r="AT308" s="698">
        <f t="shared" si="11"/>
        <v>0</v>
      </c>
    </row>
    <row r="309" ht="15.75" customHeight="1">
      <c r="A309" s="788" t="str">
        <f t="shared" si="5"/>
        <v>-</v>
      </c>
      <c r="B309" s="331"/>
      <c r="C309" s="331"/>
      <c r="D309" s="331"/>
      <c r="E309" s="790"/>
      <c r="F309" s="791"/>
      <c r="G309" s="331"/>
      <c r="H309" s="331"/>
      <c r="I309" s="331"/>
      <c r="J309" s="331"/>
      <c r="K309" s="331"/>
      <c r="L309" s="331"/>
      <c r="M309" s="331"/>
      <c r="N309" s="331"/>
      <c r="O309" s="331"/>
      <c r="P309" s="792"/>
      <c r="AB309" s="314"/>
      <c r="AC309" s="314"/>
      <c r="AD309" s="314"/>
      <c r="AE309" s="314"/>
      <c r="AF309" s="314"/>
      <c r="AG309" s="314"/>
      <c r="AJ309" s="13" t="str">
        <f t="shared" ref="AJ309:AQ309" si="622">IF(OR(E309=$C309,E309=$D309,E309=""),"0","1")</f>
        <v>0</v>
      </c>
      <c r="AK309" s="13" t="str">
        <f t="shared" si="622"/>
        <v>0</v>
      </c>
      <c r="AL309" s="13" t="str">
        <f t="shared" si="622"/>
        <v>0</v>
      </c>
      <c r="AM309" s="13" t="str">
        <f t="shared" si="622"/>
        <v>0</v>
      </c>
      <c r="AN309" s="13" t="str">
        <f t="shared" si="622"/>
        <v>0</v>
      </c>
      <c r="AO309" s="13" t="str">
        <f t="shared" si="622"/>
        <v>0</v>
      </c>
      <c r="AP309" s="13" t="str">
        <f t="shared" si="622"/>
        <v>0</v>
      </c>
      <c r="AQ309" s="13" t="str">
        <f t="shared" si="622"/>
        <v>0</v>
      </c>
      <c r="AR309" s="13" t="str">
        <f t="shared" ref="AR309:AS309" si="623">IF(OR(O309=$C309,O309=$D309,O309=""),"0","1")</f>
        <v>0</v>
      </c>
      <c r="AS309" s="13" t="str">
        <f t="shared" si="623"/>
        <v>0</v>
      </c>
      <c r="AT309" s="698">
        <f t="shared" si="11"/>
        <v>0</v>
      </c>
    </row>
    <row r="310" ht="15.75" customHeight="1">
      <c r="A310" s="788" t="str">
        <f t="shared" si="5"/>
        <v>-</v>
      </c>
      <c r="B310" s="331"/>
      <c r="C310" s="331"/>
      <c r="D310" s="331"/>
      <c r="E310" s="790"/>
      <c r="F310" s="791"/>
      <c r="G310" s="331"/>
      <c r="H310" s="331"/>
      <c r="I310" s="331"/>
      <c r="J310" s="331"/>
      <c r="K310" s="331"/>
      <c r="L310" s="331"/>
      <c r="M310" s="331"/>
      <c r="N310" s="331"/>
      <c r="O310" s="331"/>
      <c r="P310" s="792"/>
      <c r="AB310" s="314"/>
      <c r="AC310" s="314"/>
      <c r="AD310" s="314"/>
      <c r="AE310" s="314"/>
      <c r="AF310" s="314"/>
      <c r="AG310" s="314"/>
      <c r="AJ310" s="13" t="str">
        <f t="shared" ref="AJ310:AQ310" si="624">IF(OR(E310=$C310,E310=$D310,E310=""),"0","1")</f>
        <v>0</v>
      </c>
      <c r="AK310" s="13" t="str">
        <f t="shared" si="624"/>
        <v>0</v>
      </c>
      <c r="AL310" s="13" t="str">
        <f t="shared" si="624"/>
        <v>0</v>
      </c>
      <c r="AM310" s="13" t="str">
        <f t="shared" si="624"/>
        <v>0</v>
      </c>
      <c r="AN310" s="13" t="str">
        <f t="shared" si="624"/>
        <v>0</v>
      </c>
      <c r="AO310" s="13" t="str">
        <f t="shared" si="624"/>
        <v>0</v>
      </c>
      <c r="AP310" s="13" t="str">
        <f t="shared" si="624"/>
        <v>0</v>
      </c>
      <c r="AQ310" s="13" t="str">
        <f t="shared" si="624"/>
        <v>0</v>
      </c>
      <c r="AR310" s="13" t="str">
        <f t="shared" ref="AR310:AS310" si="625">IF(OR(O310=$C310,O310=$D310,O310=""),"0","1")</f>
        <v>0</v>
      </c>
      <c r="AS310" s="13" t="str">
        <f t="shared" si="625"/>
        <v>0</v>
      </c>
      <c r="AT310" s="698">
        <f t="shared" si="11"/>
        <v>0</v>
      </c>
    </row>
    <row r="311" ht="15.75" customHeight="1">
      <c r="A311" s="788" t="str">
        <f t="shared" si="5"/>
        <v>-</v>
      </c>
      <c r="B311" s="331"/>
      <c r="C311" s="331"/>
      <c r="D311" s="331"/>
      <c r="E311" s="790"/>
      <c r="F311" s="791"/>
      <c r="G311" s="331"/>
      <c r="H311" s="331"/>
      <c r="I311" s="331"/>
      <c r="J311" s="331"/>
      <c r="K311" s="331"/>
      <c r="L311" s="331"/>
      <c r="M311" s="331"/>
      <c r="N311" s="331"/>
      <c r="O311" s="331"/>
      <c r="P311" s="792"/>
      <c r="AB311" s="314"/>
      <c r="AC311" s="314"/>
      <c r="AD311" s="314"/>
      <c r="AE311" s="314"/>
      <c r="AF311" s="314"/>
      <c r="AG311" s="314"/>
      <c r="AJ311" s="13" t="str">
        <f t="shared" ref="AJ311:AQ311" si="626">IF(OR(E311=$C311,E311=$D311,E311=""),"0","1")</f>
        <v>0</v>
      </c>
      <c r="AK311" s="13" t="str">
        <f t="shared" si="626"/>
        <v>0</v>
      </c>
      <c r="AL311" s="13" t="str">
        <f t="shared" si="626"/>
        <v>0</v>
      </c>
      <c r="AM311" s="13" t="str">
        <f t="shared" si="626"/>
        <v>0</v>
      </c>
      <c r="AN311" s="13" t="str">
        <f t="shared" si="626"/>
        <v>0</v>
      </c>
      <c r="AO311" s="13" t="str">
        <f t="shared" si="626"/>
        <v>0</v>
      </c>
      <c r="AP311" s="13" t="str">
        <f t="shared" si="626"/>
        <v>0</v>
      </c>
      <c r="AQ311" s="13" t="str">
        <f t="shared" si="626"/>
        <v>0</v>
      </c>
      <c r="AR311" s="13" t="str">
        <f t="shared" ref="AR311:AS311" si="627">IF(OR(O311=$C311,O311=$D311,O311=""),"0","1")</f>
        <v>0</v>
      </c>
      <c r="AS311" s="13" t="str">
        <f t="shared" si="627"/>
        <v>0</v>
      </c>
      <c r="AT311" s="698">
        <f t="shared" si="11"/>
        <v>0</v>
      </c>
    </row>
    <row r="312" ht="15.75" customHeight="1">
      <c r="A312" s="788" t="str">
        <f t="shared" si="5"/>
        <v>-</v>
      </c>
      <c r="B312" s="331"/>
      <c r="C312" s="331"/>
      <c r="D312" s="331"/>
      <c r="E312" s="790"/>
      <c r="F312" s="791"/>
      <c r="G312" s="331"/>
      <c r="H312" s="331"/>
      <c r="I312" s="331"/>
      <c r="J312" s="331"/>
      <c r="K312" s="331"/>
      <c r="L312" s="331"/>
      <c r="M312" s="331"/>
      <c r="N312" s="331"/>
      <c r="O312" s="331"/>
      <c r="P312" s="792"/>
      <c r="AB312" s="314"/>
      <c r="AC312" s="314"/>
      <c r="AD312" s="314"/>
      <c r="AE312" s="314"/>
      <c r="AF312" s="314"/>
      <c r="AG312" s="314"/>
      <c r="AJ312" s="13" t="str">
        <f t="shared" ref="AJ312:AQ312" si="628">IF(OR(E312=$C312,E312=$D312,E312=""),"0","1")</f>
        <v>0</v>
      </c>
      <c r="AK312" s="13" t="str">
        <f t="shared" si="628"/>
        <v>0</v>
      </c>
      <c r="AL312" s="13" t="str">
        <f t="shared" si="628"/>
        <v>0</v>
      </c>
      <c r="AM312" s="13" t="str">
        <f t="shared" si="628"/>
        <v>0</v>
      </c>
      <c r="AN312" s="13" t="str">
        <f t="shared" si="628"/>
        <v>0</v>
      </c>
      <c r="AO312" s="13" t="str">
        <f t="shared" si="628"/>
        <v>0</v>
      </c>
      <c r="AP312" s="13" t="str">
        <f t="shared" si="628"/>
        <v>0</v>
      </c>
      <c r="AQ312" s="13" t="str">
        <f t="shared" si="628"/>
        <v>0</v>
      </c>
      <c r="AR312" s="13" t="str">
        <f t="shared" ref="AR312:AS312" si="629">IF(OR(O312=$C312,O312=$D312,O312=""),"0","1")</f>
        <v>0</v>
      </c>
      <c r="AS312" s="13" t="str">
        <f t="shared" si="629"/>
        <v>0</v>
      </c>
      <c r="AT312" s="698">
        <f t="shared" si="11"/>
        <v>0</v>
      </c>
    </row>
    <row r="313" ht="15.75" customHeight="1">
      <c r="A313" s="788" t="str">
        <f t="shared" si="5"/>
        <v>-</v>
      </c>
      <c r="B313" s="331"/>
      <c r="C313" s="331"/>
      <c r="D313" s="331"/>
      <c r="E313" s="790"/>
      <c r="F313" s="791"/>
      <c r="G313" s="331"/>
      <c r="H313" s="331"/>
      <c r="I313" s="331"/>
      <c r="J313" s="331"/>
      <c r="K313" s="331"/>
      <c r="L313" s="331"/>
      <c r="M313" s="331"/>
      <c r="N313" s="331"/>
      <c r="O313" s="331"/>
      <c r="P313" s="792"/>
      <c r="AB313" s="314"/>
      <c r="AC313" s="314"/>
      <c r="AD313" s="314"/>
      <c r="AE313" s="314"/>
      <c r="AF313" s="314"/>
      <c r="AG313" s="314"/>
      <c r="AJ313" s="13" t="str">
        <f t="shared" ref="AJ313:AQ313" si="630">IF(OR(E313=$C313,E313=$D313,E313=""),"0","1")</f>
        <v>0</v>
      </c>
      <c r="AK313" s="13" t="str">
        <f t="shared" si="630"/>
        <v>0</v>
      </c>
      <c r="AL313" s="13" t="str">
        <f t="shared" si="630"/>
        <v>0</v>
      </c>
      <c r="AM313" s="13" t="str">
        <f t="shared" si="630"/>
        <v>0</v>
      </c>
      <c r="AN313" s="13" t="str">
        <f t="shared" si="630"/>
        <v>0</v>
      </c>
      <c r="AO313" s="13" t="str">
        <f t="shared" si="630"/>
        <v>0</v>
      </c>
      <c r="AP313" s="13" t="str">
        <f t="shared" si="630"/>
        <v>0</v>
      </c>
      <c r="AQ313" s="13" t="str">
        <f t="shared" si="630"/>
        <v>0</v>
      </c>
      <c r="AR313" s="13" t="str">
        <f t="shared" ref="AR313:AS313" si="631">IF(OR(O313=$C313,O313=$D313,O313=""),"0","1")</f>
        <v>0</v>
      </c>
      <c r="AS313" s="13" t="str">
        <f t="shared" si="631"/>
        <v>0</v>
      </c>
      <c r="AT313" s="698">
        <f t="shared" si="11"/>
        <v>0</v>
      </c>
    </row>
    <row r="314" ht="15.75" customHeight="1">
      <c r="A314" s="788" t="str">
        <f t="shared" si="5"/>
        <v>-</v>
      </c>
      <c r="B314" s="331"/>
      <c r="C314" s="331"/>
      <c r="D314" s="331"/>
      <c r="E314" s="790"/>
      <c r="F314" s="791"/>
      <c r="G314" s="331"/>
      <c r="H314" s="331"/>
      <c r="I314" s="331"/>
      <c r="J314" s="331"/>
      <c r="K314" s="331"/>
      <c r="L314" s="331"/>
      <c r="M314" s="331"/>
      <c r="N314" s="331"/>
      <c r="O314" s="331"/>
      <c r="P314" s="792"/>
      <c r="AB314" s="314"/>
      <c r="AC314" s="314"/>
      <c r="AD314" s="314"/>
      <c r="AE314" s="314"/>
      <c r="AF314" s="314"/>
      <c r="AG314" s="314"/>
      <c r="AJ314" s="13" t="str">
        <f t="shared" ref="AJ314:AQ314" si="632">IF(OR(E314=$C314,E314=$D314,E314=""),"0","1")</f>
        <v>0</v>
      </c>
      <c r="AK314" s="13" t="str">
        <f t="shared" si="632"/>
        <v>0</v>
      </c>
      <c r="AL314" s="13" t="str">
        <f t="shared" si="632"/>
        <v>0</v>
      </c>
      <c r="AM314" s="13" t="str">
        <f t="shared" si="632"/>
        <v>0</v>
      </c>
      <c r="AN314" s="13" t="str">
        <f t="shared" si="632"/>
        <v>0</v>
      </c>
      <c r="AO314" s="13" t="str">
        <f t="shared" si="632"/>
        <v>0</v>
      </c>
      <c r="AP314" s="13" t="str">
        <f t="shared" si="632"/>
        <v>0</v>
      </c>
      <c r="AQ314" s="13" t="str">
        <f t="shared" si="632"/>
        <v>0</v>
      </c>
      <c r="AR314" s="13" t="str">
        <f t="shared" ref="AR314:AS314" si="633">IF(OR(O314=$C314,O314=$D314,O314=""),"0","1")</f>
        <v>0</v>
      </c>
      <c r="AS314" s="13" t="str">
        <f t="shared" si="633"/>
        <v>0</v>
      </c>
      <c r="AT314" s="698">
        <f t="shared" si="11"/>
        <v>0</v>
      </c>
    </row>
    <row r="315" ht="15.75" customHeight="1">
      <c r="A315" s="788" t="str">
        <f t="shared" si="5"/>
        <v>-</v>
      </c>
      <c r="B315" s="331"/>
      <c r="C315" s="331"/>
      <c r="D315" s="331"/>
      <c r="E315" s="790"/>
      <c r="F315" s="791"/>
      <c r="G315" s="331"/>
      <c r="H315" s="331"/>
      <c r="I315" s="331"/>
      <c r="J315" s="331"/>
      <c r="K315" s="331"/>
      <c r="L315" s="331"/>
      <c r="M315" s="331"/>
      <c r="N315" s="331"/>
      <c r="O315" s="331"/>
      <c r="P315" s="792"/>
      <c r="AB315" s="314"/>
      <c r="AC315" s="314"/>
      <c r="AD315" s="314"/>
      <c r="AE315" s="314"/>
      <c r="AF315" s="314"/>
      <c r="AG315" s="314"/>
      <c r="AJ315" s="13" t="str">
        <f t="shared" ref="AJ315:AQ315" si="634">IF(OR(E315=$C315,E315=$D315,E315=""),"0","1")</f>
        <v>0</v>
      </c>
      <c r="AK315" s="13" t="str">
        <f t="shared" si="634"/>
        <v>0</v>
      </c>
      <c r="AL315" s="13" t="str">
        <f t="shared" si="634"/>
        <v>0</v>
      </c>
      <c r="AM315" s="13" t="str">
        <f t="shared" si="634"/>
        <v>0</v>
      </c>
      <c r="AN315" s="13" t="str">
        <f t="shared" si="634"/>
        <v>0</v>
      </c>
      <c r="AO315" s="13" t="str">
        <f t="shared" si="634"/>
        <v>0</v>
      </c>
      <c r="AP315" s="13" t="str">
        <f t="shared" si="634"/>
        <v>0</v>
      </c>
      <c r="AQ315" s="13" t="str">
        <f t="shared" si="634"/>
        <v>0</v>
      </c>
      <c r="AR315" s="13" t="str">
        <f t="shared" ref="AR315:AS315" si="635">IF(OR(O315=$C315,O315=$D315,O315=""),"0","1")</f>
        <v>0</v>
      </c>
      <c r="AS315" s="13" t="str">
        <f t="shared" si="635"/>
        <v>0</v>
      </c>
      <c r="AT315" s="698">
        <f t="shared" si="11"/>
        <v>0</v>
      </c>
    </row>
    <row r="316" ht="15.75" customHeight="1">
      <c r="A316" s="788" t="str">
        <f t="shared" si="5"/>
        <v>-</v>
      </c>
      <c r="B316" s="331"/>
      <c r="C316" s="331"/>
      <c r="D316" s="331"/>
      <c r="E316" s="790"/>
      <c r="F316" s="791"/>
      <c r="G316" s="331"/>
      <c r="H316" s="331"/>
      <c r="I316" s="331"/>
      <c r="J316" s="331"/>
      <c r="K316" s="331"/>
      <c r="L316" s="331"/>
      <c r="M316" s="331"/>
      <c r="N316" s="331"/>
      <c r="O316" s="331"/>
      <c r="P316" s="792"/>
      <c r="AB316" s="314"/>
      <c r="AC316" s="314"/>
      <c r="AD316" s="314"/>
      <c r="AE316" s="314"/>
      <c r="AF316" s="314"/>
      <c r="AG316" s="314"/>
      <c r="AJ316" s="13" t="str">
        <f t="shared" ref="AJ316:AQ316" si="636">IF(OR(E316=$C316,E316=$D316,E316=""),"0","1")</f>
        <v>0</v>
      </c>
      <c r="AK316" s="13" t="str">
        <f t="shared" si="636"/>
        <v>0</v>
      </c>
      <c r="AL316" s="13" t="str">
        <f t="shared" si="636"/>
        <v>0</v>
      </c>
      <c r="AM316" s="13" t="str">
        <f t="shared" si="636"/>
        <v>0</v>
      </c>
      <c r="AN316" s="13" t="str">
        <f t="shared" si="636"/>
        <v>0</v>
      </c>
      <c r="AO316" s="13" t="str">
        <f t="shared" si="636"/>
        <v>0</v>
      </c>
      <c r="AP316" s="13" t="str">
        <f t="shared" si="636"/>
        <v>0</v>
      </c>
      <c r="AQ316" s="13" t="str">
        <f t="shared" si="636"/>
        <v>0</v>
      </c>
      <c r="AR316" s="13" t="str">
        <f t="shared" ref="AR316:AS316" si="637">IF(OR(O316=$C316,O316=$D316,O316=""),"0","1")</f>
        <v>0</v>
      </c>
      <c r="AS316" s="13" t="str">
        <f t="shared" si="637"/>
        <v>0</v>
      </c>
      <c r="AT316" s="698">
        <f t="shared" si="11"/>
        <v>0</v>
      </c>
    </row>
    <row r="317" ht="15.75" customHeight="1">
      <c r="A317" s="788" t="str">
        <f t="shared" si="5"/>
        <v>-</v>
      </c>
      <c r="B317" s="331"/>
      <c r="C317" s="331"/>
      <c r="D317" s="331"/>
      <c r="E317" s="790"/>
      <c r="F317" s="791"/>
      <c r="G317" s="331"/>
      <c r="H317" s="331"/>
      <c r="I317" s="331"/>
      <c r="J317" s="331"/>
      <c r="K317" s="331"/>
      <c r="L317" s="331"/>
      <c r="M317" s="331"/>
      <c r="N317" s="331"/>
      <c r="O317" s="331"/>
      <c r="P317" s="792"/>
      <c r="AB317" s="314"/>
      <c r="AC317" s="314"/>
      <c r="AD317" s="314"/>
      <c r="AE317" s="314"/>
      <c r="AF317" s="314"/>
      <c r="AG317" s="314"/>
      <c r="AJ317" s="13" t="str">
        <f t="shared" ref="AJ317:AQ317" si="638">IF(OR(E317=$C317,E317=$D317,E317=""),"0","1")</f>
        <v>0</v>
      </c>
      <c r="AK317" s="13" t="str">
        <f t="shared" si="638"/>
        <v>0</v>
      </c>
      <c r="AL317" s="13" t="str">
        <f t="shared" si="638"/>
        <v>0</v>
      </c>
      <c r="AM317" s="13" t="str">
        <f t="shared" si="638"/>
        <v>0</v>
      </c>
      <c r="AN317" s="13" t="str">
        <f t="shared" si="638"/>
        <v>0</v>
      </c>
      <c r="AO317" s="13" t="str">
        <f t="shared" si="638"/>
        <v>0</v>
      </c>
      <c r="AP317" s="13" t="str">
        <f t="shared" si="638"/>
        <v>0</v>
      </c>
      <c r="AQ317" s="13" t="str">
        <f t="shared" si="638"/>
        <v>0</v>
      </c>
      <c r="AR317" s="13" t="str">
        <f t="shared" ref="AR317:AS317" si="639">IF(OR(O317=$C317,O317=$D317,O317=""),"0","1")</f>
        <v>0</v>
      </c>
      <c r="AS317" s="13" t="str">
        <f t="shared" si="639"/>
        <v>0</v>
      </c>
      <c r="AT317" s="698">
        <f t="shared" si="11"/>
        <v>0</v>
      </c>
    </row>
    <row r="318" ht="15.75" customHeight="1">
      <c r="A318" s="788" t="str">
        <f t="shared" si="5"/>
        <v>-</v>
      </c>
      <c r="B318" s="331"/>
      <c r="C318" s="331"/>
      <c r="D318" s="331"/>
      <c r="E318" s="790"/>
      <c r="F318" s="791"/>
      <c r="G318" s="331"/>
      <c r="H318" s="331"/>
      <c r="I318" s="331"/>
      <c r="J318" s="331"/>
      <c r="K318" s="331"/>
      <c r="L318" s="331"/>
      <c r="M318" s="331"/>
      <c r="N318" s="331"/>
      <c r="O318" s="331"/>
      <c r="P318" s="792"/>
      <c r="AB318" s="314"/>
      <c r="AC318" s="314"/>
      <c r="AD318" s="314"/>
      <c r="AE318" s="314"/>
      <c r="AF318" s="314"/>
      <c r="AG318" s="314"/>
      <c r="AJ318" s="13" t="str">
        <f t="shared" ref="AJ318:AQ318" si="640">IF(OR(E318=$C318,E318=$D318,E318=""),"0","1")</f>
        <v>0</v>
      </c>
      <c r="AK318" s="13" t="str">
        <f t="shared" si="640"/>
        <v>0</v>
      </c>
      <c r="AL318" s="13" t="str">
        <f t="shared" si="640"/>
        <v>0</v>
      </c>
      <c r="AM318" s="13" t="str">
        <f t="shared" si="640"/>
        <v>0</v>
      </c>
      <c r="AN318" s="13" t="str">
        <f t="shared" si="640"/>
        <v>0</v>
      </c>
      <c r="AO318" s="13" t="str">
        <f t="shared" si="640"/>
        <v>0</v>
      </c>
      <c r="AP318" s="13" t="str">
        <f t="shared" si="640"/>
        <v>0</v>
      </c>
      <c r="AQ318" s="13" t="str">
        <f t="shared" si="640"/>
        <v>0</v>
      </c>
      <c r="AR318" s="13" t="str">
        <f t="shared" ref="AR318:AS318" si="641">IF(OR(O318=$C318,O318=$D318,O318=""),"0","1")</f>
        <v>0</v>
      </c>
      <c r="AS318" s="13" t="str">
        <f t="shared" si="641"/>
        <v>0</v>
      </c>
      <c r="AT318" s="698">
        <f t="shared" si="11"/>
        <v>0</v>
      </c>
    </row>
    <row r="319" ht="15.75" customHeight="1">
      <c r="A319" s="788" t="str">
        <f t="shared" si="5"/>
        <v>-</v>
      </c>
      <c r="B319" s="331"/>
      <c r="C319" s="331"/>
      <c r="D319" s="331"/>
      <c r="E319" s="790"/>
      <c r="F319" s="791"/>
      <c r="G319" s="331"/>
      <c r="H319" s="331"/>
      <c r="I319" s="331"/>
      <c r="J319" s="331"/>
      <c r="K319" s="331"/>
      <c r="L319" s="331"/>
      <c r="M319" s="331"/>
      <c r="N319" s="331"/>
      <c r="O319" s="331"/>
      <c r="P319" s="792"/>
      <c r="AB319" s="314"/>
      <c r="AC319" s="314"/>
      <c r="AD319" s="314"/>
      <c r="AE319" s="314"/>
      <c r="AF319" s="314"/>
      <c r="AG319" s="314"/>
      <c r="AJ319" s="13" t="str">
        <f t="shared" ref="AJ319:AQ319" si="642">IF(OR(E319=$C319,E319=$D319,E319=""),"0","1")</f>
        <v>0</v>
      </c>
      <c r="AK319" s="13" t="str">
        <f t="shared" si="642"/>
        <v>0</v>
      </c>
      <c r="AL319" s="13" t="str">
        <f t="shared" si="642"/>
        <v>0</v>
      </c>
      <c r="AM319" s="13" t="str">
        <f t="shared" si="642"/>
        <v>0</v>
      </c>
      <c r="AN319" s="13" t="str">
        <f t="shared" si="642"/>
        <v>0</v>
      </c>
      <c r="AO319" s="13" t="str">
        <f t="shared" si="642"/>
        <v>0</v>
      </c>
      <c r="AP319" s="13" t="str">
        <f t="shared" si="642"/>
        <v>0</v>
      </c>
      <c r="AQ319" s="13" t="str">
        <f t="shared" si="642"/>
        <v>0</v>
      </c>
      <c r="AR319" s="13" t="str">
        <f t="shared" ref="AR319:AS319" si="643">IF(OR(O319=$C319,O319=$D319,O319=""),"0","1")</f>
        <v>0</v>
      </c>
      <c r="AS319" s="13" t="str">
        <f t="shared" si="643"/>
        <v>0</v>
      </c>
      <c r="AT319" s="698">
        <f t="shared" si="11"/>
        <v>0</v>
      </c>
    </row>
    <row r="320" ht="15.75" customHeight="1">
      <c r="A320" s="788" t="str">
        <f t="shared" si="5"/>
        <v>-</v>
      </c>
      <c r="B320" s="331"/>
      <c r="C320" s="331"/>
      <c r="D320" s="331"/>
      <c r="E320" s="790"/>
      <c r="F320" s="791"/>
      <c r="G320" s="331"/>
      <c r="H320" s="331"/>
      <c r="I320" s="331"/>
      <c r="J320" s="331"/>
      <c r="K320" s="331"/>
      <c r="L320" s="331"/>
      <c r="M320" s="331"/>
      <c r="N320" s="331"/>
      <c r="O320" s="331"/>
      <c r="P320" s="792"/>
      <c r="AB320" s="314"/>
      <c r="AC320" s="314"/>
      <c r="AD320" s="314"/>
      <c r="AE320" s="314"/>
      <c r="AF320" s="314"/>
      <c r="AG320" s="314"/>
      <c r="AJ320" s="13" t="str">
        <f t="shared" ref="AJ320:AQ320" si="644">IF(OR(E320=$C320,E320=$D320,E320=""),"0","1")</f>
        <v>0</v>
      </c>
      <c r="AK320" s="13" t="str">
        <f t="shared" si="644"/>
        <v>0</v>
      </c>
      <c r="AL320" s="13" t="str">
        <f t="shared" si="644"/>
        <v>0</v>
      </c>
      <c r="AM320" s="13" t="str">
        <f t="shared" si="644"/>
        <v>0</v>
      </c>
      <c r="AN320" s="13" t="str">
        <f t="shared" si="644"/>
        <v>0</v>
      </c>
      <c r="AO320" s="13" t="str">
        <f t="shared" si="644"/>
        <v>0</v>
      </c>
      <c r="AP320" s="13" t="str">
        <f t="shared" si="644"/>
        <v>0</v>
      </c>
      <c r="AQ320" s="13" t="str">
        <f t="shared" si="644"/>
        <v>0</v>
      </c>
      <c r="AR320" s="13" t="str">
        <f t="shared" ref="AR320:AS320" si="645">IF(OR(O320=$C320,O320=$D320,O320=""),"0","1")</f>
        <v>0</v>
      </c>
      <c r="AS320" s="13" t="str">
        <f t="shared" si="645"/>
        <v>0</v>
      </c>
      <c r="AT320" s="698">
        <f t="shared" si="11"/>
        <v>0</v>
      </c>
    </row>
    <row r="321" ht="15.75" customHeight="1">
      <c r="A321" s="788" t="str">
        <f t="shared" si="5"/>
        <v>-</v>
      </c>
      <c r="B321" s="331"/>
      <c r="C321" s="331"/>
      <c r="D321" s="331"/>
      <c r="E321" s="790"/>
      <c r="F321" s="791"/>
      <c r="G321" s="331"/>
      <c r="H321" s="331"/>
      <c r="I321" s="331"/>
      <c r="J321" s="331"/>
      <c r="K321" s="331"/>
      <c r="L321" s="331"/>
      <c r="M321" s="331"/>
      <c r="N321" s="331"/>
      <c r="O321" s="331"/>
      <c r="P321" s="792"/>
      <c r="AB321" s="314"/>
      <c r="AC321" s="314"/>
      <c r="AD321" s="314"/>
      <c r="AE321" s="314"/>
      <c r="AF321" s="314"/>
      <c r="AG321" s="314"/>
      <c r="AJ321" s="13" t="str">
        <f t="shared" ref="AJ321:AQ321" si="646">IF(OR(E321=$C321,E321=$D321,E321=""),"0","1")</f>
        <v>0</v>
      </c>
      <c r="AK321" s="13" t="str">
        <f t="shared" si="646"/>
        <v>0</v>
      </c>
      <c r="AL321" s="13" t="str">
        <f t="shared" si="646"/>
        <v>0</v>
      </c>
      <c r="AM321" s="13" t="str">
        <f t="shared" si="646"/>
        <v>0</v>
      </c>
      <c r="AN321" s="13" t="str">
        <f t="shared" si="646"/>
        <v>0</v>
      </c>
      <c r="AO321" s="13" t="str">
        <f t="shared" si="646"/>
        <v>0</v>
      </c>
      <c r="AP321" s="13" t="str">
        <f t="shared" si="646"/>
        <v>0</v>
      </c>
      <c r="AQ321" s="13" t="str">
        <f t="shared" si="646"/>
        <v>0</v>
      </c>
      <c r="AR321" s="13" t="str">
        <f t="shared" ref="AR321:AS321" si="647">IF(OR(O321=$C321,O321=$D321,O321=""),"0","1")</f>
        <v>0</v>
      </c>
      <c r="AS321" s="13" t="str">
        <f t="shared" si="647"/>
        <v>0</v>
      </c>
      <c r="AT321" s="698">
        <f t="shared" si="11"/>
        <v>0</v>
      </c>
    </row>
    <row r="322" ht="15.75" customHeight="1">
      <c r="A322" s="788" t="str">
        <f t="shared" si="5"/>
        <v>-</v>
      </c>
      <c r="B322" s="331"/>
      <c r="C322" s="331"/>
      <c r="D322" s="331"/>
      <c r="E322" s="790"/>
      <c r="F322" s="791"/>
      <c r="G322" s="331"/>
      <c r="H322" s="331"/>
      <c r="I322" s="331"/>
      <c r="J322" s="331"/>
      <c r="K322" s="331"/>
      <c r="L322" s="331"/>
      <c r="M322" s="331"/>
      <c r="N322" s="331"/>
      <c r="O322" s="331"/>
      <c r="P322" s="792"/>
      <c r="AB322" s="314"/>
      <c r="AC322" s="314"/>
      <c r="AD322" s="314"/>
      <c r="AE322" s="314"/>
      <c r="AF322" s="314"/>
      <c r="AG322" s="314"/>
      <c r="AJ322" s="13" t="str">
        <f t="shared" ref="AJ322:AQ322" si="648">IF(OR(E322=$C322,E322=$D322,E322=""),"0","1")</f>
        <v>0</v>
      </c>
      <c r="AK322" s="13" t="str">
        <f t="shared" si="648"/>
        <v>0</v>
      </c>
      <c r="AL322" s="13" t="str">
        <f t="shared" si="648"/>
        <v>0</v>
      </c>
      <c r="AM322" s="13" t="str">
        <f t="shared" si="648"/>
        <v>0</v>
      </c>
      <c r="AN322" s="13" t="str">
        <f t="shared" si="648"/>
        <v>0</v>
      </c>
      <c r="AO322" s="13" t="str">
        <f t="shared" si="648"/>
        <v>0</v>
      </c>
      <c r="AP322" s="13" t="str">
        <f t="shared" si="648"/>
        <v>0</v>
      </c>
      <c r="AQ322" s="13" t="str">
        <f t="shared" si="648"/>
        <v>0</v>
      </c>
      <c r="AR322" s="13" t="str">
        <f t="shared" ref="AR322:AS322" si="649">IF(OR(O322=$C322,O322=$D322,O322=""),"0","1")</f>
        <v>0</v>
      </c>
      <c r="AS322" s="13" t="str">
        <f t="shared" si="649"/>
        <v>0</v>
      </c>
      <c r="AT322" s="698">
        <f t="shared" si="11"/>
        <v>0</v>
      </c>
    </row>
    <row r="323" ht="15.75" customHeight="1">
      <c r="A323" s="788" t="str">
        <f t="shared" si="5"/>
        <v>-</v>
      </c>
      <c r="B323" s="331"/>
      <c r="C323" s="331"/>
      <c r="D323" s="331"/>
      <c r="E323" s="790"/>
      <c r="F323" s="791"/>
      <c r="G323" s="331"/>
      <c r="H323" s="331"/>
      <c r="I323" s="331"/>
      <c r="J323" s="331"/>
      <c r="K323" s="331"/>
      <c r="L323" s="331"/>
      <c r="M323" s="331"/>
      <c r="N323" s="331"/>
      <c r="O323" s="331"/>
      <c r="P323" s="792"/>
      <c r="AB323" s="314"/>
      <c r="AC323" s="314"/>
      <c r="AD323" s="314"/>
      <c r="AE323" s="314"/>
      <c r="AF323" s="314"/>
      <c r="AG323" s="314"/>
      <c r="AJ323" s="13" t="str">
        <f t="shared" ref="AJ323:AQ323" si="650">IF(OR(E323=$C323,E323=$D323,E323=""),"0","1")</f>
        <v>0</v>
      </c>
      <c r="AK323" s="13" t="str">
        <f t="shared" si="650"/>
        <v>0</v>
      </c>
      <c r="AL323" s="13" t="str">
        <f t="shared" si="650"/>
        <v>0</v>
      </c>
      <c r="AM323" s="13" t="str">
        <f t="shared" si="650"/>
        <v>0</v>
      </c>
      <c r="AN323" s="13" t="str">
        <f t="shared" si="650"/>
        <v>0</v>
      </c>
      <c r="AO323" s="13" t="str">
        <f t="shared" si="650"/>
        <v>0</v>
      </c>
      <c r="AP323" s="13" t="str">
        <f t="shared" si="650"/>
        <v>0</v>
      </c>
      <c r="AQ323" s="13" t="str">
        <f t="shared" si="650"/>
        <v>0</v>
      </c>
      <c r="AR323" s="13" t="str">
        <f t="shared" ref="AR323:AS323" si="651">IF(OR(O323=$C323,O323=$D323,O323=""),"0","1")</f>
        <v>0</v>
      </c>
      <c r="AS323" s="13" t="str">
        <f t="shared" si="651"/>
        <v>0</v>
      </c>
      <c r="AT323" s="698">
        <f t="shared" si="11"/>
        <v>0</v>
      </c>
    </row>
    <row r="324" ht="15.75" customHeight="1">
      <c r="A324" s="788" t="str">
        <f t="shared" si="5"/>
        <v>-</v>
      </c>
      <c r="B324" s="331"/>
      <c r="C324" s="331"/>
      <c r="D324" s="331"/>
      <c r="E324" s="790"/>
      <c r="F324" s="791"/>
      <c r="G324" s="331"/>
      <c r="H324" s="331"/>
      <c r="I324" s="331"/>
      <c r="J324" s="331"/>
      <c r="K324" s="331"/>
      <c r="L324" s="331"/>
      <c r="M324" s="331"/>
      <c r="N324" s="331"/>
      <c r="O324" s="331"/>
      <c r="P324" s="792"/>
      <c r="AB324" s="314"/>
      <c r="AC324" s="314"/>
      <c r="AD324" s="314"/>
      <c r="AE324" s="314"/>
      <c r="AF324" s="314"/>
      <c r="AG324" s="314"/>
      <c r="AJ324" s="13" t="str">
        <f t="shared" ref="AJ324:AQ324" si="652">IF(OR(E324=$C324,E324=$D324,E324=""),"0","1")</f>
        <v>0</v>
      </c>
      <c r="AK324" s="13" t="str">
        <f t="shared" si="652"/>
        <v>0</v>
      </c>
      <c r="AL324" s="13" t="str">
        <f t="shared" si="652"/>
        <v>0</v>
      </c>
      <c r="AM324" s="13" t="str">
        <f t="shared" si="652"/>
        <v>0</v>
      </c>
      <c r="AN324" s="13" t="str">
        <f t="shared" si="652"/>
        <v>0</v>
      </c>
      <c r="AO324" s="13" t="str">
        <f t="shared" si="652"/>
        <v>0</v>
      </c>
      <c r="AP324" s="13" t="str">
        <f t="shared" si="652"/>
        <v>0</v>
      </c>
      <c r="AQ324" s="13" t="str">
        <f t="shared" si="652"/>
        <v>0</v>
      </c>
      <c r="AR324" s="13" t="str">
        <f t="shared" ref="AR324:AS324" si="653">IF(OR(O324=$C324,O324=$D324,O324=""),"0","1")</f>
        <v>0</v>
      </c>
      <c r="AS324" s="13" t="str">
        <f t="shared" si="653"/>
        <v>0</v>
      </c>
      <c r="AT324" s="698">
        <f t="shared" si="11"/>
        <v>0</v>
      </c>
    </row>
    <row r="325" ht="15.75" customHeight="1">
      <c r="A325" s="788" t="str">
        <f t="shared" si="5"/>
        <v>-</v>
      </c>
      <c r="B325" s="331"/>
      <c r="C325" s="331"/>
      <c r="D325" s="331"/>
      <c r="E325" s="790"/>
      <c r="F325" s="791"/>
      <c r="G325" s="331"/>
      <c r="H325" s="331"/>
      <c r="I325" s="331"/>
      <c r="J325" s="331"/>
      <c r="K325" s="331"/>
      <c r="L325" s="331"/>
      <c r="M325" s="331"/>
      <c r="N325" s="331"/>
      <c r="O325" s="331"/>
      <c r="P325" s="792"/>
      <c r="AB325" s="314"/>
      <c r="AC325" s="314"/>
      <c r="AD325" s="314"/>
      <c r="AE325" s="314"/>
      <c r="AF325" s="314"/>
      <c r="AG325" s="314"/>
      <c r="AJ325" s="13" t="str">
        <f t="shared" ref="AJ325:AQ325" si="654">IF(OR(E325=$C325,E325=$D325,E325=""),"0","1")</f>
        <v>0</v>
      </c>
      <c r="AK325" s="13" t="str">
        <f t="shared" si="654"/>
        <v>0</v>
      </c>
      <c r="AL325" s="13" t="str">
        <f t="shared" si="654"/>
        <v>0</v>
      </c>
      <c r="AM325" s="13" t="str">
        <f t="shared" si="654"/>
        <v>0</v>
      </c>
      <c r="AN325" s="13" t="str">
        <f t="shared" si="654"/>
        <v>0</v>
      </c>
      <c r="AO325" s="13" t="str">
        <f t="shared" si="654"/>
        <v>0</v>
      </c>
      <c r="AP325" s="13" t="str">
        <f t="shared" si="654"/>
        <v>0</v>
      </c>
      <c r="AQ325" s="13" t="str">
        <f t="shared" si="654"/>
        <v>0</v>
      </c>
      <c r="AR325" s="13" t="str">
        <f t="shared" ref="AR325:AS325" si="655">IF(OR(O325=$C325,O325=$D325,O325=""),"0","1")</f>
        <v>0</v>
      </c>
      <c r="AS325" s="13" t="str">
        <f t="shared" si="655"/>
        <v>0</v>
      </c>
      <c r="AT325" s="698">
        <f t="shared" si="11"/>
        <v>0</v>
      </c>
    </row>
    <row r="326" ht="15.75" customHeight="1">
      <c r="A326" s="788" t="str">
        <f t="shared" si="5"/>
        <v>-</v>
      </c>
      <c r="B326" s="331"/>
      <c r="C326" s="331"/>
      <c r="D326" s="331"/>
      <c r="E326" s="790"/>
      <c r="F326" s="791"/>
      <c r="G326" s="331"/>
      <c r="H326" s="331"/>
      <c r="I326" s="331"/>
      <c r="J326" s="331"/>
      <c r="K326" s="331"/>
      <c r="L326" s="331"/>
      <c r="M326" s="331"/>
      <c r="N326" s="331"/>
      <c r="O326" s="331"/>
      <c r="P326" s="792"/>
      <c r="AB326" s="314"/>
      <c r="AC326" s="314"/>
      <c r="AD326" s="314"/>
      <c r="AE326" s="314"/>
      <c r="AF326" s="314"/>
      <c r="AG326" s="314"/>
      <c r="AJ326" s="13" t="str">
        <f t="shared" ref="AJ326:AQ326" si="656">IF(OR(E326=$C326,E326=$D326,E326=""),"0","1")</f>
        <v>0</v>
      </c>
      <c r="AK326" s="13" t="str">
        <f t="shared" si="656"/>
        <v>0</v>
      </c>
      <c r="AL326" s="13" t="str">
        <f t="shared" si="656"/>
        <v>0</v>
      </c>
      <c r="AM326" s="13" t="str">
        <f t="shared" si="656"/>
        <v>0</v>
      </c>
      <c r="AN326" s="13" t="str">
        <f t="shared" si="656"/>
        <v>0</v>
      </c>
      <c r="AO326" s="13" t="str">
        <f t="shared" si="656"/>
        <v>0</v>
      </c>
      <c r="AP326" s="13" t="str">
        <f t="shared" si="656"/>
        <v>0</v>
      </c>
      <c r="AQ326" s="13" t="str">
        <f t="shared" si="656"/>
        <v>0</v>
      </c>
      <c r="AR326" s="13" t="str">
        <f t="shared" ref="AR326:AS326" si="657">IF(OR(O326=$C326,O326=$D326,O326=""),"0","1")</f>
        <v>0</v>
      </c>
      <c r="AS326" s="13" t="str">
        <f t="shared" si="657"/>
        <v>0</v>
      </c>
      <c r="AT326" s="698">
        <f t="shared" si="11"/>
        <v>0</v>
      </c>
    </row>
    <row r="327" ht="15.75" customHeight="1">
      <c r="A327" s="788" t="str">
        <f t="shared" si="5"/>
        <v>-</v>
      </c>
      <c r="B327" s="331"/>
      <c r="C327" s="331"/>
      <c r="D327" s="331"/>
      <c r="E327" s="790"/>
      <c r="F327" s="791"/>
      <c r="G327" s="331"/>
      <c r="H327" s="331"/>
      <c r="I327" s="331"/>
      <c r="J327" s="331"/>
      <c r="K327" s="331"/>
      <c r="L327" s="331"/>
      <c r="M327" s="331"/>
      <c r="N327" s="331"/>
      <c r="O327" s="331"/>
      <c r="P327" s="792"/>
      <c r="AB327" s="314"/>
      <c r="AC327" s="314"/>
      <c r="AD327" s="314"/>
      <c r="AE327" s="314"/>
      <c r="AF327" s="314"/>
      <c r="AG327" s="314"/>
      <c r="AJ327" s="13" t="str">
        <f t="shared" ref="AJ327:AQ327" si="658">IF(OR(E327=$C327,E327=$D327,E327=""),"0","1")</f>
        <v>0</v>
      </c>
      <c r="AK327" s="13" t="str">
        <f t="shared" si="658"/>
        <v>0</v>
      </c>
      <c r="AL327" s="13" t="str">
        <f t="shared" si="658"/>
        <v>0</v>
      </c>
      <c r="AM327" s="13" t="str">
        <f t="shared" si="658"/>
        <v>0</v>
      </c>
      <c r="AN327" s="13" t="str">
        <f t="shared" si="658"/>
        <v>0</v>
      </c>
      <c r="AO327" s="13" t="str">
        <f t="shared" si="658"/>
        <v>0</v>
      </c>
      <c r="AP327" s="13" t="str">
        <f t="shared" si="658"/>
        <v>0</v>
      </c>
      <c r="AQ327" s="13" t="str">
        <f t="shared" si="658"/>
        <v>0</v>
      </c>
      <c r="AR327" s="13" t="str">
        <f t="shared" ref="AR327:AS327" si="659">IF(OR(O327=$C327,O327=$D327,O327=""),"0","1")</f>
        <v>0</v>
      </c>
      <c r="AS327" s="13" t="str">
        <f t="shared" si="659"/>
        <v>0</v>
      </c>
      <c r="AT327" s="698">
        <f t="shared" si="11"/>
        <v>0</v>
      </c>
    </row>
    <row r="328" ht="15.75" customHeight="1">
      <c r="A328" s="788" t="str">
        <f t="shared" si="5"/>
        <v>-</v>
      </c>
      <c r="B328" s="331"/>
      <c r="C328" s="331"/>
      <c r="D328" s="331"/>
      <c r="E328" s="790"/>
      <c r="F328" s="791"/>
      <c r="G328" s="331"/>
      <c r="H328" s="331"/>
      <c r="I328" s="331"/>
      <c r="J328" s="331"/>
      <c r="K328" s="331"/>
      <c r="L328" s="331"/>
      <c r="M328" s="331"/>
      <c r="N328" s="331"/>
      <c r="O328" s="331"/>
      <c r="P328" s="792"/>
      <c r="AB328" s="314"/>
      <c r="AC328" s="314"/>
      <c r="AD328" s="314"/>
      <c r="AE328" s="314"/>
      <c r="AF328" s="314"/>
      <c r="AG328" s="314"/>
      <c r="AJ328" s="13" t="str">
        <f t="shared" ref="AJ328:AQ328" si="660">IF(OR(E328=$C328,E328=$D328,E328=""),"0","1")</f>
        <v>0</v>
      </c>
      <c r="AK328" s="13" t="str">
        <f t="shared" si="660"/>
        <v>0</v>
      </c>
      <c r="AL328" s="13" t="str">
        <f t="shared" si="660"/>
        <v>0</v>
      </c>
      <c r="AM328" s="13" t="str">
        <f t="shared" si="660"/>
        <v>0</v>
      </c>
      <c r="AN328" s="13" t="str">
        <f t="shared" si="660"/>
        <v>0</v>
      </c>
      <c r="AO328" s="13" t="str">
        <f t="shared" si="660"/>
        <v>0</v>
      </c>
      <c r="AP328" s="13" t="str">
        <f t="shared" si="660"/>
        <v>0</v>
      </c>
      <c r="AQ328" s="13" t="str">
        <f t="shared" si="660"/>
        <v>0</v>
      </c>
      <c r="AR328" s="13" t="str">
        <f t="shared" ref="AR328:AS328" si="661">IF(OR(O328=$C328,O328=$D328,O328=""),"0","1")</f>
        <v>0</v>
      </c>
      <c r="AS328" s="13" t="str">
        <f t="shared" si="661"/>
        <v>0</v>
      </c>
      <c r="AT328" s="698">
        <f t="shared" si="11"/>
        <v>0</v>
      </c>
    </row>
    <row r="329" ht="15.75" customHeight="1">
      <c r="A329" s="788" t="str">
        <f t="shared" si="5"/>
        <v>-</v>
      </c>
      <c r="B329" s="331"/>
      <c r="C329" s="331"/>
      <c r="D329" s="331"/>
      <c r="E329" s="790"/>
      <c r="F329" s="791"/>
      <c r="G329" s="331"/>
      <c r="H329" s="331"/>
      <c r="I329" s="331"/>
      <c r="J329" s="331"/>
      <c r="K329" s="331"/>
      <c r="L329" s="331"/>
      <c r="M329" s="331"/>
      <c r="N329" s="331"/>
      <c r="O329" s="331"/>
      <c r="P329" s="792"/>
      <c r="AB329" s="314"/>
      <c r="AC329" s="314"/>
      <c r="AD329" s="314"/>
      <c r="AE329" s="314"/>
      <c r="AF329" s="314"/>
      <c r="AG329" s="314"/>
      <c r="AJ329" s="13" t="str">
        <f t="shared" ref="AJ329:AQ329" si="662">IF(OR(E329=$C329,E329=$D329,E329=""),"0","1")</f>
        <v>0</v>
      </c>
      <c r="AK329" s="13" t="str">
        <f t="shared" si="662"/>
        <v>0</v>
      </c>
      <c r="AL329" s="13" t="str">
        <f t="shared" si="662"/>
        <v>0</v>
      </c>
      <c r="AM329" s="13" t="str">
        <f t="shared" si="662"/>
        <v>0</v>
      </c>
      <c r="AN329" s="13" t="str">
        <f t="shared" si="662"/>
        <v>0</v>
      </c>
      <c r="AO329" s="13" t="str">
        <f t="shared" si="662"/>
        <v>0</v>
      </c>
      <c r="AP329" s="13" t="str">
        <f t="shared" si="662"/>
        <v>0</v>
      </c>
      <c r="AQ329" s="13" t="str">
        <f t="shared" si="662"/>
        <v>0</v>
      </c>
      <c r="AR329" s="13" t="str">
        <f t="shared" ref="AR329:AS329" si="663">IF(OR(O329=$C329,O329=$D329,O329=""),"0","1")</f>
        <v>0</v>
      </c>
      <c r="AS329" s="13" t="str">
        <f t="shared" si="663"/>
        <v>0</v>
      </c>
      <c r="AT329" s="698">
        <f t="shared" si="11"/>
        <v>0</v>
      </c>
    </row>
    <row r="330" ht="15.75" customHeight="1">
      <c r="A330" s="788" t="str">
        <f t="shared" si="5"/>
        <v>-</v>
      </c>
      <c r="B330" s="331"/>
      <c r="C330" s="331"/>
      <c r="D330" s="331"/>
      <c r="E330" s="790"/>
      <c r="F330" s="791"/>
      <c r="G330" s="331"/>
      <c r="H330" s="331"/>
      <c r="I330" s="331"/>
      <c r="J330" s="331"/>
      <c r="K330" s="331"/>
      <c r="L330" s="331"/>
      <c r="M330" s="331"/>
      <c r="N330" s="331"/>
      <c r="O330" s="331"/>
      <c r="P330" s="792"/>
      <c r="AB330" s="314"/>
      <c r="AC330" s="314"/>
      <c r="AD330" s="314"/>
      <c r="AE330" s="314"/>
      <c r="AF330" s="314"/>
      <c r="AG330" s="314"/>
      <c r="AJ330" s="13" t="str">
        <f t="shared" ref="AJ330:AQ330" si="664">IF(OR(E330=$C330,E330=$D330,E330=""),"0","1")</f>
        <v>0</v>
      </c>
      <c r="AK330" s="13" t="str">
        <f t="shared" si="664"/>
        <v>0</v>
      </c>
      <c r="AL330" s="13" t="str">
        <f t="shared" si="664"/>
        <v>0</v>
      </c>
      <c r="AM330" s="13" t="str">
        <f t="shared" si="664"/>
        <v>0</v>
      </c>
      <c r="AN330" s="13" t="str">
        <f t="shared" si="664"/>
        <v>0</v>
      </c>
      <c r="AO330" s="13" t="str">
        <f t="shared" si="664"/>
        <v>0</v>
      </c>
      <c r="AP330" s="13" t="str">
        <f t="shared" si="664"/>
        <v>0</v>
      </c>
      <c r="AQ330" s="13" t="str">
        <f t="shared" si="664"/>
        <v>0</v>
      </c>
      <c r="AR330" s="13" t="str">
        <f t="shared" ref="AR330:AS330" si="665">IF(OR(O330=$C330,O330=$D330,O330=""),"0","1")</f>
        <v>0</v>
      </c>
      <c r="AS330" s="13" t="str">
        <f t="shared" si="665"/>
        <v>0</v>
      </c>
      <c r="AT330" s="698">
        <f t="shared" si="11"/>
        <v>0</v>
      </c>
    </row>
    <row r="331" ht="15.75" customHeight="1">
      <c r="A331" s="788" t="str">
        <f t="shared" si="5"/>
        <v>-</v>
      </c>
      <c r="B331" s="331"/>
      <c r="C331" s="331"/>
      <c r="D331" s="331"/>
      <c r="E331" s="790"/>
      <c r="F331" s="791"/>
      <c r="G331" s="331"/>
      <c r="H331" s="331"/>
      <c r="I331" s="331"/>
      <c r="J331" s="331"/>
      <c r="K331" s="331"/>
      <c r="L331" s="331"/>
      <c r="M331" s="331"/>
      <c r="N331" s="331"/>
      <c r="O331" s="331"/>
      <c r="P331" s="792"/>
      <c r="AB331" s="314"/>
      <c r="AC331" s="314"/>
      <c r="AD331" s="314"/>
      <c r="AE331" s="314"/>
      <c r="AF331" s="314"/>
      <c r="AG331" s="314"/>
      <c r="AJ331" s="13" t="str">
        <f t="shared" ref="AJ331:AQ331" si="666">IF(OR(E331=$C331,E331=$D331,E331=""),"0","1")</f>
        <v>0</v>
      </c>
      <c r="AK331" s="13" t="str">
        <f t="shared" si="666"/>
        <v>0</v>
      </c>
      <c r="AL331" s="13" t="str">
        <f t="shared" si="666"/>
        <v>0</v>
      </c>
      <c r="AM331" s="13" t="str">
        <f t="shared" si="666"/>
        <v>0</v>
      </c>
      <c r="AN331" s="13" t="str">
        <f t="shared" si="666"/>
        <v>0</v>
      </c>
      <c r="AO331" s="13" t="str">
        <f t="shared" si="666"/>
        <v>0</v>
      </c>
      <c r="AP331" s="13" t="str">
        <f t="shared" si="666"/>
        <v>0</v>
      </c>
      <c r="AQ331" s="13" t="str">
        <f t="shared" si="666"/>
        <v>0</v>
      </c>
      <c r="AR331" s="13" t="str">
        <f t="shared" ref="AR331:AS331" si="667">IF(OR(O331=$C331,O331=$D331,O331=""),"0","1")</f>
        <v>0</v>
      </c>
      <c r="AS331" s="13" t="str">
        <f t="shared" si="667"/>
        <v>0</v>
      </c>
      <c r="AT331" s="698">
        <f t="shared" si="11"/>
        <v>0</v>
      </c>
    </row>
    <row r="332" ht="15.75" customHeight="1">
      <c r="A332" s="788" t="str">
        <f t="shared" si="5"/>
        <v>-</v>
      </c>
      <c r="B332" s="331"/>
      <c r="C332" s="331"/>
      <c r="D332" s="331"/>
      <c r="E332" s="790"/>
      <c r="F332" s="791"/>
      <c r="G332" s="331"/>
      <c r="H332" s="331"/>
      <c r="I332" s="331"/>
      <c r="J332" s="331"/>
      <c r="K332" s="331"/>
      <c r="L332" s="331"/>
      <c r="M332" s="331"/>
      <c r="N332" s="331"/>
      <c r="O332" s="331"/>
      <c r="P332" s="792"/>
      <c r="AB332" s="314"/>
      <c r="AC332" s="314"/>
      <c r="AD332" s="314"/>
      <c r="AE332" s="314"/>
      <c r="AF332" s="314"/>
      <c r="AG332" s="314"/>
      <c r="AJ332" s="13" t="str">
        <f t="shared" ref="AJ332:AQ332" si="668">IF(OR(E332=$C332,E332=$D332,E332=""),"0","1")</f>
        <v>0</v>
      </c>
      <c r="AK332" s="13" t="str">
        <f t="shared" si="668"/>
        <v>0</v>
      </c>
      <c r="AL332" s="13" t="str">
        <f t="shared" si="668"/>
        <v>0</v>
      </c>
      <c r="AM332" s="13" t="str">
        <f t="shared" si="668"/>
        <v>0</v>
      </c>
      <c r="AN332" s="13" t="str">
        <f t="shared" si="668"/>
        <v>0</v>
      </c>
      <c r="AO332" s="13" t="str">
        <f t="shared" si="668"/>
        <v>0</v>
      </c>
      <c r="AP332" s="13" t="str">
        <f t="shared" si="668"/>
        <v>0</v>
      </c>
      <c r="AQ332" s="13" t="str">
        <f t="shared" si="668"/>
        <v>0</v>
      </c>
      <c r="AR332" s="13" t="str">
        <f t="shared" ref="AR332:AS332" si="669">IF(OR(O332=$C332,O332=$D332,O332=""),"0","1")</f>
        <v>0</v>
      </c>
      <c r="AS332" s="13" t="str">
        <f t="shared" si="669"/>
        <v>0</v>
      </c>
      <c r="AT332" s="698">
        <f t="shared" si="11"/>
        <v>0</v>
      </c>
    </row>
    <row r="333" ht="15.75" customHeight="1">
      <c r="A333" s="788" t="str">
        <f t="shared" si="5"/>
        <v>-</v>
      </c>
      <c r="B333" s="331"/>
      <c r="C333" s="331"/>
      <c r="D333" s="331"/>
      <c r="E333" s="790"/>
      <c r="F333" s="791"/>
      <c r="G333" s="331"/>
      <c r="H333" s="331"/>
      <c r="I333" s="331"/>
      <c r="J333" s="331"/>
      <c r="K333" s="331"/>
      <c r="L333" s="331"/>
      <c r="M333" s="331"/>
      <c r="N333" s="331"/>
      <c r="O333" s="331"/>
      <c r="P333" s="792"/>
      <c r="AB333" s="314"/>
      <c r="AC333" s="314"/>
      <c r="AD333" s="314"/>
      <c r="AE333" s="314"/>
      <c r="AF333" s="314"/>
      <c r="AG333" s="314"/>
      <c r="AJ333" s="13" t="str">
        <f t="shared" ref="AJ333:AQ333" si="670">IF(OR(E333=$C333,E333=$D333,E333=""),"0","1")</f>
        <v>0</v>
      </c>
      <c r="AK333" s="13" t="str">
        <f t="shared" si="670"/>
        <v>0</v>
      </c>
      <c r="AL333" s="13" t="str">
        <f t="shared" si="670"/>
        <v>0</v>
      </c>
      <c r="AM333" s="13" t="str">
        <f t="shared" si="670"/>
        <v>0</v>
      </c>
      <c r="AN333" s="13" t="str">
        <f t="shared" si="670"/>
        <v>0</v>
      </c>
      <c r="AO333" s="13" t="str">
        <f t="shared" si="670"/>
        <v>0</v>
      </c>
      <c r="AP333" s="13" t="str">
        <f t="shared" si="670"/>
        <v>0</v>
      </c>
      <c r="AQ333" s="13" t="str">
        <f t="shared" si="670"/>
        <v>0</v>
      </c>
      <c r="AR333" s="13" t="str">
        <f t="shared" ref="AR333:AS333" si="671">IF(OR(O333=$C333,O333=$D333,O333=""),"0","1")</f>
        <v>0</v>
      </c>
      <c r="AS333" s="13" t="str">
        <f t="shared" si="671"/>
        <v>0</v>
      </c>
      <c r="AT333" s="698">
        <f t="shared" si="11"/>
        <v>0</v>
      </c>
    </row>
    <row r="334" ht="15.75" customHeight="1">
      <c r="A334" s="788" t="str">
        <f t="shared" si="5"/>
        <v>-</v>
      </c>
      <c r="B334" s="331"/>
      <c r="C334" s="331"/>
      <c r="D334" s="331"/>
      <c r="E334" s="790"/>
      <c r="F334" s="791"/>
      <c r="G334" s="331"/>
      <c r="H334" s="331"/>
      <c r="I334" s="331"/>
      <c r="J334" s="331"/>
      <c r="K334" s="331"/>
      <c r="L334" s="331"/>
      <c r="M334" s="331"/>
      <c r="N334" s="331"/>
      <c r="O334" s="331"/>
      <c r="P334" s="792"/>
      <c r="AB334" s="314"/>
      <c r="AC334" s="314"/>
      <c r="AD334" s="314"/>
      <c r="AE334" s="314"/>
      <c r="AF334" s="314"/>
      <c r="AG334" s="314"/>
      <c r="AJ334" s="13" t="str">
        <f t="shared" ref="AJ334:AQ334" si="672">IF(OR(E334=$C334,E334=$D334,E334=""),"0","1")</f>
        <v>0</v>
      </c>
      <c r="AK334" s="13" t="str">
        <f t="shared" si="672"/>
        <v>0</v>
      </c>
      <c r="AL334" s="13" t="str">
        <f t="shared" si="672"/>
        <v>0</v>
      </c>
      <c r="AM334" s="13" t="str">
        <f t="shared" si="672"/>
        <v>0</v>
      </c>
      <c r="AN334" s="13" t="str">
        <f t="shared" si="672"/>
        <v>0</v>
      </c>
      <c r="AO334" s="13" t="str">
        <f t="shared" si="672"/>
        <v>0</v>
      </c>
      <c r="AP334" s="13" t="str">
        <f t="shared" si="672"/>
        <v>0</v>
      </c>
      <c r="AQ334" s="13" t="str">
        <f t="shared" si="672"/>
        <v>0</v>
      </c>
      <c r="AR334" s="13" t="str">
        <f t="shared" ref="AR334:AS334" si="673">IF(OR(O334=$C334,O334=$D334,O334=""),"0","1")</f>
        <v>0</v>
      </c>
      <c r="AS334" s="13" t="str">
        <f t="shared" si="673"/>
        <v>0</v>
      </c>
      <c r="AT334" s="698">
        <f t="shared" si="11"/>
        <v>0</v>
      </c>
    </row>
    <row r="335" ht="15.75" customHeight="1">
      <c r="A335" s="788" t="str">
        <f t="shared" si="5"/>
        <v>-</v>
      </c>
      <c r="B335" s="331"/>
      <c r="C335" s="331"/>
      <c r="D335" s="331"/>
      <c r="E335" s="790"/>
      <c r="F335" s="791"/>
      <c r="G335" s="331"/>
      <c r="H335" s="331"/>
      <c r="I335" s="331"/>
      <c r="J335" s="331"/>
      <c r="K335" s="331"/>
      <c r="L335" s="331"/>
      <c r="M335" s="331"/>
      <c r="N335" s="331"/>
      <c r="O335" s="331"/>
      <c r="P335" s="792"/>
      <c r="AB335" s="314"/>
      <c r="AC335" s="314"/>
      <c r="AD335" s="314"/>
      <c r="AE335" s="314"/>
      <c r="AF335" s="314"/>
      <c r="AG335" s="314"/>
      <c r="AJ335" s="13" t="str">
        <f t="shared" ref="AJ335:AQ335" si="674">IF(OR(E335=$C335,E335=$D335,E335=""),"0","1")</f>
        <v>0</v>
      </c>
      <c r="AK335" s="13" t="str">
        <f t="shared" si="674"/>
        <v>0</v>
      </c>
      <c r="AL335" s="13" t="str">
        <f t="shared" si="674"/>
        <v>0</v>
      </c>
      <c r="AM335" s="13" t="str">
        <f t="shared" si="674"/>
        <v>0</v>
      </c>
      <c r="AN335" s="13" t="str">
        <f t="shared" si="674"/>
        <v>0</v>
      </c>
      <c r="AO335" s="13" t="str">
        <f t="shared" si="674"/>
        <v>0</v>
      </c>
      <c r="AP335" s="13" t="str">
        <f t="shared" si="674"/>
        <v>0</v>
      </c>
      <c r="AQ335" s="13" t="str">
        <f t="shared" si="674"/>
        <v>0</v>
      </c>
      <c r="AR335" s="13" t="str">
        <f t="shared" ref="AR335:AS335" si="675">IF(OR(O335=$C335,O335=$D335,O335=""),"0","1")</f>
        <v>0</v>
      </c>
      <c r="AS335" s="13" t="str">
        <f t="shared" si="675"/>
        <v>0</v>
      </c>
      <c r="AT335" s="698">
        <f t="shared" si="11"/>
        <v>0</v>
      </c>
    </row>
    <row r="336" ht="15.75" customHeight="1">
      <c r="A336" s="788" t="str">
        <f t="shared" si="5"/>
        <v>-</v>
      </c>
      <c r="B336" s="331"/>
      <c r="C336" s="331"/>
      <c r="D336" s="331"/>
      <c r="E336" s="790"/>
      <c r="F336" s="791"/>
      <c r="G336" s="331"/>
      <c r="H336" s="331"/>
      <c r="I336" s="331"/>
      <c r="J336" s="331"/>
      <c r="K336" s="331"/>
      <c r="L336" s="331"/>
      <c r="M336" s="331"/>
      <c r="N336" s="331"/>
      <c r="O336" s="331"/>
      <c r="P336" s="792"/>
      <c r="AB336" s="314"/>
      <c r="AC336" s="314"/>
      <c r="AD336" s="314"/>
      <c r="AE336" s="314"/>
      <c r="AF336" s="314"/>
      <c r="AG336" s="314"/>
      <c r="AJ336" s="13" t="str">
        <f t="shared" ref="AJ336:AQ336" si="676">IF(OR(E336=$C336,E336=$D336,E336=""),"0","1")</f>
        <v>0</v>
      </c>
      <c r="AK336" s="13" t="str">
        <f t="shared" si="676"/>
        <v>0</v>
      </c>
      <c r="AL336" s="13" t="str">
        <f t="shared" si="676"/>
        <v>0</v>
      </c>
      <c r="AM336" s="13" t="str">
        <f t="shared" si="676"/>
        <v>0</v>
      </c>
      <c r="AN336" s="13" t="str">
        <f t="shared" si="676"/>
        <v>0</v>
      </c>
      <c r="AO336" s="13" t="str">
        <f t="shared" si="676"/>
        <v>0</v>
      </c>
      <c r="AP336" s="13" t="str">
        <f t="shared" si="676"/>
        <v>0</v>
      </c>
      <c r="AQ336" s="13" t="str">
        <f t="shared" si="676"/>
        <v>0</v>
      </c>
      <c r="AR336" s="13" t="str">
        <f t="shared" ref="AR336:AS336" si="677">IF(OR(O336=$C336,O336=$D336,O336=""),"0","1")</f>
        <v>0</v>
      </c>
      <c r="AS336" s="13" t="str">
        <f t="shared" si="677"/>
        <v>0</v>
      </c>
      <c r="AT336" s="698">
        <f t="shared" si="11"/>
        <v>0</v>
      </c>
    </row>
    <row r="337" ht="15.75" customHeight="1">
      <c r="A337" s="788" t="str">
        <f t="shared" si="5"/>
        <v>-</v>
      </c>
      <c r="B337" s="331"/>
      <c r="C337" s="331"/>
      <c r="D337" s="331"/>
      <c r="E337" s="790"/>
      <c r="F337" s="791"/>
      <c r="G337" s="331"/>
      <c r="H337" s="331"/>
      <c r="I337" s="331"/>
      <c r="J337" s="331"/>
      <c r="K337" s="331"/>
      <c r="L337" s="331"/>
      <c r="M337" s="331"/>
      <c r="N337" s="331"/>
      <c r="O337" s="331"/>
      <c r="P337" s="792"/>
      <c r="AB337" s="314"/>
      <c r="AC337" s="314"/>
      <c r="AD337" s="314"/>
      <c r="AE337" s="314"/>
      <c r="AF337" s="314"/>
      <c r="AG337" s="314"/>
      <c r="AJ337" s="13" t="str">
        <f t="shared" ref="AJ337:AQ337" si="678">IF(OR(E337=$C337,E337=$D337,E337=""),"0","1")</f>
        <v>0</v>
      </c>
      <c r="AK337" s="13" t="str">
        <f t="shared" si="678"/>
        <v>0</v>
      </c>
      <c r="AL337" s="13" t="str">
        <f t="shared" si="678"/>
        <v>0</v>
      </c>
      <c r="AM337" s="13" t="str">
        <f t="shared" si="678"/>
        <v>0</v>
      </c>
      <c r="AN337" s="13" t="str">
        <f t="shared" si="678"/>
        <v>0</v>
      </c>
      <c r="AO337" s="13" t="str">
        <f t="shared" si="678"/>
        <v>0</v>
      </c>
      <c r="AP337" s="13" t="str">
        <f t="shared" si="678"/>
        <v>0</v>
      </c>
      <c r="AQ337" s="13" t="str">
        <f t="shared" si="678"/>
        <v>0</v>
      </c>
      <c r="AR337" s="13" t="str">
        <f t="shared" ref="AR337:AS337" si="679">IF(OR(O337=$C337,O337=$D337,O337=""),"0","1")</f>
        <v>0</v>
      </c>
      <c r="AS337" s="13" t="str">
        <f t="shared" si="679"/>
        <v>0</v>
      </c>
      <c r="AT337" s="698">
        <f t="shared" si="11"/>
        <v>0</v>
      </c>
    </row>
    <row r="338" ht="15.75" customHeight="1">
      <c r="A338" s="788" t="str">
        <f t="shared" si="5"/>
        <v>-</v>
      </c>
      <c r="B338" s="331"/>
      <c r="C338" s="331"/>
      <c r="D338" s="331"/>
      <c r="E338" s="790"/>
      <c r="F338" s="791"/>
      <c r="G338" s="331"/>
      <c r="H338" s="331"/>
      <c r="I338" s="331"/>
      <c r="J338" s="331"/>
      <c r="K338" s="331"/>
      <c r="L338" s="331"/>
      <c r="M338" s="331"/>
      <c r="N338" s="331"/>
      <c r="O338" s="331"/>
      <c r="P338" s="792"/>
      <c r="AB338" s="314"/>
      <c r="AC338" s="314"/>
      <c r="AD338" s="314"/>
      <c r="AE338" s="314"/>
      <c r="AF338" s="314"/>
      <c r="AG338" s="314"/>
      <c r="AJ338" s="13" t="str">
        <f t="shared" ref="AJ338:AQ338" si="680">IF(OR(E338=$C338,E338=$D338,E338=""),"0","1")</f>
        <v>0</v>
      </c>
      <c r="AK338" s="13" t="str">
        <f t="shared" si="680"/>
        <v>0</v>
      </c>
      <c r="AL338" s="13" t="str">
        <f t="shared" si="680"/>
        <v>0</v>
      </c>
      <c r="AM338" s="13" t="str">
        <f t="shared" si="680"/>
        <v>0</v>
      </c>
      <c r="AN338" s="13" t="str">
        <f t="shared" si="680"/>
        <v>0</v>
      </c>
      <c r="AO338" s="13" t="str">
        <f t="shared" si="680"/>
        <v>0</v>
      </c>
      <c r="AP338" s="13" t="str">
        <f t="shared" si="680"/>
        <v>0</v>
      </c>
      <c r="AQ338" s="13" t="str">
        <f t="shared" si="680"/>
        <v>0</v>
      </c>
      <c r="AR338" s="13" t="str">
        <f t="shared" ref="AR338:AS338" si="681">IF(OR(O338=$C338,O338=$D338,O338=""),"0","1")</f>
        <v>0</v>
      </c>
      <c r="AS338" s="13" t="str">
        <f t="shared" si="681"/>
        <v>0</v>
      </c>
      <c r="AT338" s="698">
        <f t="shared" si="11"/>
        <v>0</v>
      </c>
    </row>
    <row r="339" ht="15.75" customHeight="1">
      <c r="A339" s="788" t="str">
        <f t="shared" si="5"/>
        <v>-</v>
      </c>
      <c r="B339" s="331"/>
      <c r="C339" s="331"/>
      <c r="D339" s="331"/>
      <c r="E339" s="790"/>
      <c r="F339" s="791"/>
      <c r="G339" s="331"/>
      <c r="H339" s="331"/>
      <c r="I339" s="331"/>
      <c r="J339" s="331"/>
      <c r="K339" s="331"/>
      <c r="L339" s="331"/>
      <c r="M339" s="331"/>
      <c r="N339" s="331"/>
      <c r="O339" s="331"/>
      <c r="P339" s="792"/>
      <c r="AB339" s="314"/>
      <c r="AC339" s="314"/>
      <c r="AD339" s="314"/>
      <c r="AE339" s="314"/>
      <c r="AF339" s="314"/>
      <c r="AG339" s="314"/>
      <c r="AJ339" s="13" t="str">
        <f t="shared" ref="AJ339:AQ339" si="682">IF(OR(E339=$C339,E339=$D339,E339=""),"0","1")</f>
        <v>0</v>
      </c>
      <c r="AK339" s="13" t="str">
        <f t="shared" si="682"/>
        <v>0</v>
      </c>
      <c r="AL339" s="13" t="str">
        <f t="shared" si="682"/>
        <v>0</v>
      </c>
      <c r="AM339" s="13" t="str">
        <f t="shared" si="682"/>
        <v>0</v>
      </c>
      <c r="AN339" s="13" t="str">
        <f t="shared" si="682"/>
        <v>0</v>
      </c>
      <c r="AO339" s="13" t="str">
        <f t="shared" si="682"/>
        <v>0</v>
      </c>
      <c r="AP339" s="13" t="str">
        <f t="shared" si="682"/>
        <v>0</v>
      </c>
      <c r="AQ339" s="13" t="str">
        <f t="shared" si="682"/>
        <v>0</v>
      </c>
      <c r="AR339" s="13" t="str">
        <f t="shared" ref="AR339:AS339" si="683">IF(OR(O339=$C339,O339=$D339,O339=""),"0","1")</f>
        <v>0</v>
      </c>
      <c r="AS339" s="13" t="str">
        <f t="shared" si="683"/>
        <v>0</v>
      </c>
      <c r="AT339" s="698">
        <f t="shared" si="11"/>
        <v>0</v>
      </c>
    </row>
    <row r="340" ht="15.75" customHeight="1">
      <c r="A340" s="788" t="str">
        <f t="shared" si="5"/>
        <v>-</v>
      </c>
      <c r="B340" s="331"/>
      <c r="C340" s="331"/>
      <c r="D340" s="331"/>
      <c r="E340" s="790"/>
      <c r="F340" s="791"/>
      <c r="G340" s="331"/>
      <c r="H340" s="331"/>
      <c r="I340" s="331"/>
      <c r="J340" s="331"/>
      <c r="K340" s="331"/>
      <c r="L340" s="331"/>
      <c r="M340" s="331"/>
      <c r="N340" s="331"/>
      <c r="O340" s="331"/>
      <c r="P340" s="792"/>
      <c r="AB340" s="314"/>
      <c r="AC340" s="314"/>
      <c r="AD340" s="314"/>
      <c r="AE340" s="314"/>
      <c r="AF340" s="314"/>
      <c r="AG340" s="314"/>
      <c r="AJ340" s="13" t="str">
        <f t="shared" ref="AJ340:AQ340" si="684">IF(OR(E340=$C340,E340=$D340,E340=""),"0","1")</f>
        <v>0</v>
      </c>
      <c r="AK340" s="13" t="str">
        <f t="shared" si="684"/>
        <v>0</v>
      </c>
      <c r="AL340" s="13" t="str">
        <f t="shared" si="684"/>
        <v>0</v>
      </c>
      <c r="AM340" s="13" t="str">
        <f t="shared" si="684"/>
        <v>0</v>
      </c>
      <c r="AN340" s="13" t="str">
        <f t="shared" si="684"/>
        <v>0</v>
      </c>
      <c r="AO340" s="13" t="str">
        <f t="shared" si="684"/>
        <v>0</v>
      </c>
      <c r="AP340" s="13" t="str">
        <f t="shared" si="684"/>
        <v>0</v>
      </c>
      <c r="AQ340" s="13" t="str">
        <f t="shared" si="684"/>
        <v>0</v>
      </c>
      <c r="AR340" s="13" t="str">
        <f t="shared" ref="AR340:AS340" si="685">IF(OR(O340=$C340,O340=$D340,O340=""),"0","1")</f>
        <v>0</v>
      </c>
      <c r="AS340" s="13" t="str">
        <f t="shared" si="685"/>
        <v>0</v>
      </c>
      <c r="AT340" s="698">
        <f t="shared" si="11"/>
        <v>0</v>
      </c>
    </row>
    <row r="341" ht="15.75" customHeight="1">
      <c r="A341" s="788" t="str">
        <f t="shared" si="5"/>
        <v>-</v>
      </c>
      <c r="B341" s="331"/>
      <c r="C341" s="331"/>
      <c r="D341" s="331"/>
      <c r="E341" s="790"/>
      <c r="F341" s="791"/>
      <c r="G341" s="331"/>
      <c r="H341" s="331"/>
      <c r="I341" s="331"/>
      <c r="J341" s="331"/>
      <c r="K341" s="331"/>
      <c r="L341" s="331"/>
      <c r="M341" s="331"/>
      <c r="N341" s="331"/>
      <c r="O341" s="331"/>
      <c r="P341" s="792"/>
      <c r="AB341" s="314"/>
      <c r="AC341" s="314"/>
      <c r="AD341" s="314"/>
      <c r="AE341" s="314"/>
      <c r="AF341" s="314"/>
      <c r="AG341" s="314"/>
      <c r="AJ341" s="13" t="str">
        <f t="shared" ref="AJ341:AQ341" si="686">IF(OR(E341=$C341,E341=$D341,E341=""),"0","1")</f>
        <v>0</v>
      </c>
      <c r="AK341" s="13" t="str">
        <f t="shared" si="686"/>
        <v>0</v>
      </c>
      <c r="AL341" s="13" t="str">
        <f t="shared" si="686"/>
        <v>0</v>
      </c>
      <c r="AM341" s="13" t="str">
        <f t="shared" si="686"/>
        <v>0</v>
      </c>
      <c r="AN341" s="13" t="str">
        <f t="shared" si="686"/>
        <v>0</v>
      </c>
      <c r="AO341" s="13" t="str">
        <f t="shared" si="686"/>
        <v>0</v>
      </c>
      <c r="AP341" s="13" t="str">
        <f t="shared" si="686"/>
        <v>0</v>
      </c>
      <c r="AQ341" s="13" t="str">
        <f t="shared" si="686"/>
        <v>0</v>
      </c>
      <c r="AR341" s="13" t="str">
        <f t="shared" ref="AR341:AS341" si="687">IF(OR(O341=$C341,O341=$D341,O341=""),"0","1")</f>
        <v>0</v>
      </c>
      <c r="AS341" s="13" t="str">
        <f t="shared" si="687"/>
        <v>0</v>
      </c>
      <c r="AT341" s="698">
        <f t="shared" si="11"/>
        <v>0</v>
      </c>
    </row>
    <row r="342" ht="15.75" customHeight="1">
      <c r="A342" s="788" t="str">
        <f t="shared" si="5"/>
        <v>-</v>
      </c>
      <c r="B342" s="331"/>
      <c r="C342" s="331"/>
      <c r="D342" s="331"/>
      <c r="E342" s="790"/>
      <c r="F342" s="791"/>
      <c r="G342" s="331"/>
      <c r="H342" s="331"/>
      <c r="I342" s="331"/>
      <c r="J342" s="331"/>
      <c r="K342" s="331"/>
      <c r="L342" s="331"/>
      <c r="M342" s="331"/>
      <c r="N342" s="331"/>
      <c r="O342" s="331"/>
      <c r="P342" s="792"/>
      <c r="AB342" s="314"/>
      <c r="AC342" s="314"/>
      <c r="AD342" s="314"/>
      <c r="AE342" s="314"/>
      <c r="AF342" s="314"/>
      <c r="AG342" s="314"/>
      <c r="AJ342" s="13" t="str">
        <f t="shared" ref="AJ342:AQ342" si="688">IF(OR(E342=$C342,E342=$D342,E342=""),"0","1")</f>
        <v>0</v>
      </c>
      <c r="AK342" s="13" t="str">
        <f t="shared" si="688"/>
        <v>0</v>
      </c>
      <c r="AL342" s="13" t="str">
        <f t="shared" si="688"/>
        <v>0</v>
      </c>
      <c r="AM342" s="13" t="str">
        <f t="shared" si="688"/>
        <v>0</v>
      </c>
      <c r="AN342" s="13" t="str">
        <f t="shared" si="688"/>
        <v>0</v>
      </c>
      <c r="AO342" s="13" t="str">
        <f t="shared" si="688"/>
        <v>0</v>
      </c>
      <c r="AP342" s="13" t="str">
        <f t="shared" si="688"/>
        <v>0</v>
      </c>
      <c r="AQ342" s="13" t="str">
        <f t="shared" si="688"/>
        <v>0</v>
      </c>
      <c r="AR342" s="13" t="str">
        <f t="shared" ref="AR342:AS342" si="689">IF(OR(O342=$C342,O342=$D342,O342=""),"0","1")</f>
        <v>0</v>
      </c>
      <c r="AS342" s="13" t="str">
        <f t="shared" si="689"/>
        <v>0</v>
      </c>
      <c r="AT342" s="698">
        <f t="shared" si="11"/>
        <v>0</v>
      </c>
    </row>
    <row r="343" ht="15.75" customHeight="1">
      <c r="A343" s="788" t="str">
        <f t="shared" si="5"/>
        <v>-</v>
      </c>
      <c r="B343" s="331"/>
      <c r="C343" s="331"/>
      <c r="D343" s="331"/>
      <c r="E343" s="790"/>
      <c r="F343" s="791"/>
      <c r="G343" s="331"/>
      <c r="H343" s="331"/>
      <c r="I343" s="331"/>
      <c r="J343" s="331"/>
      <c r="K343" s="331"/>
      <c r="L343" s="331"/>
      <c r="M343" s="331"/>
      <c r="N343" s="331"/>
      <c r="O343" s="331"/>
      <c r="P343" s="792"/>
      <c r="AB343" s="314"/>
      <c r="AC343" s="314"/>
      <c r="AD343" s="314"/>
      <c r="AE343" s="314"/>
      <c r="AF343" s="314"/>
      <c r="AG343" s="314"/>
      <c r="AJ343" s="13" t="str">
        <f t="shared" ref="AJ343:AQ343" si="690">IF(OR(E343=$C343,E343=$D343,E343=""),"0","1")</f>
        <v>0</v>
      </c>
      <c r="AK343" s="13" t="str">
        <f t="shared" si="690"/>
        <v>0</v>
      </c>
      <c r="AL343" s="13" t="str">
        <f t="shared" si="690"/>
        <v>0</v>
      </c>
      <c r="AM343" s="13" t="str">
        <f t="shared" si="690"/>
        <v>0</v>
      </c>
      <c r="AN343" s="13" t="str">
        <f t="shared" si="690"/>
        <v>0</v>
      </c>
      <c r="AO343" s="13" t="str">
        <f t="shared" si="690"/>
        <v>0</v>
      </c>
      <c r="AP343" s="13" t="str">
        <f t="shared" si="690"/>
        <v>0</v>
      </c>
      <c r="AQ343" s="13" t="str">
        <f t="shared" si="690"/>
        <v>0</v>
      </c>
      <c r="AR343" s="13" t="str">
        <f t="shared" ref="AR343:AS343" si="691">IF(OR(O343=$C343,O343=$D343,O343=""),"0","1")</f>
        <v>0</v>
      </c>
      <c r="AS343" s="13" t="str">
        <f t="shared" si="691"/>
        <v>0</v>
      </c>
      <c r="AT343" s="698">
        <f t="shared" si="11"/>
        <v>0</v>
      </c>
    </row>
    <row r="344" ht="15.75" customHeight="1">
      <c r="A344" s="788" t="str">
        <f t="shared" si="5"/>
        <v>-</v>
      </c>
      <c r="B344" s="331"/>
      <c r="C344" s="331"/>
      <c r="D344" s="331"/>
      <c r="E344" s="790"/>
      <c r="F344" s="791"/>
      <c r="G344" s="331"/>
      <c r="H344" s="331"/>
      <c r="I344" s="331"/>
      <c r="J344" s="331"/>
      <c r="K344" s="331"/>
      <c r="L344" s="331"/>
      <c r="M344" s="331"/>
      <c r="N344" s="331"/>
      <c r="O344" s="331"/>
      <c r="P344" s="792"/>
      <c r="AB344" s="314"/>
      <c r="AC344" s="314"/>
      <c r="AD344" s="314"/>
      <c r="AE344" s="314"/>
      <c r="AF344" s="314"/>
      <c r="AG344" s="314"/>
      <c r="AJ344" s="13" t="str">
        <f t="shared" ref="AJ344:AQ344" si="692">IF(OR(E344=$C344,E344=$D344,E344=""),"0","1")</f>
        <v>0</v>
      </c>
      <c r="AK344" s="13" t="str">
        <f t="shared" si="692"/>
        <v>0</v>
      </c>
      <c r="AL344" s="13" t="str">
        <f t="shared" si="692"/>
        <v>0</v>
      </c>
      <c r="AM344" s="13" t="str">
        <f t="shared" si="692"/>
        <v>0</v>
      </c>
      <c r="AN344" s="13" t="str">
        <f t="shared" si="692"/>
        <v>0</v>
      </c>
      <c r="AO344" s="13" t="str">
        <f t="shared" si="692"/>
        <v>0</v>
      </c>
      <c r="AP344" s="13" t="str">
        <f t="shared" si="692"/>
        <v>0</v>
      </c>
      <c r="AQ344" s="13" t="str">
        <f t="shared" si="692"/>
        <v>0</v>
      </c>
      <c r="AR344" s="13" t="str">
        <f t="shared" ref="AR344:AS344" si="693">IF(OR(O344=$C344,O344=$D344,O344=""),"0","1")</f>
        <v>0</v>
      </c>
      <c r="AS344" s="13" t="str">
        <f t="shared" si="693"/>
        <v>0</v>
      </c>
      <c r="AT344" s="698">
        <f t="shared" si="11"/>
        <v>0</v>
      </c>
    </row>
    <row r="345" ht="15.75" customHeight="1">
      <c r="A345" s="788" t="str">
        <f t="shared" si="5"/>
        <v>-</v>
      </c>
      <c r="B345" s="331"/>
      <c r="C345" s="331"/>
      <c r="D345" s="331"/>
      <c r="E345" s="790"/>
      <c r="F345" s="791"/>
      <c r="G345" s="331"/>
      <c r="H345" s="331"/>
      <c r="I345" s="331"/>
      <c r="J345" s="331"/>
      <c r="K345" s="331"/>
      <c r="L345" s="331"/>
      <c r="M345" s="331"/>
      <c r="N345" s="331"/>
      <c r="O345" s="331"/>
      <c r="P345" s="792"/>
      <c r="AB345" s="314"/>
      <c r="AC345" s="314"/>
      <c r="AD345" s="314"/>
      <c r="AE345" s="314"/>
      <c r="AF345" s="314"/>
      <c r="AG345" s="314"/>
      <c r="AJ345" s="13" t="str">
        <f t="shared" ref="AJ345:AQ345" si="694">IF(OR(E345=$C345,E345=$D345,E345=""),"0","1")</f>
        <v>0</v>
      </c>
      <c r="AK345" s="13" t="str">
        <f t="shared" si="694"/>
        <v>0</v>
      </c>
      <c r="AL345" s="13" t="str">
        <f t="shared" si="694"/>
        <v>0</v>
      </c>
      <c r="AM345" s="13" t="str">
        <f t="shared" si="694"/>
        <v>0</v>
      </c>
      <c r="AN345" s="13" t="str">
        <f t="shared" si="694"/>
        <v>0</v>
      </c>
      <c r="AO345" s="13" t="str">
        <f t="shared" si="694"/>
        <v>0</v>
      </c>
      <c r="AP345" s="13" t="str">
        <f t="shared" si="694"/>
        <v>0</v>
      </c>
      <c r="AQ345" s="13" t="str">
        <f t="shared" si="694"/>
        <v>0</v>
      </c>
      <c r="AR345" s="13" t="str">
        <f t="shared" ref="AR345:AS345" si="695">IF(OR(O345=$C345,O345=$D345,O345=""),"0","1")</f>
        <v>0</v>
      </c>
      <c r="AS345" s="13" t="str">
        <f t="shared" si="695"/>
        <v>0</v>
      </c>
      <c r="AT345" s="698">
        <f t="shared" si="11"/>
        <v>0</v>
      </c>
    </row>
    <row r="346" ht="15.75" customHeight="1">
      <c r="A346" s="788" t="str">
        <f t="shared" si="5"/>
        <v>-</v>
      </c>
      <c r="B346" s="331"/>
      <c r="C346" s="331"/>
      <c r="D346" s="331"/>
      <c r="E346" s="790"/>
      <c r="F346" s="791"/>
      <c r="G346" s="331"/>
      <c r="H346" s="331"/>
      <c r="I346" s="331"/>
      <c r="J346" s="331"/>
      <c r="K346" s="331"/>
      <c r="L346" s="331"/>
      <c r="M346" s="331"/>
      <c r="N346" s="331"/>
      <c r="O346" s="331"/>
      <c r="P346" s="792"/>
      <c r="AB346" s="314"/>
      <c r="AC346" s="314"/>
      <c r="AD346" s="314"/>
      <c r="AE346" s="314"/>
      <c r="AF346" s="314"/>
      <c r="AG346" s="314"/>
      <c r="AJ346" s="13" t="str">
        <f t="shared" ref="AJ346:AQ346" si="696">IF(OR(E346=$C346,E346=$D346,E346=""),"0","1")</f>
        <v>0</v>
      </c>
      <c r="AK346" s="13" t="str">
        <f t="shared" si="696"/>
        <v>0</v>
      </c>
      <c r="AL346" s="13" t="str">
        <f t="shared" si="696"/>
        <v>0</v>
      </c>
      <c r="AM346" s="13" t="str">
        <f t="shared" si="696"/>
        <v>0</v>
      </c>
      <c r="AN346" s="13" t="str">
        <f t="shared" si="696"/>
        <v>0</v>
      </c>
      <c r="AO346" s="13" t="str">
        <f t="shared" si="696"/>
        <v>0</v>
      </c>
      <c r="AP346" s="13" t="str">
        <f t="shared" si="696"/>
        <v>0</v>
      </c>
      <c r="AQ346" s="13" t="str">
        <f t="shared" si="696"/>
        <v>0</v>
      </c>
      <c r="AR346" s="13" t="str">
        <f t="shared" ref="AR346:AS346" si="697">IF(OR(O346=$C346,O346=$D346,O346=""),"0","1")</f>
        <v>0</v>
      </c>
      <c r="AS346" s="13" t="str">
        <f t="shared" si="697"/>
        <v>0</v>
      </c>
      <c r="AT346" s="698">
        <f t="shared" si="11"/>
        <v>0</v>
      </c>
    </row>
    <row r="347" ht="15.75" customHeight="1">
      <c r="A347" s="788" t="str">
        <f t="shared" si="5"/>
        <v>-</v>
      </c>
      <c r="B347" s="331"/>
      <c r="C347" s="331"/>
      <c r="D347" s="331"/>
      <c r="E347" s="790"/>
      <c r="F347" s="791"/>
      <c r="G347" s="331"/>
      <c r="H347" s="331"/>
      <c r="I347" s="331"/>
      <c r="J347" s="331"/>
      <c r="K347" s="331"/>
      <c r="L347" s="331"/>
      <c r="M347" s="331"/>
      <c r="N347" s="331"/>
      <c r="O347" s="331"/>
      <c r="P347" s="792"/>
      <c r="AB347" s="314"/>
      <c r="AC347" s="314"/>
      <c r="AD347" s="314"/>
      <c r="AE347" s="314"/>
      <c r="AF347" s="314"/>
      <c r="AG347" s="314"/>
      <c r="AJ347" s="13" t="str">
        <f t="shared" ref="AJ347:AQ347" si="698">IF(OR(E347=$C347,E347=$D347,E347=""),"0","1")</f>
        <v>0</v>
      </c>
      <c r="AK347" s="13" t="str">
        <f t="shared" si="698"/>
        <v>0</v>
      </c>
      <c r="AL347" s="13" t="str">
        <f t="shared" si="698"/>
        <v>0</v>
      </c>
      <c r="AM347" s="13" t="str">
        <f t="shared" si="698"/>
        <v>0</v>
      </c>
      <c r="AN347" s="13" t="str">
        <f t="shared" si="698"/>
        <v>0</v>
      </c>
      <c r="AO347" s="13" t="str">
        <f t="shared" si="698"/>
        <v>0</v>
      </c>
      <c r="AP347" s="13" t="str">
        <f t="shared" si="698"/>
        <v>0</v>
      </c>
      <c r="AQ347" s="13" t="str">
        <f t="shared" si="698"/>
        <v>0</v>
      </c>
      <c r="AR347" s="13" t="str">
        <f t="shared" ref="AR347:AS347" si="699">IF(OR(O347=$C347,O347=$D347,O347=""),"0","1")</f>
        <v>0</v>
      </c>
      <c r="AS347" s="13" t="str">
        <f t="shared" si="699"/>
        <v>0</v>
      </c>
      <c r="AT347" s="698">
        <f t="shared" si="11"/>
        <v>0</v>
      </c>
    </row>
    <row r="348" ht="15.75" customHeight="1">
      <c r="A348" s="788" t="str">
        <f t="shared" si="5"/>
        <v>-</v>
      </c>
      <c r="B348" s="331"/>
      <c r="C348" s="331"/>
      <c r="D348" s="331"/>
      <c r="E348" s="790"/>
      <c r="F348" s="791"/>
      <c r="G348" s="331"/>
      <c r="H348" s="331"/>
      <c r="I348" s="331"/>
      <c r="J348" s="331"/>
      <c r="K348" s="331"/>
      <c r="L348" s="331"/>
      <c r="M348" s="331"/>
      <c r="N348" s="331"/>
      <c r="O348" s="331"/>
      <c r="P348" s="792"/>
      <c r="AB348" s="314"/>
      <c r="AC348" s="314"/>
      <c r="AD348" s="314"/>
      <c r="AE348" s="314"/>
      <c r="AF348" s="314"/>
      <c r="AG348" s="314"/>
      <c r="AJ348" s="13" t="str">
        <f t="shared" ref="AJ348:AQ348" si="700">IF(OR(E348=$C348,E348=$D348,E348=""),"0","1")</f>
        <v>0</v>
      </c>
      <c r="AK348" s="13" t="str">
        <f t="shared" si="700"/>
        <v>0</v>
      </c>
      <c r="AL348" s="13" t="str">
        <f t="shared" si="700"/>
        <v>0</v>
      </c>
      <c r="AM348" s="13" t="str">
        <f t="shared" si="700"/>
        <v>0</v>
      </c>
      <c r="AN348" s="13" t="str">
        <f t="shared" si="700"/>
        <v>0</v>
      </c>
      <c r="AO348" s="13" t="str">
        <f t="shared" si="700"/>
        <v>0</v>
      </c>
      <c r="AP348" s="13" t="str">
        <f t="shared" si="700"/>
        <v>0</v>
      </c>
      <c r="AQ348" s="13" t="str">
        <f t="shared" si="700"/>
        <v>0</v>
      </c>
      <c r="AR348" s="13" t="str">
        <f t="shared" ref="AR348:AS348" si="701">IF(OR(O348=$C348,O348=$D348,O348=""),"0","1")</f>
        <v>0</v>
      </c>
      <c r="AS348" s="13" t="str">
        <f t="shared" si="701"/>
        <v>0</v>
      </c>
      <c r="AT348" s="698">
        <f t="shared" si="11"/>
        <v>0</v>
      </c>
    </row>
    <row r="349" ht="15.75" customHeight="1">
      <c r="A349" s="788" t="str">
        <f t="shared" si="5"/>
        <v>-</v>
      </c>
      <c r="B349" s="331"/>
      <c r="C349" s="331"/>
      <c r="D349" s="331"/>
      <c r="E349" s="790"/>
      <c r="F349" s="791"/>
      <c r="G349" s="331"/>
      <c r="H349" s="331"/>
      <c r="I349" s="331"/>
      <c r="J349" s="331"/>
      <c r="K349" s="331"/>
      <c r="L349" s="331"/>
      <c r="M349" s="331"/>
      <c r="N349" s="331"/>
      <c r="O349" s="331"/>
      <c r="P349" s="792"/>
      <c r="AB349" s="314"/>
      <c r="AC349" s="314"/>
      <c r="AD349" s="314"/>
      <c r="AE349" s="314"/>
      <c r="AF349" s="314"/>
      <c r="AG349" s="314"/>
      <c r="AJ349" s="13" t="str">
        <f t="shared" ref="AJ349:AQ349" si="702">IF(OR(E349=$C349,E349=$D349,E349=""),"0","1")</f>
        <v>0</v>
      </c>
      <c r="AK349" s="13" t="str">
        <f t="shared" si="702"/>
        <v>0</v>
      </c>
      <c r="AL349" s="13" t="str">
        <f t="shared" si="702"/>
        <v>0</v>
      </c>
      <c r="AM349" s="13" t="str">
        <f t="shared" si="702"/>
        <v>0</v>
      </c>
      <c r="AN349" s="13" t="str">
        <f t="shared" si="702"/>
        <v>0</v>
      </c>
      <c r="AO349" s="13" t="str">
        <f t="shared" si="702"/>
        <v>0</v>
      </c>
      <c r="AP349" s="13" t="str">
        <f t="shared" si="702"/>
        <v>0</v>
      </c>
      <c r="AQ349" s="13" t="str">
        <f t="shared" si="702"/>
        <v>0</v>
      </c>
      <c r="AR349" s="13" t="str">
        <f t="shared" ref="AR349:AS349" si="703">IF(OR(O349=$C349,O349=$D349,O349=""),"0","1")</f>
        <v>0</v>
      </c>
      <c r="AS349" s="13" t="str">
        <f t="shared" si="703"/>
        <v>0</v>
      </c>
      <c r="AT349" s="698">
        <f t="shared" si="11"/>
        <v>0</v>
      </c>
    </row>
    <row r="350" ht="15.75" customHeight="1">
      <c r="A350" s="788" t="str">
        <f t="shared" si="5"/>
        <v>-</v>
      </c>
      <c r="B350" s="331"/>
      <c r="C350" s="331"/>
      <c r="D350" s="331"/>
      <c r="E350" s="790"/>
      <c r="F350" s="791"/>
      <c r="G350" s="331"/>
      <c r="H350" s="331"/>
      <c r="I350" s="331"/>
      <c r="J350" s="331"/>
      <c r="K350" s="331"/>
      <c r="L350" s="331"/>
      <c r="M350" s="331"/>
      <c r="N350" s="331"/>
      <c r="O350" s="331"/>
      <c r="P350" s="792"/>
      <c r="AB350" s="314"/>
      <c r="AC350" s="314"/>
      <c r="AD350" s="314"/>
      <c r="AE350" s="314"/>
      <c r="AF350" s="314"/>
      <c r="AG350" s="314"/>
      <c r="AJ350" s="13" t="str">
        <f t="shared" ref="AJ350:AQ350" si="704">IF(OR(E350=$C350,E350=$D350,E350=""),"0","1")</f>
        <v>0</v>
      </c>
      <c r="AK350" s="13" t="str">
        <f t="shared" si="704"/>
        <v>0</v>
      </c>
      <c r="AL350" s="13" t="str">
        <f t="shared" si="704"/>
        <v>0</v>
      </c>
      <c r="AM350" s="13" t="str">
        <f t="shared" si="704"/>
        <v>0</v>
      </c>
      <c r="AN350" s="13" t="str">
        <f t="shared" si="704"/>
        <v>0</v>
      </c>
      <c r="AO350" s="13" t="str">
        <f t="shared" si="704"/>
        <v>0</v>
      </c>
      <c r="AP350" s="13" t="str">
        <f t="shared" si="704"/>
        <v>0</v>
      </c>
      <c r="AQ350" s="13" t="str">
        <f t="shared" si="704"/>
        <v>0</v>
      </c>
      <c r="AR350" s="13" t="str">
        <f t="shared" ref="AR350:AS350" si="705">IF(OR(O350=$C350,O350=$D350,O350=""),"0","1")</f>
        <v>0</v>
      </c>
      <c r="AS350" s="13" t="str">
        <f t="shared" si="705"/>
        <v>0</v>
      </c>
      <c r="AT350" s="698">
        <f t="shared" si="11"/>
        <v>0</v>
      </c>
    </row>
    <row r="351" ht="15.75" customHeight="1">
      <c r="A351" s="788" t="str">
        <f t="shared" si="5"/>
        <v>-</v>
      </c>
      <c r="B351" s="331"/>
      <c r="C351" s="331"/>
      <c r="D351" s="331"/>
      <c r="E351" s="790"/>
      <c r="F351" s="791"/>
      <c r="G351" s="331"/>
      <c r="H351" s="331"/>
      <c r="I351" s="331"/>
      <c r="J351" s="331"/>
      <c r="K351" s="331"/>
      <c r="L351" s="331"/>
      <c r="M351" s="331"/>
      <c r="N351" s="331"/>
      <c r="O351" s="331"/>
      <c r="P351" s="792"/>
      <c r="AB351" s="314"/>
      <c r="AC351" s="314"/>
      <c r="AD351" s="314"/>
      <c r="AE351" s="314"/>
      <c r="AF351" s="314"/>
      <c r="AG351" s="314"/>
      <c r="AJ351" s="13" t="str">
        <f t="shared" ref="AJ351:AQ351" si="706">IF(OR(E351=$C351,E351=$D351,E351=""),"0","1")</f>
        <v>0</v>
      </c>
      <c r="AK351" s="13" t="str">
        <f t="shared" si="706"/>
        <v>0</v>
      </c>
      <c r="AL351" s="13" t="str">
        <f t="shared" si="706"/>
        <v>0</v>
      </c>
      <c r="AM351" s="13" t="str">
        <f t="shared" si="706"/>
        <v>0</v>
      </c>
      <c r="AN351" s="13" t="str">
        <f t="shared" si="706"/>
        <v>0</v>
      </c>
      <c r="AO351" s="13" t="str">
        <f t="shared" si="706"/>
        <v>0</v>
      </c>
      <c r="AP351" s="13" t="str">
        <f t="shared" si="706"/>
        <v>0</v>
      </c>
      <c r="AQ351" s="13" t="str">
        <f t="shared" si="706"/>
        <v>0</v>
      </c>
      <c r="AR351" s="13" t="str">
        <f t="shared" ref="AR351:AS351" si="707">IF(OR(O351=$C351,O351=$D351,O351=""),"0","1")</f>
        <v>0</v>
      </c>
      <c r="AS351" s="13" t="str">
        <f t="shared" si="707"/>
        <v>0</v>
      </c>
      <c r="AT351" s="698">
        <f t="shared" si="11"/>
        <v>0</v>
      </c>
    </row>
    <row r="352" ht="15.75" customHeight="1">
      <c r="A352" s="788" t="str">
        <f t="shared" si="5"/>
        <v>-</v>
      </c>
      <c r="B352" s="331"/>
      <c r="C352" s="331"/>
      <c r="D352" s="331"/>
      <c r="E352" s="790"/>
      <c r="F352" s="791"/>
      <c r="G352" s="331"/>
      <c r="H352" s="331"/>
      <c r="I352" s="331"/>
      <c r="J352" s="331"/>
      <c r="K352" s="331"/>
      <c r="L352" s="331"/>
      <c r="M352" s="331"/>
      <c r="N352" s="331"/>
      <c r="O352" s="331"/>
      <c r="P352" s="792"/>
      <c r="AB352" s="314"/>
      <c r="AC352" s="314"/>
      <c r="AD352" s="314"/>
      <c r="AE352" s="314"/>
      <c r="AF352" s="314"/>
      <c r="AG352" s="314"/>
      <c r="AJ352" s="13" t="str">
        <f t="shared" ref="AJ352:AQ352" si="708">IF(OR(E352=$C352,E352=$D352,E352=""),"0","1")</f>
        <v>0</v>
      </c>
      <c r="AK352" s="13" t="str">
        <f t="shared" si="708"/>
        <v>0</v>
      </c>
      <c r="AL352" s="13" t="str">
        <f t="shared" si="708"/>
        <v>0</v>
      </c>
      <c r="AM352" s="13" t="str">
        <f t="shared" si="708"/>
        <v>0</v>
      </c>
      <c r="AN352" s="13" t="str">
        <f t="shared" si="708"/>
        <v>0</v>
      </c>
      <c r="AO352" s="13" t="str">
        <f t="shared" si="708"/>
        <v>0</v>
      </c>
      <c r="AP352" s="13" t="str">
        <f t="shared" si="708"/>
        <v>0</v>
      </c>
      <c r="AQ352" s="13" t="str">
        <f t="shared" si="708"/>
        <v>0</v>
      </c>
      <c r="AR352" s="13" t="str">
        <f t="shared" ref="AR352:AS352" si="709">IF(OR(O352=$C352,O352=$D352,O352=""),"0","1")</f>
        <v>0</v>
      </c>
      <c r="AS352" s="13" t="str">
        <f t="shared" si="709"/>
        <v>0</v>
      </c>
      <c r="AT352" s="698">
        <f t="shared" si="11"/>
        <v>0</v>
      </c>
    </row>
    <row r="353" ht="15.75" customHeight="1">
      <c r="A353" s="788" t="str">
        <f t="shared" si="5"/>
        <v>-</v>
      </c>
      <c r="B353" s="331"/>
      <c r="C353" s="331"/>
      <c r="D353" s="331"/>
      <c r="E353" s="790"/>
      <c r="F353" s="791"/>
      <c r="G353" s="331"/>
      <c r="H353" s="331"/>
      <c r="I353" s="331"/>
      <c r="J353" s="331"/>
      <c r="K353" s="331"/>
      <c r="L353" s="331"/>
      <c r="M353" s="331"/>
      <c r="N353" s="331"/>
      <c r="O353" s="331"/>
      <c r="P353" s="792"/>
      <c r="AB353" s="314"/>
      <c r="AC353" s="314"/>
      <c r="AD353" s="314"/>
      <c r="AE353" s="314"/>
      <c r="AF353" s="314"/>
      <c r="AG353" s="314"/>
      <c r="AJ353" s="13" t="str">
        <f t="shared" ref="AJ353:AQ353" si="710">IF(OR(E353=$C353,E353=$D353,E353=""),"0","1")</f>
        <v>0</v>
      </c>
      <c r="AK353" s="13" t="str">
        <f t="shared" si="710"/>
        <v>0</v>
      </c>
      <c r="AL353" s="13" t="str">
        <f t="shared" si="710"/>
        <v>0</v>
      </c>
      <c r="AM353" s="13" t="str">
        <f t="shared" si="710"/>
        <v>0</v>
      </c>
      <c r="AN353" s="13" t="str">
        <f t="shared" si="710"/>
        <v>0</v>
      </c>
      <c r="AO353" s="13" t="str">
        <f t="shared" si="710"/>
        <v>0</v>
      </c>
      <c r="AP353" s="13" t="str">
        <f t="shared" si="710"/>
        <v>0</v>
      </c>
      <c r="AQ353" s="13" t="str">
        <f t="shared" si="710"/>
        <v>0</v>
      </c>
      <c r="AR353" s="13" t="str">
        <f t="shared" ref="AR353:AS353" si="711">IF(OR(O353=$C353,O353=$D353,O353=""),"0","1")</f>
        <v>0</v>
      </c>
      <c r="AS353" s="13" t="str">
        <f t="shared" si="711"/>
        <v>0</v>
      </c>
      <c r="AT353" s="698">
        <f t="shared" si="11"/>
        <v>0</v>
      </c>
    </row>
    <row r="354" ht="15.75" customHeight="1">
      <c r="A354" s="788" t="str">
        <f t="shared" si="5"/>
        <v>-</v>
      </c>
      <c r="B354" s="331"/>
      <c r="C354" s="331"/>
      <c r="D354" s="331"/>
      <c r="E354" s="790"/>
      <c r="F354" s="791"/>
      <c r="G354" s="331"/>
      <c r="H354" s="331"/>
      <c r="I354" s="331"/>
      <c r="J354" s="331"/>
      <c r="K354" s="331"/>
      <c r="L354" s="331"/>
      <c r="M354" s="331"/>
      <c r="N354" s="331"/>
      <c r="O354" s="331"/>
      <c r="P354" s="792"/>
      <c r="AB354" s="314"/>
      <c r="AC354" s="314"/>
      <c r="AD354" s="314"/>
      <c r="AE354" s="314"/>
      <c r="AF354" s="314"/>
      <c r="AG354" s="314"/>
      <c r="AJ354" s="13" t="str">
        <f t="shared" ref="AJ354:AQ354" si="712">IF(OR(E354=$C354,E354=$D354,E354=""),"0","1")</f>
        <v>0</v>
      </c>
      <c r="AK354" s="13" t="str">
        <f t="shared" si="712"/>
        <v>0</v>
      </c>
      <c r="AL354" s="13" t="str">
        <f t="shared" si="712"/>
        <v>0</v>
      </c>
      <c r="AM354" s="13" t="str">
        <f t="shared" si="712"/>
        <v>0</v>
      </c>
      <c r="AN354" s="13" t="str">
        <f t="shared" si="712"/>
        <v>0</v>
      </c>
      <c r="AO354" s="13" t="str">
        <f t="shared" si="712"/>
        <v>0</v>
      </c>
      <c r="AP354" s="13" t="str">
        <f t="shared" si="712"/>
        <v>0</v>
      </c>
      <c r="AQ354" s="13" t="str">
        <f t="shared" si="712"/>
        <v>0</v>
      </c>
      <c r="AR354" s="13" t="str">
        <f t="shared" ref="AR354:AS354" si="713">IF(OR(O354=$C354,O354=$D354,O354=""),"0","1")</f>
        <v>0</v>
      </c>
      <c r="AS354" s="13" t="str">
        <f t="shared" si="713"/>
        <v>0</v>
      </c>
      <c r="AT354" s="698">
        <f t="shared" si="11"/>
        <v>0</v>
      </c>
    </row>
    <row r="355" ht="15.75" customHeight="1">
      <c r="A355" s="788" t="str">
        <f t="shared" si="5"/>
        <v>-</v>
      </c>
      <c r="B355" s="331"/>
      <c r="C355" s="331"/>
      <c r="D355" s="331"/>
      <c r="E355" s="790"/>
      <c r="F355" s="791"/>
      <c r="G355" s="331"/>
      <c r="H355" s="331"/>
      <c r="I355" s="331"/>
      <c r="J355" s="331"/>
      <c r="K355" s="331"/>
      <c r="L355" s="331"/>
      <c r="M355" s="331"/>
      <c r="N355" s="331"/>
      <c r="O355" s="331"/>
      <c r="P355" s="792"/>
      <c r="AB355" s="314"/>
      <c r="AC355" s="314"/>
      <c r="AD355" s="314"/>
      <c r="AE355" s="314"/>
      <c r="AF355" s="314"/>
      <c r="AG355" s="314"/>
      <c r="AJ355" s="13" t="str">
        <f t="shared" ref="AJ355:AQ355" si="714">IF(OR(E355=$C355,E355=$D355,E355=""),"0","1")</f>
        <v>0</v>
      </c>
      <c r="AK355" s="13" t="str">
        <f t="shared" si="714"/>
        <v>0</v>
      </c>
      <c r="AL355" s="13" t="str">
        <f t="shared" si="714"/>
        <v>0</v>
      </c>
      <c r="AM355" s="13" t="str">
        <f t="shared" si="714"/>
        <v>0</v>
      </c>
      <c r="AN355" s="13" t="str">
        <f t="shared" si="714"/>
        <v>0</v>
      </c>
      <c r="AO355" s="13" t="str">
        <f t="shared" si="714"/>
        <v>0</v>
      </c>
      <c r="AP355" s="13" t="str">
        <f t="shared" si="714"/>
        <v>0</v>
      </c>
      <c r="AQ355" s="13" t="str">
        <f t="shared" si="714"/>
        <v>0</v>
      </c>
      <c r="AR355" s="13" t="str">
        <f t="shared" ref="AR355:AS355" si="715">IF(OR(O355=$C355,O355=$D355,O355=""),"0","1")</f>
        <v>0</v>
      </c>
      <c r="AS355" s="13" t="str">
        <f t="shared" si="715"/>
        <v>0</v>
      </c>
      <c r="AT355" s="698">
        <f t="shared" si="11"/>
        <v>0</v>
      </c>
    </row>
    <row r="356" ht="15.75" customHeight="1">
      <c r="A356" s="788" t="str">
        <f t="shared" si="5"/>
        <v>-</v>
      </c>
      <c r="B356" s="331"/>
      <c r="C356" s="331"/>
      <c r="D356" s="331"/>
      <c r="E356" s="790"/>
      <c r="F356" s="791"/>
      <c r="G356" s="331"/>
      <c r="H356" s="331"/>
      <c r="I356" s="331"/>
      <c r="J356" s="331"/>
      <c r="K356" s="331"/>
      <c r="L356" s="331"/>
      <c r="M356" s="331"/>
      <c r="N356" s="331"/>
      <c r="O356" s="331"/>
      <c r="P356" s="792"/>
      <c r="AB356" s="314"/>
      <c r="AC356" s="314"/>
      <c r="AD356" s="314"/>
      <c r="AE356" s="314"/>
      <c r="AF356" s="314"/>
      <c r="AG356" s="314"/>
      <c r="AJ356" s="13" t="str">
        <f t="shared" ref="AJ356:AQ356" si="716">IF(OR(E356=$C356,E356=$D356,E356=""),"0","1")</f>
        <v>0</v>
      </c>
      <c r="AK356" s="13" t="str">
        <f t="shared" si="716"/>
        <v>0</v>
      </c>
      <c r="AL356" s="13" t="str">
        <f t="shared" si="716"/>
        <v>0</v>
      </c>
      <c r="AM356" s="13" t="str">
        <f t="shared" si="716"/>
        <v>0</v>
      </c>
      <c r="AN356" s="13" t="str">
        <f t="shared" si="716"/>
        <v>0</v>
      </c>
      <c r="AO356" s="13" t="str">
        <f t="shared" si="716"/>
        <v>0</v>
      </c>
      <c r="AP356" s="13" t="str">
        <f t="shared" si="716"/>
        <v>0</v>
      </c>
      <c r="AQ356" s="13" t="str">
        <f t="shared" si="716"/>
        <v>0</v>
      </c>
      <c r="AR356" s="13" t="str">
        <f t="shared" ref="AR356:AS356" si="717">IF(OR(O356=$C356,O356=$D356,O356=""),"0","1")</f>
        <v>0</v>
      </c>
      <c r="AS356" s="13" t="str">
        <f t="shared" si="717"/>
        <v>0</v>
      </c>
      <c r="AT356" s="698">
        <f t="shared" si="11"/>
        <v>0</v>
      </c>
    </row>
    <row r="357" ht="15.75" customHeight="1">
      <c r="A357" s="788" t="str">
        <f t="shared" si="5"/>
        <v>-</v>
      </c>
      <c r="B357" s="331"/>
      <c r="C357" s="331"/>
      <c r="D357" s="331"/>
      <c r="E357" s="790"/>
      <c r="F357" s="791"/>
      <c r="G357" s="331"/>
      <c r="H357" s="331"/>
      <c r="I357" s="331"/>
      <c r="J357" s="331"/>
      <c r="K357" s="331"/>
      <c r="L357" s="331"/>
      <c r="M357" s="331"/>
      <c r="N357" s="331"/>
      <c r="O357" s="331"/>
      <c r="P357" s="792"/>
      <c r="AB357" s="314"/>
      <c r="AC357" s="314"/>
      <c r="AD357" s="314"/>
      <c r="AE357" s="314"/>
      <c r="AF357" s="314"/>
      <c r="AG357" s="314"/>
      <c r="AJ357" s="13" t="str">
        <f t="shared" ref="AJ357:AQ357" si="718">IF(OR(E357=$C357,E357=$D357,E357=""),"0","1")</f>
        <v>0</v>
      </c>
      <c r="AK357" s="13" t="str">
        <f t="shared" si="718"/>
        <v>0</v>
      </c>
      <c r="AL357" s="13" t="str">
        <f t="shared" si="718"/>
        <v>0</v>
      </c>
      <c r="AM357" s="13" t="str">
        <f t="shared" si="718"/>
        <v>0</v>
      </c>
      <c r="AN357" s="13" t="str">
        <f t="shared" si="718"/>
        <v>0</v>
      </c>
      <c r="AO357" s="13" t="str">
        <f t="shared" si="718"/>
        <v>0</v>
      </c>
      <c r="AP357" s="13" t="str">
        <f t="shared" si="718"/>
        <v>0</v>
      </c>
      <c r="AQ357" s="13" t="str">
        <f t="shared" si="718"/>
        <v>0</v>
      </c>
      <c r="AR357" s="13" t="str">
        <f t="shared" ref="AR357:AS357" si="719">IF(OR(O357=$C357,O357=$D357,O357=""),"0","1")</f>
        <v>0</v>
      </c>
      <c r="AS357" s="13" t="str">
        <f t="shared" si="719"/>
        <v>0</v>
      </c>
      <c r="AT357" s="698">
        <f t="shared" si="11"/>
        <v>0</v>
      </c>
    </row>
    <row r="358" ht="15.75" customHeight="1">
      <c r="A358" s="788" t="str">
        <f t="shared" si="5"/>
        <v>-</v>
      </c>
      <c r="B358" s="331"/>
      <c r="C358" s="331"/>
      <c r="D358" s="331"/>
      <c r="E358" s="790"/>
      <c r="F358" s="791"/>
      <c r="G358" s="331"/>
      <c r="H358" s="331"/>
      <c r="I358" s="331"/>
      <c r="J358" s="331"/>
      <c r="K358" s="331"/>
      <c r="L358" s="331"/>
      <c r="M358" s="331"/>
      <c r="N358" s="331"/>
      <c r="O358" s="331"/>
      <c r="P358" s="792"/>
      <c r="AB358" s="314"/>
      <c r="AC358" s="314"/>
      <c r="AD358" s="314"/>
      <c r="AE358" s="314"/>
      <c r="AF358" s="314"/>
      <c r="AG358" s="314"/>
      <c r="AJ358" s="13" t="str">
        <f t="shared" ref="AJ358:AQ358" si="720">IF(OR(E358=$C358,E358=$D358,E358=""),"0","1")</f>
        <v>0</v>
      </c>
      <c r="AK358" s="13" t="str">
        <f t="shared" si="720"/>
        <v>0</v>
      </c>
      <c r="AL358" s="13" t="str">
        <f t="shared" si="720"/>
        <v>0</v>
      </c>
      <c r="AM358" s="13" t="str">
        <f t="shared" si="720"/>
        <v>0</v>
      </c>
      <c r="AN358" s="13" t="str">
        <f t="shared" si="720"/>
        <v>0</v>
      </c>
      <c r="AO358" s="13" t="str">
        <f t="shared" si="720"/>
        <v>0</v>
      </c>
      <c r="AP358" s="13" t="str">
        <f t="shared" si="720"/>
        <v>0</v>
      </c>
      <c r="AQ358" s="13" t="str">
        <f t="shared" si="720"/>
        <v>0</v>
      </c>
      <c r="AR358" s="13" t="str">
        <f t="shared" ref="AR358:AS358" si="721">IF(OR(O358=$C358,O358=$D358,O358=""),"0","1")</f>
        <v>0</v>
      </c>
      <c r="AS358" s="13" t="str">
        <f t="shared" si="721"/>
        <v>0</v>
      </c>
      <c r="AT358" s="698">
        <f t="shared" si="11"/>
        <v>0</v>
      </c>
    </row>
    <row r="359" ht="15.75" customHeight="1">
      <c r="A359" s="788" t="str">
        <f t="shared" si="5"/>
        <v>-</v>
      </c>
      <c r="B359" s="331"/>
      <c r="C359" s="331"/>
      <c r="D359" s="331"/>
      <c r="E359" s="790"/>
      <c r="F359" s="791"/>
      <c r="G359" s="331"/>
      <c r="H359" s="331"/>
      <c r="I359" s="331"/>
      <c r="J359" s="331"/>
      <c r="K359" s="331"/>
      <c r="L359" s="331"/>
      <c r="M359" s="331"/>
      <c r="N359" s="331"/>
      <c r="O359" s="331"/>
      <c r="P359" s="792"/>
      <c r="AB359" s="314"/>
      <c r="AC359" s="314"/>
      <c r="AD359" s="314"/>
      <c r="AE359" s="314"/>
      <c r="AF359" s="314"/>
      <c r="AG359" s="314"/>
      <c r="AJ359" s="13" t="str">
        <f t="shared" ref="AJ359:AQ359" si="722">IF(OR(E359=$C359,E359=$D359,E359=""),"0","1")</f>
        <v>0</v>
      </c>
      <c r="AK359" s="13" t="str">
        <f t="shared" si="722"/>
        <v>0</v>
      </c>
      <c r="AL359" s="13" t="str">
        <f t="shared" si="722"/>
        <v>0</v>
      </c>
      <c r="AM359" s="13" t="str">
        <f t="shared" si="722"/>
        <v>0</v>
      </c>
      <c r="AN359" s="13" t="str">
        <f t="shared" si="722"/>
        <v>0</v>
      </c>
      <c r="AO359" s="13" t="str">
        <f t="shared" si="722"/>
        <v>0</v>
      </c>
      <c r="AP359" s="13" t="str">
        <f t="shared" si="722"/>
        <v>0</v>
      </c>
      <c r="AQ359" s="13" t="str">
        <f t="shared" si="722"/>
        <v>0</v>
      </c>
      <c r="AR359" s="13" t="str">
        <f t="shared" ref="AR359:AS359" si="723">IF(OR(O359=$C359,O359=$D359,O359=""),"0","1")</f>
        <v>0</v>
      </c>
      <c r="AS359" s="13" t="str">
        <f t="shared" si="723"/>
        <v>0</v>
      </c>
      <c r="AT359" s="698">
        <f t="shared" si="11"/>
        <v>0</v>
      </c>
    </row>
    <row r="360" ht="15.75" customHeight="1">
      <c r="A360" s="788" t="str">
        <f t="shared" si="5"/>
        <v>-</v>
      </c>
      <c r="B360" s="331"/>
      <c r="C360" s="331"/>
      <c r="D360" s="331"/>
      <c r="E360" s="790"/>
      <c r="F360" s="791"/>
      <c r="G360" s="331"/>
      <c r="H360" s="331"/>
      <c r="I360" s="331"/>
      <c r="J360" s="331"/>
      <c r="K360" s="331"/>
      <c r="L360" s="331"/>
      <c r="M360" s="331"/>
      <c r="N360" s="331"/>
      <c r="O360" s="331"/>
      <c r="P360" s="792"/>
      <c r="AB360" s="314"/>
      <c r="AC360" s="314"/>
      <c r="AD360" s="314"/>
      <c r="AE360" s="314"/>
      <c r="AF360" s="314"/>
      <c r="AG360" s="314"/>
      <c r="AJ360" s="13" t="str">
        <f t="shared" ref="AJ360:AQ360" si="724">IF(OR(E360=$C360,E360=$D360,E360=""),"0","1")</f>
        <v>0</v>
      </c>
      <c r="AK360" s="13" t="str">
        <f t="shared" si="724"/>
        <v>0</v>
      </c>
      <c r="AL360" s="13" t="str">
        <f t="shared" si="724"/>
        <v>0</v>
      </c>
      <c r="AM360" s="13" t="str">
        <f t="shared" si="724"/>
        <v>0</v>
      </c>
      <c r="AN360" s="13" t="str">
        <f t="shared" si="724"/>
        <v>0</v>
      </c>
      <c r="AO360" s="13" t="str">
        <f t="shared" si="724"/>
        <v>0</v>
      </c>
      <c r="AP360" s="13" t="str">
        <f t="shared" si="724"/>
        <v>0</v>
      </c>
      <c r="AQ360" s="13" t="str">
        <f t="shared" si="724"/>
        <v>0</v>
      </c>
      <c r="AR360" s="13" t="str">
        <f t="shared" ref="AR360:AS360" si="725">IF(OR(O360=$C360,O360=$D360,O360=""),"0","1")</f>
        <v>0</v>
      </c>
      <c r="AS360" s="13" t="str">
        <f t="shared" si="725"/>
        <v>0</v>
      </c>
      <c r="AT360" s="698">
        <f t="shared" si="11"/>
        <v>0</v>
      </c>
    </row>
    <row r="361" ht="15.75" customHeight="1">
      <c r="A361" s="788" t="str">
        <f t="shared" si="5"/>
        <v>-</v>
      </c>
      <c r="B361" s="331"/>
      <c r="C361" s="331"/>
      <c r="D361" s="331"/>
      <c r="E361" s="790"/>
      <c r="F361" s="791"/>
      <c r="G361" s="331"/>
      <c r="H361" s="331"/>
      <c r="I361" s="331"/>
      <c r="J361" s="331"/>
      <c r="K361" s="331"/>
      <c r="L361" s="331"/>
      <c r="M361" s="331"/>
      <c r="N361" s="331"/>
      <c r="O361" s="331"/>
      <c r="P361" s="792"/>
      <c r="AB361" s="314"/>
      <c r="AC361" s="314"/>
      <c r="AD361" s="314"/>
      <c r="AE361" s="314"/>
      <c r="AF361" s="314"/>
      <c r="AG361" s="314"/>
      <c r="AJ361" s="13" t="str">
        <f t="shared" ref="AJ361:AQ361" si="726">IF(OR(E361=$C361,E361=$D361,E361=""),"0","1")</f>
        <v>0</v>
      </c>
      <c r="AK361" s="13" t="str">
        <f t="shared" si="726"/>
        <v>0</v>
      </c>
      <c r="AL361" s="13" t="str">
        <f t="shared" si="726"/>
        <v>0</v>
      </c>
      <c r="AM361" s="13" t="str">
        <f t="shared" si="726"/>
        <v>0</v>
      </c>
      <c r="AN361" s="13" t="str">
        <f t="shared" si="726"/>
        <v>0</v>
      </c>
      <c r="AO361" s="13" t="str">
        <f t="shared" si="726"/>
        <v>0</v>
      </c>
      <c r="AP361" s="13" t="str">
        <f t="shared" si="726"/>
        <v>0</v>
      </c>
      <c r="AQ361" s="13" t="str">
        <f t="shared" si="726"/>
        <v>0</v>
      </c>
      <c r="AR361" s="13" t="str">
        <f t="shared" ref="AR361:AS361" si="727">IF(OR(O361=$C361,O361=$D361,O361=""),"0","1")</f>
        <v>0</v>
      </c>
      <c r="AS361" s="13" t="str">
        <f t="shared" si="727"/>
        <v>0</v>
      </c>
      <c r="AT361" s="698">
        <f t="shared" si="11"/>
        <v>0</v>
      </c>
    </row>
    <row r="362" ht="15.75" customHeight="1">
      <c r="A362" s="788" t="str">
        <f t="shared" si="5"/>
        <v>-</v>
      </c>
      <c r="B362" s="331"/>
      <c r="C362" s="331"/>
      <c r="D362" s="331"/>
      <c r="E362" s="790"/>
      <c r="F362" s="791"/>
      <c r="G362" s="331"/>
      <c r="H362" s="331"/>
      <c r="I362" s="331"/>
      <c r="J362" s="331"/>
      <c r="K362" s="331"/>
      <c r="L362" s="331"/>
      <c r="M362" s="331"/>
      <c r="N362" s="331"/>
      <c r="O362" s="331"/>
      <c r="P362" s="792"/>
      <c r="AB362" s="314"/>
      <c r="AC362" s="314"/>
      <c r="AD362" s="314"/>
      <c r="AE362" s="314"/>
      <c r="AF362" s="314"/>
      <c r="AG362" s="314"/>
      <c r="AJ362" s="13" t="str">
        <f t="shared" ref="AJ362:AQ362" si="728">IF(OR(E362=$C362,E362=$D362,E362=""),"0","1")</f>
        <v>0</v>
      </c>
      <c r="AK362" s="13" t="str">
        <f t="shared" si="728"/>
        <v>0</v>
      </c>
      <c r="AL362" s="13" t="str">
        <f t="shared" si="728"/>
        <v>0</v>
      </c>
      <c r="AM362" s="13" t="str">
        <f t="shared" si="728"/>
        <v>0</v>
      </c>
      <c r="AN362" s="13" t="str">
        <f t="shared" si="728"/>
        <v>0</v>
      </c>
      <c r="AO362" s="13" t="str">
        <f t="shared" si="728"/>
        <v>0</v>
      </c>
      <c r="AP362" s="13" t="str">
        <f t="shared" si="728"/>
        <v>0</v>
      </c>
      <c r="AQ362" s="13" t="str">
        <f t="shared" si="728"/>
        <v>0</v>
      </c>
      <c r="AR362" s="13" t="str">
        <f t="shared" ref="AR362:AS362" si="729">IF(OR(O362=$C362,O362=$D362,O362=""),"0","1")</f>
        <v>0</v>
      </c>
      <c r="AS362" s="13" t="str">
        <f t="shared" si="729"/>
        <v>0</v>
      </c>
      <c r="AT362" s="698">
        <f t="shared" si="11"/>
        <v>0</v>
      </c>
    </row>
    <row r="363" ht="15.75" customHeight="1">
      <c r="A363" s="788" t="str">
        <f t="shared" si="5"/>
        <v>-</v>
      </c>
      <c r="B363" s="331"/>
      <c r="C363" s="331"/>
      <c r="D363" s="331"/>
      <c r="E363" s="790"/>
      <c r="F363" s="791"/>
      <c r="G363" s="331"/>
      <c r="H363" s="331"/>
      <c r="I363" s="331"/>
      <c r="J363" s="331"/>
      <c r="K363" s="331"/>
      <c r="L363" s="331"/>
      <c r="M363" s="331"/>
      <c r="N363" s="331"/>
      <c r="O363" s="331"/>
      <c r="P363" s="792"/>
      <c r="AB363" s="314"/>
      <c r="AC363" s="314"/>
      <c r="AD363" s="314"/>
      <c r="AE363" s="314"/>
      <c r="AF363" s="314"/>
      <c r="AG363" s="314"/>
      <c r="AJ363" s="13" t="str">
        <f t="shared" ref="AJ363:AQ363" si="730">IF(OR(E363=$C363,E363=$D363,E363=""),"0","1")</f>
        <v>0</v>
      </c>
      <c r="AK363" s="13" t="str">
        <f t="shared" si="730"/>
        <v>0</v>
      </c>
      <c r="AL363" s="13" t="str">
        <f t="shared" si="730"/>
        <v>0</v>
      </c>
      <c r="AM363" s="13" t="str">
        <f t="shared" si="730"/>
        <v>0</v>
      </c>
      <c r="AN363" s="13" t="str">
        <f t="shared" si="730"/>
        <v>0</v>
      </c>
      <c r="AO363" s="13" t="str">
        <f t="shared" si="730"/>
        <v>0</v>
      </c>
      <c r="AP363" s="13" t="str">
        <f t="shared" si="730"/>
        <v>0</v>
      </c>
      <c r="AQ363" s="13" t="str">
        <f t="shared" si="730"/>
        <v>0</v>
      </c>
      <c r="AR363" s="13" t="str">
        <f t="shared" ref="AR363:AS363" si="731">IF(OR(O363=$C363,O363=$D363,O363=""),"0","1")</f>
        <v>0</v>
      </c>
      <c r="AS363" s="13" t="str">
        <f t="shared" si="731"/>
        <v>0</v>
      </c>
      <c r="AT363" s="698">
        <f t="shared" si="11"/>
        <v>0</v>
      </c>
    </row>
    <row r="364" ht="15.75" customHeight="1">
      <c r="A364" s="788" t="str">
        <f t="shared" si="5"/>
        <v>-</v>
      </c>
      <c r="B364" s="331"/>
      <c r="C364" s="331"/>
      <c r="D364" s="331"/>
      <c r="E364" s="790"/>
      <c r="F364" s="791"/>
      <c r="G364" s="331"/>
      <c r="H364" s="331"/>
      <c r="I364" s="331"/>
      <c r="J364" s="331"/>
      <c r="K364" s="331"/>
      <c r="L364" s="331"/>
      <c r="M364" s="331"/>
      <c r="N364" s="331"/>
      <c r="O364" s="331"/>
      <c r="P364" s="792"/>
      <c r="AB364" s="314"/>
      <c r="AC364" s="314"/>
      <c r="AD364" s="314"/>
      <c r="AE364" s="314"/>
      <c r="AF364" s="314"/>
      <c r="AG364" s="314"/>
      <c r="AJ364" s="13" t="str">
        <f t="shared" ref="AJ364:AQ364" si="732">IF(OR(E364=$C364,E364=$D364,E364=""),"0","1")</f>
        <v>0</v>
      </c>
      <c r="AK364" s="13" t="str">
        <f t="shared" si="732"/>
        <v>0</v>
      </c>
      <c r="AL364" s="13" t="str">
        <f t="shared" si="732"/>
        <v>0</v>
      </c>
      <c r="AM364" s="13" t="str">
        <f t="shared" si="732"/>
        <v>0</v>
      </c>
      <c r="AN364" s="13" t="str">
        <f t="shared" si="732"/>
        <v>0</v>
      </c>
      <c r="AO364" s="13" t="str">
        <f t="shared" si="732"/>
        <v>0</v>
      </c>
      <c r="AP364" s="13" t="str">
        <f t="shared" si="732"/>
        <v>0</v>
      </c>
      <c r="AQ364" s="13" t="str">
        <f t="shared" si="732"/>
        <v>0</v>
      </c>
      <c r="AR364" s="13" t="str">
        <f t="shared" ref="AR364:AS364" si="733">IF(OR(O364=$C364,O364=$D364,O364=""),"0","1")</f>
        <v>0</v>
      </c>
      <c r="AS364" s="13" t="str">
        <f t="shared" si="733"/>
        <v>0</v>
      </c>
      <c r="AT364" s="698">
        <f t="shared" si="11"/>
        <v>0</v>
      </c>
    </row>
    <row r="365" ht="15.75" customHeight="1">
      <c r="A365" s="788" t="str">
        <f t="shared" si="5"/>
        <v>-</v>
      </c>
      <c r="B365" s="331"/>
      <c r="C365" s="331"/>
      <c r="D365" s="331"/>
      <c r="E365" s="790"/>
      <c r="F365" s="791"/>
      <c r="G365" s="331"/>
      <c r="H365" s="331"/>
      <c r="I365" s="331"/>
      <c r="J365" s="331"/>
      <c r="K365" s="331"/>
      <c r="L365" s="331"/>
      <c r="M365" s="331"/>
      <c r="N365" s="331"/>
      <c r="O365" s="331"/>
      <c r="P365" s="792"/>
      <c r="AB365" s="314"/>
      <c r="AC365" s="314"/>
      <c r="AD365" s="314"/>
      <c r="AE365" s="314"/>
      <c r="AF365" s="314"/>
      <c r="AG365" s="314"/>
      <c r="AJ365" s="13" t="str">
        <f t="shared" ref="AJ365:AQ365" si="734">IF(OR(E365=$C365,E365=$D365,E365=""),"0","1")</f>
        <v>0</v>
      </c>
      <c r="AK365" s="13" t="str">
        <f t="shared" si="734"/>
        <v>0</v>
      </c>
      <c r="AL365" s="13" t="str">
        <f t="shared" si="734"/>
        <v>0</v>
      </c>
      <c r="AM365" s="13" t="str">
        <f t="shared" si="734"/>
        <v>0</v>
      </c>
      <c r="AN365" s="13" t="str">
        <f t="shared" si="734"/>
        <v>0</v>
      </c>
      <c r="AO365" s="13" t="str">
        <f t="shared" si="734"/>
        <v>0</v>
      </c>
      <c r="AP365" s="13" t="str">
        <f t="shared" si="734"/>
        <v>0</v>
      </c>
      <c r="AQ365" s="13" t="str">
        <f t="shared" si="734"/>
        <v>0</v>
      </c>
      <c r="AR365" s="13" t="str">
        <f t="shared" ref="AR365:AS365" si="735">IF(OR(O365=$C365,O365=$D365,O365=""),"0","1")</f>
        <v>0</v>
      </c>
      <c r="AS365" s="13" t="str">
        <f t="shared" si="735"/>
        <v>0</v>
      </c>
      <c r="AT365" s="698">
        <f t="shared" si="11"/>
        <v>0</v>
      </c>
    </row>
    <row r="366" ht="15.75" customHeight="1">
      <c r="A366" s="788" t="str">
        <f t="shared" si="5"/>
        <v>-</v>
      </c>
      <c r="B366" s="331"/>
      <c r="C366" s="331"/>
      <c r="D366" s="331"/>
      <c r="E366" s="790"/>
      <c r="F366" s="791"/>
      <c r="G366" s="331"/>
      <c r="H366" s="331"/>
      <c r="I366" s="331"/>
      <c r="J366" s="331"/>
      <c r="K366" s="331"/>
      <c r="L366" s="331"/>
      <c r="M366" s="331"/>
      <c r="N366" s="331"/>
      <c r="O366" s="331"/>
      <c r="P366" s="792"/>
      <c r="AB366" s="314"/>
      <c r="AC366" s="314"/>
      <c r="AD366" s="314"/>
      <c r="AE366" s="314"/>
      <c r="AF366" s="314"/>
      <c r="AG366" s="314"/>
      <c r="AJ366" s="13" t="str">
        <f t="shared" ref="AJ366:AQ366" si="736">IF(OR(E366=$C366,E366=$D366,E366=""),"0","1")</f>
        <v>0</v>
      </c>
      <c r="AK366" s="13" t="str">
        <f t="shared" si="736"/>
        <v>0</v>
      </c>
      <c r="AL366" s="13" t="str">
        <f t="shared" si="736"/>
        <v>0</v>
      </c>
      <c r="AM366" s="13" t="str">
        <f t="shared" si="736"/>
        <v>0</v>
      </c>
      <c r="AN366" s="13" t="str">
        <f t="shared" si="736"/>
        <v>0</v>
      </c>
      <c r="AO366" s="13" t="str">
        <f t="shared" si="736"/>
        <v>0</v>
      </c>
      <c r="AP366" s="13" t="str">
        <f t="shared" si="736"/>
        <v>0</v>
      </c>
      <c r="AQ366" s="13" t="str">
        <f t="shared" si="736"/>
        <v>0</v>
      </c>
      <c r="AR366" s="13" t="str">
        <f t="shared" ref="AR366:AS366" si="737">IF(OR(O366=$C366,O366=$D366,O366=""),"0","1")</f>
        <v>0</v>
      </c>
      <c r="AS366" s="13" t="str">
        <f t="shared" si="737"/>
        <v>0</v>
      </c>
      <c r="AT366" s="698">
        <f t="shared" si="11"/>
        <v>0</v>
      </c>
    </row>
    <row r="367" ht="15.75" customHeight="1">
      <c r="A367" s="788" t="str">
        <f t="shared" si="5"/>
        <v>-</v>
      </c>
      <c r="B367" s="331"/>
      <c r="C367" s="331"/>
      <c r="D367" s="331"/>
      <c r="E367" s="790"/>
      <c r="F367" s="791"/>
      <c r="G367" s="331"/>
      <c r="H367" s="331"/>
      <c r="I367" s="331"/>
      <c r="J367" s="331"/>
      <c r="K367" s="331"/>
      <c r="L367" s="331"/>
      <c r="M367" s="331"/>
      <c r="N367" s="331"/>
      <c r="O367" s="331"/>
      <c r="P367" s="792"/>
      <c r="AB367" s="314"/>
      <c r="AC367" s="314"/>
      <c r="AD367" s="314"/>
      <c r="AE367" s="314"/>
      <c r="AF367" s="314"/>
      <c r="AG367" s="314"/>
      <c r="AJ367" s="13" t="str">
        <f t="shared" ref="AJ367:AQ367" si="738">IF(OR(E367=$C367,E367=$D367,E367=""),"0","1")</f>
        <v>0</v>
      </c>
      <c r="AK367" s="13" t="str">
        <f t="shared" si="738"/>
        <v>0</v>
      </c>
      <c r="AL367" s="13" t="str">
        <f t="shared" si="738"/>
        <v>0</v>
      </c>
      <c r="AM367" s="13" t="str">
        <f t="shared" si="738"/>
        <v>0</v>
      </c>
      <c r="AN367" s="13" t="str">
        <f t="shared" si="738"/>
        <v>0</v>
      </c>
      <c r="AO367" s="13" t="str">
        <f t="shared" si="738"/>
        <v>0</v>
      </c>
      <c r="AP367" s="13" t="str">
        <f t="shared" si="738"/>
        <v>0</v>
      </c>
      <c r="AQ367" s="13" t="str">
        <f t="shared" si="738"/>
        <v>0</v>
      </c>
      <c r="AR367" s="13" t="str">
        <f t="shared" ref="AR367:AS367" si="739">IF(OR(O367=$C367,O367=$D367,O367=""),"0","1")</f>
        <v>0</v>
      </c>
      <c r="AS367" s="13" t="str">
        <f t="shared" si="739"/>
        <v>0</v>
      </c>
      <c r="AT367" s="698">
        <f t="shared" si="11"/>
        <v>0</v>
      </c>
    </row>
    <row r="368" ht="15.75" customHeight="1">
      <c r="A368" s="788" t="str">
        <f t="shared" si="5"/>
        <v>-</v>
      </c>
      <c r="B368" s="331"/>
      <c r="C368" s="331"/>
      <c r="D368" s="331"/>
      <c r="E368" s="790"/>
      <c r="F368" s="791"/>
      <c r="G368" s="331"/>
      <c r="H368" s="331"/>
      <c r="I368" s="331"/>
      <c r="J368" s="331"/>
      <c r="K368" s="331"/>
      <c r="L368" s="331"/>
      <c r="M368" s="331"/>
      <c r="N368" s="331"/>
      <c r="O368" s="331"/>
      <c r="P368" s="792"/>
      <c r="AB368" s="314"/>
      <c r="AC368" s="314"/>
      <c r="AD368" s="314"/>
      <c r="AE368" s="314"/>
      <c r="AF368" s="314"/>
      <c r="AG368" s="314"/>
      <c r="AJ368" s="13" t="str">
        <f t="shared" ref="AJ368:AQ368" si="740">IF(OR(E368=$C368,E368=$D368,E368=""),"0","1")</f>
        <v>0</v>
      </c>
      <c r="AK368" s="13" t="str">
        <f t="shared" si="740"/>
        <v>0</v>
      </c>
      <c r="AL368" s="13" t="str">
        <f t="shared" si="740"/>
        <v>0</v>
      </c>
      <c r="AM368" s="13" t="str">
        <f t="shared" si="740"/>
        <v>0</v>
      </c>
      <c r="AN368" s="13" t="str">
        <f t="shared" si="740"/>
        <v>0</v>
      </c>
      <c r="AO368" s="13" t="str">
        <f t="shared" si="740"/>
        <v>0</v>
      </c>
      <c r="AP368" s="13" t="str">
        <f t="shared" si="740"/>
        <v>0</v>
      </c>
      <c r="AQ368" s="13" t="str">
        <f t="shared" si="740"/>
        <v>0</v>
      </c>
      <c r="AR368" s="13" t="str">
        <f t="shared" ref="AR368:AS368" si="741">IF(OR(O368=$C368,O368=$D368,O368=""),"0","1")</f>
        <v>0</v>
      </c>
      <c r="AS368" s="13" t="str">
        <f t="shared" si="741"/>
        <v>0</v>
      </c>
      <c r="AT368" s="698">
        <f t="shared" si="11"/>
        <v>0</v>
      </c>
    </row>
    <row r="369" ht="15.75" customHeight="1">
      <c r="A369" s="788" t="str">
        <f t="shared" si="5"/>
        <v>-</v>
      </c>
      <c r="B369" s="331"/>
      <c r="C369" s="331"/>
      <c r="D369" s="331"/>
      <c r="E369" s="790"/>
      <c r="F369" s="791"/>
      <c r="G369" s="331"/>
      <c r="H369" s="331"/>
      <c r="I369" s="331"/>
      <c r="J369" s="331"/>
      <c r="K369" s="331"/>
      <c r="L369" s="331"/>
      <c r="M369" s="331"/>
      <c r="N369" s="331"/>
      <c r="O369" s="331"/>
      <c r="P369" s="792"/>
      <c r="AB369" s="314"/>
      <c r="AC369" s="314"/>
      <c r="AD369" s="314"/>
      <c r="AE369" s="314"/>
      <c r="AF369" s="314"/>
      <c r="AG369" s="314"/>
      <c r="AJ369" s="13" t="str">
        <f t="shared" ref="AJ369:AQ369" si="742">IF(OR(E369=$C369,E369=$D369,E369=""),"0","1")</f>
        <v>0</v>
      </c>
      <c r="AK369" s="13" t="str">
        <f t="shared" si="742"/>
        <v>0</v>
      </c>
      <c r="AL369" s="13" t="str">
        <f t="shared" si="742"/>
        <v>0</v>
      </c>
      <c r="AM369" s="13" t="str">
        <f t="shared" si="742"/>
        <v>0</v>
      </c>
      <c r="AN369" s="13" t="str">
        <f t="shared" si="742"/>
        <v>0</v>
      </c>
      <c r="AO369" s="13" t="str">
        <f t="shared" si="742"/>
        <v>0</v>
      </c>
      <c r="AP369" s="13" t="str">
        <f t="shared" si="742"/>
        <v>0</v>
      </c>
      <c r="AQ369" s="13" t="str">
        <f t="shared" si="742"/>
        <v>0</v>
      </c>
      <c r="AR369" s="13" t="str">
        <f t="shared" ref="AR369:AS369" si="743">IF(OR(O369=$C369,O369=$D369,O369=""),"0","1")</f>
        <v>0</v>
      </c>
      <c r="AS369" s="13" t="str">
        <f t="shared" si="743"/>
        <v>0</v>
      </c>
      <c r="AT369" s="698">
        <f t="shared" si="11"/>
        <v>0</v>
      </c>
    </row>
    <row r="370" ht="15.75" customHeight="1">
      <c r="A370" s="788" t="str">
        <f t="shared" si="5"/>
        <v>-</v>
      </c>
      <c r="B370" s="331"/>
      <c r="C370" s="331"/>
      <c r="D370" s="331"/>
      <c r="E370" s="790"/>
      <c r="F370" s="791"/>
      <c r="G370" s="331"/>
      <c r="H370" s="331"/>
      <c r="I370" s="331"/>
      <c r="J370" s="331"/>
      <c r="K370" s="331"/>
      <c r="L370" s="331"/>
      <c r="M370" s="331"/>
      <c r="N370" s="331"/>
      <c r="O370" s="331"/>
      <c r="P370" s="792"/>
      <c r="AB370" s="314"/>
      <c r="AC370" s="314"/>
      <c r="AD370" s="314"/>
      <c r="AE370" s="314"/>
      <c r="AF370" s="314"/>
      <c r="AG370" s="314"/>
      <c r="AJ370" s="13" t="str">
        <f t="shared" ref="AJ370:AQ370" si="744">IF(OR(E370=$C370,E370=$D370,E370=""),"0","1")</f>
        <v>0</v>
      </c>
      <c r="AK370" s="13" t="str">
        <f t="shared" si="744"/>
        <v>0</v>
      </c>
      <c r="AL370" s="13" t="str">
        <f t="shared" si="744"/>
        <v>0</v>
      </c>
      <c r="AM370" s="13" t="str">
        <f t="shared" si="744"/>
        <v>0</v>
      </c>
      <c r="AN370" s="13" t="str">
        <f t="shared" si="744"/>
        <v>0</v>
      </c>
      <c r="AO370" s="13" t="str">
        <f t="shared" si="744"/>
        <v>0</v>
      </c>
      <c r="AP370" s="13" t="str">
        <f t="shared" si="744"/>
        <v>0</v>
      </c>
      <c r="AQ370" s="13" t="str">
        <f t="shared" si="744"/>
        <v>0</v>
      </c>
      <c r="AR370" s="13" t="str">
        <f t="shared" ref="AR370:AS370" si="745">IF(OR(O370=$C370,O370=$D370,O370=""),"0","1")</f>
        <v>0</v>
      </c>
      <c r="AS370" s="13" t="str">
        <f t="shared" si="745"/>
        <v>0</v>
      </c>
      <c r="AT370" s="698">
        <f t="shared" si="11"/>
        <v>0</v>
      </c>
    </row>
    <row r="371" ht="15.75" customHeight="1">
      <c r="A371" s="788" t="str">
        <f t="shared" si="5"/>
        <v>-</v>
      </c>
      <c r="B371" s="331"/>
      <c r="C371" s="331"/>
      <c r="D371" s="331"/>
      <c r="E371" s="790"/>
      <c r="F371" s="791"/>
      <c r="G371" s="331"/>
      <c r="H371" s="331"/>
      <c r="I371" s="331"/>
      <c r="J371" s="331"/>
      <c r="K371" s="331"/>
      <c r="L371" s="331"/>
      <c r="M371" s="331"/>
      <c r="N371" s="331"/>
      <c r="O371" s="331"/>
      <c r="P371" s="792"/>
      <c r="AB371" s="314"/>
      <c r="AC371" s="314"/>
      <c r="AD371" s="314"/>
      <c r="AE371" s="314"/>
      <c r="AF371" s="314"/>
      <c r="AG371" s="314"/>
      <c r="AJ371" s="13" t="str">
        <f t="shared" ref="AJ371:AQ371" si="746">IF(OR(E371=$C371,E371=$D371,E371=""),"0","1")</f>
        <v>0</v>
      </c>
      <c r="AK371" s="13" t="str">
        <f t="shared" si="746"/>
        <v>0</v>
      </c>
      <c r="AL371" s="13" t="str">
        <f t="shared" si="746"/>
        <v>0</v>
      </c>
      <c r="AM371" s="13" t="str">
        <f t="shared" si="746"/>
        <v>0</v>
      </c>
      <c r="AN371" s="13" t="str">
        <f t="shared" si="746"/>
        <v>0</v>
      </c>
      <c r="AO371" s="13" t="str">
        <f t="shared" si="746"/>
        <v>0</v>
      </c>
      <c r="AP371" s="13" t="str">
        <f t="shared" si="746"/>
        <v>0</v>
      </c>
      <c r="AQ371" s="13" t="str">
        <f t="shared" si="746"/>
        <v>0</v>
      </c>
      <c r="AR371" s="13" t="str">
        <f t="shared" ref="AR371:AS371" si="747">IF(OR(O371=$C371,O371=$D371,O371=""),"0","1")</f>
        <v>0</v>
      </c>
      <c r="AS371" s="13" t="str">
        <f t="shared" si="747"/>
        <v>0</v>
      </c>
      <c r="AT371" s="698">
        <f t="shared" si="11"/>
        <v>0</v>
      </c>
    </row>
    <row r="372" ht="15.75" customHeight="1">
      <c r="A372" s="788" t="str">
        <f t="shared" si="5"/>
        <v>-</v>
      </c>
      <c r="B372" s="331"/>
      <c r="C372" s="331"/>
      <c r="D372" s="331"/>
      <c r="E372" s="790"/>
      <c r="F372" s="791"/>
      <c r="G372" s="331"/>
      <c r="H372" s="331"/>
      <c r="I372" s="331"/>
      <c r="J372" s="331"/>
      <c r="K372" s="331"/>
      <c r="L372" s="331"/>
      <c r="M372" s="331"/>
      <c r="N372" s="331"/>
      <c r="O372" s="331"/>
      <c r="P372" s="792"/>
      <c r="AB372" s="314"/>
      <c r="AC372" s="314"/>
      <c r="AD372" s="314"/>
      <c r="AE372" s="314"/>
      <c r="AF372" s="314"/>
      <c r="AG372" s="314"/>
      <c r="AJ372" s="13" t="str">
        <f t="shared" ref="AJ372:AQ372" si="748">IF(OR(E372=$C372,E372=$D372,E372=""),"0","1")</f>
        <v>0</v>
      </c>
      <c r="AK372" s="13" t="str">
        <f t="shared" si="748"/>
        <v>0</v>
      </c>
      <c r="AL372" s="13" t="str">
        <f t="shared" si="748"/>
        <v>0</v>
      </c>
      <c r="AM372" s="13" t="str">
        <f t="shared" si="748"/>
        <v>0</v>
      </c>
      <c r="AN372" s="13" t="str">
        <f t="shared" si="748"/>
        <v>0</v>
      </c>
      <c r="AO372" s="13" t="str">
        <f t="shared" si="748"/>
        <v>0</v>
      </c>
      <c r="AP372" s="13" t="str">
        <f t="shared" si="748"/>
        <v>0</v>
      </c>
      <c r="AQ372" s="13" t="str">
        <f t="shared" si="748"/>
        <v>0</v>
      </c>
      <c r="AR372" s="13" t="str">
        <f t="shared" ref="AR372:AS372" si="749">IF(OR(O372=$C372,O372=$D372,O372=""),"0","1")</f>
        <v>0</v>
      </c>
      <c r="AS372" s="13" t="str">
        <f t="shared" si="749"/>
        <v>0</v>
      </c>
      <c r="AT372" s="698">
        <f t="shared" si="11"/>
        <v>0</v>
      </c>
    </row>
    <row r="373" ht="15.75" customHeight="1">
      <c r="A373" s="788" t="str">
        <f t="shared" si="5"/>
        <v>-</v>
      </c>
      <c r="B373" s="331"/>
      <c r="C373" s="331"/>
      <c r="D373" s="331"/>
      <c r="E373" s="790"/>
      <c r="F373" s="791"/>
      <c r="G373" s="331"/>
      <c r="H373" s="331"/>
      <c r="I373" s="331"/>
      <c r="J373" s="331"/>
      <c r="K373" s="331"/>
      <c r="L373" s="331"/>
      <c r="M373" s="331"/>
      <c r="N373" s="331"/>
      <c r="O373" s="331"/>
      <c r="P373" s="792"/>
      <c r="AB373" s="314"/>
      <c r="AC373" s="314"/>
      <c r="AD373" s="314"/>
      <c r="AE373" s="314"/>
      <c r="AF373" s="314"/>
      <c r="AG373" s="314"/>
      <c r="AJ373" s="13" t="str">
        <f t="shared" ref="AJ373:AQ373" si="750">IF(OR(E373=$C373,E373=$D373,E373=""),"0","1")</f>
        <v>0</v>
      </c>
      <c r="AK373" s="13" t="str">
        <f t="shared" si="750"/>
        <v>0</v>
      </c>
      <c r="AL373" s="13" t="str">
        <f t="shared" si="750"/>
        <v>0</v>
      </c>
      <c r="AM373" s="13" t="str">
        <f t="shared" si="750"/>
        <v>0</v>
      </c>
      <c r="AN373" s="13" t="str">
        <f t="shared" si="750"/>
        <v>0</v>
      </c>
      <c r="AO373" s="13" t="str">
        <f t="shared" si="750"/>
        <v>0</v>
      </c>
      <c r="AP373" s="13" t="str">
        <f t="shared" si="750"/>
        <v>0</v>
      </c>
      <c r="AQ373" s="13" t="str">
        <f t="shared" si="750"/>
        <v>0</v>
      </c>
      <c r="AR373" s="13" t="str">
        <f t="shared" ref="AR373:AS373" si="751">IF(OR(O373=$C373,O373=$D373,O373=""),"0","1")</f>
        <v>0</v>
      </c>
      <c r="AS373" s="13" t="str">
        <f t="shared" si="751"/>
        <v>0</v>
      </c>
      <c r="AT373" s="698">
        <f t="shared" si="11"/>
        <v>0</v>
      </c>
    </row>
    <row r="374" ht="15.75" customHeight="1">
      <c r="A374" s="788" t="str">
        <f t="shared" si="5"/>
        <v>-</v>
      </c>
      <c r="B374" s="331"/>
      <c r="C374" s="331"/>
      <c r="D374" s="331"/>
      <c r="E374" s="790"/>
      <c r="F374" s="791"/>
      <c r="G374" s="331"/>
      <c r="H374" s="331"/>
      <c r="I374" s="331"/>
      <c r="J374" s="331"/>
      <c r="K374" s="331"/>
      <c r="L374" s="331"/>
      <c r="M374" s="331"/>
      <c r="N374" s="331"/>
      <c r="O374" s="331"/>
      <c r="P374" s="792"/>
      <c r="AB374" s="314"/>
      <c r="AC374" s="314"/>
      <c r="AD374" s="314"/>
      <c r="AE374" s="314"/>
      <c r="AF374" s="314"/>
      <c r="AG374" s="314"/>
      <c r="AJ374" s="13" t="str">
        <f t="shared" ref="AJ374:AQ374" si="752">IF(OR(E374=$C374,E374=$D374,E374=""),"0","1")</f>
        <v>0</v>
      </c>
      <c r="AK374" s="13" t="str">
        <f t="shared" si="752"/>
        <v>0</v>
      </c>
      <c r="AL374" s="13" t="str">
        <f t="shared" si="752"/>
        <v>0</v>
      </c>
      <c r="AM374" s="13" t="str">
        <f t="shared" si="752"/>
        <v>0</v>
      </c>
      <c r="AN374" s="13" t="str">
        <f t="shared" si="752"/>
        <v>0</v>
      </c>
      <c r="AO374" s="13" t="str">
        <f t="shared" si="752"/>
        <v>0</v>
      </c>
      <c r="AP374" s="13" t="str">
        <f t="shared" si="752"/>
        <v>0</v>
      </c>
      <c r="AQ374" s="13" t="str">
        <f t="shared" si="752"/>
        <v>0</v>
      </c>
      <c r="AR374" s="13" t="str">
        <f t="shared" ref="AR374:AS374" si="753">IF(OR(O374=$C374,O374=$D374,O374=""),"0","1")</f>
        <v>0</v>
      </c>
      <c r="AS374" s="13" t="str">
        <f t="shared" si="753"/>
        <v>0</v>
      </c>
      <c r="AT374" s="698">
        <f t="shared" si="11"/>
        <v>0</v>
      </c>
    </row>
    <row r="375" ht="15.75" customHeight="1">
      <c r="A375" s="788" t="str">
        <f t="shared" si="5"/>
        <v>-</v>
      </c>
      <c r="B375" s="331"/>
      <c r="C375" s="331"/>
      <c r="D375" s="331"/>
      <c r="E375" s="790"/>
      <c r="F375" s="791"/>
      <c r="G375" s="331"/>
      <c r="H375" s="331"/>
      <c r="I375" s="331"/>
      <c r="J375" s="331"/>
      <c r="K375" s="331"/>
      <c r="L375" s="331"/>
      <c r="M375" s="331"/>
      <c r="N375" s="331"/>
      <c r="O375" s="331"/>
      <c r="P375" s="792"/>
      <c r="AB375" s="314"/>
      <c r="AC375" s="314"/>
      <c r="AD375" s="314"/>
      <c r="AE375" s="314"/>
      <c r="AF375" s="314"/>
      <c r="AG375" s="314"/>
      <c r="AJ375" s="13" t="str">
        <f t="shared" ref="AJ375:AQ375" si="754">IF(OR(E375=$C375,E375=$D375,E375=""),"0","1")</f>
        <v>0</v>
      </c>
      <c r="AK375" s="13" t="str">
        <f t="shared" si="754"/>
        <v>0</v>
      </c>
      <c r="AL375" s="13" t="str">
        <f t="shared" si="754"/>
        <v>0</v>
      </c>
      <c r="AM375" s="13" t="str">
        <f t="shared" si="754"/>
        <v>0</v>
      </c>
      <c r="AN375" s="13" t="str">
        <f t="shared" si="754"/>
        <v>0</v>
      </c>
      <c r="AO375" s="13" t="str">
        <f t="shared" si="754"/>
        <v>0</v>
      </c>
      <c r="AP375" s="13" t="str">
        <f t="shared" si="754"/>
        <v>0</v>
      </c>
      <c r="AQ375" s="13" t="str">
        <f t="shared" si="754"/>
        <v>0</v>
      </c>
      <c r="AR375" s="13" t="str">
        <f t="shared" ref="AR375:AS375" si="755">IF(OR(O375=$C375,O375=$D375,O375=""),"0","1")</f>
        <v>0</v>
      </c>
      <c r="AS375" s="13" t="str">
        <f t="shared" si="755"/>
        <v>0</v>
      </c>
      <c r="AT375" s="698">
        <f t="shared" si="11"/>
        <v>0</v>
      </c>
    </row>
    <row r="376" ht="15.75" customHeight="1">
      <c r="A376" s="788" t="str">
        <f t="shared" si="5"/>
        <v>-</v>
      </c>
      <c r="B376" s="331"/>
      <c r="C376" s="331"/>
      <c r="D376" s="331"/>
      <c r="E376" s="790"/>
      <c r="F376" s="791"/>
      <c r="G376" s="331"/>
      <c r="H376" s="331"/>
      <c r="I376" s="331"/>
      <c r="J376" s="331"/>
      <c r="K376" s="331"/>
      <c r="L376" s="331"/>
      <c r="M376" s="331"/>
      <c r="N376" s="331"/>
      <c r="O376" s="331"/>
      <c r="P376" s="792"/>
      <c r="AB376" s="314"/>
      <c r="AC376" s="314"/>
      <c r="AD376" s="314"/>
      <c r="AE376" s="314"/>
      <c r="AF376" s="314"/>
      <c r="AG376" s="314"/>
      <c r="AJ376" s="13" t="str">
        <f t="shared" ref="AJ376:AQ376" si="756">IF(OR(E376=$C376,E376=$D376,E376=""),"0","1")</f>
        <v>0</v>
      </c>
      <c r="AK376" s="13" t="str">
        <f t="shared" si="756"/>
        <v>0</v>
      </c>
      <c r="AL376" s="13" t="str">
        <f t="shared" si="756"/>
        <v>0</v>
      </c>
      <c r="AM376" s="13" t="str">
        <f t="shared" si="756"/>
        <v>0</v>
      </c>
      <c r="AN376" s="13" t="str">
        <f t="shared" si="756"/>
        <v>0</v>
      </c>
      <c r="AO376" s="13" t="str">
        <f t="shared" si="756"/>
        <v>0</v>
      </c>
      <c r="AP376" s="13" t="str">
        <f t="shared" si="756"/>
        <v>0</v>
      </c>
      <c r="AQ376" s="13" t="str">
        <f t="shared" si="756"/>
        <v>0</v>
      </c>
      <c r="AR376" s="13" t="str">
        <f t="shared" ref="AR376:AS376" si="757">IF(OR(O376=$C376,O376=$D376,O376=""),"0","1")</f>
        <v>0</v>
      </c>
      <c r="AS376" s="13" t="str">
        <f t="shared" si="757"/>
        <v>0</v>
      </c>
      <c r="AT376" s="698">
        <f t="shared" si="11"/>
        <v>0</v>
      </c>
    </row>
    <row r="377" ht="15.75" customHeight="1">
      <c r="A377" s="788" t="str">
        <f t="shared" si="5"/>
        <v>-</v>
      </c>
      <c r="B377" s="331"/>
      <c r="C377" s="331"/>
      <c r="D377" s="331"/>
      <c r="E377" s="790"/>
      <c r="F377" s="791"/>
      <c r="G377" s="331"/>
      <c r="H377" s="331"/>
      <c r="I377" s="331"/>
      <c r="J377" s="331"/>
      <c r="K377" s="331"/>
      <c r="L377" s="331"/>
      <c r="M377" s="331"/>
      <c r="N377" s="331"/>
      <c r="O377" s="331"/>
      <c r="P377" s="792"/>
      <c r="AB377" s="314"/>
      <c r="AC377" s="314"/>
      <c r="AD377" s="314"/>
      <c r="AE377" s="314"/>
      <c r="AF377" s="314"/>
      <c r="AG377" s="314"/>
      <c r="AJ377" s="13" t="str">
        <f t="shared" ref="AJ377:AQ377" si="758">IF(OR(E377=$C377,E377=$D377,E377=""),"0","1")</f>
        <v>0</v>
      </c>
      <c r="AK377" s="13" t="str">
        <f t="shared" si="758"/>
        <v>0</v>
      </c>
      <c r="AL377" s="13" t="str">
        <f t="shared" si="758"/>
        <v>0</v>
      </c>
      <c r="AM377" s="13" t="str">
        <f t="shared" si="758"/>
        <v>0</v>
      </c>
      <c r="AN377" s="13" t="str">
        <f t="shared" si="758"/>
        <v>0</v>
      </c>
      <c r="AO377" s="13" t="str">
        <f t="shared" si="758"/>
        <v>0</v>
      </c>
      <c r="AP377" s="13" t="str">
        <f t="shared" si="758"/>
        <v>0</v>
      </c>
      <c r="AQ377" s="13" t="str">
        <f t="shared" si="758"/>
        <v>0</v>
      </c>
      <c r="AR377" s="13" t="str">
        <f t="shared" ref="AR377:AS377" si="759">IF(OR(O377=$C377,O377=$D377,O377=""),"0","1")</f>
        <v>0</v>
      </c>
      <c r="AS377" s="13" t="str">
        <f t="shared" si="759"/>
        <v>0</v>
      </c>
      <c r="AT377" s="698">
        <f t="shared" si="11"/>
        <v>0</v>
      </c>
    </row>
    <row r="378" ht="15.75" customHeight="1">
      <c r="A378" s="788" t="str">
        <f t="shared" si="5"/>
        <v>-</v>
      </c>
      <c r="B378" s="331"/>
      <c r="C378" s="331"/>
      <c r="D378" s="331"/>
      <c r="E378" s="790"/>
      <c r="F378" s="791"/>
      <c r="G378" s="331"/>
      <c r="H378" s="331"/>
      <c r="I378" s="331"/>
      <c r="J378" s="331"/>
      <c r="K378" s="331"/>
      <c r="L378" s="331"/>
      <c r="M378" s="331"/>
      <c r="N378" s="331"/>
      <c r="O378" s="331"/>
      <c r="P378" s="792"/>
      <c r="AB378" s="314"/>
      <c r="AC378" s="314"/>
      <c r="AD378" s="314"/>
      <c r="AE378" s="314"/>
      <c r="AF378" s="314"/>
      <c r="AG378" s="314"/>
      <c r="AJ378" s="13" t="str">
        <f t="shared" ref="AJ378:AQ378" si="760">IF(OR(E378=$C378,E378=$D378,E378=""),"0","1")</f>
        <v>0</v>
      </c>
      <c r="AK378" s="13" t="str">
        <f t="shared" si="760"/>
        <v>0</v>
      </c>
      <c r="AL378" s="13" t="str">
        <f t="shared" si="760"/>
        <v>0</v>
      </c>
      <c r="AM378" s="13" t="str">
        <f t="shared" si="760"/>
        <v>0</v>
      </c>
      <c r="AN378" s="13" t="str">
        <f t="shared" si="760"/>
        <v>0</v>
      </c>
      <c r="AO378" s="13" t="str">
        <f t="shared" si="760"/>
        <v>0</v>
      </c>
      <c r="AP378" s="13" t="str">
        <f t="shared" si="760"/>
        <v>0</v>
      </c>
      <c r="AQ378" s="13" t="str">
        <f t="shared" si="760"/>
        <v>0</v>
      </c>
      <c r="AR378" s="13" t="str">
        <f t="shared" ref="AR378:AS378" si="761">IF(OR(O378=$C378,O378=$D378,O378=""),"0","1")</f>
        <v>0</v>
      </c>
      <c r="AS378" s="13" t="str">
        <f t="shared" si="761"/>
        <v>0</v>
      </c>
      <c r="AT378" s="698">
        <f t="shared" si="11"/>
        <v>0</v>
      </c>
    </row>
    <row r="379" ht="15.75" customHeight="1">
      <c r="A379" s="788" t="str">
        <f t="shared" si="5"/>
        <v>-</v>
      </c>
      <c r="B379" s="331"/>
      <c r="C379" s="331"/>
      <c r="D379" s="331"/>
      <c r="E379" s="790"/>
      <c r="F379" s="791"/>
      <c r="G379" s="331"/>
      <c r="H379" s="331"/>
      <c r="I379" s="331"/>
      <c r="J379" s="331"/>
      <c r="K379" s="331"/>
      <c r="L379" s="331"/>
      <c r="M379" s="331"/>
      <c r="N379" s="331"/>
      <c r="O379" s="331"/>
      <c r="P379" s="792"/>
      <c r="AB379" s="314"/>
      <c r="AC379" s="314"/>
      <c r="AD379" s="314"/>
      <c r="AE379" s="314"/>
      <c r="AF379" s="314"/>
      <c r="AG379" s="314"/>
      <c r="AJ379" s="13" t="str">
        <f t="shared" ref="AJ379:AQ379" si="762">IF(OR(E379=$C379,E379=$D379,E379=""),"0","1")</f>
        <v>0</v>
      </c>
      <c r="AK379" s="13" t="str">
        <f t="shared" si="762"/>
        <v>0</v>
      </c>
      <c r="AL379" s="13" t="str">
        <f t="shared" si="762"/>
        <v>0</v>
      </c>
      <c r="AM379" s="13" t="str">
        <f t="shared" si="762"/>
        <v>0</v>
      </c>
      <c r="AN379" s="13" t="str">
        <f t="shared" si="762"/>
        <v>0</v>
      </c>
      <c r="AO379" s="13" t="str">
        <f t="shared" si="762"/>
        <v>0</v>
      </c>
      <c r="AP379" s="13" t="str">
        <f t="shared" si="762"/>
        <v>0</v>
      </c>
      <c r="AQ379" s="13" t="str">
        <f t="shared" si="762"/>
        <v>0</v>
      </c>
      <c r="AR379" s="13" t="str">
        <f t="shared" ref="AR379:AS379" si="763">IF(OR(O379=$C379,O379=$D379,O379=""),"0","1")</f>
        <v>0</v>
      </c>
      <c r="AS379" s="13" t="str">
        <f t="shared" si="763"/>
        <v>0</v>
      </c>
      <c r="AT379" s="698">
        <f t="shared" si="11"/>
        <v>0</v>
      </c>
    </row>
    <row r="380" ht="15.75" customHeight="1">
      <c r="A380" s="788" t="str">
        <f t="shared" si="5"/>
        <v>-</v>
      </c>
      <c r="B380" s="331"/>
      <c r="C380" s="331"/>
      <c r="D380" s="331"/>
      <c r="E380" s="790"/>
      <c r="F380" s="791"/>
      <c r="G380" s="331"/>
      <c r="H380" s="331"/>
      <c r="I380" s="331"/>
      <c r="J380" s="331"/>
      <c r="K380" s="331"/>
      <c r="L380" s="331"/>
      <c r="M380" s="331"/>
      <c r="N380" s="331"/>
      <c r="O380" s="331"/>
      <c r="P380" s="792"/>
      <c r="AB380" s="314"/>
      <c r="AC380" s="314"/>
      <c r="AD380" s="314"/>
      <c r="AE380" s="314"/>
      <c r="AF380" s="314"/>
      <c r="AG380" s="314"/>
      <c r="AJ380" s="13" t="str">
        <f t="shared" ref="AJ380:AQ380" si="764">IF(OR(E380=$C380,E380=$D380,E380=""),"0","1")</f>
        <v>0</v>
      </c>
      <c r="AK380" s="13" t="str">
        <f t="shared" si="764"/>
        <v>0</v>
      </c>
      <c r="AL380" s="13" t="str">
        <f t="shared" si="764"/>
        <v>0</v>
      </c>
      <c r="AM380" s="13" t="str">
        <f t="shared" si="764"/>
        <v>0</v>
      </c>
      <c r="AN380" s="13" t="str">
        <f t="shared" si="764"/>
        <v>0</v>
      </c>
      <c r="AO380" s="13" t="str">
        <f t="shared" si="764"/>
        <v>0</v>
      </c>
      <c r="AP380" s="13" t="str">
        <f t="shared" si="764"/>
        <v>0</v>
      </c>
      <c r="AQ380" s="13" t="str">
        <f t="shared" si="764"/>
        <v>0</v>
      </c>
      <c r="AR380" s="13" t="str">
        <f t="shared" ref="AR380:AS380" si="765">IF(OR(O380=$C380,O380=$D380,O380=""),"0","1")</f>
        <v>0</v>
      </c>
      <c r="AS380" s="13" t="str">
        <f t="shared" si="765"/>
        <v>0</v>
      </c>
      <c r="AT380" s="698">
        <f t="shared" si="11"/>
        <v>0</v>
      </c>
    </row>
    <row r="381" ht="15.75" customHeight="1">
      <c r="A381" s="788" t="str">
        <f t="shared" si="5"/>
        <v>-</v>
      </c>
      <c r="B381" s="331"/>
      <c r="C381" s="331"/>
      <c r="D381" s="331"/>
      <c r="E381" s="790"/>
      <c r="F381" s="791"/>
      <c r="G381" s="331"/>
      <c r="H381" s="331"/>
      <c r="I381" s="331"/>
      <c r="J381" s="331"/>
      <c r="K381" s="331"/>
      <c r="L381" s="331"/>
      <c r="M381" s="331"/>
      <c r="N381" s="331"/>
      <c r="O381" s="331"/>
      <c r="P381" s="792"/>
      <c r="AB381" s="314"/>
      <c r="AC381" s="314"/>
      <c r="AD381" s="314"/>
      <c r="AE381" s="314"/>
      <c r="AF381" s="314"/>
      <c r="AG381" s="314"/>
      <c r="AJ381" s="13" t="str">
        <f t="shared" ref="AJ381:AQ381" si="766">IF(OR(E381=$C381,E381=$D381,E381=""),"0","1")</f>
        <v>0</v>
      </c>
      <c r="AK381" s="13" t="str">
        <f t="shared" si="766"/>
        <v>0</v>
      </c>
      <c r="AL381" s="13" t="str">
        <f t="shared" si="766"/>
        <v>0</v>
      </c>
      <c r="AM381" s="13" t="str">
        <f t="shared" si="766"/>
        <v>0</v>
      </c>
      <c r="AN381" s="13" t="str">
        <f t="shared" si="766"/>
        <v>0</v>
      </c>
      <c r="AO381" s="13" t="str">
        <f t="shared" si="766"/>
        <v>0</v>
      </c>
      <c r="AP381" s="13" t="str">
        <f t="shared" si="766"/>
        <v>0</v>
      </c>
      <c r="AQ381" s="13" t="str">
        <f t="shared" si="766"/>
        <v>0</v>
      </c>
      <c r="AR381" s="13" t="str">
        <f t="shared" ref="AR381:AS381" si="767">IF(OR(O381=$C381,O381=$D381,O381=""),"0","1")</f>
        <v>0</v>
      </c>
      <c r="AS381" s="13" t="str">
        <f t="shared" si="767"/>
        <v>0</v>
      </c>
      <c r="AT381" s="698">
        <f t="shared" si="11"/>
        <v>0</v>
      </c>
    </row>
    <row r="382" ht="15.75" customHeight="1">
      <c r="A382" s="788" t="str">
        <f t="shared" si="5"/>
        <v>-</v>
      </c>
      <c r="B382" s="331"/>
      <c r="C382" s="331"/>
      <c r="D382" s="331"/>
      <c r="E382" s="790"/>
      <c r="F382" s="791"/>
      <c r="G382" s="331"/>
      <c r="H382" s="331"/>
      <c r="I382" s="331"/>
      <c r="J382" s="331"/>
      <c r="K382" s="331"/>
      <c r="L382" s="331"/>
      <c r="M382" s="331"/>
      <c r="N382" s="331"/>
      <c r="O382" s="331"/>
      <c r="P382" s="792"/>
      <c r="AB382" s="314"/>
      <c r="AC382" s="314"/>
      <c r="AD382" s="314"/>
      <c r="AE382" s="314"/>
      <c r="AF382" s="314"/>
      <c r="AG382" s="314"/>
      <c r="AJ382" s="13" t="str">
        <f t="shared" ref="AJ382:AQ382" si="768">IF(OR(E382=$C382,E382=$D382,E382=""),"0","1")</f>
        <v>0</v>
      </c>
      <c r="AK382" s="13" t="str">
        <f t="shared" si="768"/>
        <v>0</v>
      </c>
      <c r="AL382" s="13" t="str">
        <f t="shared" si="768"/>
        <v>0</v>
      </c>
      <c r="AM382" s="13" t="str">
        <f t="shared" si="768"/>
        <v>0</v>
      </c>
      <c r="AN382" s="13" t="str">
        <f t="shared" si="768"/>
        <v>0</v>
      </c>
      <c r="AO382" s="13" t="str">
        <f t="shared" si="768"/>
        <v>0</v>
      </c>
      <c r="AP382" s="13" t="str">
        <f t="shared" si="768"/>
        <v>0</v>
      </c>
      <c r="AQ382" s="13" t="str">
        <f t="shared" si="768"/>
        <v>0</v>
      </c>
      <c r="AR382" s="13" t="str">
        <f t="shared" ref="AR382:AS382" si="769">IF(OR(O382=$C382,O382=$D382,O382=""),"0","1")</f>
        <v>0</v>
      </c>
      <c r="AS382" s="13" t="str">
        <f t="shared" si="769"/>
        <v>0</v>
      </c>
      <c r="AT382" s="698">
        <f t="shared" si="11"/>
        <v>0</v>
      </c>
    </row>
    <row r="383" ht="15.75" customHeight="1">
      <c r="A383" s="788" t="str">
        <f t="shared" si="5"/>
        <v>-</v>
      </c>
      <c r="B383" s="331"/>
      <c r="C383" s="331"/>
      <c r="D383" s="331"/>
      <c r="E383" s="790"/>
      <c r="F383" s="791"/>
      <c r="G383" s="331"/>
      <c r="H383" s="331"/>
      <c r="I383" s="331"/>
      <c r="J383" s="331"/>
      <c r="K383" s="331"/>
      <c r="L383" s="331"/>
      <c r="M383" s="331"/>
      <c r="N383" s="331"/>
      <c r="O383" s="331"/>
      <c r="P383" s="792"/>
      <c r="AB383" s="314"/>
      <c r="AC383" s="314"/>
      <c r="AD383" s="314"/>
      <c r="AE383" s="314"/>
      <c r="AF383" s="314"/>
      <c r="AG383" s="314"/>
      <c r="AJ383" s="13" t="str">
        <f t="shared" ref="AJ383:AQ383" si="770">IF(OR(E383=$C383,E383=$D383,E383=""),"0","1")</f>
        <v>0</v>
      </c>
      <c r="AK383" s="13" t="str">
        <f t="shared" si="770"/>
        <v>0</v>
      </c>
      <c r="AL383" s="13" t="str">
        <f t="shared" si="770"/>
        <v>0</v>
      </c>
      <c r="AM383" s="13" t="str">
        <f t="shared" si="770"/>
        <v>0</v>
      </c>
      <c r="AN383" s="13" t="str">
        <f t="shared" si="770"/>
        <v>0</v>
      </c>
      <c r="AO383" s="13" t="str">
        <f t="shared" si="770"/>
        <v>0</v>
      </c>
      <c r="AP383" s="13" t="str">
        <f t="shared" si="770"/>
        <v>0</v>
      </c>
      <c r="AQ383" s="13" t="str">
        <f t="shared" si="770"/>
        <v>0</v>
      </c>
      <c r="AR383" s="13" t="str">
        <f t="shared" ref="AR383:AS383" si="771">IF(OR(O383=$C383,O383=$D383,O383=""),"0","1")</f>
        <v>0</v>
      </c>
      <c r="AS383" s="13" t="str">
        <f t="shared" si="771"/>
        <v>0</v>
      </c>
      <c r="AT383" s="698">
        <f t="shared" si="11"/>
        <v>0</v>
      </c>
    </row>
    <row r="384" ht="15.75" customHeight="1">
      <c r="A384" s="788" t="str">
        <f t="shared" si="5"/>
        <v>-</v>
      </c>
      <c r="B384" s="331"/>
      <c r="C384" s="331"/>
      <c r="D384" s="331"/>
      <c r="E384" s="790"/>
      <c r="F384" s="791"/>
      <c r="G384" s="331"/>
      <c r="H384" s="331"/>
      <c r="I384" s="331"/>
      <c r="J384" s="331"/>
      <c r="K384" s="331"/>
      <c r="L384" s="331"/>
      <c r="M384" s="331"/>
      <c r="N384" s="331"/>
      <c r="O384" s="331"/>
      <c r="P384" s="792"/>
      <c r="AB384" s="314"/>
      <c r="AC384" s="314"/>
      <c r="AD384" s="314"/>
      <c r="AE384" s="314"/>
      <c r="AF384" s="314"/>
      <c r="AG384" s="314"/>
      <c r="AJ384" s="13" t="str">
        <f t="shared" ref="AJ384:AQ384" si="772">IF(OR(E384=$C384,E384=$D384,E384=""),"0","1")</f>
        <v>0</v>
      </c>
      <c r="AK384" s="13" t="str">
        <f t="shared" si="772"/>
        <v>0</v>
      </c>
      <c r="AL384" s="13" t="str">
        <f t="shared" si="772"/>
        <v>0</v>
      </c>
      <c r="AM384" s="13" t="str">
        <f t="shared" si="772"/>
        <v>0</v>
      </c>
      <c r="AN384" s="13" t="str">
        <f t="shared" si="772"/>
        <v>0</v>
      </c>
      <c r="AO384" s="13" t="str">
        <f t="shared" si="772"/>
        <v>0</v>
      </c>
      <c r="AP384" s="13" t="str">
        <f t="shared" si="772"/>
        <v>0</v>
      </c>
      <c r="AQ384" s="13" t="str">
        <f t="shared" si="772"/>
        <v>0</v>
      </c>
      <c r="AR384" s="13" t="str">
        <f t="shared" ref="AR384:AS384" si="773">IF(OR(O384=$C384,O384=$D384,O384=""),"0","1")</f>
        <v>0</v>
      </c>
      <c r="AS384" s="13" t="str">
        <f t="shared" si="773"/>
        <v>0</v>
      </c>
      <c r="AT384" s="698">
        <f t="shared" si="11"/>
        <v>0</v>
      </c>
    </row>
    <row r="385" ht="15.75" customHeight="1">
      <c r="A385" s="788" t="str">
        <f t="shared" si="5"/>
        <v>-</v>
      </c>
      <c r="B385" s="331"/>
      <c r="C385" s="331"/>
      <c r="D385" s="331"/>
      <c r="E385" s="790"/>
      <c r="F385" s="791"/>
      <c r="G385" s="331"/>
      <c r="H385" s="331"/>
      <c r="I385" s="331"/>
      <c r="J385" s="331"/>
      <c r="K385" s="331"/>
      <c r="L385" s="331"/>
      <c r="M385" s="331"/>
      <c r="N385" s="331"/>
      <c r="O385" s="331"/>
      <c r="P385" s="792"/>
      <c r="AB385" s="314"/>
      <c r="AC385" s="314"/>
      <c r="AD385" s="314"/>
      <c r="AE385" s="314"/>
      <c r="AF385" s="314"/>
      <c r="AG385" s="314"/>
      <c r="AJ385" s="13" t="str">
        <f t="shared" ref="AJ385:AQ385" si="774">IF(OR(E385=$C385,E385=$D385,E385=""),"0","1")</f>
        <v>0</v>
      </c>
      <c r="AK385" s="13" t="str">
        <f t="shared" si="774"/>
        <v>0</v>
      </c>
      <c r="AL385" s="13" t="str">
        <f t="shared" si="774"/>
        <v>0</v>
      </c>
      <c r="AM385" s="13" t="str">
        <f t="shared" si="774"/>
        <v>0</v>
      </c>
      <c r="AN385" s="13" t="str">
        <f t="shared" si="774"/>
        <v>0</v>
      </c>
      <c r="AO385" s="13" t="str">
        <f t="shared" si="774"/>
        <v>0</v>
      </c>
      <c r="AP385" s="13" t="str">
        <f t="shared" si="774"/>
        <v>0</v>
      </c>
      <c r="AQ385" s="13" t="str">
        <f t="shared" si="774"/>
        <v>0</v>
      </c>
      <c r="AR385" s="13" t="str">
        <f t="shared" ref="AR385:AS385" si="775">IF(OR(O385=$C385,O385=$D385,O385=""),"0","1")</f>
        <v>0</v>
      </c>
      <c r="AS385" s="13" t="str">
        <f t="shared" si="775"/>
        <v>0</v>
      </c>
      <c r="AT385" s="698">
        <f t="shared" si="11"/>
        <v>0</v>
      </c>
    </row>
    <row r="386" ht="15.75" customHeight="1">
      <c r="A386" s="788" t="str">
        <f t="shared" si="5"/>
        <v>-</v>
      </c>
      <c r="B386" s="331"/>
      <c r="C386" s="331"/>
      <c r="D386" s="331"/>
      <c r="E386" s="790"/>
      <c r="F386" s="791"/>
      <c r="G386" s="331"/>
      <c r="H386" s="331"/>
      <c r="I386" s="331"/>
      <c r="J386" s="331"/>
      <c r="K386" s="331"/>
      <c r="L386" s="331"/>
      <c r="M386" s="331"/>
      <c r="N386" s="331"/>
      <c r="O386" s="331"/>
      <c r="P386" s="792"/>
      <c r="AB386" s="314"/>
      <c r="AC386" s="314"/>
      <c r="AD386" s="314"/>
      <c r="AE386" s="314"/>
      <c r="AF386" s="314"/>
      <c r="AG386" s="314"/>
      <c r="AJ386" s="13" t="str">
        <f t="shared" ref="AJ386:AQ386" si="776">IF(OR(E386=$C386,E386=$D386,E386=""),"0","1")</f>
        <v>0</v>
      </c>
      <c r="AK386" s="13" t="str">
        <f t="shared" si="776"/>
        <v>0</v>
      </c>
      <c r="AL386" s="13" t="str">
        <f t="shared" si="776"/>
        <v>0</v>
      </c>
      <c r="AM386" s="13" t="str">
        <f t="shared" si="776"/>
        <v>0</v>
      </c>
      <c r="AN386" s="13" t="str">
        <f t="shared" si="776"/>
        <v>0</v>
      </c>
      <c r="AO386" s="13" t="str">
        <f t="shared" si="776"/>
        <v>0</v>
      </c>
      <c r="AP386" s="13" t="str">
        <f t="shared" si="776"/>
        <v>0</v>
      </c>
      <c r="AQ386" s="13" t="str">
        <f t="shared" si="776"/>
        <v>0</v>
      </c>
      <c r="AR386" s="13" t="str">
        <f t="shared" ref="AR386:AS386" si="777">IF(OR(O386=$C386,O386=$D386,O386=""),"0","1")</f>
        <v>0</v>
      </c>
      <c r="AS386" s="13" t="str">
        <f t="shared" si="777"/>
        <v>0</v>
      </c>
      <c r="AT386" s="698">
        <f t="shared" si="11"/>
        <v>0</v>
      </c>
    </row>
    <row r="387" ht="15.75" customHeight="1">
      <c r="A387" s="788" t="str">
        <f t="shared" si="5"/>
        <v>-</v>
      </c>
      <c r="B387" s="331"/>
      <c r="C387" s="331"/>
      <c r="D387" s="331"/>
      <c r="E387" s="790"/>
      <c r="F387" s="791"/>
      <c r="G387" s="331"/>
      <c r="H387" s="331"/>
      <c r="I387" s="331"/>
      <c r="J387" s="331"/>
      <c r="K387" s="331"/>
      <c r="L387" s="331"/>
      <c r="M387" s="331"/>
      <c r="N387" s="331"/>
      <c r="O387" s="331"/>
      <c r="P387" s="792"/>
      <c r="AB387" s="314"/>
      <c r="AC387" s="314"/>
      <c r="AD387" s="314"/>
      <c r="AE387" s="314"/>
      <c r="AF387" s="314"/>
      <c r="AG387" s="314"/>
      <c r="AJ387" s="13" t="str">
        <f t="shared" ref="AJ387:AQ387" si="778">IF(OR(E387=$C387,E387=$D387,E387=""),"0","1")</f>
        <v>0</v>
      </c>
      <c r="AK387" s="13" t="str">
        <f t="shared" si="778"/>
        <v>0</v>
      </c>
      <c r="AL387" s="13" t="str">
        <f t="shared" si="778"/>
        <v>0</v>
      </c>
      <c r="AM387" s="13" t="str">
        <f t="shared" si="778"/>
        <v>0</v>
      </c>
      <c r="AN387" s="13" t="str">
        <f t="shared" si="778"/>
        <v>0</v>
      </c>
      <c r="AO387" s="13" t="str">
        <f t="shared" si="778"/>
        <v>0</v>
      </c>
      <c r="AP387" s="13" t="str">
        <f t="shared" si="778"/>
        <v>0</v>
      </c>
      <c r="AQ387" s="13" t="str">
        <f t="shared" si="778"/>
        <v>0</v>
      </c>
      <c r="AR387" s="13" t="str">
        <f t="shared" ref="AR387:AS387" si="779">IF(OR(O387=$C387,O387=$D387,O387=""),"0","1")</f>
        <v>0</v>
      </c>
      <c r="AS387" s="13" t="str">
        <f t="shared" si="779"/>
        <v>0</v>
      </c>
      <c r="AT387" s="698">
        <f t="shared" si="11"/>
        <v>0</v>
      </c>
    </row>
    <row r="388" ht="15.75" customHeight="1">
      <c r="A388" s="788" t="str">
        <f t="shared" si="5"/>
        <v>-</v>
      </c>
      <c r="B388" s="331"/>
      <c r="C388" s="331"/>
      <c r="D388" s="331"/>
      <c r="E388" s="790"/>
      <c r="F388" s="791"/>
      <c r="G388" s="331"/>
      <c r="H388" s="331"/>
      <c r="I388" s="331"/>
      <c r="J388" s="331"/>
      <c r="K388" s="331"/>
      <c r="L388" s="331"/>
      <c r="M388" s="331"/>
      <c r="N388" s="331"/>
      <c r="O388" s="331"/>
      <c r="P388" s="792"/>
      <c r="AB388" s="314"/>
      <c r="AC388" s="314"/>
      <c r="AD388" s="314"/>
      <c r="AE388" s="314"/>
      <c r="AF388" s="314"/>
      <c r="AG388" s="314"/>
      <c r="AJ388" s="13" t="str">
        <f t="shared" ref="AJ388:AQ388" si="780">IF(OR(E388=$C388,E388=$D388,E388=""),"0","1")</f>
        <v>0</v>
      </c>
      <c r="AK388" s="13" t="str">
        <f t="shared" si="780"/>
        <v>0</v>
      </c>
      <c r="AL388" s="13" t="str">
        <f t="shared" si="780"/>
        <v>0</v>
      </c>
      <c r="AM388" s="13" t="str">
        <f t="shared" si="780"/>
        <v>0</v>
      </c>
      <c r="AN388" s="13" t="str">
        <f t="shared" si="780"/>
        <v>0</v>
      </c>
      <c r="AO388" s="13" t="str">
        <f t="shared" si="780"/>
        <v>0</v>
      </c>
      <c r="AP388" s="13" t="str">
        <f t="shared" si="780"/>
        <v>0</v>
      </c>
      <c r="AQ388" s="13" t="str">
        <f t="shared" si="780"/>
        <v>0</v>
      </c>
      <c r="AR388" s="13" t="str">
        <f t="shared" ref="AR388:AS388" si="781">IF(OR(O388=$C388,O388=$D388,O388=""),"0","1")</f>
        <v>0</v>
      </c>
      <c r="AS388" s="13" t="str">
        <f t="shared" si="781"/>
        <v>0</v>
      </c>
      <c r="AT388" s="698">
        <f t="shared" si="11"/>
        <v>0</v>
      </c>
    </row>
    <row r="389" ht="15.75" customHeight="1">
      <c r="A389" s="788" t="str">
        <f t="shared" si="5"/>
        <v>-</v>
      </c>
      <c r="B389" s="331"/>
      <c r="C389" s="331"/>
      <c r="D389" s="331"/>
      <c r="E389" s="790"/>
      <c r="F389" s="791"/>
      <c r="G389" s="331"/>
      <c r="H389" s="331"/>
      <c r="I389" s="331"/>
      <c r="J389" s="331"/>
      <c r="K389" s="331"/>
      <c r="L389" s="331"/>
      <c r="M389" s="331"/>
      <c r="N389" s="331"/>
      <c r="O389" s="331"/>
      <c r="P389" s="792"/>
      <c r="AB389" s="314"/>
      <c r="AC389" s="314"/>
      <c r="AD389" s="314"/>
      <c r="AE389" s="314"/>
      <c r="AF389" s="314"/>
      <c r="AG389" s="314"/>
      <c r="AJ389" s="13" t="str">
        <f t="shared" ref="AJ389:AQ389" si="782">IF(OR(E389=$C389,E389=$D389,E389=""),"0","1")</f>
        <v>0</v>
      </c>
      <c r="AK389" s="13" t="str">
        <f t="shared" si="782"/>
        <v>0</v>
      </c>
      <c r="AL389" s="13" t="str">
        <f t="shared" si="782"/>
        <v>0</v>
      </c>
      <c r="AM389" s="13" t="str">
        <f t="shared" si="782"/>
        <v>0</v>
      </c>
      <c r="AN389" s="13" t="str">
        <f t="shared" si="782"/>
        <v>0</v>
      </c>
      <c r="AO389" s="13" t="str">
        <f t="shared" si="782"/>
        <v>0</v>
      </c>
      <c r="AP389" s="13" t="str">
        <f t="shared" si="782"/>
        <v>0</v>
      </c>
      <c r="AQ389" s="13" t="str">
        <f t="shared" si="782"/>
        <v>0</v>
      </c>
      <c r="AR389" s="13" t="str">
        <f t="shared" ref="AR389:AS389" si="783">IF(OR(O389=$C389,O389=$D389,O389=""),"0","1")</f>
        <v>0</v>
      </c>
      <c r="AS389" s="13" t="str">
        <f t="shared" si="783"/>
        <v>0</v>
      </c>
      <c r="AT389" s="698">
        <f t="shared" si="11"/>
        <v>0</v>
      </c>
    </row>
    <row r="390" ht="15.75" customHeight="1">
      <c r="A390" s="788" t="str">
        <f t="shared" si="5"/>
        <v>-</v>
      </c>
      <c r="B390" s="331"/>
      <c r="C390" s="331"/>
      <c r="D390" s="331"/>
      <c r="E390" s="790"/>
      <c r="F390" s="791"/>
      <c r="G390" s="331"/>
      <c r="H390" s="331"/>
      <c r="I390" s="331"/>
      <c r="J390" s="331"/>
      <c r="K390" s="331"/>
      <c r="L390" s="331"/>
      <c r="M390" s="331"/>
      <c r="N390" s="331"/>
      <c r="O390" s="331"/>
      <c r="P390" s="792"/>
      <c r="AB390" s="314"/>
      <c r="AC390" s="314"/>
      <c r="AD390" s="314"/>
      <c r="AE390" s="314"/>
      <c r="AF390" s="314"/>
      <c r="AG390" s="314"/>
      <c r="AJ390" s="13" t="str">
        <f t="shared" ref="AJ390:AQ390" si="784">IF(OR(E390=$C390,E390=$D390,E390=""),"0","1")</f>
        <v>0</v>
      </c>
      <c r="AK390" s="13" t="str">
        <f t="shared" si="784"/>
        <v>0</v>
      </c>
      <c r="AL390" s="13" t="str">
        <f t="shared" si="784"/>
        <v>0</v>
      </c>
      <c r="AM390" s="13" t="str">
        <f t="shared" si="784"/>
        <v>0</v>
      </c>
      <c r="AN390" s="13" t="str">
        <f t="shared" si="784"/>
        <v>0</v>
      </c>
      <c r="AO390" s="13" t="str">
        <f t="shared" si="784"/>
        <v>0</v>
      </c>
      <c r="AP390" s="13" t="str">
        <f t="shared" si="784"/>
        <v>0</v>
      </c>
      <c r="AQ390" s="13" t="str">
        <f t="shared" si="784"/>
        <v>0</v>
      </c>
      <c r="AR390" s="13" t="str">
        <f t="shared" ref="AR390:AS390" si="785">IF(OR(O390=$C390,O390=$D390,O390=""),"0","1")</f>
        <v>0</v>
      </c>
      <c r="AS390" s="13" t="str">
        <f t="shared" si="785"/>
        <v>0</v>
      </c>
      <c r="AT390" s="698">
        <f t="shared" si="11"/>
        <v>0</v>
      </c>
    </row>
    <row r="391" ht="15.75" customHeight="1">
      <c r="A391" s="788" t="str">
        <f t="shared" si="5"/>
        <v>-</v>
      </c>
      <c r="B391" s="331"/>
      <c r="C391" s="331"/>
      <c r="D391" s="331"/>
      <c r="E391" s="790"/>
      <c r="F391" s="791"/>
      <c r="G391" s="331"/>
      <c r="H391" s="331"/>
      <c r="I391" s="331"/>
      <c r="J391" s="331"/>
      <c r="K391" s="331"/>
      <c r="L391" s="331"/>
      <c r="M391" s="331"/>
      <c r="N391" s="331"/>
      <c r="O391" s="331"/>
      <c r="P391" s="792"/>
      <c r="AB391" s="314"/>
      <c r="AC391" s="314"/>
      <c r="AD391" s="314"/>
      <c r="AE391" s="314"/>
      <c r="AF391" s="314"/>
      <c r="AG391" s="314"/>
      <c r="AJ391" s="13" t="str">
        <f t="shared" ref="AJ391:AQ391" si="786">IF(OR(E391=$C391,E391=$D391,E391=""),"0","1")</f>
        <v>0</v>
      </c>
      <c r="AK391" s="13" t="str">
        <f t="shared" si="786"/>
        <v>0</v>
      </c>
      <c r="AL391" s="13" t="str">
        <f t="shared" si="786"/>
        <v>0</v>
      </c>
      <c r="AM391" s="13" t="str">
        <f t="shared" si="786"/>
        <v>0</v>
      </c>
      <c r="AN391" s="13" t="str">
        <f t="shared" si="786"/>
        <v>0</v>
      </c>
      <c r="AO391" s="13" t="str">
        <f t="shared" si="786"/>
        <v>0</v>
      </c>
      <c r="AP391" s="13" t="str">
        <f t="shared" si="786"/>
        <v>0</v>
      </c>
      <c r="AQ391" s="13" t="str">
        <f t="shared" si="786"/>
        <v>0</v>
      </c>
      <c r="AR391" s="13" t="str">
        <f t="shared" ref="AR391:AS391" si="787">IF(OR(O391=$C391,O391=$D391,O391=""),"0","1")</f>
        <v>0</v>
      </c>
      <c r="AS391" s="13" t="str">
        <f t="shared" si="787"/>
        <v>0</v>
      </c>
      <c r="AT391" s="698">
        <f t="shared" si="11"/>
        <v>0</v>
      </c>
    </row>
    <row r="392" ht="15.75" customHeight="1">
      <c r="A392" s="788" t="str">
        <f t="shared" si="5"/>
        <v>-</v>
      </c>
      <c r="B392" s="331"/>
      <c r="C392" s="331"/>
      <c r="D392" s="331"/>
      <c r="E392" s="790"/>
      <c r="F392" s="791"/>
      <c r="G392" s="331"/>
      <c r="H392" s="331"/>
      <c r="I392" s="331"/>
      <c r="J392" s="331"/>
      <c r="K392" s="331"/>
      <c r="L392" s="331"/>
      <c r="M392" s="331"/>
      <c r="N392" s="331"/>
      <c r="O392" s="331"/>
      <c r="P392" s="792"/>
      <c r="AB392" s="314"/>
      <c r="AC392" s="314"/>
      <c r="AD392" s="314"/>
      <c r="AE392" s="314"/>
      <c r="AF392" s="314"/>
      <c r="AG392" s="314"/>
      <c r="AJ392" s="13" t="str">
        <f t="shared" ref="AJ392:AQ392" si="788">IF(OR(E392=$C392,E392=$D392,E392=""),"0","1")</f>
        <v>0</v>
      </c>
      <c r="AK392" s="13" t="str">
        <f t="shared" si="788"/>
        <v>0</v>
      </c>
      <c r="AL392" s="13" t="str">
        <f t="shared" si="788"/>
        <v>0</v>
      </c>
      <c r="AM392" s="13" t="str">
        <f t="shared" si="788"/>
        <v>0</v>
      </c>
      <c r="AN392" s="13" t="str">
        <f t="shared" si="788"/>
        <v>0</v>
      </c>
      <c r="AO392" s="13" t="str">
        <f t="shared" si="788"/>
        <v>0</v>
      </c>
      <c r="AP392" s="13" t="str">
        <f t="shared" si="788"/>
        <v>0</v>
      </c>
      <c r="AQ392" s="13" t="str">
        <f t="shared" si="788"/>
        <v>0</v>
      </c>
      <c r="AR392" s="13" t="str">
        <f t="shared" ref="AR392:AS392" si="789">IF(OR(O392=$C392,O392=$D392,O392=""),"0","1")</f>
        <v>0</v>
      </c>
      <c r="AS392" s="13" t="str">
        <f t="shared" si="789"/>
        <v>0</v>
      </c>
      <c r="AT392" s="698">
        <f t="shared" si="11"/>
        <v>0</v>
      </c>
    </row>
    <row r="393" ht="15.75" customHeight="1">
      <c r="A393" s="788" t="str">
        <f t="shared" si="5"/>
        <v>-</v>
      </c>
      <c r="B393" s="331"/>
      <c r="C393" s="331"/>
      <c r="D393" s="331"/>
      <c r="E393" s="790"/>
      <c r="F393" s="791"/>
      <c r="G393" s="331"/>
      <c r="H393" s="331"/>
      <c r="I393" s="331"/>
      <c r="J393" s="331"/>
      <c r="K393" s="331"/>
      <c r="L393" s="331"/>
      <c r="M393" s="331"/>
      <c r="N393" s="331"/>
      <c r="O393" s="331"/>
      <c r="P393" s="792"/>
      <c r="AB393" s="314"/>
      <c r="AC393" s="314"/>
      <c r="AD393" s="314"/>
      <c r="AE393" s="314"/>
      <c r="AF393" s="314"/>
      <c r="AG393" s="314"/>
      <c r="AJ393" s="13" t="str">
        <f t="shared" ref="AJ393:AQ393" si="790">IF(OR(E393=$C393,E393=$D393,E393=""),"0","1")</f>
        <v>0</v>
      </c>
      <c r="AK393" s="13" t="str">
        <f t="shared" si="790"/>
        <v>0</v>
      </c>
      <c r="AL393" s="13" t="str">
        <f t="shared" si="790"/>
        <v>0</v>
      </c>
      <c r="AM393" s="13" t="str">
        <f t="shared" si="790"/>
        <v>0</v>
      </c>
      <c r="AN393" s="13" t="str">
        <f t="shared" si="790"/>
        <v>0</v>
      </c>
      <c r="AO393" s="13" t="str">
        <f t="shared" si="790"/>
        <v>0</v>
      </c>
      <c r="AP393" s="13" t="str">
        <f t="shared" si="790"/>
        <v>0</v>
      </c>
      <c r="AQ393" s="13" t="str">
        <f t="shared" si="790"/>
        <v>0</v>
      </c>
      <c r="AR393" s="13" t="str">
        <f t="shared" ref="AR393:AS393" si="791">IF(OR(O393=$C393,O393=$D393,O393=""),"0","1")</f>
        <v>0</v>
      </c>
      <c r="AS393" s="13" t="str">
        <f t="shared" si="791"/>
        <v>0</v>
      </c>
      <c r="AT393" s="698">
        <f t="shared" si="11"/>
        <v>0</v>
      </c>
    </row>
    <row r="394" ht="15.75" customHeight="1">
      <c r="A394" s="788" t="str">
        <f t="shared" si="5"/>
        <v>-</v>
      </c>
      <c r="B394" s="331"/>
      <c r="C394" s="331"/>
      <c r="D394" s="331"/>
      <c r="E394" s="790"/>
      <c r="F394" s="791"/>
      <c r="G394" s="331"/>
      <c r="H394" s="331"/>
      <c r="I394" s="331"/>
      <c r="J394" s="331"/>
      <c r="K394" s="331"/>
      <c r="L394" s="331"/>
      <c r="M394" s="331"/>
      <c r="N394" s="331"/>
      <c r="O394" s="331"/>
      <c r="P394" s="792"/>
      <c r="AB394" s="314"/>
      <c r="AC394" s="314"/>
      <c r="AD394" s="314"/>
      <c r="AE394" s="314"/>
      <c r="AF394" s="314"/>
      <c r="AG394" s="314"/>
      <c r="AJ394" s="13" t="str">
        <f t="shared" ref="AJ394:AQ394" si="792">IF(OR(E394=$C394,E394=$D394,E394=""),"0","1")</f>
        <v>0</v>
      </c>
      <c r="AK394" s="13" t="str">
        <f t="shared" si="792"/>
        <v>0</v>
      </c>
      <c r="AL394" s="13" t="str">
        <f t="shared" si="792"/>
        <v>0</v>
      </c>
      <c r="AM394" s="13" t="str">
        <f t="shared" si="792"/>
        <v>0</v>
      </c>
      <c r="AN394" s="13" t="str">
        <f t="shared" si="792"/>
        <v>0</v>
      </c>
      <c r="AO394" s="13" t="str">
        <f t="shared" si="792"/>
        <v>0</v>
      </c>
      <c r="AP394" s="13" t="str">
        <f t="shared" si="792"/>
        <v>0</v>
      </c>
      <c r="AQ394" s="13" t="str">
        <f t="shared" si="792"/>
        <v>0</v>
      </c>
      <c r="AR394" s="13" t="str">
        <f t="shared" ref="AR394:AS394" si="793">IF(OR(O394=$C394,O394=$D394,O394=""),"0","1")</f>
        <v>0</v>
      </c>
      <c r="AS394" s="13" t="str">
        <f t="shared" si="793"/>
        <v>0</v>
      </c>
      <c r="AT394" s="698">
        <f t="shared" si="11"/>
        <v>0</v>
      </c>
    </row>
    <row r="395" ht="15.75" customHeight="1">
      <c r="A395" s="788" t="str">
        <f t="shared" si="5"/>
        <v>-</v>
      </c>
      <c r="B395" s="331"/>
      <c r="C395" s="331"/>
      <c r="D395" s="331"/>
      <c r="E395" s="790"/>
      <c r="F395" s="791"/>
      <c r="G395" s="331"/>
      <c r="H395" s="331"/>
      <c r="I395" s="331"/>
      <c r="J395" s="331"/>
      <c r="K395" s="331"/>
      <c r="L395" s="331"/>
      <c r="M395" s="331"/>
      <c r="N395" s="331"/>
      <c r="O395" s="331"/>
      <c r="P395" s="792"/>
      <c r="AB395" s="314"/>
      <c r="AC395" s="314"/>
      <c r="AD395" s="314"/>
      <c r="AE395" s="314"/>
      <c r="AF395" s="314"/>
      <c r="AG395" s="314"/>
      <c r="AJ395" s="13" t="str">
        <f t="shared" ref="AJ395:AQ395" si="794">IF(OR(E395=$C395,E395=$D395,E395=""),"0","1")</f>
        <v>0</v>
      </c>
      <c r="AK395" s="13" t="str">
        <f t="shared" si="794"/>
        <v>0</v>
      </c>
      <c r="AL395" s="13" t="str">
        <f t="shared" si="794"/>
        <v>0</v>
      </c>
      <c r="AM395" s="13" t="str">
        <f t="shared" si="794"/>
        <v>0</v>
      </c>
      <c r="AN395" s="13" t="str">
        <f t="shared" si="794"/>
        <v>0</v>
      </c>
      <c r="AO395" s="13" t="str">
        <f t="shared" si="794"/>
        <v>0</v>
      </c>
      <c r="AP395" s="13" t="str">
        <f t="shared" si="794"/>
        <v>0</v>
      </c>
      <c r="AQ395" s="13" t="str">
        <f t="shared" si="794"/>
        <v>0</v>
      </c>
      <c r="AR395" s="13" t="str">
        <f t="shared" ref="AR395:AS395" si="795">IF(OR(O395=$C395,O395=$D395,O395=""),"0","1")</f>
        <v>0</v>
      </c>
      <c r="AS395" s="13" t="str">
        <f t="shared" si="795"/>
        <v>0</v>
      </c>
      <c r="AT395" s="698">
        <f t="shared" si="11"/>
        <v>0</v>
      </c>
    </row>
    <row r="396" ht="15.75" customHeight="1">
      <c r="A396" s="788" t="str">
        <f t="shared" si="5"/>
        <v>-</v>
      </c>
      <c r="B396" s="331"/>
      <c r="C396" s="331"/>
      <c r="D396" s="331"/>
      <c r="E396" s="790"/>
      <c r="F396" s="791"/>
      <c r="G396" s="331"/>
      <c r="H396" s="331"/>
      <c r="I396" s="331"/>
      <c r="J396" s="331"/>
      <c r="K396" s="331"/>
      <c r="L396" s="331"/>
      <c r="M396" s="331"/>
      <c r="N396" s="331"/>
      <c r="O396" s="331"/>
      <c r="P396" s="792"/>
      <c r="AB396" s="314"/>
      <c r="AC396" s="314"/>
      <c r="AD396" s="314"/>
      <c r="AE396" s="314"/>
      <c r="AF396" s="314"/>
      <c r="AG396" s="314"/>
      <c r="AJ396" s="13" t="str">
        <f t="shared" ref="AJ396:AQ396" si="796">IF(OR(E396=$C396,E396=$D396,E396=""),"0","1")</f>
        <v>0</v>
      </c>
      <c r="AK396" s="13" t="str">
        <f t="shared" si="796"/>
        <v>0</v>
      </c>
      <c r="AL396" s="13" t="str">
        <f t="shared" si="796"/>
        <v>0</v>
      </c>
      <c r="AM396" s="13" t="str">
        <f t="shared" si="796"/>
        <v>0</v>
      </c>
      <c r="AN396" s="13" t="str">
        <f t="shared" si="796"/>
        <v>0</v>
      </c>
      <c r="AO396" s="13" t="str">
        <f t="shared" si="796"/>
        <v>0</v>
      </c>
      <c r="AP396" s="13" t="str">
        <f t="shared" si="796"/>
        <v>0</v>
      </c>
      <c r="AQ396" s="13" t="str">
        <f t="shared" si="796"/>
        <v>0</v>
      </c>
      <c r="AR396" s="13" t="str">
        <f t="shared" ref="AR396:AS396" si="797">IF(OR(O396=$C396,O396=$D396,O396=""),"0","1")</f>
        <v>0</v>
      </c>
      <c r="AS396" s="13" t="str">
        <f t="shared" si="797"/>
        <v>0</v>
      </c>
      <c r="AT396" s="698">
        <f t="shared" si="11"/>
        <v>0</v>
      </c>
    </row>
    <row r="397" ht="15.75" customHeight="1">
      <c r="A397" s="788" t="str">
        <f t="shared" si="5"/>
        <v>-</v>
      </c>
      <c r="B397" s="331"/>
      <c r="C397" s="331"/>
      <c r="D397" s="331"/>
      <c r="E397" s="790"/>
      <c r="F397" s="791"/>
      <c r="G397" s="331"/>
      <c r="H397" s="331"/>
      <c r="I397" s="331"/>
      <c r="J397" s="331"/>
      <c r="K397" s="331"/>
      <c r="L397" s="331"/>
      <c r="M397" s="331"/>
      <c r="N397" s="331"/>
      <c r="O397" s="331"/>
      <c r="P397" s="792"/>
      <c r="AB397" s="314"/>
      <c r="AC397" s="314"/>
      <c r="AD397" s="314"/>
      <c r="AE397" s="314"/>
      <c r="AF397" s="314"/>
      <c r="AG397" s="314"/>
      <c r="AJ397" s="13" t="str">
        <f t="shared" ref="AJ397:AQ397" si="798">IF(OR(E397=$C397,E397=$D397,E397=""),"0","1")</f>
        <v>0</v>
      </c>
      <c r="AK397" s="13" t="str">
        <f t="shared" si="798"/>
        <v>0</v>
      </c>
      <c r="AL397" s="13" t="str">
        <f t="shared" si="798"/>
        <v>0</v>
      </c>
      <c r="AM397" s="13" t="str">
        <f t="shared" si="798"/>
        <v>0</v>
      </c>
      <c r="AN397" s="13" t="str">
        <f t="shared" si="798"/>
        <v>0</v>
      </c>
      <c r="AO397" s="13" t="str">
        <f t="shared" si="798"/>
        <v>0</v>
      </c>
      <c r="AP397" s="13" t="str">
        <f t="shared" si="798"/>
        <v>0</v>
      </c>
      <c r="AQ397" s="13" t="str">
        <f t="shared" si="798"/>
        <v>0</v>
      </c>
      <c r="AR397" s="13" t="str">
        <f t="shared" ref="AR397:AS397" si="799">IF(OR(O397=$C397,O397=$D397,O397=""),"0","1")</f>
        <v>0</v>
      </c>
      <c r="AS397" s="13" t="str">
        <f t="shared" si="799"/>
        <v>0</v>
      </c>
      <c r="AT397" s="698">
        <f t="shared" si="11"/>
        <v>0</v>
      </c>
    </row>
    <row r="398" ht="15.75" customHeight="1">
      <c r="A398" s="788" t="str">
        <f t="shared" si="5"/>
        <v>-</v>
      </c>
      <c r="B398" s="331"/>
      <c r="C398" s="331"/>
      <c r="D398" s="331"/>
      <c r="E398" s="790"/>
      <c r="F398" s="791"/>
      <c r="G398" s="331"/>
      <c r="H398" s="331"/>
      <c r="I398" s="331"/>
      <c r="J398" s="331"/>
      <c r="K398" s="331"/>
      <c r="L398" s="331"/>
      <c r="M398" s="331"/>
      <c r="N398" s="331"/>
      <c r="O398" s="331"/>
      <c r="P398" s="792"/>
      <c r="AB398" s="314"/>
      <c r="AC398" s="314"/>
      <c r="AD398" s="314"/>
      <c r="AE398" s="314"/>
      <c r="AF398" s="314"/>
      <c r="AG398" s="314"/>
      <c r="AJ398" s="13" t="str">
        <f t="shared" ref="AJ398:AQ398" si="800">IF(OR(E398=$C398,E398=$D398,E398=""),"0","1")</f>
        <v>0</v>
      </c>
      <c r="AK398" s="13" t="str">
        <f t="shared" si="800"/>
        <v>0</v>
      </c>
      <c r="AL398" s="13" t="str">
        <f t="shared" si="800"/>
        <v>0</v>
      </c>
      <c r="AM398" s="13" t="str">
        <f t="shared" si="800"/>
        <v>0</v>
      </c>
      <c r="AN398" s="13" t="str">
        <f t="shared" si="800"/>
        <v>0</v>
      </c>
      <c r="AO398" s="13" t="str">
        <f t="shared" si="800"/>
        <v>0</v>
      </c>
      <c r="AP398" s="13" t="str">
        <f t="shared" si="800"/>
        <v>0</v>
      </c>
      <c r="AQ398" s="13" t="str">
        <f t="shared" si="800"/>
        <v>0</v>
      </c>
      <c r="AR398" s="13" t="str">
        <f t="shared" ref="AR398:AS398" si="801">IF(OR(O398=$C398,O398=$D398,O398=""),"0","1")</f>
        <v>0</v>
      </c>
      <c r="AS398" s="13" t="str">
        <f t="shared" si="801"/>
        <v>0</v>
      </c>
      <c r="AT398" s="698">
        <f t="shared" si="11"/>
        <v>0</v>
      </c>
    </row>
    <row r="399" ht="15.75" customHeight="1">
      <c r="A399" s="788" t="str">
        <f t="shared" si="5"/>
        <v>-</v>
      </c>
      <c r="B399" s="331"/>
      <c r="C399" s="331"/>
      <c r="D399" s="331"/>
      <c r="E399" s="790"/>
      <c r="F399" s="791"/>
      <c r="G399" s="331"/>
      <c r="H399" s="331"/>
      <c r="I399" s="331"/>
      <c r="J399" s="331"/>
      <c r="K399" s="331"/>
      <c r="L399" s="331"/>
      <c r="M399" s="331"/>
      <c r="N399" s="331"/>
      <c r="O399" s="331"/>
      <c r="P399" s="792"/>
      <c r="AB399" s="314"/>
      <c r="AC399" s="314"/>
      <c r="AD399" s="314"/>
      <c r="AE399" s="314"/>
      <c r="AF399" s="314"/>
      <c r="AG399" s="314"/>
      <c r="AJ399" s="13" t="str">
        <f t="shared" ref="AJ399:AQ399" si="802">IF(OR(E399=$C399,E399=$D399,E399=""),"0","1")</f>
        <v>0</v>
      </c>
      <c r="AK399" s="13" t="str">
        <f t="shared" si="802"/>
        <v>0</v>
      </c>
      <c r="AL399" s="13" t="str">
        <f t="shared" si="802"/>
        <v>0</v>
      </c>
      <c r="AM399" s="13" t="str">
        <f t="shared" si="802"/>
        <v>0</v>
      </c>
      <c r="AN399" s="13" t="str">
        <f t="shared" si="802"/>
        <v>0</v>
      </c>
      <c r="AO399" s="13" t="str">
        <f t="shared" si="802"/>
        <v>0</v>
      </c>
      <c r="AP399" s="13" t="str">
        <f t="shared" si="802"/>
        <v>0</v>
      </c>
      <c r="AQ399" s="13" t="str">
        <f t="shared" si="802"/>
        <v>0</v>
      </c>
      <c r="AR399" s="13" t="str">
        <f t="shared" ref="AR399:AS399" si="803">IF(OR(O399=$C399,O399=$D399,O399=""),"0","1")</f>
        <v>0</v>
      </c>
      <c r="AS399" s="13" t="str">
        <f t="shared" si="803"/>
        <v>0</v>
      </c>
      <c r="AT399" s="698">
        <f t="shared" si="11"/>
        <v>0</v>
      </c>
    </row>
    <row r="400" ht="15.75" customHeight="1">
      <c r="A400" s="788" t="str">
        <f t="shared" si="5"/>
        <v>-</v>
      </c>
      <c r="B400" s="331"/>
      <c r="C400" s="331"/>
      <c r="D400" s="331"/>
      <c r="E400" s="790"/>
      <c r="F400" s="791"/>
      <c r="G400" s="331"/>
      <c r="H400" s="331"/>
      <c r="I400" s="331"/>
      <c r="J400" s="331"/>
      <c r="K400" s="331"/>
      <c r="L400" s="331"/>
      <c r="M400" s="331"/>
      <c r="N400" s="331"/>
      <c r="O400" s="331"/>
      <c r="P400" s="792"/>
      <c r="AB400" s="314"/>
      <c r="AC400" s="314"/>
      <c r="AD400" s="314"/>
      <c r="AE400" s="314"/>
      <c r="AF400" s="314"/>
      <c r="AG400" s="314"/>
      <c r="AJ400" s="13" t="str">
        <f t="shared" ref="AJ400:AQ400" si="804">IF(OR(E400=$C400,E400=$D400,E400=""),"0","1")</f>
        <v>0</v>
      </c>
      <c r="AK400" s="13" t="str">
        <f t="shared" si="804"/>
        <v>0</v>
      </c>
      <c r="AL400" s="13" t="str">
        <f t="shared" si="804"/>
        <v>0</v>
      </c>
      <c r="AM400" s="13" t="str">
        <f t="shared" si="804"/>
        <v>0</v>
      </c>
      <c r="AN400" s="13" t="str">
        <f t="shared" si="804"/>
        <v>0</v>
      </c>
      <c r="AO400" s="13" t="str">
        <f t="shared" si="804"/>
        <v>0</v>
      </c>
      <c r="AP400" s="13" t="str">
        <f t="shared" si="804"/>
        <v>0</v>
      </c>
      <c r="AQ400" s="13" t="str">
        <f t="shared" si="804"/>
        <v>0</v>
      </c>
      <c r="AR400" s="13" t="str">
        <f t="shared" ref="AR400:AS400" si="805">IF(OR(O400=$C400,O400=$D400,O400=""),"0","1")</f>
        <v>0</v>
      </c>
      <c r="AS400" s="13" t="str">
        <f t="shared" si="805"/>
        <v>0</v>
      </c>
      <c r="AT400" s="698">
        <f t="shared" si="11"/>
        <v>0</v>
      </c>
    </row>
    <row r="401" ht="15.75" customHeight="1">
      <c r="A401" s="788" t="str">
        <f t="shared" si="5"/>
        <v>-</v>
      </c>
      <c r="B401" s="331"/>
      <c r="C401" s="331"/>
      <c r="D401" s="331"/>
      <c r="E401" s="790"/>
      <c r="F401" s="791"/>
      <c r="G401" s="331"/>
      <c r="H401" s="331"/>
      <c r="I401" s="331"/>
      <c r="J401" s="331"/>
      <c r="K401" s="331"/>
      <c r="L401" s="331"/>
      <c r="M401" s="331"/>
      <c r="N401" s="331"/>
      <c r="O401" s="331"/>
      <c r="P401" s="792"/>
      <c r="AB401" s="314"/>
      <c r="AC401" s="314"/>
      <c r="AD401" s="314"/>
      <c r="AE401" s="314"/>
      <c r="AF401" s="314"/>
      <c r="AG401" s="314"/>
      <c r="AJ401" s="13" t="str">
        <f t="shared" ref="AJ401:AQ401" si="806">IF(OR(E401=$C401,E401=$D401,E401=""),"0","1")</f>
        <v>0</v>
      </c>
      <c r="AK401" s="13" t="str">
        <f t="shared" si="806"/>
        <v>0</v>
      </c>
      <c r="AL401" s="13" t="str">
        <f t="shared" si="806"/>
        <v>0</v>
      </c>
      <c r="AM401" s="13" t="str">
        <f t="shared" si="806"/>
        <v>0</v>
      </c>
      <c r="AN401" s="13" t="str">
        <f t="shared" si="806"/>
        <v>0</v>
      </c>
      <c r="AO401" s="13" t="str">
        <f t="shared" si="806"/>
        <v>0</v>
      </c>
      <c r="AP401" s="13" t="str">
        <f t="shared" si="806"/>
        <v>0</v>
      </c>
      <c r="AQ401" s="13" t="str">
        <f t="shared" si="806"/>
        <v>0</v>
      </c>
      <c r="AR401" s="13" t="str">
        <f t="shared" ref="AR401:AS401" si="807">IF(OR(O401=$C401,O401=$D401,O401=""),"0","1")</f>
        <v>0</v>
      </c>
      <c r="AS401" s="13" t="str">
        <f t="shared" si="807"/>
        <v>0</v>
      </c>
      <c r="AT401" s="698">
        <f t="shared" si="11"/>
        <v>0</v>
      </c>
    </row>
    <row r="402" ht="15.75" customHeight="1">
      <c r="A402" s="788" t="str">
        <f t="shared" si="5"/>
        <v>-</v>
      </c>
      <c r="B402" s="331"/>
      <c r="C402" s="331"/>
      <c r="D402" s="331"/>
      <c r="E402" s="790"/>
      <c r="F402" s="791"/>
      <c r="G402" s="331"/>
      <c r="H402" s="331"/>
      <c r="I402" s="331"/>
      <c r="J402" s="331"/>
      <c r="K402" s="331"/>
      <c r="L402" s="331"/>
      <c r="M402" s="331"/>
      <c r="N402" s="331"/>
      <c r="O402" s="331"/>
      <c r="P402" s="792"/>
      <c r="AB402" s="314"/>
      <c r="AC402" s="314"/>
      <c r="AD402" s="314"/>
      <c r="AE402" s="314"/>
      <c r="AF402" s="314"/>
      <c r="AG402" s="314"/>
      <c r="AJ402" s="13" t="str">
        <f t="shared" ref="AJ402:AQ402" si="808">IF(OR(E402=$C402,E402=$D402,E402=""),"0","1")</f>
        <v>0</v>
      </c>
      <c r="AK402" s="13" t="str">
        <f t="shared" si="808"/>
        <v>0</v>
      </c>
      <c r="AL402" s="13" t="str">
        <f t="shared" si="808"/>
        <v>0</v>
      </c>
      <c r="AM402" s="13" t="str">
        <f t="shared" si="808"/>
        <v>0</v>
      </c>
      <c r="AN402" s="13" t="str">
        <f t="shared" si="808"/>
        <v>0</v>
      </c>
      <c r="AO402" s="13" t="str">
        <f t="shared" si="808"/>
        <v>0</v>
      </c>
      <c r="AP402" s="13" t="str">
        <f t="shared" si="808"/>
        <v>0</v>
      </c>
      <c r="AQ402" s="13" t="str">
        <f t="shared" si="808"/>
        <v>0</v>
      </c>
      <c r="AR402" s="13" t="str">
        <f t="shared" ref="AR402:AS402" si="809">IF(OR(O402=$C402,O402=$D402,O402=""),"0","1")</f>
        <v>0</v>
      </c>
      <c r="AS402" s="13" t="str">
        <f t="shared" si="809"/>
        <v>0</v>
      </c>
      <c r="AT402" s="698">
        <f t="shared" si="11"/>
        <v>0</v>
      </c>
    </row>
    <row r="403" ht="15.75" customHeight="1">
      <c r="A403" s="788" t="str">
        <f t="shared" si="5"/>
        <v>-</v>
      </c>
      <c r="B403" s="331"/>
      <c r="C403" s="331"/>
      <c r="D403" s="331"/>
      <c r="E403" s="790"/>
      <c r="F403" s="791"/>
      <c r="G403" s="331"/>
      <c r="H403" s="331"/>
      <c r="I403" s="331"/>
      <c r="J403" s="331"/>
      <c r="K403" s="331"/>
      <c r="L403" s="331"/>
      <c r="M403" s="331"/>
      <c r="N403" s="331"/>
      <c r="O403" s="331"/>
      <c r="P403" s="792"/>
      <c r="AB403" s="314"/>
      <c r="AC403" s="314"/>
      <c r="AD403" s="314"/>
      <c r="AE403" s="314"/>
      <c r="AF403" s="314"/>
      <c r="AG403" s="314"/>
      <c r="AJ403" s="13" t="str">
        <f t="shared" ref="AJ403:AQ403" si="810">IF(OR(E403=$C403,E403=$D403,E403=""),"0","1")</f>
        <v>0</v>
      </c>
      <c r="AK403" s="13" t="str">
        <f t="shared" si="810"/>
        <v>0</v>
      </c>
      <c r="AL403" s="13" t="str">
        <f t="shared" si="810"/>
        <v>0</v>
      </c>
      <c r="AM403" s="13" t="str">
        <f t="shared" si="810"/>
        <v>0</v>
      </c>
      <c r="AN403" s="13" t="str">
        <f t="shared" si="810"/>
        <v>0</v>
      </c>
      <c r="AO403" s="13" t="str">
        <f t="shared" si="810"/>
        <v>0</v>
      </c>
      <c r="AP403" s="13" t="str">
        <f t="shared" si="810"/>
        <v>0</v>
      </c>
      <c r="AQ403" s="13" t="str">
        <f t="shared" si="810"/>
        <v>0</v>
      </c>
      <c r="AR403" s="13" t="str">
        <f t="shared" ref="AR403:AS403" si="811">IF(OR(O403=$C403,O403=$D403,O403=""),"0","1")</f>
        <v>0</v>
      </c>
      <c r="AS403" s="13" t="str">
        <f t="shared" si="811"/>
        <v>0</v>
      </c>
      <c r="AT403" s="698">
        <f t="shared" si="11"/>
        <v>0</v>
      </c>
    </row>
    <row r="404" ht="15.75" customHeight="1">
      <c r="A404" s="788" t="str">
        <f t="shared" si="5"/>
        <v>-</v>
      </c>
      <c r="B404" s="331"/>
      <c r="C404" s="331"/>
      <c r="D404" s="331"/>
      <c r="E404" s="790"/>
      <c r="F404" s="791"/>
      <c r="G404" s="331"/>
      <c r="H404" s="331"/>
      <c r="I404" s="331"/>
      <c r="J404" s="331"/>
      <c r="K404" s="331"/>
      <c r="L404" s="331"/>
      <c r="M404" s="331"/>
      <c r="N404" s="331"/>
      <c r="O404" s="331"/>
      <c r="P404" s="792"/>
      <c r="AB404" s="314"/>
      <c r="AC404" s="314"/>
      <c r="AD404" s="314"/>
      <c r="AE404" s="314"/>
      <c r="AF404" s="314"/>
      <c r="AG404" s="314"/>
      <c r="AJ404" s="13" t="str">
        <f t="shared" ref="AJ404:AQ404" si="812">IF(OR(E404=$C404,E404=$D404,E404=""),"0","1")</f>
        <v>0</v>
      </c>
      <c r="AK404" s="13" t="str">
        <f t="shared" si="812"/>
        <v>0</v>
      </c>
      <c r="AL404" s="13" t="str">
        <f t="shared" si="812"/>
        <v>0</v>
      </c>
      <c r="AM404" s="13" t="str">
        <f t="shared" si="812"/>
        <v>0</v>
      </c>
      <c r="AN404" s="13" t="str">
        <f t="shared" si="812"/>
        <v>0</v>
      </c>
      <c r="AO404" s="13" t="str">
        <f t="shared" si="812"/>
        <v>0</v>
      </c>
      <c r="AP404" s="13" t="str">
        <f t="shared" si="812"/>
        <v>0</v>
      </c>
      <c r="AQ404" s="13" t="str">
        <f t="shared" si="812"/>
        <v>0</v>
      </c>
      <c r="AR404" s="13" t="str">
        <f t="shared" ref="AR404:AS404" si="813">IF(OR(O404=$C404,O404=$D404,O404=""),"0","1")</f>
        <v>0</v>
      </c>
      <c r="AS404" s="13" t="str">
        <f t="shared" si="813"/>
        <v>0</v>
      </c>
      <c r="AT404" s="698">
        <f t="shared" si="11"/>
        <v>0</v>
      </c>
    </row>
    <row r="405" ht="15.75" customHeight="1">
      <c r="A405" s="788" t="str">
        <f t="shared" si="5"/>
        <v>-</v>
      </c>
      <c r="B405" s="331"/>
      <c r="C405" s="331"/>
      <c r="D405" s="331"/>
      <c r="E405" s="790"/>
      <c r="F405" s="791"/>
      <c r="G405" s="331"/>
      <c r="H405" s="331"/>
      <c r="I405" s="331"/>
      <c r="J405" s="331"/>
      <c r="K405" s="331"/>
      <c r="L405" s="331"/>
      <c r="M405" s="331"/>
      <c r="N405" s="331"/>
      <c r="O405" s="331"/>
      <c r="P405" s="792"/>
      <c r="AB405" s="314"/>
      <c r="AC405" s="314"/>
      <c r="AD405" s="314"/>
      <c r="AE405" s="314"/>
      <c r="AF405" s="314"/>
      <c r="AG405" s="314"/>
      <c r="AJ405" s="13" t="str">
        <f t="shared" ref="AJ405:AQ405" si="814">IF(OR(E405=$C405,E405=$D405,E405=""),"0","1")</f>
        <v>0</v>
      </c>
      <c r="AK405" s="13" t="str">
        <f t="shared" si="814"/>
        <v>0</v>
      </c>
      <c r="AL405" s="13" t="str">
        <f t="shared" si="814"/>
        <v>0</v>
      </c>
      <c r="AM405" s="13" t="str">
        <f t="shared" si="814"/>
        <v>0</v>
      </c>
      <c r="AN405" s="13" t="str">
        <f t="shared" si="814"/>
        <v>0</v>
      </c>
      <c r="AO405" s="13" t="str">
        <f t="shared" si="814"/>
        <v>0</v>
      </c>
      <c r="AP405" s="13" t="str">
        <f t="shared" si="814"/>
        <v>0</v>
      </c>
      <c r="AQ405" s="13" t="str">
        <f t="shared" si="814"/>
        <v>0</v>
      </c>
      <c r="AR405" s="13" t="str">
        <f t="shared" ref="AR405:AS405" si="815">IF(OR(O405=$C405,O405=$D405,O405=""),"0","1")</f>
        <v>0</v>
      </c>
      <c r="AS405" s="13" t="str">
        <f t="shared" si="815"/>
        <v>0</v>
      </c>
      <c r="AT405" s="698">
        <f t="shared" si="11"/>
        <v>0</v>
      </c>
    </row>
    <row r="406" ht="15.75" customHeight="1">
      <c r="A406" s="788" t="str">
        <f t="shared" si="5"/>
        <v>-</v>
      </c>
      <c r="B406" s="331"/>
      <c r="C406" s="331"/>
      <c r="D406" s="331"/>
      <c r="E406" s="790"/>
      <c r="F406" s="791"/>
      <c r="G406" s="331"/>
      <c r="H406" s="331"/>
      <c r="I406" s="331"/>
      <c r="J406" s="331"/>
      <c r="K406" s="331"/>
      <c r="L406" s="331"/>
      <c r="M406" s="331"/>
      <c r="N406" s="331"/>
      <c r="O406" s="331"/>
      <c r="P406" s="792"/>
      <c r="AB406" s="314"/>
      <c r="AC406" s="314"/>
      <c r="AD406" s="314"/>
      <c r="AE406" s="314"/>
      <c r="AF406" s="314"/>
      <c r="AG406" s="314"/>
      <c r="AJ406" s="13" t="str">
        <f t="shared" ref="AJ406:AQ406" si="816">IF(OR(E406=$C406,E406=$D406,E406=""),"0","1")</f>
        <v>0</v>
      </c>
      <c r="AK406" s="13" t="str">
        <f t="shared" si="816"/>
        <v>0</v>
      </c>
      <c r="AL406" s="13" t="str">
        <f t="shared" si="816"/>
        <v>0</v>
      </c>
      <c r="AM406" s="13" t="str">
        <f t="shared" si="816"/>
        <v>0</v>
      </c>
      <c r="AN406" s="13" t="str">
        <f t="shared" si="816"/>
        <v>0</v>
      </c>
      <c r="AO406" s="13" t="str">
        <f t="shared" si="816"/>
        <v>0</v>
      </c>
      <c r="AP406" s="13" t="str">
        <f t="shared" si="816"/>
        <v>0</v>
      </c>
      <c r="AQ406" s="13" t="str">
        <f t="shared" si="816"/>
        <v>0</v>
      </c>
      <c r="AR406" s="13" t="str">
        <f t="shared" ref="AR406:AS406" si="817">IF(OR(O406=$C406,O406=$D406,O406=""),"0","1")</f>
        <v>0</v>
      </c>
      <c r="AS406" s="13" t="str">
        <f t="shared" si="817"/>
        <v>0</v>
      </c>
      <c r="AT406" s="698">
        <f t="shared" si="11"/>
        <v>0</v>
      </c>
    </row>
    <row r="407" ht="15.75" customHeight="1">
      <c r="A407" s="788" t="str">
        <f t="shared" si="5"/>
        <v>-</v>
      </c>
      <c r="B407" s="331"/>
      <c r="C407" s="331"/>
      <c r="D407" s="331"/>
      <c r="E407" s="790"/>
      <c r="F407" s="791"/>
      <c r="G407" s="331"/>
      <c r="H407" s="331"/>
      <c r="I407" s="331"/>
      <c r="J407" s="331"/>
      <c r="K407" s="331"/>
      <c r="L407" s="331"/>
      <c r="M407" s="331"/>
      <c r="N407" s="331"/>
      <c r="O407" s="331"/>
      <c r="P407" s="792"/>
      <c r="AB407" s="314"/>
      <c r="AC407" s="314"/>
      <c r="AD407" s="314"/>
      <c r="AE407" s="314"/>
      <c r="AF407" s="314"/>
      <c r="AG407" s="314"/>
      <c r="AJ407" s="13" t="str">
        <f t="shared" ref="AJ407:AQ407" si="818">IF(OR(E407=$C407,E407=$D407,E407=""),"0","1")</f>
        <v>0</v>
      </c>
      <c r="AK407" s="13" t="str">
        <f t="shared" si="818"/>
        <v>0</v>
      </c>
      <c r="AL407" s="13" t="str">
        <f t="shared" si="818"/>
        <v>0</v>
      </c>
      <c r="AM407" s="13" t="str">
        <f t="shared" si="818"/>
        <v>0</v>
      </c>
      <c r="AN407" s="13" t="str">
        <f t="shared" si="818"/>
        <v>0</v>
      </c>
      <c r="AO407" s="13" t="str">
        <f t="shared" si="818"/>
        <v>0</v>
      </c>
      <c r="AP407" s="13" t="str">
        <f t="shared" si="818"/>
        <v>0</v>
      </c>
      <c r="AQ407" s="13" t="str">
        <f t="shared" si="818"/>
        <v>0</v>
      </c>
      <c r="AR407" s="13" t="str">
        <f t="shared" ref="AR407:AS407" si="819">IF(OR(O407=$C407,O407=$D407,O407=""),"0","1")</f>
        <v>0</v>
      </c>
      <c r="AS407" s="13" t="str">
        <f t="shared" si="819"/>
        <v>0</v>
      </c>
      <c r="AT407" s="698">
        <f t="shared" si="11"/>
        <v>0</v>
      </c>
    </row>
    <row r="408" ht="15.75" customHeight="1">
      <c r="A408" s="788" t="str">
        <f t="shared" si="5"/>
        <v>-</v>
      </c>
      <c r="B408" s="331"/>
      <c r="C408" s="331"/>
      <c r="D408" s="331"/>
      <c r="E408" s="790"/>
      <c r="F408" s="791"/>
      <c r="G408" s="331"/>
      <c r="H408" s="331"/>
      <c r="I408" s="331"/>
      <c r="J408" s="331"/>
      <c r="K408" s="331"/>
      <c r="L408" s="331"/>
      <c r="M408" s="331"/>
      <c r="N408" s="331"/>
      <c r="O408" s="331"/>
      <c r="P408" s="792"/>
      <c r="AB408" s="314"/>
      <c r="AC408" s="314"/>
      <c r="AD408" s="314"/>
      <c r="AE408" s="314"/>
      <c r="AF408" s="314"/>
      <c r="AG408" s="314"/>
      <c r="AJ408" s="13" t="str">
        <f t="shared" ref="AJ408:AQ408" si="820">IF(OR(E408=$C408,E408=$D408,E408=""),"0","1")</f>
        <v>0</v>
      </c>
      <c r="AK408" s="13" t="str">
        <f t="shared" si="820"/>
        <v>0</v>
      </c>
      <c r="AL408" s="13" t="str">
        <f t="shared" si="820"/>
        <v>0</v>
      </c>
      <c r="AM408" s="13" t="str">
        <f t="shared" si="820"/>
        <v>0</v>
      </c>
      <c r="AN408" s="13" t="str">
        <f t="shared" si="820"/>
        <v>0</v>
      </c>
      <c r="AO408" s="13" t="str">
        <f t="shared" si="820"/>
        <v>0</v>
      </c>
      <c r="AP408" s="13" t="str">
        <f t="shared" si="820"/>
        <v>0</v>
      </c>
      <c r="AQ408" s="13" t="str">
        <f t="shared" si="820"/>
        <v>0</v>
      </c>
      <c r="AR408" s="13" t="str">
        <f t="shared" ref="AR408:AS408" si="821">IF(OR(O408=$C408,O408=$D408,O408=""),"0","1")</f>
        <v>0</v>
      </c>
      <c r="AS408" s="13" t="str">
        <f t="shared" si="821"/>
        <v>0</v>
      </c>
      <c r="AT408" s="698">
        <f t="shared" si="11"/>
        <v>0</v>
      </c>
    </row>
    <row r="409" ht="15.75" customHeight="1">
      <c r="A409" s="788" t="str">
        <f t="shared" si="5"/>
        <v>-</v>
      </c>
      <c r="B409" s="331"/>
      <c r="C409" s="331"/>
      <c r="D409" s="331"/>
      <c r="E409" s="790"/>
      <c r="F409" s="791"/>
      <c r="G409" s="331"/>
      <c r="H409" s="331"/>
      <c r="I409" s="331"/>
      <c r="J409" s="331"/>
      <c r="K409" s="331"/>
      <c r="L409" s="331"/>
      <c r="M409" s="331"/>
      <c r="N409" s="331"/>
      <c r="O409" s="331"/>
      <c r="P409" s="792"/>
      <c r="AB409" s="314"/>
      <c r="AC409" s="314"/>
      <c r="AD409" s="314"/>
      <c r="AE409" s="314"/>
      <c r="AF409" s="314"/>
      <c r="AG409" s="314"/>
      <c r="AJ409" s="13" t="str">
        <f t="shared" ref="AJ409:AQ409" si="822">IF(OR(E409=$C409,E409=$D409,E409=""),"0","1")</f>
        <v>0</v>
      </c>
      <c r="AK409" s="13" t="str">
        <f t="shared" si="822"/>
        <v>0</v>
      </c>
      <c r="AL409" s="13" t="str">
        <f t="shared" si="822"/>
        <v>0</v>
      </c>
      <c r="AM409" s="13" t="str">
        <f t="shared" si="822"/>
        <v>0</v>
      </c>
      <c r="AN409" s="13" t="str">
        <f t="shared" si="822"/>
        <v>0</v>
      </c>
      <c r="AO409" s="13" t="str">
        <f t="shared" si="822"/>
        <v>0</v>
      </c>
      <c r="AP409" s="13" t="str">
        <f t="shared" si="822"/>
        <v>0</v>
      </c>
      <c r="AQ409" s="13" t="str">
        <f t="shared" si="822"/>
        <v>0</v>
      </c>
      <c r="AR409" s="13" t="str">
        <f t="shared" ref="AR409:AS409" si="823">IF(OR(O409=$C409,O409=$D409,O409=""),"0","1")</f>
        <v>0</v>
      </c>
      <c r="AS409" s="13" t="str">
        <f t="shared" si="823"/>
        <v>0</v>
      </c>
      <c r="AT409" s="698">
        <f t="shared" si="11"/>
        <v>0</v>
      </c>
    </row>
    <row r="410" ht="15.75" customHeight="1">
      <c r="A410" s="788" t="str">
        <f t="shared" si="5"/>
        <v>-</v>
      </c>
      <c r="B410" s="331"/>
      <c r="C410" s="331"/>
      <c r="D410" s="331"/>
      <c r="E410" s="790"/>
      <c r="F410" s="791"/>
      <c r="G410" s="331"/>
      <c r="H410" s="331"/>
      <c r="I410" s="331"/>
      <c r="J410" s="331"/>
      <c r="K410" s="331"/>
      <c r="L410" s="331"/>
      <c r="M410" s="331"/>
      <c r="N410" s="331"/>
      <c r="O410" s="331"/>
      <c r="P410" s="792"/>
      <c r="AB410" s="314"/>
      <c r="AC410" s="314"/>
      <c r="AD410" s="314"/>
      <c r="AE410" s="314"/>
      <c r="AF410" s="314"/>
      <c r="AG410" s="314"/>
      <c r="AJ410" s="13" t="str">
        <f t="shared" ref="AJ410:AQ410" si="824">IF(OR(E410=$C410,E410=$D410,E410=""),"0","1")</f>
        <v>0</v>
      </c>
      <c r="AK410" s="13" t="str">
        <f t="shared" si="824"/>
        <v>0</v>
      </c>
      <c r="AL410" s="13" t="str">
        <f t="shared" si="824"/>
        <v>0</v>
      </c>
      <c r="AM410" s="13" t="str">
        <f t="shared" si="824"/>
        <v>0</v>
      </c>
      <c r="AN410" s="13" t="str">
        <f t="shared" si="824"/>
        <v>0</v>
      </c>
      <c r="AO410" s="13" t="str">
        <f t="shared" si="824"/>
        <v>0</v>
      </c>
      <c r="AP410" s="13" t="str">
        <f t="shared" si="824"/>
        <v>0</v>
      </c>
      <c r="AQ410" s="13" t="str">
        <f t="shared" si="824"/>
        <v>0</v>
      </c>
      <c r="AR410" s="13" t="str">
        <f t="shared" ref="AR410:AS410" si="825">IF(OR(O410=$C410,O410=$D410,O410=""),"0","1")</f>
        <v>0</v>
      </c>
      <c r="AS410" s="13" t="str">
        <f t="shared" si="825"/>
        <v>0</v>
      </c>
      <c r="AT410" s="698">
        <f t="shared" si="11"/>
        <v>0</v>
      </c>
    </row>
    <row r="411" ht="15.75" customHeight="1">
      <c r="A411" s="788" t="str">
        <f t="shared" si="5"/>
        <v>-</v>
      </c>
      <c r="B411" s="331"/>
      <c r="C411" s="331"/>
      <c r="D411" s="331"/>
      <c r="E411" s="790"/>
      <c r="F411" s="791"/>
      <c r="G411" s="331"/>
      <c r="H411" s="331"/>
      <c r="I411" s="331"/>
      <c r="J411" s="331"/>
      <c r="K411" s="331"/>
      <c r="L411" s="331"/>
      <c r="M411" s="331"/>
      <c r="N411" s="331"/>
      <c r="O411" s="331"/>
      <c r="P411" s="792"/>
      <c r="AB411" s="314"/>
      <c r="AC411" s="314"/>
      <c r="AD411" s="314"/>
      <c r="AE411" s="314"/>
      <c r="AF411" s="314"/>
      <c r="AG411" s="314"/>
      <c r="AJ411" s="13" t="str">
        <f t="shared" ref="AJ411:AQ411" si="826">IF(OR(E411=$C411,E411=$D411,E411=""),"0","1")</f>
        <v>0</v>
      </c>
      <c r="AK411" s="13" t="str">
        <f t="shared" si="826"/>
        <v>0</v>
      </c>
      <c r="AL411" s="13" t="str">
        <f t="shared" si="826"/>
        <v>0</v>
      </c>
      <c r="AM411" s="13" t="str">
        <f t="shared" si="826"/>
        <v>0</v>
      </c>
      <c r="AN411" s="13" t="str">
        <f t="shared" si="826"/>
        <v>0</v>
      </c>
      <c r="AO411" s="13" t="str">
        <f t="shared" si="826"/>
        <v>0</v>
      </c>
      <c r="AP411" s="13" t="str">
        <f t="shared" si="826"/>
        <v>0</v>
      </c>
      <c r="AQ411" s="13" t="str">
        <f t="shared" si="826"/>
        <v>0</v>
      </c>
      <c r="AR411" s="13" t="str">
        <f t="shared" ref="AR411:AS411" si="827">IF(OR(O411=$C411,O411=$D411,O411=""),"0","1")</f>
        <v>0</v>
      </c>
      <c r="AS411" s="13" t="str">
        <f t="shared" si="827"/>
        <v>0</v>
      </c>
      <c r="AT411" s="698">
        <f t="shared" si="11"/>
        <v>0</v>
      </c>
    </row>
    <row r="412" ht="15.75" customHeight="1">
      <c r="A412" s="788" t="str">
        <f t="shared" si="5"/>
        <v>-</v>
      </c>
      <c r="B412" s="331"/>
      <c r="C412" s="331"/>
      <c r="D412" s="331"/>
      <c r="E412" s="790"/>
      <c r="F412" s="791"/>
      <c r="G412" s="331"/>
      <c r="H412" s="331"/>
      <c r="I412" s="331"/>
      <c r="J412" s="331"/>
      <c r="K412" s="331"/>
      <c r="L412" s="331"/>
      <c r="M412" s="331"/>
      <c r="N412" s="331"/>
      <c r="O412" s="331"/>
      <c r="P412" s="792"/>
      <c r="AB412" s="314"/>
      <c r="AC412" s="314"/>
      <c r="AD412" s="314"/>
      <c r="AE412" s="314"/>
      <c r="AF412" s="314"/>
      <c r="AG412" s="314"/>
      <c r="AJ412" s="13" t="str">
        <f t="shared" ref="AJ412:AQ412" si="828">IF(OR(E412=$C412,E412=$D412,E412=""),"0","1")</f>
        <v>0</v>
      </c>
      <c r="AK412" s="13" t="str">
        <f t="shared" si="828"/>
        <v>0</v>
      </c>
      <c r="AL412" s="13" t="str">
        <f t="shared" si="828"/>
        <v>0</v>
      </c>
      <c r="AM412" s="13" t="str">
        <f t="shared" si="828"/>
        <v>0</v>
      </c>
      <c r="AN412" s="13" t="str">
        <f t="shared" si="828"/>
        <v>0</v>
      </c>
      <c r="AO412" s="13" t="str">
        <f t="shared" si="828"/>
        <v>0</v>
      </c>
      <c r="AP412" s="13" t="str">
        <f t="shared" si="828"/>
        <v>0</v>
      </c>
      <c r="AQ412" s="13" t="str">
        <f t="shared" si="828"/>
        <v>0</v>
      </c>
      <c r="AR412" s="13" t="str">
        <f t="shared" ref="AR412:AS412" si="829">IF(OR(O412=$C412,O412=$D412,O412=""),"0","1")</f>
        <v>0</v>
      </c>
      <c r="AS412" s="13" t="str">
        <f t="shared" si="829"/>
        <v>0</v>
      </c>
      <c r="AT412" s="698">
        <f t="shared" si="11"/>
        <v>0</v>
      </c>
    </row>
    <row r="413" ht="15.75" customHeight="1">
      <c r="A413" s="788" t="str">
        <f t="shared" si="5"/>
        <v>-</v>
      </c>
      <c r="B413" s="331"/>
      <c r="C413" s="331"/>
      <c r="D413" s="331"/>
      <c r="E413" s="790"/>
      <c r="F413" s="791"/>
      <c r="G413" s="331"/>
      <c r="H413" s="331"/>
      <c r="I413" s="331"/>
      <c r="J413" s="331"/>
      <c r="K413" s="331"/>
      <c r="L413" s="331"/>
      <c r="M413" s="331"/>
      <c r="N413" s="331"/>
      <c r="O413" s="331"/>
      <c r="P413" s="792"/>
      <c r="AB413" s="314"/>
      <c r="AC413" s="314"/>
      <c r="AD413" s="314"/>
      <c r="AE413" s="314"/>
      <c r="AF413" s="314"/>
      <c r="AG413" s="314"/>
      <c r="AJ413" s="13" t="str">
        <f t="shared" ref="AJ413:AQ413" si="830">IF(OR(E413=$C413,E413=$D413,E413=""),"0","1")</f>
        <v>0</v>
      </c>
      <c r="AK413" s="13" t="str">
        <f t="shared" si="830"/>
        <v>0</v>
      </c>
      <c r="AL413" s="13" t="str">
        <f t="shared" si="830"/>
        <v>0</v>
      </c>
      <c r="AM413" s="13" t="str">
        <f t="shared" si="830"/>
        <v>0</v>
      </c>
      <c r="AN413" s="13" t="str">
        <f t="shared" si="830"/>
        <v>0</v>
      </c>
      <c r="AO413" s="13" t="str">
        <f t="shared" si="830"/>
        <v>0</v>
      </c>
      <c r="AP413" s="13" t="str">
        <f t="shared" si="830"/>
        <v>0</v>
      </c>
      <c r="AQ413" s="13" t="str">
        <f t="shared" si="830"/>
        <v>0</v>
      </c>
      <c r="AR413" s="13" t="str">
        <f t="shared" ref="AR413:AS413" si="831">IF(OR(O413=$C413,O413=$D413,O413=""),"0","1")</f>
        <v>0</v>
      </c>
      <c r="AS413" s="13" t="str">
        <f t="shared" si="831"/>
        <v>0</v>
      </c>
      <c r="AT413" s="698">
        <f t="shared" si="11"/>
        <v>0</v>
      </c>
    </row>
    <row r="414" ht="15.75" customHeight="1">
      <c r="A414" s="788" t="str">
        <f t="shared" si="5"/>
        <v>-</v>
      </c>
      <c r="B414" s="331"/>
      <c r="C414" s="331"/>
      <c r="D414" s="331"/>
      <c r="E414" s="790"/>
      <c r="F414" s="791"/>
      <c r="G414" s="331"/>
      <c r="H414" s="331"/>
      <c r="I414" s="331"/>
      <c r="J414" s="331"/>
      <c r="K414" s="331"/>
      <c r="L414" s="331"/>
      <c r="M414" s="331"/>
      <c r="N414" s="331"/>
      <c r="O414" s="331"/>
      <c r="P414" s="792"/>
      <c r="AB414" s="314"/>
      <c r="AC414" s="314"/>
      <c r="AD414" s="314"/>
      <c r="AE414" s="314"/>
      <c r="AF414" s="314"/>
      <c r="AG414" s="314"/>
      <c r="AJ414" s="13" t="str">
        <f t="shared" ref="AJ414:AQ414" si="832">IF(OR(E414=$C414,E414=$D414,E414=""),"0","1")</f>
        <v>0</v>
      </c>
      <c r="AK414" s="13" t="str">
        <f t="shared" si="832"/>
        <v>0</v>
      </c>
      <c r="AL414" s="13" t="str">
        <f t="shared" si="832"/>
        <v>0</v>
      </c>
      <c r="AM414" s="13" t="str">
        <f t="shared" si="832"/>
        <v>0</v>
      </c>
      <c r="AN414" s="13" t="str">
        <f t="shared" si="832"/>
        <v>0</v>
      </c>
      <c r="AO414" s="13" t="str">
        <f t="shared" si="832"/>
        <v>0</v>
      </c>
      <c r="AP414" s="13" t="str">
        <f t="shared" si="832"/>
        <v>0</v>
      </c>
      <c r="AQ414" s="13" t="str">
        <f t="shared" si="832"/>
        <v>0</v>
      </c>
      <c r="AR414" s="13" t="str">
        <f t="shared" ref="AR414:AS414" si="833">IF(OR(O414=$C414,O414=$D414,O414=""),"0","1")</f>
        <v>0</v>
      </c>
      <c r="AS414" s="13" t="str">
        <f t="shared" si="833"/>
        <v>0</v>
      </c>
      <c r="AT414" s="698">
        <f t="shared" si="11"/>
        <v>0</v>
      </c>
    </row>
    <row r="415" ht="15.75" customHeight="1">
      <c r="A415" s="788" t="str">
        <f t="shared" si="5"/>
        <v>-</v>
      </c>
      <c r="B415" s="331"/>
      <c r="C415" s="331"/>
      <c r="D415" s="331"/>
      <c r="E415" s="790"/>
      <c r="F415" s="791"/>
      <c r="G415" s="331"/>
      <c r="H415" s="331"/>
      <c r="I415" s="331"/>
      <c r="J415" s="331"/>
      <c r="K415" s="331"/>
      <c r="L415" s="331"/>
      <c r="M415" s="331"/>
      <c r="N415" s="331"/>
      <c r="O415" s="331"/>
      <c r="P415" s="792"/>
      <c r="AB415" s="314"/>
      <c r="AC415" s="314"/>
      <c r="AD415" s="314"/>
      <c r="AE415" s="314"/>
      <c r="AF415" s="314"/>
      <c r="AG415" s="314"/>
      <c r="AJ415" s="13" t="str">
        <f t="shared" ref="AJ415:AQ415" si="834">IF(OR(E415=$C415,E415=$D415,E415=""),"0","1")</f>
        <v>0</v>
      </c>
      <c r="AK415" s="13" t="str">
        <f t="shared" si="834"/>
        <v>0</v>
      </c>
      <c r="AL415" s="13" t="str">
        <f t="shared" si="834"/>
        <v>0</v>
      </c>
      <c r="AM415" s="13" t="str">
        <f t="shared" si="834"/>
        <v>0</v>
      </c>
      <c r="AN415" s="13" t="str">
        <f t="shared" si="834"/>
        <v>0</v>
      </c>
      <c r="AO415" s="13" t="str">
        <f t="shared" si="834"/>
        <v>0</v>
      </c>
      <c r="AP415" s="13" t="str">
        <f t="shared" si="834"/>
        <v>0</v>
      </c>
      <c r="AQ415" s="13" t="str">
        <f t="shared" si="834"/>
        <v>0</v>
      </c>
      <c r="AR415" s="13" t="str">
        <f t="shared" ref="AR415:AS415" si="835">IF(OR(O415=$C415,O415=$D415,O415=""),"0","1")</f>
        <v>0</v>
      </c>
      <c r="AS415" s="13" t="str">
        <f t="shared" si="835"/>
        <v>0</v>
      </c>
      <c r="AT415" s="698">
        <f t="shared" si="11"/>
        <v>0</v>
      </c>
    </row>
    <row r="416" ht="15.75" customHeight="1">
      <c r="A416" s="788" t="str">
        <f t="shared" si="5"/>
        <v>-</v>
      </c>
      <c r="B416" s="331"/>
      <c r="C416" s="331"/>
      <c r="D416" s="331"/>
      <c r="E416" s="790"/>
      <c r="F416" s="791"/>
      <c r="G416" s="331"/>
      <c r="H416" s="331"/>
      <c r="I416" s="331"/>
      <c r="J416" s="331"/>
      <c r="K416" s="331"/>
      <c r="L416" s="331"/>
      <c r="M416" s="331"/>
      <c r="N416" s="331"/>
      <c r="O416" s="331"/>
      <c r="P416" s="792"/>
      <c r="AB416" s="314"/>
      <c r="AC416" s="314"/>
      <c r="AD416" s="314"/>
      <c r="AE416" s="314"/>
      <c r="AF416" s="314"/>
      <c r="AG416" s="314"/>
      <c r="AJ416" s="13" t="str">
        <f t="shared" ref="AJ416:AQ416" si="836">IF(OR(E416=$C416,E416=$D416,E416=""),"0","1")</f>
        <v>0</v>
      </c>
      <c r="AK416" s="13" t="str">
        <f t="shared" si="836"/>
        <v>0</v>
      </c>
      <c r="AL416" s="13" t="str">
        <f t="shared" si="836"/>
        <v>0</v>
      </c>
      <c r="AM416" s="13" t="str">
        <f t="shared" si="836"/>
        <v>0</v>
      </c>
      <c r="AN416" s="13" t="str">
        <f t="shared" si="836"/>
        <v>0</v>
      </c>
      <c r="AO416" s="13" t="str">
        <f t="shared" si="836"/>
        <v>0</v>
      </c>
      <c r="AP416" s="13" t="str">
        <f t="shared" si="836"/>
        <v>0</v>
      </c>
      <c r="AQ416" s="13" t="str">
        <f t="shared" si="836"/>
        <v>0</v>
      </c>
      <c r="AR416" s="13" t="str">
        <f t="shared" ref="AR416:AS416" si="837">IF(OR(O416=$C416,O416=$D416,O416=""),"0","1")</f>
        <v>0</v>
      </c>
      <c r="AS416" s="13" t="str">
        <f t="shared" si="837"/>
        <v>0</v>
      </c>
      <c r="AT416" s="698">
        <f t="shared" si="11"/>
        <v>0</v>
      </c>
    </row>
    <row r="417" ht="15.75" customHeight="1">
      <c r="A417" s="788" t="str">
        <f t="shared" si="5"/>
        <v>-</v>
      </c>
      <c r="B417" s="331"/>
      <c r="C417" s="331"/>
      <c r="D417" s="331"/>
      <c r="E417" s="790"/>
      <c r="F417" s="791"/>
      <c r="G417" s="331"/>
      <c r="H417" s="331"/>
      <c r="I417" s="331"/>
      <c r="J417" s="331"/>
      <c r="K417" s="331"/>
      <c r="L417" s="331"/>
      <c r="M417" s="331"/>
      <c r="N417" s="331"/>
      <c r="O417" s="331"/>
      <c r="P417" s="792"/>
      <c r="AB417" s="314"/>
      <c r="AC417" s="314"/>
      <c r="AD417" s="314"/>
      <c r="AE417" s="314"/>
      <c r="AF417" s="314"/>
      <c r="AG417" s="314"/>
      <c r="AJ417" s="13" t="str">
        <f t="shared" ref="AJ417:AQ417" si="838">IF(OR(E417=$C417,E417=$D417,E417=""),"0","1")</f>
        <v>0</v>
      </c>
      <c r="AK417" s="13" t="str">
        <f t="shared" si="838"/>
        <v>0</v>
      </c>
      <c r="AL417" s="13" t="str">
        <f t="shared" si="838"/>
        <v>0</v>
      </c>
      <c r="AM417" s="13" t="str">
        <f t="shared" si="838"/>
        <v>0</v>
      </c>
      <c r="AN417" s="13" t="str">
        <f t="shared" si="838"/>
        <v>0</v>
      </c>
      <c r="AO417" s="13" t="str">
        <f t="shared" si="838"/>
        <v>0</v>
      </c>
      <c r="AP417" s="13" t="str">
        <f t="shared" si="838"/>
        <v>0</v>
      </c>
      <c r="AQ417" s="13" t="str">
        <f t="shared" si="838"/>
        <v>0</v>
      </c>
      <c r="AR417" s="13" t="str">
        <f t="shared" ref="AR417:AS417" si="839">IF(OR(O417=$C417,O417=$D417,O417=""),"0","1")</f>
        <v>0</v>
      </c>
      <c r="AS417" s="13" t="str">
        <f t="shared" si="839"/>
        <v>0</v>
      </c>
      <c r="AT417" s="698">
        <f t="shared" si="11"/>
        <v>0</v>
      </c>
    </row>
    <row r="418" ht="15.75" customHeight="1">
      <c r="A418" s="788" t="str">
        <f t="shared" si="5"/>
        <v>-</v>
      </c>
      <c r="B418" s="331"/>
      <c r="C418" s="331"/>
      <c r="D418" s="331"/>
      <c r="E418" s="790"/>
      <c r="F418" s="791"/>
      <c r="G418" s="331"/>
      <c r="H418" s="331"/>
      <c r="I418" s="331"/>
      <c r="J418" s="331"/>
      <c r="K418" s="331"/>
      <c r="L418" s="331"/>
      <c r="M418" s="331"/>
      <c r="N418" s="331"/>
      <c r="O418" s="331"/>
      <c r="P418" s="792"/>
      <c r="AB418" s="314"/>
      <c r="AC418" s="314"/>
      <c r="AD418" s="314"/>
      <c r="AE418" s="314"/>
      <c r="AF418" s="314"/>
      <c r="AG418" s="314"/>
      <c r="AJ418" s="13" t="str">
        <f t="shared" ref="AJ418:AQ418" si="840">IF(OR(E418=$C418,E418=$D418,E418=""),"0","1")</f>
        <v>0</v>
      </c>
      <c r="AK418" s="13" t="str">
        <f t="shared" si="840"/>
        <v>0</v>
      </c>
      <c r="AL418" s="13" t="str">
        <f t="shared" si="840"/>
        <v>0</v>
      </c>
      <c r="AM418" s="13" t="str">
        <f t="shared" si="840"/>
        <v>0</v>
      </c>
      <c r="AN418" s="13" t="str">
        <f t="shared" si="840"/>
        <v>0</v>
      </c>
      <c r="AO418" s="13" t="str">
        <f t="shared" si="840"/>
        <v>0</v>
      </c>
      <c r="AP418" s="13" t="str">
        <f t="shared" si="840"/>
        <v>0</v>
      </c>
      <c r="AQ418" s="13" t="str">
        <f t="shared" si="840"/>
        <v>0</v>
      </c>
      <c r="AR418" s="13" t="str">
        <f t="shared" ref="AR418:AS418" si="841">IF(OR(O418=$C418,O418=$D418,O418=""),"0","1")</f>
        <v>0</v>
      </c>
      <c r="AS418" s="13" t="str">
        <f t="shared" si="841"/>
        <v>0</v>
      </c>
      <c r="AT418" s="698">
        <f t="shared" si="11"/>
        <v>0</v>
      </c>
    </row>
    <row r="419" ht="15.75" customHeight="1">
      <c r="A419" s="788" t="str">
        <f t="shared" si="5"/>
        <v>-</v>
      </c>
      <c r="B419" s="331"/>
      <c r="C419" s="331"/>
      <c r="D419" s="331"/>
      <c r="E419" s="790"/>
      <c r="F419" s="791"/>
      <c r="G419" s="331"/>
      <c r="H419" s="331"/>
      <c r="I419" s="331"/>
      <c r="J419" s="331"/>
      <c r="K419" s="331"/>
      <c r="L419" s="331"/>
      <c r="M419" s="331"/>
      <c r="N419" s="331"/>
      <c r="O419" s="331"/>
      <c r="P419" s="792"/>
      <c r="AB419" s="314"/>
      <c r="AC419" s="314"/>
      <c r="AD419" s="314"/>
      <c r="AE419" s="314"/>
      <c r="AF419" s="314"/>
      <c r="AG419" s="314"/>
      <c r="AJ419" s="13" t="str">
        <f t="shared" ref="AJ419:AQ419" si="842">IF(OR(E419=$C419,E419=$D419,E419=""),"0","1")</f>
        <v>0</v>
      </c>
      <c r="AK419" s="13" t="str">
        <f t="shared" si="842"/>
        <v>0</v>
      </c>
      <c r="AL419" s="13" t="str">
        <f t="shared" si="842"/>
        <v>0</v>
      </c>
      <c r="AM419" s="13" t="str">
        <f t="shared" si="842"/>
        <v>0</v>
      </c>
      <c r="AN419" s="13" t="str">
        <f t="shared" si="842"/>
        <v>0</v>
      </c>
      <c r="AO419" s="13" t="str">
        <f t="shared" si="842"/>
        <v>0</v>
      </c>
      <c r="AP419" s="13" t="str">
        <f t="shared" si="842"/>
        <v>0</v>
      </c>
      <c r="AQ419" s="13" t="str">
        <f t="shared" si="842"/>
        <v>0</v>
      </c>
      <c r="AR419" s="13" t="str">
        <f t="shared" ref="AR419:AS419" si="843">IF(OR(O419=$C419,O419=$D419,O419=""),"0","1")</f>
        <v>0</v>
      </c>
      <c r="AS419" s="13" t="str">
        <f t="shared" si="843"/>
        <v>0</v>
      </c>
      <c r="AT419" s="698">
        <f t="shared" si="11"/>
        <v>0</v>
      </c>
    </row>
    <row r="420" ht="15.75" customHeight="1">
      <c r="A420" s="788" t="str">
        <f t="shared" si="5"/>
        <v>-</v>
      </c>
      <c r="B420" s="331"/>
      <c r="C420" s="331"/>
      <c r="D420" s="331"/>
      <c r="E420" s="790"/>
      <c r="F420" s="791"/>
      <c r="G420" s="331"/>
      <c r="H420" s="331"/>
      <c r="I420" s="331"/>
      <c r="J420" s="331"/>
      <c r="K420" s="331"/>
      <c r="L420" s="331"/>
      <c r="M420" s="331"/>
      <c r="N420" s="331"/>
      <c r="O420" s="331"/>
      <c r="P420" s="792"/>
      <c r="AB420" s="314"/>
      <c r="AC420" s="314"/>
      <c r="AD420" s="314"/>
      <c r="AE420" s="314"/>
      <c r="AF420" s="314"/>
      <c r="AG420" s="314"/>
      <c r="AJ420" s="13" t="str">
        <f t="shared" ref="AJ420:AQ420" si="844">IF(OR(E420=$C420,E420=$D420,E420=""),"0","1")</f>
        <v>0</v>
      </c>
      <c r="AK420" s="13" t="str">
        <f t="shared" si="844"/>
        <v>0</v>
      </c>
      <c r="AL420" s="13" t="str">
        <f t="shared" si="844"/>
        <v>0</v>
      </c>
      <c r="AM420" s="13" t="str">
        <f t="shared" si="844"/>
        <v>0</v>
      </c>
      <c r="AN420" s="13" t="str">
        <f t="shared" si="844"/>
        <v>0</v>
      </c>
      <c r="AO420" s="13" t="str">
        <f t="shared" si="844"/>
        <v>0</v>
      </c>
      <c r="AP420" s="13" t="str">
        <f t="shared" si="844"/>
        <v>0</v>
      </c>
      <c r="AQ420" s="13" t="str">
        <f t="shared" si="844"/>
        <v>0</v>
      </c>
      <c r="AR420" s="13" t="str">
        <f t="shared" ref="AR420:AS420" si="845">IF(OR(O420=$C420,O420=$D420,O420=""),"0","1")</f>
        <v>0</v>
      </c>
      <c r="AS420" s="13" t="str">
        <f t="shared" si="845"/>
        <v>0</v>
      </c>
      <c r="AT420" s="698">
        <f t="shared" si="11"/>
        <v>0</v>
      </c>
    </row>
    <row r="421" ht="15.75" customHeight="1">
      <c r="A421" s="788" t="str">
        <f t="shared" si="5"/>
        <v>-</v>
      </c>
      <c r="B421" s="331"/>
      <c r="C421" s="331"/>
      <c r="D421" s="331"/>
      <c r="E421" s="790"/>
      <c r="F421" s="791"/>
      <c r="G421" s="331"/>
      <c r="H421" s="331"/>
      <c r="I421" s="331"/>
      <c r="J421" s="331"/>
      <c r="K421" s="331"/>
      <c r="L421" s="331"/>
      <c r="M421" s="331"/>
      <c r="N421" s="331"/>
      <c r="O421" s="331"/>
      <c r="P421" s="792"/>
      <c r="AB421" s="314"/>
      <c r="AC421" s="314"/>
      <c r="AD421" s="314"/>
      <c r="AE421" s="314"/>
      <c r="AF421" s="314"/>
      <c r="AG421" s="314"/>
      <c r="AJ421" s="13" t="str">
        <f t="shared" ref="AJ421:AQ421" si="846">IF(OR(E421=$C421,E421=$D421,E421=""),"0","1")</f>
        <v>0</v>
      </c>
      <c r="AK421" s="13" t="str">
        <f t="shared" si="846"/>
        <v>0</v>
      </c>
      <c r="AL421" s="13" t="str">
        <f t="shared" si="846"/>
        <v>0</v>
      </c>
      <c r="AM421" s="13" t="str">
        <f t="shared" si="846"/>
        <v>0</v>
      </c>
      <c r="AN421" s="13" t="str">
        <f t="shared" si="846"/>
        <v>0</v>
      </c>
      <c r="AO421" s="13" t="str">
        <f t="shared" si="846"/>
        <v>0</v>
      </c>
      <c r="AP421" s="13" t="str">
        <f t="shared" si="846"/>
        <v>0</v>
      </c>
      <c r="AQ421" s="13" t="str">
        <f t="shared" si="846"/>
        <v>0</v>
      </c>
      <c r="AR421" s="13" t="str">
        <f t="shared" ref="AR421:AS421" si="847">IF(OR(O421=$C421,O421=$D421,O421=""),"0","1")</f>
        <v>0</v>
      </c>
      <c r="AS421" s="13" t="str">
        <f t="shared" si="847"/>
        <v>0</v>
      </c>
      <c r="AT421" s="698">
        <f t="shared" si="11"/>
        <v>0</v>
      </c>
    </row>
    <row r="422" ht="15.75" customHeight="1">
      <c r="A422" s="788" t="str">
        <f t="shared" si="5"/>
        <v>-</v>
      </c>
      <c r="B422" s="331"/>
      <c r="C422" s="331"/>
      <c r="D422" s="331"/>
      <c r="E422" s="790"/>
      <c r="F422" s="791"/>
      <c r="G422" s="331"/>
      <c r="H422" s="331"/>
      <c r="I422" s="331"/>
      <c r="J422" s="331"/>
      <c r="K422" s="331"/>
      <c r="L422" s="331"/>
      <c r="M422" s="331"/>
      <c r="N422" s="331"/>
      <c r="O422" s="331"/>
      <c r="P422" s="792"/>
      <c r="AB422" s="314"/>
      <c r="AC422" s="314"/>
      <c r="AD422" s="314"/>
      <c r="AE422" s="314"/>
      <c r="AF422" s="314"/>
      <c r="AG422" s="314"/>
      <c r="AJ422" s="13" t="str">
        <f t="shared" ref="AJ422:AQ422" si="848">IF(OR(E422=$C422,E422=$D422,E422=""),"0","1")</f>
        <v>0</v>
      </c>
      <c r="AK422" s="13" t="str">
        <f t="shared" si="848"/>
        <v>0</v>
      </c>
      <c r="AL422" s="13" t="str">
        <f t="shared" si="848"/>
        <v>0</v>
      </c>
      <c r="AM422" s="13" t="str">
        <f t="shared" si="848"/>
        <v>0</v>
      </c>
      <c r="AN422" s="13" t="str">
        <f t="shared" si="848"/>
        <v>0</v>
      </c>
      <c r="AO422" s="13" t="str">
        <f t="shared" si="848"/>
        <v>0</v>
      </c>
      <c r="AP422" s="13" t="str">
        <f t="shared" si="848"/>
        <v>0</v>
      </c>
      <c r="AQ422" s="13" t="str">
        <f t="shared" si="848"/>
        <v>0</v>
      </c>
      <c r="AR422" s="13" t="str">
        <f t="shared" ref="AR422:AS422" si="849">IF(OR(O422=$C422,O422=$D422,O422=""),"0","1")</f>
        <v>0</v>
      </c>
      <c r="AS422" s="13" t="str">
        <f t="shared" si="849"/>
        <v>0</v>
      </c>
      <c r="AT422" s="698">
        <f t="shared" si="11"/>
        <v>0</v>
      </c>
    </row>
    <row r="423" ht="15.75" customHeight="1">
      <c r="A423" s="788" t="str">
        <f t="shared" si="5"/>
        <v>-</v>
      </c>
      <c r="B423" s="331"/>
      <c r="C423" s="331"/>
      <c r="D423" s="331"/>
      <c r="E423" s="790"/>
      <c r="F423" s="791"/>
      <c r="G423" s="331"/>
      <c r="H423" s="331"/>
      <c r="I423" s="331"/>
      <c r="J423" s="331"/>
      <c r="K423" s="331"/>
      <c r="L423" s="331"/>
      <c r="M423" s="331"/>
      <c r="N423" s="331"/>
      <c r="O423" s="331"/>
      <c r="P423" s="792"/>
      <c r="AB423" s="314"/>
      <c r="AC423" s="314"/>
      <c r="AD423" s="314"/>
      <c r="AE423" s="314"/>
      <c r="AF423" s="314"/>
      <c r="AG423" s="314"/>
      <c r="AJ423" s="13" t="str">
        <f t="shared" ref="AJ423:AQ423" si="850">IF(OR(E423=$C423,E423=$D423,E423=""),"0","1")</f>
        <v>0</v>
      </c>
      <c r="AK423" s="13" t="str">
        <f t="shared" si="850"/>
        <v>0</v>
      </c>
      <c r="AL423" s="13" t="str">
        <f t="shared" si="850"/>
        <v>0</v>
      </c>
      <c r="AM423" s="13" t="str">
        <f t="shared" si="850"/>
        <v>0</v>
      </c>
      <c r="AN423" s="13" t="str">
        <f t="shared" si="850"/>
        <v>0</v>
      </c>
      <c r="AO423" s="13" t="str">
        <f t="shared" si="850"/>
        <v>0</v>
      </c>
      <c r="AP423" s="13" t="str">
        <f t="shared" si="850"/>
        <v>0</v>
      </c>
      <c r="AQ423" s="13" t="str">
        <f t="shared" si="850"/>
        <v>0</v>
      </c>
      <c r="AR423" s="13" t="str">
        <f t="shared" ref="AR423:AS423" si="851">IF(OR(O423=$C423,O423=$D423,O423=""),"0","1")</f>
        <v>0</v>
      </c>
      <c r="AS423" s="13" t="str">
        <f t="shared" si="851"/>
        <v>0</v>
      </c>
      <c r="AT423" s="698">
        <f t="shared" si="11"/>
        <v>0</v>
      </c>
    </row>
    <row r="424" ht="15.75" customHeight="1">
      <c r="A424" s="788" t="str">
        <f t="shared" si="5"/>
        <v>-</v>
      </c>
      <c r="B424" s="331"/>
      <c r="C424" s="331"/>
      <c r="D424" s="331"/>
      <c r="E424" s="790"/>
      <c r="F424" s="791"/>
      <c r="G424" s="331"/>
      <c r="H424" s="331"/>
      <c r="I424" s="331"/>
      <c r="J424" s="331"/>
      <c r="K424" s="331"/>
      <c r="L424" s="331"/>
      <c r="M424" s="331"/>
      <c r="N424" s="331"/>
      <c r="O424" s="331"/>
      <c r="P424" s="792"/>
      <c r="AB424" s="314"/>
      <c r="AC424" s="314"/>
      <c r="AD424" s="314"/>
      <c r="AE424" s="314"/>
      <c r="AF424" s="314"/>
      <c r="AG424" s="314"/>
      <c r="AJ424" s="13" t="str">
        <f t="shared" ref="AJ424:AQ424" si="852">IF(OR(E424=$C424,E424=$D424,E424=""),"0","1")</f>
        <v>0</v>
      </c>
      <c r="AK424" s="13" t="str">
        <f t="shared" si="852"/>
        <v>0</v>
      </c>
      <c r="AL424" s="13" t="str">
        <f t="shared" si="852"/>
        <v>0</v>
      </c>
      <c r="AM424" s="13" t="str">
        <f t="shared" si="852"/>
        <v>0</v>
      </c>
      <c r="AN424" s="13" t="str">
        <f t="shared" si="852"/>
        <v>0</v>
      </c>
      <c r="AO424" s="13" t="str">
        <f t="shared" si="852"/>
        <v>0</v>
      </c>
      <c r="AP424" s="13" t="str">
        <f t="shared" si="852"/>
        <v>0</v>
      </c>
      <c r="AQ424" s="13" t="str">
        <f t="shared" si="852"/>
        <v>0</v>
      </c>
      <c r="AR424" s="13" t="str">
        <f t="shared" ref="AR424:AS424" si="853">IF(OR(O424=$C424,O424=$D424,O424=""),"0","1")</f>
        <v>0</v>
      </c>
      <c r="AS424" s="13" t="str">
        <f t="shared" si="853"/>
        <v>0</v>
      </c>
      <c r="AT424" s="698">
        <f t="shared" si="11"/>
        <v>0</v>
      </c>
    </row>
    <row r="425" ht="15.75" customHeight="1">
      <c r="A425" s="788" t="str">
        <f t="shared" si="5"/>
        <v>-</v>
      </c>
      <c r="B425" s="331"/>
      <c r="C425" s="331"/>
      <c r="D425" s="331"/>
      <c r="E425" s="790"/>
      <c r="F425" s="791"/>
      <c r="G425" s="331"/>
      <c r="H425" s="331"/>
      <c r="I425" s="331"/>
      <c r="J425" s="331"/>
      <c r="K425" s="331"/>
      <c r="L425" s="331"/>
      <c r="M425" s="331"/>
      <c r="N425" s="331"/>
      <c r="O425" s="331"/>
      <c r="P425" s="792"/>
      <c r="AB425" s="314"/>
      <c r="AC425" s="314"/>
      <c r="AD425" s="314"/>
      <c r="AE425" s="314"/>
      <c r="AF425" s="314"/>
      <c r="AG425" s="314"/>
      <c r="AJ425" s="13" t="str">
        <f t="shared" ref="AJ425:AQ425" si="854">IF(OR(E425=$C425,E425=$D425,E425=""),"0","1")</f>
        <v>0</v>
      </c>
      <c r="AK425" s="13" t="str">
        <f t="shared" si="854"/>
        <v>0</v>
      </c>
      <c r="AL425" s="13" t="str">
        <f t="shared" si="854"/>
        <v>0</v>
      </c>
      <c r="AM425" s="13" t="str">
        <f t="shared" si="854"/>
        <v>0</v>
      </c>
      <c r="AN425" s="13" t="str">
        <f t="shared" si="854"/>
        <v>0</v>
      </c>
      <c r="AO425" s="13" t="str">
        <f t="shared" si="854"/>
        <v>0</v>
      </c>
      <c r="AP425" s="13" t="str">
        <f t="shared" si="854"/>
        <v>0</v>
      </c>
      <c r="AQ425" s="13" t="str">
        <f t="shared" si="854"/>
        <v>0</v>
      </c>
      <c r="AR425" s="13" t="str">
        <f t="shared" ref="AR425:AS425" si="855">IF(OR(O425=$C425,O425=$D425,O425=""),"0","1")</f>
        <v>0</v>
      </c>
      <c r="AS425" s="13" t="str">
        <f t="shared" si="855"/>
        <v>0</v>
      </c>
      <c r="AT425" s="698">
        <f t="shared" si="11"/>
        <v>0</v>
      </c>
    </row>
    <row r="426" ht="15.75" customHeight="1">
      <c r="A426" s="788" t="str">
        <f t="shared" si="5"/>
        <v>-</v>
      </c>
      <c r="B426" s="331"/>
      <c r="C426" s="331"/>
      <c r="D426" s="331"/>
      <c r="E426" s="790"/>
      <c r="F426" s="791"/>
      <c r="G426" s="331"/>
      <c r="H426" s="331"/>
      <c r="I426" s="331"/>
      <c r="J426" s="331"/>
      <c r="K426" s="331"/>
      <c r="L426" s="331"/>
      <c r="M426" s="331"/>
      <c r="N426" s="331"/>
      <c r="O426" s="331"/>
      <c r="P426" s="792"/>
      <c r="AB426" s="314"/>
      <c r="AC426" s="314"/>
      <c r="AD426" s="314"/>
      <c r="AE426" s="314"/>
      <c r="AF426" s="314"/>
      <c r="AG426" s="314"/>
      <c r="AJ426" s="13" t="str">
        <f t="shared" ref="AJ426:AQ426" si="856">IF(OR(E426=$C426,E426=$D426,E426=""),"0","1")</f>
        <v>0</v>
      </c>
      <c r="AK426" s="13" t="str">
        <f t="shared" si="856"/>
        <v>0</v>
      </c>
      <c r="AL426" s="13" t="str">
        <f t="shared" si="856"/>
        <v>0</v>
      </c>
      <c r="AM426" s="13" t="str">
        <f t="shared" si="856"/>
        <v>0</v>
      </c>
      <c r="AN426" s="13" t="str">
        <f t="shared" si="856"/>
        <v>0</v>
      </c>
      <c r="AO426" s="13" t="str">
        <f t="shared" si="856"/>
        <v>0</v>
      </c>
      <c r="AP426" s="13" t="str">
        <f t="shared" si="856"/>
        <v>0</v>
      </c>
      <c r="AQ426" s="13" t="str">
        <f t="shared" si="856"/>
        <v>0</v>
      </c>
      <c r="AR426" s="13" t="str">
        <f t="shared" ref="AR426:AS426" si="857">IF(OR(O426=$C426,O426=$D426,O426=""),"0","1")</f>
        <v>0</v>
      </c>
      <c r="AS426" s="13" t="str">
        <f t="shared" si="857"/>
        <v>0</v>
      </c>
      <c r="AT426" s="698">
        <f t="shared" si="11"/>
        <v>0</v>
      </c>
    </row>
    <row r="427" ht="15.75" customHeight="1">
      <c r="A427" s="788" t="str">
        <f t="shared" si="5"/>
        <v>-</v>
      </c>
      <c r="B427" s="331"/>
      <c r="C427" s="331"/>
      <c r="D427" s="331"/>
      <c r="E427" s="790"/>
      <c r="F427" s="791"/>
      <c r="G427" s="331"/>
      <c r="H427" s="331"/>
      <c r="I427" s="331"/>
      <c r="J427" s="331"/>
      <c r="K427" s="331"/>
      <c r="L427" s="331"/>
      <c r="M427" s="331"/>
      <c r="N427" s="331"/>
      <c r="O427" s="331"/>
      <c r="P427" s="792"/>
      <c r="AB427" s="314"/>
      <c r="AC427" s="314"/>
      <c r="AD427" s="314"/>
      <c r="AE427" s="314"/>
      <c r="AF427" s="314"/>
      <c r="AG427" s="314"/>
      <c r="AJ427" s="13" t="str">
        <f t="shared" ref="AJ427:AQ427" si="858">IF(OR(E427=$C427,E427=$D427,E427=""),"0","1")</f>
        <v>0</v>
      </c>
      <c r="AK427" s="13" t="str">
        <f t="shared" si="858"/>
        <v>0</v>
      </c>
      <c r="AL427" s="13" t="str">
        <f t="shared" si="858"/>
        <v>0</v>
      </c>
      <c r="AM427" s="13" t="str">
        <f t="shared" si="858"/>
        <v>0</v>
      </c>
      <c r="AN427" s="13" t="str">
        <f t="shared" si="858"/>
        <v>0</v>
      </c>
      <c r="AO427" s="13" t="str">
        <f t="shared" si="858"/>
        <v>0</v>
      </c>
      <c r="AP427" s="13" t="str">
        <f t="shared" si="858"/>
        <v>0</v>
      </c>
      <c r="AQ427" s="13" t="str">
        <f t="shared" si="858"/>
        <v>0</v>
      </c>
      <c r="AR427" s="13" t="str">
        <f t="shared" ref="AR427:AS427" si="859">IF(OR(O427=$C427,O427=$D427,O427=""),"0","1")</f>
        <v>0</v>
      </c>
      <c r="AS427" s="13" t="str">
        <f t="shared" si="859"/>
        <v>0</v>
      </c>
      <c r="AT427" s="698">
        <f t="shared" si="11"/>
        <v>0</v>
      </c>
    </row>
    <row r="428" ht="15.75" customHeight="1">
      <c r="A428" s="788" t="str">
        <f t="shared" si="5"/>
        <v>-</v>
      </c>
      <c r="B428" s="331"/>
      <c r="C428" s="331"/>
      <c r="D428" s="331"/>
      <c r="E428" s="790"/>
      <c r="F428" s="791"/>
      <c r="G428" s="331"/>
      <c r="H428" s="331"/>
      <c r="I428" s="331"/>
      <c r="J428" s="331"/>
      <c r="K428" s="331"/>
      <c r="L428" s="331"/>
      <c r="M428" s="331"/>
      <c r="N428" s="331"/>
      <c r="O428" s="331"/>
      <c r="P428" s="792"/>
      <c r="AB428" s="314"/>
      <c r="AC428" s="314"/>
      <c r="AD428" s="314"/>
      <c r="AE428" s="314"/>
      <c r="AF428" s="314"/>
      <c r="AG428" s="314"/>
      <c r="AJ428" s="13" t="str">
        <f t="shared" ref="AJ428:AQ428" si="860">IF(OR(E428=$C428,E428=$D428,E428=""),"0","1")</f>
        <v>0</v>
      </c>
      <c r="AK428" s="13" t="str">
        <f t="shared" si="860"/>
        <v>0</v>
      </c>
      <c r="AL428" s="13" t="str">
        <f t="shared" si="860"/>
        <v>0</v>
      </c>
      <c r="AM428" s="13" t="str">
        <f t="shared" si="860"/>
        <v>0</v>
      </c>
      <c r="AN428" s="13" t="str">
        <f t="shared" si="860"/>
        <v>0</v>
      </c>
      <c r="AO428" s="13" t="str">
        <f t="shared" si="860"/>
        <v>0</v>
      </c>
      <c r="AP428" s="13" t="str">
        <f t="shared" si="860"/>
        <v>0</v>
      </c>
      <c r="AQ428" s="13" t="str">
        <f t="shared" si="860"/>
        <v>0</v>
      </c>
      <c r="AR428" s="13" t="str">
        <f t="shared" ref="AR428:AS428" si="861">IF(OR(O428=$C428,O428=$D428,O428=""),"0","1")</f>
        <v>0</v>
      </c>
      <c r="AS428" s="13" t="str">
        <f t="shared" si="861"/>
        <v>0</v>
      </c>
      <c r="AT428" s="698">
        <f t="shared" si="11"/>
        <v>0</v>
      </c>
    </row>
    <row r="429" ht="15.75" customHeight="1">
      <c r="A429" s="788" t="str">
        <f t="shared" si="5"/>
        <v>-</v>
      </c>
      <c r="B429" s="331"/>
      <c r="C429" s="331"/>
      <c r="D429" s="331"/>
      <c r="E429" s="790"/>
      <c r="F429" s="791"/>
      <c r="G429" s="331"/>
      <c r="H429" s="331"/>
      <c r="I429" s="331"/>
      <c r="J429" s="331"/>
      <c r="K429" s="331"/>
      <c r="L429" s="331"/>
      <c r="M429" s="331"/>
      <c r="N429" s="331"/>
      <c r="O429" s="331"/>
      <c r="P429" s="792"/>
      <c r="AB429" s="314"/>
      <c r="AC429" s="314"/>
      <c r="AD429" s="314"/>
      <c r="AE429" s="314"/>
      <c r="AF429" s="314"/>
      <c r="AG429" s="314"/>
      <c r="AJ429" s="13" t="str">
        <f t="shared" ref="AJ429:AQ429" si="862">IF(OR(E429=$C429,E429=$D429,E429=""),"0","1")</f>
        <v>0</v>
      </c>
      <c r="AK429" s="13" t="str">
        <f t="shared" si="862"/>
        <v>0</v>
      </c>
      <c r="AL429" s="13" t="str">
        <f t="shared" si="862"/>
        <v>0</v>
      </c>
      <c r="AM429" s="13" t="str">
        <f t="shared" si="862"/>
        <v>0</v>
      </c>
      <c r="AN429" s="13" t="str">
        <f t="shared" si="862"/>
        <v>0</v>
      </c>
      <c r="AO429" s="13" t="str">
        <f t="shared" si="862"/>
        <v>0</v>
      </c>
      <c r="AP429" s="13" t="str">
        <f t="shared" si="862"/>
        <v>0</v>
      </c>
      <c r="AQ429" s="13" t="str">
        <f t="shared" si="862"/>
        <v>0</v>
      </c>
      <c r="AR429" s="13" t="str">
        <f t="shared" ref="AR429:AS429" si="863">IF(OR(O429=$C429,O429=$D429,O429=""),"0","1")</f>
        <v>0</v>
      </c>
      <c r="AS429" s="13" t="str">
        <f t="shared" si="863"/>
        <v>0</v>
      </c>
      <c r="AT429" s="698">
        <f t="shared" si="11"/>
        <v>0</v>
      </c>
    </row>
    <row r="430" ht="15.75" customHeight="1">
      <c r="A430" s="788" t="str">
        <f t="shared" si="5"/>
        <v>-</v>
      </c>
      <c r="B430" s="331"/>
      <c r="C430" s="331"/>
      <c r="D430" s="331"/>
      <c r="E430" s="790"/>
      <c r="F430" s="791"/>
      <c r="G430" s="331"/>
      <c r="H430" s="331"/>
      <c r="I430" s="331"/>
      <c r="J430" s="331"/>
      <c r="K430" s="331"/>
      <c r="L430" s="331"/>
      <c r="M430" s="331"/>
      <c r="N430" s="331"/>
      <c r="O430" s="331"/>
      <c r="P430" s="792"/>
      <c r="AB430" s="314"/>
      <c r="AC430" s="314"/>
      <c r="AD430" s="314"/>
      <c r="AE430" s="314"/>
      <c r="AF430" s="314"/>
      <c r="AG430" s="314"/>
      <c r="AJ430" s="13" t="str">
        <f t="shared" ref="AJ430:AQ430" si="864">IF(OR(E430=$C430,E430=$D430,E430=""),"0","1")</f>
        <v>0</v>
      </c>
      <c r="AK430" s="13" t="str">
        <f t="shared" si="864"/>
        <v>0</v>
      </c>
      <c r="AL430" s="13" t="str">
        <f t="shared" si="864"/>
        <v>0</v>
      </c>
      <c r="AM430" s="13" t="str">
        <f t="shared" si="864"/>
        <v>0</v>
      </c>
      <c r="AN430" s="13" t="str">
        <f t="shared" si="864"/>
        <v>0</v>
      </c>
      <c r="AO430" s="13" t="str">
        <f t="shared" si="864"/>
        <v>0</v>
      </c>
      <c r="AP430" s="13" t="str">
        <f t="shared" si="864"/>
        <v>0</v>
      </c>
      <c r="AQ430" s="13" t="str">
        <f t="shared" si="864"/>
        <v>0</v>
      </c>
      <c r="AR430" s="13" t="str">
        <f t="shared" ref="AR430:AS430" si="865">IF(OR(O430=$C430,O430=$D430,O430=""),"0","1")</f>
        <v>0</v>
      </c>
      <c r="AS430" s="13" t="str">
        <f t="shared" si="865"/>
        <v>0</v>
      </c>
      <c r="AT430" s="698">
        <f t="shared" si="11"/>
        <v>0</v>
      </c>
    </row>
    <row r="431" ht="15.75" customHeight="1">
      <c r="A431" s="788" t="str">
        <f t="shared" si="5"/>
        <v>-</v>
      </c>
      <c r="B431" s="331"/>
      <c r="C431" s="331"/>
      <c r="D431" s="331"/>
      <c r="E431" s="790"/>
      <c r="F431" s="791"/>
      <c r="G431" s="331"/>
      <c r="H431" s="331"/>
      <c r="I431" s="331"/>
      <c r="J431" s="331"/>
      <c r="K431" s="331"/>
      <c r="L431" s="331"/>
      <c r="M431" s="331"/>
      <c r="N431" s="331"/>
      <c r="O431" s="331"/>
      <c r="P431" s="792"/>
      <c r="AB431" s="314"/>
      <c r="AC431" s="314"/>
      <c r="AD431" s="314"/>
      <c r="AE431" s="314"/>
      <c r="AF431" s="314"/>
      <c r="AG431" s="314"/>
      <c r="AJ431" s="13" t="str">
        <f t="shared" ref="AJ431:AQ431" si="866">IF(OR(E431=$C431,E431=$D431,E431=""),"0","1")</f>
        <v>0</v>
      </c>
      <c r="AK431" s="13" t="str">
        <f t="shared" si="866"/>
        <v>0</v>
      </c>
      <c r="AL431" s="13" t="str">
        <f t="shared" si="866"/>
        <v>0</v>
      </c>
      <c r="AM431" s="13" t="str">
        <f t="shared" si="866"/>
        <v>0</v>
      </c>
      <c r="AN431" s="13" t="str">
        <f t="shared" si="866"/>
        <v>0</v>
      </c>
      <c r="AO431" s="13" t="str">
        <f t="shared" si="866"/>
        <v>0</v>
      </c>
      <c r="AP431" s="13" t="str">
        <f t="shared" si="866"/>
        <v>0</v>
      </c>
      <c r="AQ431" s="13" t="str">
        <f t="shared" si="866"/>
        <v>0</v>
      </c>
      <c r="AR431" s="13" t="str">
        <f t="shared" ref="AR431:AS431" si="867">IF(OR(O431=$C431,O431=$D431,O431=""),"0","1")</f>
        <v>0</v>
      </c>
      <c r="AS431" s="13" t="str">
        <f t="shared" si="867"/>
        <v>0</v>
      </c>
      <c r="AT431" s="698">
        <f t="shared" si="11"/>
        <v>0</v>
      </c>
    </row>
    <row r="432" ht="15.75" customHeight="1">
      <c r="A432" s="788" t="str">
        <f t="shared" si="5"/>
        <v>-</v>
      </c>
      <c r="B432" s="331"/>
      <c r="C432" s="331"/>
      <c r="D432" s="331"/>
      <c r="E432" s="790"/>
      <c r="F432" s="791"/>
      <c r="G432" s="331"/>
      <c r="H432" s="331"/>
      <c r="I432" s="331"/>
      <c r="J432" s="331"/>
      <c r="K432" s="331"/>
      <c r="L432" s="331"/>
      <c r="M432" s="331"/>
      <c r="N432" s="331"/>
      <c r="O432" s="331"/>
      <c r="P432" s="792"/>
      <c r="AB432" s="314"/>
      <c r="AC432" s="314"/>
      <c r="AD432" s="314"/>
      <c r="AE432" s="314"/>
      <c r="AF432" s="314"/>
      <c r="AG432" s="314"/>
      <c r="AJ432" s="13" t="str">
        <f t="shared" ref="AJ432:AQ432" si="868">IF(OR(E432=$C432,E432=$D432,E432=""),"0","1")</f>
        <v>0</v>
      </c>
      <c r="AK432" s="13" t="str">
        <f t="shared" si="868"/>
        <v>0</v>
      </c>
      <c r="AL432" s="13" t="str">
        <f t="shared" si="868"/>
        <v>0</v>
      </c>
      <c r="AM432" s="13" t="str">
        <f t="shared" si="868"/>
        <v>0</v>
      </c>
      <c r="AN432" s="13" t="str">
        <f t="shared" si="868"/>
        <v>0</v>
      </c>
      <c r="AO432" s="13" t="str">
        <f t="shared" si="868"/>
        <v>0</v>
      </c>
      <c r="AP432" s="13" t="str">
        <f t="shared" si="868"/>
        <v>0</v>
      </c>
      <c r="AQ432" s="13" t="str">
        <f t="shared" si="868"/>
        <v>0</v>
      </c>
      <c r="AR432" s="13" t="str">
        <f t="shared" ref="AR432:AS432" si="869">IF(OR(O432=$C432,O432=$D432,O432=""),"0","1")</f>
        <v>0</v>
      </c>
      <c r="AS432" s="13" t="str">
        <f t="shared" si="869"/>
        <v>0</v>
      </c>
      <c r="AT432" s="698">
        <f t="shared" si="11"/>
        <v>0</v>
      </c>
    </row>
    <row r="433" ht="15.75" customHeight="1">
      <c r="A433" s="788" t="str">
        <f t="shared" si="5"/>
        <v>-</v>
      </c>
      <c r="B433" s="331"/>
      <c r="C433" s="331"/>
      <c r="D433" s="331"/>
      <c r="E433" s="790"/>
      <c r="F433" s="791"/>
      <c r="G433" s="331"/>
      <c r="H433" s="331"/>
      <c r="I433" s="331"/>
      <c r="J433" s="331"/>
      <c r="K433" s="331"/>
      <c r="L433" s="331"/>
      <c r="M433" s="331"/>
      <c r="N433" s="331"/>
      <c r="O433" s="331"/>
      <c r="P433" s="792"/>
      <c r="AB433" s="314"/>
      <c r="AC433" s="314"/>
      <c r="AD433" s="314"/>
      <c r="AE433" s="314"/>
      <c r="AF433" s="314"/>
      <c r="AG433" s="314"/>
      <c r="AJ433" s="13" t="str">
        <f t="shared" ref="AJ433:AQ433" si="870">IF(OR(E433=$C433,E433=$D433,E433=""),"0","1")</f>
        <v>0</v>
      </c>
      <c r="AK433" s="13" t="str">
        <f t="shared" si="870"/>
        <v>0</v>
      </c>
      <c r="AL433" s="13" t="str">
        <f t="shared" si="870"/>
        <v>0</v>
      </c>
      <c r="AM433" s="13" t="str">
        <f t="shared" si="870"/>
        <v>0</v>
      </c>
      <c r="AN433" s="13" t="str">
        <f t="shared" si="870"/>
        <v>0</v>
      </c>
      <c r="AO433" s="13" t="str">
        <f t="shared" si="870"/>
        <v>0</v>
      </c>
      <c r="AP433" s="13" t="str">
        <f t="shared" si="870"/>
        <v>0</v>
      </c>
      <c r="AQ433" s="13" t="str">
        <f t="shared" si="870"/>
        <v>0</v>
      </c>
      <c r="AR433" s="13" t="str">
        <f t="shared" ref="AR433:AS433" si="871">IF(OR(O433=$C433,O433=$D433,O433=""),"0","1")</f>
        <v>0</v>
      </c>
      <c r="AS433" s="13" t="str">
        <f t="shared" si="871"/>
        <v>0</v>
      </c>
      <c r="AT433" s="698">
        <f t="shared" si="11"/>
        <v>0</v>
      </c>
    </row>
    <row r="434" ht="15.75" customHeight="1">
      <c r="A434" s="788" t="str">
        <f t="shared" si="5"/>
        <v>-</v>
      </c>
      <c r="B434" s="331"/>
      <c r="C434" s="331"/>
      <c r="D434" s="331"/>
      <c r="E434" s="790"/>
      <c r="F434" s="791"/>
      <c r="G434" s="331"/>
      <c r="H434" s="331"/>
      <c r="I434" s="331"/>
      <c r="J434" s="331"/>
      <c r="K434" s="331"/>
      <c r="L434" s="331"/>
      <c r="M434" s="331"/>
      <c r="N434" s="331"/>
      <c r="O434" s="331"/>
      <c r="P434" s="792"/>
      <c r="AB434" s="314"/>
      <c r="AC434" s="314"/>
      <c r="AD434" s="314"/>
      <c r="AE434" s="314"/>
      <c r="AF434" s="314"/>
      <c r="AG434" s="314"/>
      <c r="AJ434" s="13" t="str">
        <f t="shared" ref="AJ434:AQ434" si="872">IF(OR(E434=$C434,E434=$D434,E434=""),"0","1")</f>
        <v>0</v>
      </c>
      <c r="AK434" s="13" t="str">
        <f t="shared" si="872"/>
        <v>0</v>
      </c>
      <c r="AL434" s="13" t="str">
        <f t="shared" si="872"/>
        <v>0</v>
      </c>
      <c r="AM434" s="13" t="str">
        <f t="shared" si="872"/>
        <v>0</v>
      </c>
      <c r="AN434" s="13" t="str">
        <f t="shared" si="872"/>
        <v>0</v>
      </c>
      <c r="AO434" s="13" t="str">
        <f t="shared" si="872"/>
        <v>0</v>
      </c>
      <c r="AP434" s="13" t="str">
        <f t="shared" si="872"/>
        <v>0</v>
      </c>
      <c r="AQ434" s="13" t="str">
        <f t="shared" si="872"/>
        <v>0</v>
      </c>
      <c r="AR434" s="13" t="str">
        <f t="shared" ref="AR434:AS434" si="873">IF(OR(O434=$C434,O434=$D434,O434=""),"0","1")</f>
        <v>0</v>
      </c>
      <c r="AS434" s="13" t="str">
        <f t="shared" si="873"/>
        <v>0</v>
      </c>
      <c r="AT434" s="698">
        <f t="shared" si="11"/>
        <v>0</v>
      </c>
    </row>
    <row r="435" ht="15.75" customHeight="1">
      <c r="A435" s="788" t="str">
        <f t="shared" si="5"/>
        <v>-</v>
      </c>
      <c r="B435" s="331"/>
      <c r="C435" s="331"/>
      <c r="D435" s="331"/>
      <c r="E435" s="790"/>
      <c r="F435" s="791"/>
      <c r="G435" s="331"/>
      <c r="H435" s="331"/>
      <c r="I435" s="331"/>
      <c r="J435" s="331"/>
      <c r="K435" s="331"/>
      <c r="L435" s="331"/>
      <c r="M435" s="331"/>
      <c r="N435" s="331"/>
      <c r="O435" s="331"/>
      <c r="P435" s="792"/>
      <c r="AB435" s="314"/>
      <c r="AC435" s="314"/>
      <c r="AD435" s="314"/>
      <c r="AE435" s="314"/>
      <c r="AF435" s="314"/>
      <c r="AG435" s="314"/>
      <c r="AJ435" s="13" t="str">
        <f t="shared" ref="AJ435:AQ435" si="874">IF(OR(E435=$C435,E435=$D435,E435=""),"0","1")</f>
        <v>0</v>
      </c>
      <c r="AK435" s="13" t="str">
        <f t="shared" si="874"/>
        <v>0</v>
      </c>
      <c r="AL435" s="13" t="str">
        <f t="shared" si="874"/>
        <v>0</v>
      </c>
      <c r="AM435" s="13" t="str">
        <f t="shared" si="874"/>
        <v>0</v>
      </c>
      <c r="AN435" s="13" t="str">
        <f t="shared" si="874"/>
        <v>0</v>
      </c>
      <c r="AO435" s="13" t="str">
        <f t="shared" si="874"/>
        <v>0</v>
      </c>
      <c r="AP435" s="13" t="str">
        <f t="shared" si="874"/>
        <v>0</v>
      </c>
      <c r="AQ435" s="13" t="str">
        <f t="shared" si="874"/>
        <v>0</v>
      </c>
      <c r="AR435" s="13" t="str">
        <f t="shared" ref="AR435:AS435" si="875">IF(OR(O435=$C435,O435=$D435,O435=""),"0","1")</f>
        <v>0</v>
      </c>
      <c r="AS435" s="13" t="str">
        <f t="shared" si="875"/>
        <v>0</v>
      </c>
      <c r="AT435" s="698">
        <f t="shared" si="11"/>
        <v>0</v>
      </c>
    </row>
    <row r="436" ht="15.75" customHeight="1">
      <c r="A436" s="788" t="str">
        <f t="shared" si="5"/>
        <v>-</v>
      </c>
      <c r="B436" s="331"/>
      <c r="C436" s="331"/>
      <c r="D436" s="331"/>
      <c r="E436" s="790"/>
      <c r="F436" s="791"/>
      <c r="G436" s="331"/>
      <c r="H436" s="331"/>
      <c r="I436" s="331"/>
      <c r="J436" s="331"/>
      <c r="K436" s="331"/>
      <c r="L436" s="331"/>
      <c r="M436" s="331"/>
      <c r="N436" s="331"/>
      <c r="O436" s="331"/>
      <c r="P436" s="792"/>
      <c r="AB436" s="314"/>
      <c r="AC436" s="314"/>
      <c r="AD436" s="314"/>
      <c r="AE436" s="314"/>
      <c r="AF436" s="314"/>
      <c r="AG436" s="314"/>
      <c r="AJ436" s="13" t="str">
        <f t="shared" ref="AJ436:AQ436" si="876">IF(OR(E436=$C436,E436=$D436,E436=""),"0","1")</f>
        <v>0</v>
      </c>
      <c r="AK436" s="13" t="str">
        <f t="shared" si="876"/>
        <v>0</v>
      </c>
      <c r="AL436" s="13" t="str">
        <f t="shared" si="876"/>
        <v>0</v>
      </c>
      <c r="AM436" s="13" t="str">
        <f t="shared" si="876"/>
        <v>0</v>
      </c>
      <c r="AN436" s="13" t="str">
        <f t="shared" si="876"/>
        <v>0</v>
      </c>
      <c r="AO436" s="13" t="str">
        <f t="shared" si="876"/>
        <v>0</v>
      </c>
      <c r="AP436" s="13" t="str">
        <f t="shared" si="876"/>
        <v>0</v>
      </c>
      <c r="AQ436" s="13" t="str">
        <f t="shared" si="876"/>
        <v>0</v>
      </c>
      <c r="AR436" s="13" t="str">
        <f t="shared" ref="AR436:AS436" si="877">IF(OR(O436=$C436,O436=$D436,O436=""),"0","1")</f>
        <v>0</v>
      </c>
      <c r="AS436" s="13" t="str">
        <f t="shared" si="877"/>
        <v>0</v>
      </c>
      <c r="AT436" s="698">
        <f t="shared" si="11"/>
        <v>0</v>
      </c>
    </row>
    <row r="437" ht="15.75" customHeight="1">
      <c r="A437" s="788" t="str">
        <f t="shared" si="5"/>
        <v>-</v>
      </c>
      <c r="B437" s="331"/>
      <c r="C437" s="331"/>
      <c r="D437" s="331"/>
      <c r="E437" s="790"/>
      <c r="F437" s="791"/>
      <c r="G437" s="331"/>
      <c r="H437" s="331"/>
      <c r="I437" s="331"/>
      <c r="J437" s="331"/>
      <c r="K437" s="331"/>
      <c r="L437" s="331"/>
      <c r="M437" s="331"/>
      <c r="N437" s="331"/>
      <c r="O437" s="331"/>
      <c r="P437" s="792"/>
      <c r="AB437" s="314"/>
      <c r="AC437" s="314"/>
      <c r="AD437" s="314"/>
      <c r="AE437" s="314"/>
      <c r="AF437" s="314"/>
      <c r="AG437" s="314"/>
      <c r="AJ437" s="13" t="str">
        <f t="shared" ref="AJ437:AQ437" si="878">IF(OR(E437=$C437,E437=$D437,E437=""),"0","1")</f>
        <v>0</v>
      </c>
      <c r="AK437" s="13" t="str">
        <f t="shared" si="878"/>
        <v>0</v>
      </c>
      <c r="AL437" s="13" t="str">
        <f t="shared" si="878"/>
        <v>0</v>
      </c>
      <c r="AM437" s="13" t="str">
        <f t="shared" si="878"/>
        <v>0</v>
      </c>
      <c r="AN437" s="13" t="str">
        <f t="shared" si="878"/>
        <v>0</v>
      </c>
      <c r="AO437" s="13" t="str">
        <f t="shared" si="878"/>
        <v>0</v>
      </c>
      <c r="AP437" s="13" t="str">
        <f t="shared" si="878"/>
        <v>0</v>
      </c>
      <c r="AQ437" s="13" t="str">
        <f t="shared" si="878"/>
        <v>0</v>
      </c>
      <c r="AR437" s="13" t="str">
        <f t="shared" ref="AR437:AS437" si="879">IF(OR(O437=$C437,O437=$D437,O437=""),"0","1")</f>
        <v>0</v>
      </c>
      <c r="AS437" s="13" t="str">
        <f t="shared" si="879"/>
        <v>0</v>
      </c>
      <c r="AT437" s="698">
        <f t="shared" si="11"/>
        <v>0</v>
      </c>
    </row>
    <row r="438" ht="15.75" customHeight="1">
      <c r="A438" s="788" t="str">
        <f t="shared" si="5"/>
        <v>-</v>
      </c>
      <c r="B438" s="331"/>
      <c r="C438" s="331"/>
      <c r="D438" s="331"/>
      <c r="E438" s="790"/>
      <c r="F438" s="791"/>
      <c r="G438" s="331"/>
      <c r="H438" s="331"/>
      <c r="I438" s="331"/>
      <c r="J438" s="331"/>
      <c r="K438" s="331"/>
      <c r="L438" s="331"/>
      <c r="M438" s="331"/>
      <c r="N438" s="331"/>
      <c r="O438" s="331"/>
      <c r="P438" s="792"/>
      <c r="AB438" s="314"/>
      <c r="AC438" s="314"/>
      <c r="AD438" s="314"/>
      <c r="AE438" s="314"/>
      <c r="AF438" s="314"/>
      <c r="AG438" s="314"/>
      <c r="AJ438" s="13" t="str">
        <f t="shared" ref="AJ438:AQ438" si="880">IF(OR(E438=$C438,E438=$D438,E438=""),"0","1")</f>
        <v>0</v>
      </c>
      <c r="AK438" s="13" t="str">
        <f t="shared" si="880"/>
        <v>0</v>
      </c>
      <c r="AL438" s="13" t="str">
        <f t="shared" si="880"/>
        <v>0</v>
      </c>
      <c r="AM438" s="13" t="str">
        <f t="shared" si="880"/>
        <v>0</v>
      </c>
      <c r="AN438" s="13" t="str">
        <f t="shared" si="880"/>
        <v>0</v>
      </c>
      <c r="AO438" s="13" t="str">
        <f t="shared" si="880"/>
        <v>0</v>
      </c>
      <c r="AP438" s="13" t="str">
        <f t="shared" si="880"/>
        <v>0</v>
      </c>
      <c r="AQ438" s="13" t="str">
        <f t="shared" si="880"/>
        <v>0</v>
      </c>
      <c r="AR438" s="13" t="str">
        <f t="shared" ref="AR438:AS438" si="881">IF(OR(O438=$C438,O438=$D438,O438=""),"0","1")</f>
        <v>0</v>
      </c>
      <c r="AS438" s="13" t="str">
        <f t="shared" si="881"/>
        <v>0</v>
      </c>
      <c r="AT438" s="698">
        <f t="shared" si="11"/>
        <v>0</v>
      </c>
    </row>
    <row r="439" ht="15.75" customHeight="1">
      <c r="A439" s="788" t="str">
        <f t="shared" si="5"/>
        <v>-</v>
      </c>
      <c r="B439" s="331"/>
      <c r="C439" s="331"/>
      <c r="D439" s="331"/>
      <c r="E439" s="790"/>
      <c r="F439" s="791"/>
      <c r="G439" s="331"/>
      <c r="H439" s="331"/>
      <c r="I439" s="331"/>
      <c r="J439" s="331"/>
      <c r="K439" s="331"/>
      <c r="L439" s="331"/>
      <c r="M439" s="331"/>
      <c r="N439" s="331"/>
      <c r="O439" s="331"/>
      <c r="P439" s="792"/>
      <c r="AB439" s="314"/>
      <c r="AC439" s="314"/>
      <c r="AD439" s="314"/>
      <c r="AE439" s="314"/>
      <c r="AF439" s="314"/>
      <c r="AG439" s="314"/>
      <c r="AJ439" s="13" t="str">
        <f t="shared" ref="AJ439:AQ439" si="882">IF(OR(E439=$C439,E439=$D439,E439=""),"0","1")</f>
        <v>0</v>
      </c>
      <c r="AK439" s="13" t="str">
        <f t="shared" si="882"/>
        <v>0</v>
      </c>
      <c r="AL439" s="13" t="str">
        <f t="shared" si="882"/>
        <v>0</v>
      </c>
      <c r="AM439" s="13" t="str">
        <f t="shared" si="882"/>
        <v>0</v>
      </c>
      <c r="AN439" s="13" t="str">
        <f t="shared" si="882"/>
        <v>0</v>
      </c>
      <c r="AO439" s="13" t="str">
        <f t="shared" si="882"/>
        <v>0</v>
      </c>
      <c r="AP439" s="13" t="str">
        <f t="shared" si="882"/>
        <v>0</v>
      </c>
      <c r="AQ439" s="13" t="str">
        <f t="shared" si="882"/>
        <v>0</v>
      </c>
      <c r="AR439" s="13" t="str">
        <f t="shared" ref="AR439:AS439" si="883">IF(OR(O439=$C439,O439=$D439,O439=""),"0","1")</f>
        <v>0</v>
      </c>
      <c r="AS439" s="13" t="str">
        <f t="shared" si="883"/>
        <v>0</v>
      </c>
      <c r="AT439" s="698">
        <f t="shared" si="11"/>
        <v>0</v>
      </c>
    </row>
    <row r="440" ht="15.75" customHeight="1">
      <c r="A440" s="788" t="str">
        <f t="shared" si="5"/>
        <v>-</v>
      </c>
      <c r="B440" s="331"/>
      <c r="C440" s="331"/>
      <c r="D440" s="331"/>
      <c r="E440" s="790"/>
      <c r="F440" s="791"/>
      <c r="G440" s="331"/>
      <c r="H440" s="331"/>
      <c r="I440" s="331"/>
      <c r="J440" s="331"/>
      <c r="K440" s="331"/>
      <c r="L440" s="331"/>
      <c r="M440" s="331"/>
      <c r="N440" s="331"/>
      <c r="O440" s="331"/>
      <c r="P440" s="792"/>
      <c r="AB440" s="314"/>
      <c r="AC440" s="314"/>
      <c r="AD440" s="314"/>
      <c r="AE440" s="314"/>
      <c r="AF440" s="314"/>
      <c r="AG440" s="314"/>
      <c r="AJ440" s="13" t="str">
        <f t="shared" ref="AJ440:AQ440" si="884">IF(OR(E440=$C440,E440=$D440,E440=""),"0","1")</f>
        <v>0</v>
      </c>
      <c r="AK440" s="13" t="str">
        <f t="shared" si="884"/>
        <v>0</v>
      </c>
      <c r="AL440" s="13" t="str">
        <f t="shared" si="884"/>
        <v>0</v>
      </c>
      <c r="AM440" s="13" t="str">
        <f t="shared" si="884"/>
        <v>0</v>
      </c>
      <c r="AN440" s="13" t="str">
        <f t="shared" si="884"/>
        <v>0</v>
      </c>
      <c r="AO440" s="13" t="str">
        <f t="shared" si="884"/>
        <v>0</v>
      </c>
      <c r="AP440" s="13" t="str">
        <f t="shared" si="884"/>
        <v>0</v>
      </c>
      <c r="AQ440" s="13" t="str">
        <f t="shared" si="884"/>
        <v>0</v>
      </c>
      <c r="AR440" s="13" t="str">
        <f t="shared" ref="AR440:AS440" si="885">IF(OR(O440=$C440,O440=$D440,O440=""),"0","1")</f>
        <v>0</v>
      </c>
      <c r="AS440" s="13" t="str">
        <f t="shared" si="885"/>
        <v>0</v>
      </c>
      <c r="AT440" s="698">
        <f t="shared" si="11"/>
        <v>0</v>
      </c>
    </row>
    <row r="441" ht="15.75" customHeight="1">
      <c r="A441" s="788" t="str">
        <f t="shared" si="5"/>
        <v>-</v>
      </c>
      <c r="B441" s="331"/>
      <c r="C441" s="331"/>
      <c r="D441" s="331"/>
      <c r="E441" s="790"/>
      <c r="F441" s="791"/>
      <c r="G441" s="331"/>
      <c r="H441" s="331"/>
      <c r="I441" s="331"/>
      <c r="J441" s="331"/>
      <c r="K441" s="331"/>
      <c r="L441" s="331"/>
      <c r="M441" s="331"/>
      <c r="N441" s="331"/>
      <c r="O441" s="331"/>
      <c r="P441" s="792"/>
      <c r="AB441" s="314"/>
      <c r="AC441" s="314"/>
      <c r="AD441" s="314"/>
      <c r="AE441" s="314"/>
      <c r="AF441" s="314"/>
      <c r="AG441" s="314"/>
      <c r="AJ441" s="13" t="str">
        <f t="shared" ref="AJ441:AQ441" si="886">IF(OR(E441=$C441,E441=$D441,E441=""),"0","1")</f>
        <v>0</v>
      </c>
      <c r="AK441" s="13" t="str">
        <f t="shared" si="886"/>
        <v>0</v>
      </c>
      <c r="AL441" s="13" t="str">
        <f t="shared" si="886"/>
        <v>0</v>
      </c>
      <c r="AM441" s="13" t="str">
        <f t="shared" si="886"/>
        <v>0</v>
      </c>
      <c r="AN441" s="13" t="str">
        <f t="shared" si="886"/>
        <v>0</v>
      </c>
      <c r="AO441" s="13" t="str">
        <f t="shared" si="886"/>
        <v>0</v>
      </c>
      <c r="AP441" s="13" t="str">
        <f t="shared" si="886"/>
        <v>0</v>
      </c>
      <c r="AQ441" s="13" t="str">
        <f t="shared" si="886"/>
        <v>0</v>
      </c>
      <c r="AR441" s="13" t="str">
        <f t="shared" ref="AR441:AS441" si="887">IF(OR(O441=$C441,O441=$D441,O441=""),"0","1")</f>
        <v>0</v>
      </c>
      <c r="AS441" s="13" t="str">
        <f t="shared" si="887"/>
        <v>0</v>
      </c>
      <c r="AT441" s="698">
        <f t="shared" si="11"/>
        <v>0</v>
      </c>
    </row>
    <row r="442" ht="15.75" customHeight="1">
      <c r="A442" s="788" t="str">
        <f t="shared" si="5"/>
        <v>-</v>
      </c>
      <c r="B442" s="331"/>
      <c r="C442" s="331"/>
      <c r="D442" s="331"/>
      <c r="E442" s="790"/>
      <c r="F442" s="791"/>
      <c r="G442" s="331"/>
      <c r="H442" s="331"/>
      <c r="I442" s="331"/>
      <c r="J442" s="331"/>
      <c r="K442" s="331"/>
      <c r="L442" s="331"/>
      <c r="M442" s="331"/>
      <c r="N442" s="331"/>
      <c r="O442" s="331"/>
      <c r="P442" s="792"/>
      <c r="AB442" s="314"/>
      <c r="AC442" s="314"/>
      <c r="AD442" s="314"/>
      <c r="AE442" s="314"/>
      <c r="AF442" s="314"/>
      <c r="AG442" s="314"/>
      <c r="AJ442" s="13" t="str">
        <f t="shared" ref="AJ442:AQ442" si="888">IF(OR(E442=$C442,E442=$D442,E442=""),"0","1")</f>
        <v>0</v>
      </c>
      <c r="AK442" s="13" t="str">
        <f t="shared" si="888"/>
        <v>0</v>
      </c>
      <c r="AL442" s="13" t="str">
        <f t="shared" si="888"/>
        <v>0</v>
      </c>
      <c r="AM442" s="13" t="str">
        <f t="shared" si="888"/>
        <v>0</v>
      </c>
      <c r="AN442" s="13" t="str">
        <f t="shared" si="888"/>
        <v>0</v>
      </c>
      <c r="AO442" s="13" t="str">
        <f t="shared" si="888"/>
        <v>0</v>
      </c>
      <c r="AP442" s="13" t="str">
        <f t="shared" si="888"/>
        <v>0</v>
      </c>
      <c r="AQ442" s="13" t="str">
        <f t="shared" si="888"/>
        <v>0</v>
      </c>
      <c r="AR442" s="13" t="str">
        <f t="shared" ref="AR442:AS442" si="889">IF(OR(O442=$C442,O442=$D442,O442=""),"0","1")</f>
        <v>0</v>
      </c>
      <c r="AS442" s="13" t="str">
        <f t="shared" si="889"/>
        <v>0</v>
      </c>
      <c r="AT442" s="698">
        <f t="shared" si="11"/>
        <v>0</v>
      </c>
    </row>
    <row r="443" ht="15.75" customHeight="1">
      <c r="A443" s="788" t="str">
        <f t="shared" si="5"/>
        <v>-</v>
      </c>
      <c r="B443" s="331"/>
      <c r="C443" s="331"/>
      <c r="D443" s="331"/>
      <c r="E443" s="790"/>
      <c r="F443" s="791"/>
      <c r="G443" s="331"/>
      <c r="H443" s="331"/>
      <c r="I443" s="331"/>
      <c r="J443" s="331"/>
      <c r="K443" s="331"/>
      <c r="L443" s="331"/>
      <c r="M443" s="331"/>
      <c r="N443" s="331"/>
      <c r="O443" s="331"/>
      <c r="P443" s="792"/>
      <c r="AB443" s="314"/>
      <c r="AC443" s="314"/>
      <c r="AD443" s="314"/>
      <c r="AE443" s="314"/>
      <c r="AF443" s="314"/>
      <c r="AG443" s="314"/>
      <c r="AJ443" s="13" t="str">
        <f t="shared" ref="AJ443:AQ443" si="890">IF(OR(E443=$C443,E443=$D443,E443=""),"0","1")</f>
        <v>0</v>
      </c>
      <c r="AK443" s="13" t="str">
        <f t="shared" si="890"/>
        <v>0</v>
      </c>
      <c r="AL443" s="13" t="str">
        <f t="shared" si="890"/>
        <v>0</v>
      </c>
      <c r="AM443" s="13" t="str">
        <f t="shared" si="890"/>
        <v>0</v>
      </c>
      <c r="AN443" s="13" t="str">
        <f t="shared" si="890"/>
        <v>0</v>
      </c>
      <c r="AO443" s="13" t="str">
        <f t="shared" si="890"/>
        <v>0</v>
      </c>
      <c r="AP443" s="13" t="str">
        <f t="shared" si="890"/>
        <v>0</v>
      </c>
      <c r="AQ443" s="13" t="str">
        <f t="shared" si="890"/>
        <v>0</v>
      </c>
      <c r="AR443" s="13" t="str">
        <f t="shared" ref="AR443:AS443" si="891">IF(OR(O443=$C443,O443=$D443,O443=""),"0","1")</f>
        <v>0</v>
      </c>
      <c r="AS443" s="13" t="str">
        <f t="shared" si="891"/>
        <v>0</v>
      </c>
      <c r="AT443" s="698">
        <f t="shared" si="11"/>
        <v>0</v>
      </c>
    </row>
    <row r="444" ht="15.75" customHeight="1">
      <c r="A444" s="788" t="str">
        <f t="shared" si="5"/>
        <v>-</v>
      </c>
      <c r="B444" s="331"/>
      <c r="C444" s="331"/>
      <c r="D444" s="331"/>
      <c r="E444" s="790"/>
      <c r="F444" s="791"/>
      <c r="G444" s="331"/>
      <c r="H444" s="331"/>
      <c r="I444" s="331"/>
      <c r="J444" s="331"/>
      <c r="K444" s="331"/>
      <c r="L444" s="331"/>
      <c r="M444" s="331"/>
      <c r="N444" s="331"/>
      <c r="O444" s="331"/>
      <c r="P444" s="792"/>
      <c r="AB444" s="314"/>
      <c r="AC444" s="314"/>
      <c r="AD444" s="314"/>
      <c r="AE444" s="314"/>
      <c r="AF444" s="314"/>
      <c r="AG444" s="314"/>
      <c r="AJ444" s="13" t="str">
        <f t="shared" ref="AJ444:AQ444" si="892">IF(OR(E444=$C444,E444=$D444,E444=""),"0","1")</f>
        <v>0</v>
      </c>
      <c r="AK444" s="13" t="str">
        <f t="shared" si="892"/>
        <v>0</v>
      </c>
      <c r="AL444" s="13" t="str">
        <f t="shared" si="892"/>
        <v>0</v>
      </c>
      <c r="AM444" s="13" t="str">
        <f t="shared" si="892"/>
        <v>0</v>
      </c>
      <c r="AN444" s="13" t="str">
        <f t="shared" si="892"/>
        <v>0</v>
      </c>
      <c r="AO444" s="13" t="str">
        <f t="shared" si="892"/>
        <v>0</v>
      </c>
      <c r="AP444" s="13" t="str">
        <f t="shared" si="892"/>
        <v>0</v>
      </c>
      <c r="AQ444" s="13" t="str">
        <f t="shared" si="892"/>
        <v>0</v>
      </c>
      <c r="AR444" s="13" t="str">
        <f t="shared" ref="AR444:AS444" si="893">IF(OR(O444=$C444,O444=$D444,O444=""),"0","1")</f>
        <v>0</v>
      </c>
      <c r="AS444" s="13" t="str">
        <f t="shared" si="893"/>
        <v>0</v>
      </c>
      <c r="AT444" s="698">
        <f t="shared" si="11"/>
        <v>0</v>
      </c>
    </row>
    <row r="445" ht="15.75" customHeight="1">
      <c r="A445" s="788" t="str">
        <f t="shared" si="5"/>
        <v>-</v>
      </c>
      <c r="B445" s="331"/>
      <c r="C445" s="331"/>
      <c r="D445" s="331"/>
      <c r="E445" s="790"/>
      <c r="F445" s="791"/>
      <c r="G445" s="331"/>
      <c r="H445" s="331"/>
      <c r="I445" s="331"/>
      <c r="J445" s="331"/>
      <c r="K445" s="331"/>
      <c r="L445" s="331"/>
      <c r="M445" s="331"/>
      <c r="N445" s="331"/>
      <c r="O445" s="331"/>
      <c r="P445" s="792"/>
      <c r="AB445" s="314"/>
      <c r="AC445" s="314"/>
      <c r="AD445" s="314"/>
      <c r="AE445" s="314"/>
      <c r="AF445" s="314"/>
      <c r="AG445" s="314"/>
      <c r="AJ445" s="13" t="str">
        <f t="shared" ref="AJ445:AQ445" si="894">IF(OR(E445=$C445,E445=$D445,E445=""),"0","1")</f>
        <v>0</v>
      </c>
      <c r="AK445" s="13" t="str">
        <f t="shared" si="894"/>
        <v>0</v>
      </c>
      <c r="AL445" s="13" t="str">
        <f t="shared" si="894"/>
        <v>0</v>
      </c>
      <c r="AM445" s="13" t="str">
        <f t="shared" si="894"/>
        <v>0</v>
      </c>
      <c r="AN445" s="13" t="str">
        <f t="shared" si="894"/>
        <v>0</v>
      </c>
      <c r="AO445" s="13" t="str">
        <f t="shared" si="894"/>
        <v>0</v>
      </c>
      <c r="AP445" s="13" t="str">
        <f t="shared" si="894"/>
        <v>0</v>
      </c>
      <c r="AQ445" s="13" t="str">
        <f t="shared" si="894"/>
        <v>0</v>
      </c>
      <c r="AR445" s="13" t="str">
        <f t="shared" ref="AR445:AS445" si="895">IF(OR(O445=$C445,O445=$D445,O445=""),"0","1")</f>
        <v>0</v>
      </c>
      <c r="AS445" s="13" t="str">
        <f t="shared" si="895"/>
        <v>0</v>
      </c>
      <c r="AT445" s="698">
        <f t="shared" si="11"/>
        <v>0</v>
      </c>
    </row>
    <row r="446" ht="15.75" customHeight="1">
      <c r="A446" s="788" t="str">
        <f t="shared" si="5"/>
        <v>-</v>
      </c>
      <c r="B446" s="331"/>
      <c r="C446" s="331"/>
      <c r="D446" s="331"/>
      <c r="E446" s="790"/>
      <c r="F446" s="791"/>
      <c r="G446" s="331"/>
      <c r="H446" s="331"/>
      <c r="I446" s="331"/>
      <c r="J446" s="331"/>
      <c r="K446" s="331"/>
      <c r="L446" s="331"/>
      <c r="M446" s="331"/>
      <c r="N446" s="331"/>
      <c r="O446" s="331"/>
      <c r="P446" s="792"/>
      <c r="AB446" s="314"/>
      <c r="AC446" s="314"/>
      <c r="AD446" s="314"/>
      <c r="AE446" s="314"/>
      <c r="AF446" s="314"/>
      <c r="AG446" s="314"/>
      <c r="AJ446" s="13" t="str">
        <f t="shared" ref="AJ446:AQ446" si="896">IF(OR(E446=$C446,E446=$D446,E446=""),"0","1")</f>
        <v>0</v>
      </c>
      <c r="AK446" s="13" t="str">
        <f t="shared" si="896"/>
        <v>0</v>
      </c>
      <c r="AL446" s="13" t="str">
        <f t="shared" si="896"/>
        <v>0</v>
      </c>
      <c r="AM446" s="13" t="str">
        <f t="shared" si="896"/>
        <v>0</v>
      </c>
      <c r="AN446" s="13" t="str">
        <f t="shared" si="896"/>
        <v>0</v>
      </c>
      <c r="AO446" s="13" t="str">
        <f t="shared" si="896"/>
        <v>0</v>
      </c>
      <c r="AP446" s="13" t="str">
        <f t="shared" si="896"/>
        <v>0</v>
      </c>
      <c r="AQ446" s="13" t="str">
        <f t="shared" si="896"/>
        <v>0</v>
      </c>
      <c r="AR446" s="13" t="str">
        <f t="shared" ref="AR446:AS446" si="897">IF(OR(O446=$C446,O446=$D446,O446=""),"0","1")</f>
        <v>0</v>
      </c>
      <c r="AS446" s="13" t="str">
        <f t="shared" si="897"/>
        <v>0</v>
      </c>
      <c r="AT446" s="698">
        <f t="shared" si="11"/>
        <v>0</v>
      </c>
    </row>
    <row r="447" ht="15.75" customHeight="1">
      <c r="A447" s="788" t="str">
        <f t="shared" si="5"/>
        <v>-</v>
      </c>
      <c r="B447" s="331"/>
      <c r="C447" s="331"/>
      <c r="D447" s="331"/>
      <c r="E447" s="790"/>
      <c r="F447" s="791"/>
      <c r="G447" s="331"/>
      <c r="H447" s="331"/>
      <c r="I447" s="331"/>
      <c r="J447" s="331"/>
      <c r="K447" s="331"/>
      <c r="L447" s="331"/>
      <c r="M447" s="331"/>
      <c r="N447" s="331"/>
      <c r="O447" s="331"/>
      <c r="P447" s="792"/>
      <c r="AB447" s="314"/>
      <c r="AC447" s="314"/>
      <c r="AD447" s="314"/>
      <c r="AE447" s="314"/>
      <c r="AF447" s="314"/>
      <c r="AG447" s="314"/>
      <c r="AJ447" s="13" t="str">
        <f t="shared" ref="AJ447:AQ447" si="898">IF(OR(E447=$C447,E447=$D447,E447=""),"0","1")</f>
        <v>0</v>
      </c>
      <c r="AK447" s="13" t="str">
        <f t="shared" si="898"/>
        <v>0</v>
      </c>
      <c r="AL447" s="13" t="str">
        <f t="shared" si="898"/>
        <v>0</v>
      </c>
      <c r="AM447" s="13" t="str">
        <f t="shared" si="898"/>
        <v>0</v>
      </c>
      <c r="AN447" s="13" t="str">
        <f t="shared" si="898"/>
        <v>0</v>
      </c>
      <c r="AO447" s="13" t="str">
        <f t="shared" si="898"/>
        <v>0</v>
      </c>
      <c r="AP447" s="13" t="str">
        <f t="shared" si="898"/>
        <v>0</v>
      </c>
      <c r="AQ447" s="13" t="str">
        <f t="shared" si="898"/>
        <v>0</v>
      </c>
      <c r="AR447" s="13" t="str">
        <f t="shared" ref="AR447:AS447" si="899">IF(OR(O447=$C447,O447=$D447,O447=""),"0","1")</f>
        <v>0</v>
      </c>
      <c r="AS447" s="13" t="str">
        <f t="shared" si="899"/>
        <v>0</v>
      </c>
      <c r="AT447" s="698">
        <f t="shared" si="11"/>
        <v>0</v>
      </c>
    </row>
    <row r="448" ht="15.75" customHeight="1">
      <c r="A448" s="788" t="str">
        <f t="shared" si="5"/>
        <v>-</v>
      </c>
      <c r="B448" s="331"/>
      <c r="C448" s="331"/>
      <c r="D448" s="331"/>
      <c r="E448" s="790"/>
      <c r="F448" s="791"/>
      <c r="G448" s="331"/>
      <c r="H448" s="331"/>
      <c r="I448" s="331"/>
      <c r="J448" s="331"/>
      <c r="K448" s="331"/>
      <c r="L448" s="331"/>
      <c r="M448" s="331"/>
      <c r="N448" s="331"/>
      <c r="O448" s="331"/>
      <c r="P448" s="792"/>
      <c r="AB448" s="314"/>
      <c r="AC448" s="314"/>
      <c r="AD448" s="314"/>
      <c r="AE448" s="314"/>
      <c r="AF448" s="314"/>
      <c r="AG448" s="314"/>
      <c r="AJ448" s="13" t="str">
        <f t="shared" ref="AJ448:AQ448" si="900">IF(OR(E448=$C448,E448=$D448,E448=""),"0","1")</f>
        <v>0</v>
      </c>
      <c r="AK448" s="13" t="str">
        <f t="shared" si="900"/>
        <v>0</v>
      </c>
      <c r="AL448" s="13" t="str">
        <f t="shared" si="900"/>
        <v>0</v>
      </c>
      <c r="AM448" s="13" t="str">
        <f t="shared" si="900"/>
        <v>0</v>
      </c>
      <c r="AN448" s="13" t="str">
        <f t="shared" si="900"/>
        <v>0</v>
      </c>
      <c r="AO448" s="13" t="str">
        <f t="shared" si="900"/>
        <v>0</v>
      </c>
      <c r="AP448" s="13" t="str">
        <f t="shared" si="900"/>
        <v>0</v>
      </c>
      <c r="AQ448" s="13" t="str">
        <f t="shared" si="900"/>
        <v>0</v>
      </c>
      <c r="AR448" s="13" t="str">
        <f t="shared" ref="AR448:AS448" si="901">IF(OR(O448=$C448,O448=$D448,O448=""),"0","1")</f>
        <v>0</v>
      </c>
      <c r="AS448" s="13" t="str">
        <f t="shared" si="901"/>
        <v>0</v>
      </c>
      <c r="AT448" s="698">
        <f t="shared" si="11"/>
        <v>0</v>
      </c>
    </row>
    <row r="449" ht="15.75" customHeight="1">
      <c r="A449" s="788" t="str">
        <f t="shared" si="5"/>
        <v>-</v>
      </c>
      <c r="B449" s="331"/>
      <c r="C449" s="331"/>
      <c r="D449" s="331"/>
      <c r="E449" s="790"/>
      <c r="F449" s="791"/>
      <c r="G449" s="331"/>
      <c r="H449" s="331"/>
      <c r="I449" s="331"/>
      <c r="J449" s="331"/>
      <c r="K449" s="331"/>
      <c r="L449" s="331"/>
      <c r="M449" s="331"/>
      <c r="N449" s="331"/>
      <c r="O449" s="331"/>
      <c r="P449" s="792"/>
      <c r="AB449" s="314"/>
      <c r="AC449" s="314"/>
      <c r="AD449" s="314"/>
      <c r="AE449" s="314"/>
      <c r="AF449" s="314"/>
      <c r="AG449" s="314"/>
      <c r="AJ449" s="13" t="str">
        <f t="shared" ref="AJ449:AQ449" si="902">IF(OR(E449=$C449,E449=$D449,E449=""),"0","1")</f>
        <v>0</v>
      </c>
      <c r="AK449" s="13" t="str">
        <f t="shared" si="902"/>
        <v>0</v>
      </c>
      <c r="AL449" s="13" t="str">
        <f t="shared" si="902"/>
        <v>0</v>
      </c>
      <c r="AM449" s="13" t="str">
        <f t="shared" si="902"/>
        <v>0</v>
      </c>
      <c r="AN449" s="13" t="str">
        <f t="shared" si="902"/>
        <v>0</v>
      </c>
      <c r="AO449" s="13" t="str">
        <f t="shared" si="902"/>
        <v>0</v>
      </c>
      <c r="AP449" s="13" t="str">
        <f t="shared" si="902"/>
        <v>0</v>
      </c>
      <c r="AQ449" s="13" t="str">
        <f t="shared" si="902"/>
        <v>0</v>
      </c>
      <c r="AR449" s="13" t="str">
        <f t="shared" ref="AR449:AS449" si="903">IF(OR(O449=$C449,O449=$D449,O449=""),"0","1")</f>
        <v>0</v>
      </c>
      <c r="AS449" s="13" t="str">
        <f t="shared" si="903"/>
        <v>0</v>
      </c>
      <c r="AT449" s="698">
        <f t="shared" si="11"/>
        <v>0</v>
      </c>
    </row>
    <row r="450" ht="15.75" customHeight="1">
      <c r="A450" s="788" t="str">
        <f t="shared" si="5"/>
        <v>-</v>
      </c>
      <c r="B450" s="331"/>
      <c r="C450" s="331"/>
      <c r="D450" s="331"/>
      <c r="E450" s="790"/>
      <c r="F450" s="791"/>
      <c r="G450" s="331"/>
      <c r="H450" s="331"/>
      <c r="I450" s="331"/>
      <c r="J450" s="331"/>
      <c r="K450" s="331"/>
      <c r="L450" s="331"/>
      <c r="M450" s="331"/>
      <c r="N450" s="331"/>
      <c r="O450" s="331"/>
      <c r="P450" s="792"/>
      <c r="AB450" s="314"/>
      <c r="AC450" s="314"/>
      <c r="AD450" s="314"/>
      <c r="AE450" s="314"/>
      <c r="AF450" s="314"/>
      <c r="AG450" s="314"/>
      <c r="AJ450" s="13" t="str">
        <f t="shared" ref="AJ450:AQ450" si="904">IF(OR(E450=$C450,E450=$D450,E450=""),"0","1")</f>
        <v>0</v>
      </c>
      <c r="AK450" s="13" t="str">
        <f t="shared" si="904"/>
        <v>0</v>
      </c>
      <c r="AL450" s="13" t="str">
        <f t="shared" si="904"/>
        <v>0</v>
      </c>
      <c r="AM450" s="13" t="str">
        <f t="shared" si="904"/>
        <v>0</v>
      </c>
      <c r="AN450" s="13" t="str">
        <f t="shared" si="904"/>
        <v>0</v>
      </c>
      <c r="AO450" s="13" t="str">
        <f t="shared" si="904"/>
        <v>0</v>
      </c>
      <c r="AP450" s="13" t="str">
        <f t="shared" si="904"/>
        <v>0</v>
      </c>
      <c r="AQ450" s="13" t="str">
        <f t="shared" si="904"/>
        <v>0</v>
      </c>
      <c r="AR450" s="13" t="str">
        <f t="shared" ref="AR450:AS450" si="905">IF(OR(O450=$C450,O450=$D450,O450=""),"0","1")</f>
        <v>0</v>
      </c>
      <c r="AS450" s="13" t="str">
        <f t="shared" si="905"/>
        <v>0</v>
      </c>
      <c r="AT450" s="698">
        <f t="shared" si="11"/>
        <v>0</v>
      </c>
    </row>
    <row r="451" ht="15.75" customHeight="1">
      <c r="A451" s="788" t="str">
        <f t="shared" si="5"/>
        <v>-</v>
      </c>
      <c r="B451" s="331"/>
      <c r="C451" s="331"/>
      <c r="D451" s="331"/>
      <c r="E451" s="790"/>
      <c r="F451" s="791"/>
      <c r="G451" s="331"/>
      <c r="H451" s="331"/>
      <c r="I451" s="331"/>
      <c r="J451" s="331"/>
      <c r="K451" s="331"/>
      <c r="L451" s="331"/>
      <c r="M451" s="331"/>
      <c r="N451" s="331"/>
      <c r="O451" s="331"/>
      <c r="P451" s="792"/>
      <c r="AB451" s="314"/>
      <c r="AC451" s="314"/>
      <c r="AD451" s="314"/>
      <c r="AE451" s="314"/>
      <c r="AF451" s="314"/>
      <c r="AG451" s="314"/>
      <c r="AJ451" s="13" t="str">
        <f t="shared" ref="AJ451:AQ451" si="906">IF(OR(E451=$C451,E451=$D451,E451=""),"0","1")</f>
        <v>0</v>
      </c>
      <c r="AK451" s="13" t="str">
        <f t="shared" si="906"/>
        <v>0</v>
      </c>
      <c r="AL451" s="13" t="str">
        <f t="shared" si="906"/>
        <v>0</v>
      </c>
      <c r="AM451" s="13" t="str">
        <f t="shared" si="906"/>
        <v>0</v>
      </c>
      <c r="AN451" s="13" t="str">
        <f t="shared" si="906"/>
        <v>0</v>
      </c>
      <c r="AO451" s="13" t="str">
        <f t="shared" si="906"/>
        <v>0</v>
      </c>
      <c r="AP451" s="13" t="str">
        <f t="shared" si="906"/>
        <v>0</v>
      </c>
      <c r="AQ451" s="13" t="str">
        <f t="shared" si="906"/>
        <v>0</v>
      </c>
      <c r="AR451" s="13" t="str">
        <f t="shared" ref="AR451:AS451" si="907">IF(OR(O451=$C451,O451=$D451,O451=""),"0","1")</f>
        <v>0</v>
      </c>
      <c r="AS451" s="13" t="str">
        <f t="shared" si="907"/>
        <v>0</v>
      </c>
      <c r="AT451" s="698">
        <f t="shared" si="11"/>
        <v>0</v>
      </c>
    </row>
    <row r="452" ht="15.75" customHeight="1">
      <c r="A452" s="788" t="str">
        <f t="shared" si="5"/>
        <v>-</v>
      </c>
      <c r="B452" s="331"/>
      <c r="C452" s="331"/>
      <c r="D452" s="331"/>
      <c r="E452" s="790"/>
      <c r="F452" s="791"/>
      <c r="G452" s="331"/>
      <c r="H452" s="331"/>
      <c r="I452" s="331"/>
      <c r="J452" s="331"/>
      <c r="K452" s="331"/>
      <c r="L452" s="331"/>
      <c r="M452" s="331"/>
      <c r="N452" s="331"/>
      <c r="O452" s="331"/>
      <c r="P452" s="792"/>
      <c r="AB452" s="314"/>
      <c r="AC452" s="314"/>
      <c r="AD452" s="314"/>
      <c r="AE452" s="314"/>
      <c r="AF452" s="314"/>
      <c r="AG452" s="314"/>
      <c r="AJ452" s="13" t="str">
        <f t="shared" ref="AJ452:AQ452" si="908">IF(OR(E452=$C452,E452=$D452,E452=""),"0","1")</f>
        <v>0</v>
      </c>
      <c r="AK452" s="13" t="str">
        <f t="shared" si="908"/>
        <v>0</v>
      </c>
      <c r="AL452" s="13" t="str">
        <f t="shared" si="908"/>
        <v>0</v>
      </c>
      <c r="AM452" s="13" t="str">
        <f t="shared" si="908"/>
        <v>0</v>
      </c>
      <c r="AN452" s="13" t="str">
        <f t="shared" si="908"/>
        <v>0</v>
      </c>
      <c r="AO452" s="13" t="str">
        <f t="shared" si="908"/>
        <v>0</v>
      </c>
      <c r="AP452" s="13" t="str">
        <f t="shared" si="908"/>
        <v>0</v>
      </c>
      <c r="AQ452" s="13" t="str">
        <f t="shared" si="908"/>
        <v>0</v>
      </c>
      <c r="AR452" s="13" t="str">
        <f t="shared" ref="AR452:AS452" si="909">IF(OR(O452=$C452,O452=$D452,O452=""),"0","1")</f>
        <v>0</v>
      </c>
      <c r="AS452" s="13" t="str">
        <f t="shared" si="909"/>
        <v>0</v>
      </c>
      <c r="AT452" s="698">
        <f t="shared" si="11"/>
        <v>0</v>
      </c>
    </row>
    <row r="453" ht="15.75" customHeight="1">
      <c r="A453" s="788" t="str">
        <f t="shared" si="5"/>
        <v>-</v>
      </c>
      <c r="B453" s="331"/>
      <c r="C453" s="331"/>
      <c r="D453" s="331"/>
      <c r="E453" s="790"/>
      <c r="F453" s="791"/>
      <c r="G453" s="331"/>
      <c r="H453" s="331"/>
      <c r="I453" s="331"/>
      <c r="J453" s="331"/>
      <c r="K453" s="331"/>
      <c r="L453" s="331"/>
      <c r="M453" s="331"/>
      <c r="N453" s="331"/>
      <c r="O453" s="331"/>
      <c r="P453" s="792"/>
      <c r="AB453" s="314"/>
      <c r="AC453" s="314"/>
      <c r="AD453" s="314"/>
      <c r="AE453" s="314"/>
      <c r="AF453" s="314"/>
      <c r="AG453" s="314"/>
      <c r="AJ453" s="13" t="str">
        <f t="shared" ref="AJ453:AQ453" si="910">IF(OR(E453=$C453,E453=$D453,E453=""),"0","1")</f>
        <v>0</v>
      </c>
      <c r="AK453" s="13" t="str">
        <f t="shared" si="910"/>
        <v>0</v>
      </c>
      <c r="AL453" s="13" t="str">
        <f t="shared" si="910"/>
        <v>0</v>
      </c>
      <c r="AM453" s="13" t="str">
        <f t="shared" si="910"/>
        <v>0</v>
      </c>
      <c r="AN453" s="13" t="str">
        <f t="shared" si="910"/>
        <v>0</v>
      </c>
      <c r="AO453" s="13" t="str">
        <f t="shared" si="910"/>
        <v>0</v>
      </c>
      <c r="AP453" s="13" t="str">
        <f t="shared" si="910"/>
        <v>0</v>
      </c>
      <c r="AQ453" s="13" t="str">
        <f t="shared" si="910"/>
        <v>0</v>
      </c>
      <c r="AR453" s="13" t="str">
        <f t="shared" ref="AR453:AS453" si="911">IF(OR(O453=$C453,O453=$D453,O453=""),"0","1")</f>
        <v>0</v>
      </c>
      <c r="AS453" s="13" t="str">
        <f t="shared" si="911"/>
        <v>0</v>
      </c>
      <c r="AT453" s="698">
        <f t="shared" si="11"/>
        <v>0</v>
      </c>
    </row>
    <row r="454" ht="15.75" customHeight="1">
      <c r="A454" s="788" t="str">
        <f t="shared" si="5"/>
        <v>-</v>
      </c>
      <c r="B454" s="331"/>
      <c r="C454" s="331"/>
      <c r="D454" s="331"/>
      <c r="E454" s="790"/>
      <c r="F454" s="791"/>
      <c r="G454" s="331"/>
      <c r="H454" s="331"/>
      <c r="I454" s="331"/>
      <c r="J454" s="331"/>
      <c r="K454" s="331"/>
      <c r="L454" s="331"/>
      <c r="M454" s="331"/>
      <c r="N454" s="331"/>
      <c r="O454" s="331"/>
      <c r="P454" s="792"/>
      <c r="AB454" s="314"/>
      <c r="AC454" s="314"/>
      <c r="AD454" s="314"/>
      <c r="AE454" s="314"/>
      <c r="AF454" s="314"/>
      <c r="AG454" s="314"/>
      <c r="AJ454" s="13" t="str">
        <f t="shared" ref="AJ454:AQ454" si="912">IF(OR(E454=$C454,E454=$D454,E454=""),"0","1")</f>
        <v>0</v>
      </c>
      <c r="AK454" s="13" t="str">
        <f t="shared" si="912"/>
        <v>0</v>
      </c>
      <c r="AL454" s="13" t="str">
        <f t="shared" si="912"/>
        <v>0</v>
      </c>
      <c r="AM454" s="13" t="str">
        <f t="shared" si="912"/>
        <v>0</v>
      </c>
      <c r="AN454" s="13" t="str">
        <f t="shared" si="912"/>
        <v>0</v>
      </c>
      <c r="AO454" s="13" t="str">
        <f t="shared" si="912"/>
        <v>0</v>
      </c>
      <c r="AP454" s="13" t="str">
        <f t="shared" si="912"/>
        <v>0</v>
      </c>
      <c r="AQ454" s="13" t="str">
        <f t="shared" si="912"/>
        <v>0</v>
      </c>
      <c r="AR454" s="13" t="str">
        <f t="shared" ref="AR454:AS454" si="913">IF(OR(O454=$C454,O454=$D454,O454=""),"0","1")</f>
        <v>0</v>
      </c>
      <c r="AS454" s="13" t="str">
        <f t="shared" si="913"/>
        <v>0</v>
      </c>
      <c r="AT454" s="698">
        <f t="shared" si="11"/>
        <v>0</v>
      </c>
    </row>
    <row r="455" ht="15.75" customHeight="1">
      <c r="A455" s="788" t="str">
        <f t="shared" si="5"/>
        <v>-</v>
      </c>
      <c r="B455" s="331"/>
      <c r="C455" s="331"/>
      <c r="D455" s="331"/>
      <c r="E455" s="790"/>
      <c r="F455" s="791"/>
      <c r="G455" s="331"/>
      <c r="H455" s="331"/>
      <c r="I455" s="331"/>
      <c r="J455" s="331"/>
      <c r="K455" s="331"/>
      <c r="L455" s="331"/>
      <c r="M455" s="331"/>
      <c r="N455" s="331"/>
      <c r="O455" s="331"/>
      <c r="P455" s="792"/>
      <c r="AB455" s="314"/>
      <c r="AC455" s="314"/>
      <c r="AD455" s="314"/>
      <c r="AE455" s="314"/>
      <c r="AF455" s="314"/>
      <c r="AG455" s="314"/>
      <c r="AJ455" s="13" t="str">
        <f t="shared" ref="AJ455:AQ455" si="914">IF(OR(E455=$C455,E455=$D455,E455=""),"0","1")</f>
        <v>0</v>
      </c>
      <c r="AK455" s="13" t="str">
        <f t="shared" si="914"/>
        <v>0</v>
      </c>
      <c r="AL455" s="13" t="str">
        <f t="shared" si="914"/>
        <v>0</v>
      </c>
      <c r="AM455" s="13" t="str">
        <f t="shared" si="914"/>
        <v>0</v>
      </c>
      <c r="AN455" s="13" t="str">
        <f t="shared" si="914"/>
        <v>0</v>
      </c>
      <c r="AO455" s="13" t="str">
        <f t="shared" si="914"/>
        <v>0</v>
      </c>
      <c r="AP455" s="13" t="str">
        <f t="shared" si="914"/>
        <v>0</v>
      </c>
      <c r="AQ455" s="13" t="str">
        <f t="shared" si="914"/>
        <v>0</v>
      </c>
      <c r="AR455" s="13" t="str">
        <f t="shared" ref="AR455:AS455" si="915">IF(OR(O455=$C455,O455=$D455,O455=""),"0","1")</f>
        <v>0</v>
      </c>
      <c r="AS455" s="13" t="str">
        <f t="shared" si="915"/>
        <v>0</v>
      </c>
      <c r="AT455" s="698">
        <f t="shared" si="11"/>
        <v>0</v>
      </c>
    </row>
    <row r="456" ht="15.75" customHeight="1">
      <c r="A456" s="788" t="str">
        <f t="shared" si="5"/>
        <v>-</v>
      </c>
      <c r="B456" s="331"/>
      <c r="C456" s="331"/>
      <c r="D456" s="331"/>
      <c r="E456" s="790"/>
      <c r="F456" s="791"/>
      <c r="G456" s="331"/>
      <c r="H456" s="331"/>
      <c r="I456" s="331"/>
      <c r="J456" s="331"/>
      <c r="K456" s="331"/>
      <c r="L456" s="331"/>
      <c r="M456" s="331"/>
      <c r="N456" s="331"/>
      <c r="O456" s="331"/>
      <c r="P456" s="792"/>
      <c r="AB456" s="314"/>
      <c r="AC456" s="314"/>
      <c r="AD456" s="314"/>
      <c r="AE456" s="314"/>
      <c r="AF456" s="314"/>
      <c r="AG456" s="314"/>
      <c r="AJ456" s="13" t="str">
        <f t="shared" ref="AJ456:AQ456" si="916">IF(OR(E456=$C456,E456=$D456,E456=""),"0","1")</f>
        <v>0</v>
      </c>
      <c r="AK456" s="13" t="str">
        <f t="shared" si="916"/>
        <v>0</v>
      </c>
      <c r="AL456" s="13" t="str">
        <f t="shared" si="916"/>
        <v>0</v>
      </c>
      <c r="AM456" s="13" t="str">
        <f t="shared" si="916"/>
        <v>0</v>
      </c>
      <c r="AN456" s="13" t="str">
        <f t="shared" si="916"/>
        <v>0</v>
      </c>
      <c r="AO456" s="13" t="str">
        <f t="shared" si="916"/>
        <v>0</v>
      </c>
      <c r="AP456" s="13" t="str">
        <f t="shared" si="916"/>
        <v>0</v>
      </c>
      <c r="AQ456" s="13" t="str">
        <f t="shared" si="916"/>
        <v>0</v>
      </c>
      <c r="AR456" s="13" t="str">
        <f t="shared" ref="AR456:AS456" si="917">IF(OR(O456=$C456,O456=$D456,O456=""),"0","1")</f>
        <v>0</v>
      </c>
      <c r="AS456" s="13" t="str">
        <f t="shared" si="917"/>
        <v>0</v>
      </c>
      <c r="AT456" s="698">
        <f t="shared" si="11"/>
        <v>0</v>
      </c>
    </row>
    <row r="457" ht="15.75" customHeight="1">
      <c r="A457" s="788" t="str">
        <f t="shared" si="5"/>
        <v>-</v>
      </c>
      <c r="B457" s="331"/>
      <c r="C457" s="331"/>
      <c r="D457" s="331"/>
      <c r="E457" s="790"/>
      <c r="F457" s="791"/>
      <c r="G457" s="331"/>
      <c r="H457" s="331"/>
      <c r="I457" s="331"/>
      <c r="J457" s="331"/>
      <c r="K457" s="331"/>
      <c r="L457" s="331"/>
      <c r="M457" s="331"/>
      <c r="N457" s="331"/>
      <c r="O457" s="331"/>
      <c r="P457" s="792"/>
      <c r="AB457" s="314"/>
      <c r="AC457" s="314"/>
      <c r="AD457" s="314"/>
      <c r="AE457" s="314"/>
      <c r="AF457" s="314"/>
      <c r="AG457" s="314"/>
      <c r="AJ457" s="13" t="str">
        <f t="shared" ref="AJ457:AQ457" si="918">IF(OR(E457=$C457,E457=$D457,E457=""),"0","1")</f>
        <v>0</v>
      </c>
      <c r="AK457" s="13" t="str">
        <f t="shared" si="918"/>
        <v>0</v>
      </c>
      <c r="AL457" s="13" t="str">
        <f t="shared" si="918"/>
        <v>0</v>
      </c>
      <c r="AM457" s="13" t="str">
        <f t="shared" si="918"/>
        <v>0</v>
      </c>
      <c r="AN457" s="13" t="str">
        <f t="shared" si="918"/>
        <v>0</v>
      </c>
      <c r="AO457" s="13" t="str">
        <f t="shared" si="918"/>
        <v>0</v>
      </c>
      <c r="AP457" s="13" t="str">
        <f t="shared" si="918"/>
        <v>0</v>
      </c>
      <c r="AQ457" s="13" t="str">
        <f t="shared" si="918"/>
        <v>0</v>
      </c>
      <c r="AR457" s="13" t="str">
        <f t="shared" ref="AR457:AS457" si="919">IF(OR(O457=$C457,O457=$D457,O457=""),"0","1")</f>
        <v>0</v>
      </c>
      <c r="AS457" s="13" t="str">
        <f t="shared" si="919"/>
        <v>0</v>
      </c>
      <c r="AT457" s="698">
        <f t="shared" si="11"/>
        <v>0</v>
      </c>
    </row>
    <row r="458" ht="15.75" customHeight="1">
      <c r="A458" s="788" t="str">
        <f t="shared" si="5"/>
        <v>-</v>
      </c>
      <c r="B458" s="331"/>
      <c r="C458" s="331"/>
      <c r="D458" s="331"/>
      <c r="E458" s="790"/>
      <c r="F458" s="791"/>
      <c r="G458" s="331"/>
      <c r="H458" s="331"/>
      <c r="I458" s="331"/>
      <c r="J458" s="331"/>
      <c r="K458" s="331"/>
      <c r="L458" s="331"/>
      <c r="M458" s="331"/>
      <c r="N458" s="331"/>
      <c r="O458" s="331"/>
      <c r="P458" s="792"/>
      <c r="AB458" s="314"/>
      <c r="AC458" s="314"/>
      <c r="AD458" s="314"/>
      <c r="AE458" s="314"/>
      <c r="AF458" s="314"/>
      <c r="AG458" s="314"/>
      <c r="AJ458" s="13" t="str">
        <f t="shared" ref="AJ458:AQ458" si="920">IF(OR(E458=$C458,E458=$D458,E458=""),"0","1")</f>
        <v>0</v>
      </c>
      <c r="AK458" s="13" t="str">
        <f t="shared" si="920"/>
        <v>0</v>
      </c>
      <c r="AL458" s="13" t="str">
        <f t="shared" si="920"/>
        <v>0</v>
      </c>
      <c r="AM458" s="13" t="str">
        <f t="shared" si="920"/>
        <v>0</v>
      </c>
      <c r="AN458" s="13" t="str">
        <f t="shared" si="920"/>
        <v>0</v>
      </c>
      <c r="AO458" s="13" t="str">
        <f t="shared" si="920"/>
        <v>0</v>
      </c>
      <c r="AP458" s="13" t="str">
        <f t="shared" si="920"/>
        <v>0</v>
      </c>
      <c r="AQ458" s="13" t="str">
        <f t="shared" si="920"/>
        <v>0</v>
      </c>
      <c r="AR458" s="13" t="str">
        <f t="shared" ref="AR458:AS458" si="921">IF(OR(O458=$C458,O458=$D458,O458=""),"0","1")</f>
        <v>0</v>
      </c>
      <c r="AS458" s="13" t="str">
        <f t="shared" si="921"/>
        <v>0</v>
      </c>
      <c r="AT458" s="698">
        <f t="shared" si="11"/>
        <v>0</v>
      </c>
    </row>
    <row r="459" ht="15.75" customHeight="1">
      <c r="A459" s="788" t="str">
        <f t="shared" si="5"/>
        <v>-</v>
      </c>
      <c r="B459" s="331"/>
      <c r="C459" s="331"/>
      <c r="D459" s="331"/>
      <c r="E459" s="790"/>
      <c r="F459" s="791"/>
      <c r="G459" s="331"/>
      <c r="H459" s="331"/>
      <c r="I459" s="331"/>
      <c r="J459" s="331"/>
      <c r="K459" s="331"/>
      <c r="L459" s="331"/>
      <c r="M459" s="331"/>
      <c r="N459" s="331"/>
      <c r="O459" s="331"/>
      <c r="P459" s="792"/>
      <c r="AB459" s="314"/>
      <c r="AC459" s="314"/>
      <c r="AD459" s="314"/>
      <c r="AE459" s="314"/>
      <c r="AF459" s="314"/>
      <c r="AG459" s="314"/>
      <c r="AJ459" s="13" t="str">
        <f t="shared" ref="AJ459:AQ459" si="922">IF(OR(E459=$C459,E459=$D459,E459=""),"0","1")</f>
        <v>0</v>
      </c>
      <c r="AK459" s="13" t="str">
        <f t="shared" si="922"/>
        <v>0</v>
      </c>
      <c r="AL459" s="13" t="str">
        <f t="shared" si="922"/>
        <v>0</v>
      </c>
      <c r="AM459" s="13" t="str">
        <f t="shared" si="922"/>
        <v>0</v>
      </c>
      <c r="AN459" s="13" t="str">
        <f t="shared" si="922"/>
        <v>0</v>
      </c>
      <c r="AO459" s="13" t="str">
        <f t="shared" si="922"/>
        <v>0</v>
      </c>
      <c r="AP459" s="13" t="str">
        <f t="shared" si="922"/>
        <v>0</v>
      </c>
      <c r="AQ459" s="13" t="str">
        <f t="shared" si="922"/>
        <v>0</v>
      </c>
      <c r="AR459" s="13" t="str">
        <f t="shared" ref="AR459:AS459" si="923">IF(OR(O459=$C459,O459=$D459,O459=""),"0","1")</f>
        <v>0</v>
      </c>
      <c r="AS459" s="13" t="str">
        <f t="shared" si="923"/>
        <v>0</v>
      </c>
      <c r="AT459" s="698">
        <f t="shared" si="11"/>
        <v>0</v>
      </c>
    </row>
    <row r="460" ht="15.75" customHeight="1">
      <c r="A460" s="788" t="str">
        <f t="shared" si="5"/>
        <v>-</v>
      </c>
      <c r="B460" s="331"/>
      <c r="C460" s="331"/>
      <c r="D460" s="331"/>
      <c r="E460" s="790"/>
      <c r="F460" s="791"/>
      <c r="G460" s="331"/>
      <c r="H460" s="331"/>
      <c r="I460" s="331"/>
      <c r="J460" s="331"/>
      <c r="K460" s="331"/>
      <c r="L460" s="331"/>
      <c r="M460" s="331"/>
      <c r="N460" s="331"/>
      <c r="O460" s="331"/>
      <c r="P460" s="792"/>
      <c r="AB460" s="314"/>
      <c r="AC460" s="314"/>
      <c r="AD460" s="314"/>
      <c r="AE460" s="314"/>
      <c r="AF460" s="314"/>
      <c r="AG460" s="314"/>
      <c r="AJ460" s="13" t="str">
        <f t="shared" ref="AJ460:AQ460" si="924">IF(OR(E460=$C460,E460=$D460,E460=""),"0","1")</f>
        <v>0</v>
      </c>
      <c r="AK460" s="13" t="str">
        <f t="shared" si="924"/>
        <v>0</v>
      </c>
      <c r="AL460" s="13" t="str">
        <f t="shared" si="924"/>
        <v>0</v>
      </c>
      <c r="AM460" s="13" t="str">
        <f t="shared" si="924"/>
        <v>0</v>
      </c>
      <c r="AN460" s="13" t="str">
        <f t="shared" si="924"/>
        <v>0</v>
      </c>
      <c r="AO460" s="13" t="str">
        <f t="shared" si="924"/>
        <v>0</v>
      </c>
      <c r="AP460" s="13" t="str">
        <f t="shared" si="924"/>
        <v>0</v>
      </c>
      <c r="AQ460" s="13" t="str">
        <f t="shared" si="924"/>
        <v>0</v>
      </c>
      <c r="AR460" s="13" t="str">
        <f t="shared" ref="AR460:AS460" si="925">IF(OR(O460=$C460,O460=$D460,O460=""),"0","1")</f>
        <v>0</v>
      </c>
      <c r="AS460" s="13" t="str">
        <f t="shared" si="925"/>
        <v>0</v>
      </c>
      <c r="AT460" s="698">
        <f t="shared" si="11"/>
        <v>0</v>
      </c>
    </row>
    <row r="461" ht="15.75" customHeight="1">
      <c r="A461" s="788" t="str">
        <f t="shared" si="5"/>
        <v>-</v>
      </c>
      <c r="B461" s="331"/>
      <c r="C461" s="331"/>
      <c r="D461" s="331"/>
      <c r="E461" s="790"/>
      <c r="F461" s="791"/>
      <c r="G461" s="331"/>
      <c r="H461" s="331"/>
      <c r="I461" s="331"/>
      <c r="J461" s="331"/>
      <c r="K461" s="331"/>
      <c r="L461" s="331"/>
      <c r="M461" s="331"/>
      <c r="N461" s="331"/>
      <c r="O461" s="331"/>
      <c r="P461" s="792"/>
      <c r="AB461" s="314"/>
      <c r="AC461" s="314"/>
      <c r="AD461" s="314"/>
      <c r="AE461" s="314"/>
      <c r="AF461" s="314"/>
      <c r="AG461" s="314"/>
      <c r="AJ461" s="13" t="str">
        <f t="shared" ref="AJ461:AQ461" si="926">IF(OR(E461=$C461,E461=$D461,E461=""),"0","1")</f>
        <v>0</v>
      </c>
      <c r="AK461" s="13" t="str">
        <f t="shared" si="926"/>
        <v>0</v>
      </c>
      <c r="AL461" s="13" t="str">
        <f t="shared" si="926"/>
        <v>0</v>
      </c>
      <c r="AM461" s="13" t="str">
        <f t="shared" si="926"/>
        <v>0</v>
      </c>
      <c r="AN461" s="13" t="str">
        <f t="shared" si="926"/>
        <v>0</v>
      </c>
      <c r="AO461" s="13" t="str">
        <f t="shared" si="926"/>
        <v>0</v>
      </c>
      <c r="AP461" s="13" t="str">
        <f t="shared" si="926"/>
        <v>0</v>
      </c>
      <c r="AQ461" s="13" t="str">
        <f t="shared" si="926"/>
        <v>0</v>
      </c>
      <c r="AR461" s="13" t="str">
        <f t="shared" ref="AR461:AS461" si="927">IF(OR(O461=$C461,O461=$D461,O461=""),"0","1")</f>
        <v>0</v>
      </c>
      <c r="AS461" s="13" t="str">
        <f t="shared" si="927"/>
        <v>0</v>
      </c>
      <c r="AT461" s="698">
        <f t="shared" si="11"/>
        <v>0</v>
      </c>
    </row>
    <row r="462" ht="15.75" customHeight="1">
      <c r="A462" s="788" t="str">
        <f t="shared" si="5"/>
        <v>-</v>
      </c>
      <c r="B462" s="331"/>
      <c r="C462" s="331"/>
      <c r="D462" s="331"/>
      <c r="E462" s="790"/>
      <c r="F462" s="791"/>
      <c r="G462" s="331"/>
      <c r="H462" s="331"/>
      <c r="I462" s="331"/>
      <c r="J462" s="331"/>
      <c r="K462" s="331"/>
      <c r="L462" s="331"/>
      <c r="M462" s="331"/>
      <c r="N462" s="331"/>
      <c r="O462" s="331"/>
      <c r="P462" s="792"/>
      <c r="AB462" s="314"/>
      <c r="AC462" s="314"/>
      <c r="AD462" s="314"/>
      <c r="AE462" s="314"/>
      <c r="AF462" s="314"/>
      <c r="AG462" s="314"/>
      <c r="AJ462" s="13" t="str">
        <f t="shared" ref="AJ462:AQ462" si="928">IF(OR(E462=$C462,E462=$D462,E462=""),"0","1")</f>
        <v>0</v>
      </c>
      <c r="AK462" s="13" t="str">
        <f t="shared" si="928"/>
        <v>0</v>
      </c>
      <c r="AL462" s="13" t="str">
        <f t="shared" si="928"/>
        <v>0</v>
      </c>
      <c r="AM462" s="13" t="str">
        <f t="shared" si="928"/>
        <v>0</v>
      </c>
      <c r="AN462" s="13" t="str">
        <f t="shared" si="928"/>
        <v>0</v>
      </c>
      <c r="AO462" s="13" t="str">
        <f t="shared" si="928"/>
        <v>0</v>
      </c>
      <c r="AP462" s="13" t="str">
        <f t="shared" si="928"/>
        <v>0</v>
      </c>
      <c r="AQ462" s="13" t="str">
        <f t="shared" si="928"/>
        <v>0</v>
      </c>
      <c r="AR462" s="13" t="str">
        <f t="shared" ref="AR462:AS462" si="929">IF(OR(O462=$C462,O462=$D462,O462=""),"0","1")</f>
        <v>0</v>
      </c>
      <c r="AS462" s="13" t="str">
        <f t="shared" si="929"/>
        <v>0</v>
      </c>
      <c r="AT462" s="698">
        <f t="shared" si="11"/>
        <v>0</v>
      </c>
    </row>
    <row r="463" ht="15.75" customHeight="1">
      <c r="A463" s="788" t="str">
        <f t="shared" si="5"/>
        <v>-</v>
      </c>
      <c r="B463" s="331"/>
      <c r="C463" s="331"/>
      <c r="D463" s="331"/>
      <c r="E463" s="790"/>
      <c r="F463" s="791"/>
      <c r="G463" s="331"/>
      <c r="H463" s="331"/>
      <c r="I463" s="331"/>
      <c r="J463" s="331"/>
      <c r="K463" s="331"/>
      <c r="L463" s="331"/>
      <c r="M463" s="331"/>
      <c r="N463" s="331"/>
      <c r="O463" s="331"/>
      <c r="P463" s="792"/>
      <c r="AB463" s="314"/>
      <c r="AC463" s="314"/>
      <c r="AD463" s="314"/>
      <c r="AE463" s="314"/>
      <c r="AF463" s="314"/>
      <c r="AG463" s="314"/>
      <c r="AJ463" s="13" t="str">
        <f t="shared" ref="AJ463:AQ463" si="930">IF(OR(E463=$C463,E463=$D463,E463=""),"0","1")</f>
        <v>0</v>
      </c>
      <c r="AK463" s="13" t="str">
        <f t="shared" si="930"/>
        <v>0</v>
      </c>
      <c r="AL463" s="13" t="str">
        <f t="shared" si="930"/>
        <v>0</v>
      </c>
      <c r="AM463" s="13" t="str">
        <f t="shared" si="930"/>
        <v>0</v>
      </c>
      <c r="AN463" s="13" t="str">
        <f t="shared" si="930"/>
        <v>0</v>
      </c>
      <c r="AO463" s="13" t="str">
        <f t="shared" si="930"/>
        <v>0</v>
      </c>
      <c r="AP463" s="13" t="str">
        <f t="shared" si="930"/>
        <v>0</v>
      </c>
      <c r="AQ463" s="13" t="str">
        <f t="shared" si="930"/>
        <v>0</v>
      </c>
      <c r="AR463" s="13" t="str">
        <f t="shared" ref="AR463:AS463" si="931">IF(OR(O463=$C463,O463=$D463,O463=""),"0","1")</f>
        <v>0</v>
      </c>
      <c r="AS463" s="13" t="str">
        <f t="shared" si="931"/>
        <v>0</v>
      </c>
      <c r="AT463" s="698">
        <f t="shared" si="11"/>
        <v>0</v>
      </c>
    </row>
    <row r="464" ht="15.75" customHeight="1">
      <c r="A464" s="788" t="str">
        <f t="shared" si="5"/>
        <v>-</v>
      </c>
      <c r="B464" s="331"/>
      <c r="C464" s="331"/>
      <c r="D464" s="331"/>
      <c r="E464" s="790"/>
      <c r="F464" s="791"/>
      <c r="G464" s="331"/>
      <c r="H464" s="331"/>
      <c r="I464" s="331"/>
      <c r="J464" s="331"/>
      <c r="K464" s="331"/>
      <c r="L464" s="331"/>
      <c r="M464" s="331"/>
      <c r="N464" s="331"/>
      <c r="O464" s="331"/>
      <c r="P464" s="792"/>
      <c r="AB464" s="314"/>
      <c r="AC464" s="314"/>
      <c r="AD464" s="314"/>
      <c r="AE464" s="314"/>
      <c r="AF464" s="314"/>
      <c r="AG464" s="314"/>
      <c r="AJ464" s="13" t="str">
        <f t="shared" ref="AJ464:AQ464" si="932">IF(OR(E464=$C464,E464=$D464,E464=""),"0","1")</f>
        <v>0</v>
      </c>
      <c r="AK464" s="13" t="str">
        <f t="shared" si="932"/>
        <v>0</v>
      </c>
      <c r="AL464" s="13" t="str">
        <f t="shared" si="932"/>
        <v>0</v>
      </c>
      <c r="AM464" s="13" t="str">
        <f t="shared" si="932"/>
        <v>0</v>
      </c>
      <c r="AN464" s="13" t="str">
        <f t="shared" si="932"/>
        <v>0</v>
      </c>
      <c r="AO464" s="13" t="str">
        <f t="shared" si="932"/>
        <v>0</v>
      </c>
      <c r="AP464" s="13" t="str">
        <f t="shared" si="932"/>
        <v>0</v>
      </c>
      <c r="AQ464" s="13" t="str">
        <f t="shared" si="932"/>
        <v>0</v>
      </c>
      <c r="AR464" s="13" t="str">
        <f t="shared" ref="AR464:AS464" si="933">IF(OR(O464=$C464,O464=$D464,O464=""),"0","1")</f>
        <v>0</v>
      </c>
      <c r="AS464" s="13" t="str">
        <f t="shared" si="933"/>
        <v>0</v>
      </c>
      <c r="AT464" s="698">
        <f t="shared" si="11"/>
        <v>0</v>
      </c>
    </row>
    <row r="465" ht="15.75" customHeight="1">
      <c r="A465" s="788" t="str">
        <f t="shared" si="5"/>
        <v>-</v>
      </c>
      <c r="B465" s="331"/>
      <c r="C465" s="331"/>
      <c r="D465" s="331"/>
      <c r="E465" s="790"/>
      <c r="F465" s="791"/>
      <c r="G465" s="331"/>
      <c r="H465" s="331"/>
      <c r="I465" s="331"/>
      <c r="J465" s="331"/>
      <c r="K465" s="331"/>
      <c r="L465" s="331"/>
      <c r="M465" s="331"/>
      <c r="N465" s="331"/>
      <c r="O465" s="331"/>
      <c r="P465" s="792"/>
      <c r="AB465" s="314"/>
      <c r="AC465" s="314"/>
      <c r="AD465" s="314"/>
      <c r="AE465" s="314"/>
      <c r="AF465" s="314"/>
      <c r="AG465" s="314"/>
      <c r="AJ465" s="13" t="str">
        <f t="shared" ref="AJ465:AQ465" si="934">IF(OR(E465=$C465,E465=$D465,E465=""),"0","1")</f>
        <v>0</v>
      </c>
      <c r="AK465" s="13" t="str">
        <f t="shared" si="934"/>
        <v>0</v>
      </c>
      <c r="AL465" s="13" t="str">
        <f t="shared" si="934"/>
        <v>0</v>
      </c>
      <c r="AM465" s="13" t="str">
        <f t="shared" si="934"/>
        <v>0</v>
      </c>
      <c r="AN465" s="13" t="str">
        <f t="shared" si="934"/>
        <v>0</v>
      </c>
      <c r="AO465" s="13" t="str">
        <f t="shared" si="934"/>
        <v>0</v>
      </c>
      <c r="AP465" s="13" t="str">
        <f t="shared" si="934"/>
        <v>0</v>
      </c>
      <c r="AQ465" s="13" t="str">
        <f t="shared" si="934"/>
        <v>0</v>
      </c>
      <c r="AR465" s="13" t="str">
        <f t="shared" ref="AR465:AS465" si="935">IF(OR(O465=$C465,O465=$D465,O465=""),"0","1")</f>
        <v>0</v>
      </c>
      <c r="AS465" s="13" t="str">
        <f t="shared" si="935"/>
        <v>0</v>
      </c>
      <c r="AT465" s="698">
        <f t="shared" si="11"/>
        <v>0</v>
      </c>
    </row>
    <row r="466" ht="15.75" customHeight="1">
      <c r="A466" s="788" t="str">
        <f t="shared" si="5"/>
        <v>-</v>
      </c>
      <c r="B466" s="331"/>
      <c r="C466" s="331"/>
      <c r="D466" s="331"/>
      <c r="E466" s="790"/>
      <c r="F466" s="791"/>
      <c r="G466" s="331"/>
      <c r="H466" s="331"/>
      <c r="I466" s="331"/>
      <c r="J466" s="331"/>
      <c r="K466" s="331"/>
      <c r="L466" s="331"/>
      <c r="M466" s="331"/>
      <c r="N466" s="331"/>
      <c r="O466" s="331"/>
      <c r="P466" s="792"/>
      <c r="AB466" s="314"/>
      <c r="AC466" s="314"/>
      <c r="AD466" s="314"/>
      <c r="AE466" s="314"/>
      <c r="AF466" s="314"/>
      <c r="AG466" s="314"/>
      <c r="AJ466" s="13" t="str">
        <f t="shared" ref="AJ466:AQ466" si="936">IF(OR(E466=$C466,E466=$D466,E466=""),"0","1")</f>
        <v>0</v>
      </c>
      <c r="AK466" s="13" t="str">
        <f t="shared" si="936"/>
        <v>0</v>
      </c>
      <c r="AL466" s="13" t="str">
        <f t="shared" si="936"/>
        <v>0</v>
      </c>
      <c r="AM466" s="13" t="str">
        <f t="shared" si="936"/>
        <v>0</v>
      </c>
      <c r="AN466" s="13" t="str">
        <f t="shared" si="936"/>
        <v>0</v>
      </c>
      <c r="AO466" s="13" t="str">
        <f t="shared" si="936"/>
        <v>0</v>
      </c>
      <c r="AP466" s="13" t="str">
        <f t="shared" si="936"/>
        <v>0</v>
      </c>
      <c r="AQ466" s="13" t="str">
        <f t="shared" si="936"/>
        <v>0</v>
      </c>
      <c r="AR466" s="13" t="str">
        <f t="shared" ref="AR466:AS466" si="937">IF(OR(O466=$C466,O466=$D466,O466=""),"0","1")</f>
        <v>0</v>
      </c>
      <c r="AS466" s="13" t="str">
        <f t="shared" si="937"/>
        <v>0</v>
      </c>
      <c r="AT466" s="698">
        <f t="shared" si="11"/>
        <v>0</v>
      </c>
    </row>
    <row r="467" ht="15.75" customHeight="1">
      <c r="A467" s="788" t="str">
        <f t="shared" si="5"/>
        <v>-</v>
      </c>
      <c r="B467" s="331"/>
      <c r="C467" s="331"/>
      <c r="D467" s="331"/>
      <c r="E467" s="790"/>
      <c r="F467" s="791"/>
      <c r="G467" s="331"/>
      <c r="H467" s="331"/>
      <c r="I467" s="331"/>
      <c r="J467" s="331"/>
      <c r="K467" s="331"/>
      <c r="L467" s="331"/>
      <c r="M467" s="331"/>
      <c r="N467" s="331"/>
      <c r="O467" s="331"/>
      <c r="P467" s="792"/>
      <c r="AB467" s="314"/>
      <c r="AC467" s="314"/>
      <c r="AD467" s="314"/>
      <c r="AE467" s="314"/>
      <c r="AF467" s="314"/>
      <c r="AG467" s="314"/>
      <c r="AJ467" s="13" t="str">
        <f t="shared" ref="AJ467:AQ467" si="938">IF(OR(E467=$C467,E467=$D467,E467=""),"0","1")</f>
        <v>0</v>
      </c>
      <c r="AK467" s="13" t="str">
        <f t="shared" si="938"/>
        <v>0</v>
      </c>
      <c r="AL467" s="13" t="str">
        <f t="shared" si="938"/>
        <v>0</v>
      </c>
      <c r="AM467" s="13" t="str">
        <f t="shared" si="938"/>
        <v>0</v>
      </c>
      <c r="AN467" s="13" t="str">
        <f t="shared" si="938"/>
        <v>0</v>
      </c>
      <c r="AO467" s="13" t="str">
        <f t="shared" si="938"/>
        <v>0</v>
      </c>
      <c r="AP467" s="13" t="str">
        <f t="shared" si="938"/>
        <v>0</v>
      </c>
      <c r="AQ467" s="13" t="str">
        <f t="shared" si="938"/>
        <v>0</v>
      </c>
      <c r="AR467" s="13" t="str">
        <f t="shared" ref="AR467:AS467" si="939">IF(OR(O467=$C467,O467=$D467,O467=""),"0","1")</f>
        <v>0</v>
      </c>
      <c r="AS467" s="13" t="str">
        <f t="shared" si="939"/>
        <v>0</v>
      </c>
      <c r="AT467" s="698">
        <f t="shared" si="11"/>
        <v>0</v>
      </c>
    </row>
    <row r="468" ht="15.75" customHeight="1">
      <c r="A468" s="788" t="str">
        <f t="shared" si="5"/>
        <v>-</v>
      </c>
      <c r="B468" s="331"/>
      <c r="C468" s="331"/>
      <c r="D468" s="331"/>
      <c r="E468" s="790"/>
      <c r="F468" s="791"/>
      <c r="G468" s="331"/>
      <c r="H468" s="331"/>
      <c r="I468" s="331"/>
      <c r="J468" s="331"/>
      <c r="K468" s="331"/>
      <c r="L468" s="331"/>
      <c r="M468" s="331"/>
      <c r="N468" s="331"/>
      <c r="O468" s="331"/>
      <c r="P468" s="792"/>
      <c r="AB468" s="314"/>
      <c r="AC468" s="314"/>
      <c r="AD468" s="314"/>
      <c r="AE468" s="314"/>
      <c r="AF468" s="314"/>
      <c r="AG468" s="314"/>
      <c r="AJ468" s="13" t="str">
        <f t="shared" ref="AJ468:AQ468" si="940">IF(OR(E468=$C468,E468=$D468,E468=""),"0","1")</f>
        <v>0</v>
      </c>
      <c r="AK468" s="13" t="str">
        <f t="shared" si="940"/>
        <v>0</v>
      </c>
      <c r="AL468" s="13" t="str">
        <f t="shared" si="940"/>
        <v>0</v>
      </c>
      <c r="AM468" s="13" t="str">
        <f t="shared" si="940"/>
        <v>0</v>
      </c>
      <c r="AN468" s="13" t="str">
        <f t="shared" si="940"/>
        <v>0</v>
      </c>
      <c r="AO468" s="13" t="str">
        <f t="shared" si="940"/>
        <v>0</v>
      </c>
      <c r="AP468" s="13" t="str">
        <f t="shared" si="940"/>
        <v>0</v>
      </c>
      <c r="AQ468" s="13" t="str">
        <f t="shared" si="940"/>
        <v>0</v>
      </c>
      <c r="AR468" s="13" t="str">
        <f t="shared" ref="AR468:AS468" si="941">IF(OR(O468=$C468,O468=$D468,O468=""),"0","1")</f>
        <v>0</v>
      </c>
      <c r="AS468" s="13" t="str">
        <f t="shared" si="941"/>
        <v>0</v>
      </c>
      <c r="AT468" s="698">
        <f t="shared" si="11"/>
        <v>0</v>
      </c>
    </row>
    <row r="469" ht="15.75" customHeight="1">
      <c r="A469" s="788" t="str">
        <f t="shared" si="5"/>
        <v>-</v>
      </c>
      <c r="B469" s="331"/>
      <c r="C469" s="331"/>
      <c r="D469" s="331"/>
      <c r="E469" s="790"/>
      <c r="F469" s="791"/>
      <c r="G469" s="331"/>
      <c r="H469" s="331"/>
      <c r="I469" s="331"/>
      <c r="J469" s="331"/>
      <c r="K469" s="331"/>
      <c r="L469" s="331"/>
      <c r="M469" s="331"/>
      <c r="N469" s="331"/>
      <c r="O469" s="331"/>
      <c r="P469" s="792"/>
      <c r="AB469" s="314"/>
      <c r="AC469" s="314"/>
      <c r="AD469" s="314"/>
      <c r="AE469" s="314"/>
      <c r="AF469" s="314"/>
      <c r="AG469" s="314"/>
      <c r="AJ469" s="13" t="str">
        <f t="shared" ref="AJ469:AQ469" si="942">IF(OR(E469=$C469,E469=$D469,E469=""),"0","1")</f>
        <v>0</v>
      </c>
      <c r="AK469" s="13" t="str">
        <f t="shared" si="942"/>
        <v>0</v>
      </c>
      <c r="AL469" s="13" t="str">
        <f t="shared" si="942"/>
        <v>0</v>
      </c>
      <c r="AM469" s="13" t="str">
        <f t="shared" si="942"/>
        <v>0</v>
      </c>
      <c r="AN469" s="13" t="str">
        <f t="shared" si="942"/>
        <v>0</v>
      </c>
      <c r="AO469" s="13" t="str">
        <f t="shared" si="942"/>
        <v>0</v>
      </c>
      <c r="AP469" s="13" t="str">
        <f t="shared" si="942"/>
        <v>0</v>
      </c>
      <c r="AQ469" s="13" t="str">
        <f t="shared" si="942"/>
        <v>0</v>
      </c>
      <c r="AR469" s="13" t="str">
        <f t="shared" ref="AR469:AS469" si="943">IF(OR(O469=$C469,O469=$D469,O469=""),"0","1")</f>
        <v>0</v>
      </c>
      <c r="AS469" s="13" t="str">
        <f t="shared" si="943"/>
        <v>0</v>
      </c>
      <c r="AT469" s="698">
        <f t="shared" si="11"/>
        <v>0</v>
      </c>
    </row>
    <row r="470" ht="15.75" customHeight="1">
      <c r="A470" s="788" t="str">
        <f t="shared" si="5"/>
        <v>-</v>
      </c>
      <c r="B470" s="331"/>
      <c r="C470" s="331"/>
      <c r="D470" s="331"/>
      <c r="E470" s="790"/>
      <c r="F470" s="791"/>
      <c r="G470" s="331"/>
      <c r="H470" s="331"/>
      <c r="I470" s="331"/>
      <c r="J470" s="331"/>
      <c r="K470" s="331"/>
      <c r="L470" s="331"/>
      <c r="M470" s="331"/>
      <c r="N470" s="331"/>
      <c r="O470" s="331"/>
      <c r="P470" s="792"/>
      <c r="AB470" s="314"/>
      <c r="AC470" s="314"/>
      <c r="AD470" s="314"/>
      <c r="AE470" s="314"/>
      <c r="AF470" s="314"/>
      <c r="AG470" s="314"/>
      <c r="AJ470" s="13" t="str">
        <f t="shared" ref="AJ470:AQ470" si="944">IF(OR(E470=$C470,E470=$D470,E470=""),"0","1")</f>
        <v>0</v>
      </c>
      <c r="AK470" s="13" t="str">
        <f t="shared" si="944"/>
        <v>0</v>
      </c>
      <c r="AL470" s="13" t="str">
        <f t="shared" si="944"/>
        <v>0</v>
      </c>
      <c r="AM470" s="13" t="str">
        <f t="shared" si="944"/>
        <v>0</v>
      </c>
      <c r="AN470" s="13" t="str">
        <f t="shared" si="944"/>
        <v>0</v>
      </c>
      <c r="AO470" s="13" t="str">
        <f t="shared" si="944"/>
        <v>0</v>
      </c>
      <c r="AP470" s="13" t="str">
        <f t="shared" si="944"/>
        <v>0</v>
      </c>
      <c r="AQ470" s="13" t="str">
        <f t="shared" si="944"/>
        <v>0</v>
      </c>
      <c r="AR470" s="13" t="str">
        <f t="shared" ref="AR470:AS470" si="945">IF(OR(O470=$C470,O470=$D470,O470=""),"0","1")</f>
        <v>0</v>
      </c>
      <c r="AS470" s="13" t="str">
        <f t="shared" si="945"/>
        <v>0</v>
      </c>
      <c r="AT470" s="698">
        <f t="shared" si="11"/>
        <v>0</v>
      </c>
    </row>
    <row r="471" ht="15.75" customHeight="1">
      <c r="A471" s="788" t="str">
        <f t="shared" si="5"/>
        <v>-</v>
      </c>
      <c r="B471" s="331"/>
      <c r="C471" s="331"/>
      <c r="D471" s="331"/>
      <c r="E471" s="790"/>
      <c r="F471" s="791"/>
      <c r="G471" s="331"/>
      <c r="H471" s="331"/>
      <c r="I471" s="331"/>
      <c r="J471" s="331"/>
      <c r="K471" s="331"/>
      <c r="L471" s="331"/>
      <c r="M471" s="331"/>
      <c r="N471" s="331"/>
      <c r="O471" s="331"/>
      <c r="P471" s="792"/>
      <c r="AB471" s="314"/>
      <c r="AC471" s="314"/>
      <c r="AD471" s="314"/>
      <c r="AE471" s="314"/>
      <c r="AF471" s="314"/>
      <c r="AG471" s="314"/>
      <c r="AJ471" s="13" t="str">
        <f t="shared" ref="AJ471:AQ471" si="946">IF(OR(E471=$C471,E471=$D471,E471=""),"0","1")</f>
        <v>0</v>
      </c>
      <c r="AK471" s="13" t="str">
        <f t="shared" si="946"/>
        <v>0</v>
      </c>
      <c r="AL471" s="13" t="str">
        <f t="shared" si="946"/>
        <v>0</v>
      </c>
      <c r="AM471" s="13" t="str">
        <f t="shared" si="946"/>
        <v>0</v>
      </c>
      <c r="AN471" s="13" t="str">
        <f t="shared" si="946"/>
        <v>0</v>
      </c>
      <c r="AO471" s="13" t="str">
        <f t="shared" si="946"/>
        <v>0</v>
      </c>
      <c r="AP471" s="13" t="str">
        <f t="shared" si="946"/>
        <v>0</v>
      </c>
      <c r="AQ471" s="13" t="str">
        <f t="shared" si="946"/>
        <v>0</v>
      </c>
      <c r="AR471" s="13" t="str">
        <f t="shared" ref="AR471:AS471" si="947">IF(OR(O471=$C471,O471=$D471,O471=""),"0","1")</f>
        <v>0</v>
      </c>
      <c r="AS471" s="13" t="str">
        <f t="shared" si="947"/>
        <v>0</v>
      </c>
      <c r="AT471" s="698">
        <f t="shared" si="11"/>
        <v>0</v>
      </c>
    </row>
    <row r="472" ht="15.75" customHeight="1">
      <c r="A472" s="788" t="str">
        <f t="shared" si="5"/>
        <v>-</v>
      </c>
      <c r="B472" s="331"/>
      <c r="C472" s="331"/>
      <c r="D472" s="331"/>
      <c r="E472" s="790"/>
      <c r="F472" s="791"/>
      <c r="G472" s="331"/>
      <c r="H472" s="331"/>
      <c r="I472" s="331"/>
      <c r="J472" s="331"/>
      <c r="K472" s="331"/>
      <c r="L472" s="331"/>
      <c r="M472" s="331"/>
      <c r="N472" s="331"/>
      <c r="O472" s="331"/>
      <c r="P472" s="792"/>
      <c r="AB472" s="314"/>
      <c r="AC472" s="314"/>
      <c r="AD472" s="314"/>
      <c r="AE472" s="314"/>
      <c r="AF472" s="314"/>
      <c r="AG472" s="314"/>
      <c r="AJ472" s="13" t="str">
        <f t="shared" ref="AJ472:AQ472" si="948">IF(OR(E472=$C472,E472=$D472,E472=""),"0","1")</f>
        <v>0</v>
      </c>
      <c r="AK472" s="13" t="str">
        <f t="shared" si="948"/>
        <v>0</v>
      </c>
      <c r="AL472" s="13" t="str">
        <f t="shared" si="948"/>
        <v>0</v>
      </c>
      <c r="AM472" s="13" t="str">
        <f t="shared" si="948"/>
        <v>0</v>
      </c>
      <c r="AN472" s="13" t="str">
        <f t="shared" si="948"/>
        <v>0</v>
      </c>
      <c r="AO472" s="13" t="str">
        <f t="shared" si="948"/>
        <v>0</v>
      </c>
      <c r="AP472" s="13" t="str">
        <f t="shared" si="948"/>
        <v>0</v>
      </c>
      <c r="AQ472" s="13" t="str">
        <f t="shared" si="948"/>
        <v>0</v>
      </c>
      <c r="AR472" s="13" t="str">
        <f t="shared" ref="AR472:AS472" si="949">IF(OR(O472=$C472,O472=$D472,O472=""),"0","1")</f>
        <v>0</v>
      </c>
      <c r="AS472" s="13" t="str">
        <f t="shared" si="949"/>
        <v>0</v>
      </c>
      <c r="AT472" s="698">
        <f t="shared" si="11"/>
        <v>0</v>
      </c>
    </row>
    <row r="473" ht="15.75" customHeight="1">
      <c r="A473" s="788" t="str">
        <f t="shared" si="5"/>
        <v>-</v>
      </c>
      <c r="B473" s="331"/>
      <c r="C473" s="331"/>
      <c r="D473" s="331"/>
      <c r="E473" s="790"/>
      <c r="F473" s="791"/>
      <c r="G473" s="331"/>
      <c r="H473" s="331"/>
      <c r="I473" s="331"/>
      <c r="J473" s="331"/>
      <c r="K473" s="331"/>
      <c r="L473" s="331"/>
      <c r="M473" s="331"/>
      <c r="N473" s="331"/>
      <c r="O473" s="331"/>
      <c r="P473" s="792"/>
      <c r="AB473" s="314"/>
      <c r="AC473" s="314"/>
      <c r="AD473" s="314"/>
      <c r="AE473" s="314"/>
      <c r="AF473" s="314"/>
      <c r="AG473" s="314"/>
      <c r="AJ473" s="13" t="str">
        <f t="shared" ref="AJ473:AQ473" si="950">IF(OR(E473=$C473,E473=$D473,E473=""),"0","1")</f>
        <v>0</v>
      </c>
      <c r="AK473" s="13" t="str">
        <f t="shared" si="950"/>
        <v>0</v>
      </c>
      <c r="AL473" s="13" t="str">
        <f t="shared" si="950"/>
        <v>0</v>
      </c>
      <c r="AM473" s="13" t="str">
        <f t="shared" si="950"/>
        <v>0</v>
      </c>
      <c r="AN473" s="13" t="str">
        <f t="shared" si="950"/>
        <v>0</v>
      </c>
      <c r="AO473" s="13" t="str">
        <f t="shared" si="950"/>
        <v>0</v>
      </c>
      <c r="AP473" s="13" t="str">
        <f t="shared" si="950"/>
        <v>0</v>
      </c>
      <c r="AQ473" s="13" t="str">
        <f t="shared" si="950"/>
        <v>0</v>
      </c>
      <c r="AR473" s="13" t="str">
        <f t="shared" ref="AR473:AS473" si="951">IF(OR(O473=$C473,O473=$D473,O473=""),"0","1")</f>
        <v>0</v>
      </c>
      <c r="AS473" s="13" t="str">
        <f t="shared" si="951"/>
        <v>0</v>
      </c>
      <c r="AT473" s="698">
        <f t="shared" si="11"/>
        <v>0</v>
      </c>
    </row>
    <row r="474" ht="15.75" customHeight="1">
      <c r="A474" s="788" t="str">
        <f t="shared" si="5"/>
        <v>-</v>
      </c>
      <c r="B474" s="331"/>
      <c r="C474" s="331"/>
      <c r="D474" s="331"/>
      <c r="E474" s="790"/>
      <c r="F474" s="791"/>
      <c r="G474" s="331"/>
      <c r="H474" s="331"/>
      <c r="I474" s="331"/>
      <c r="J474" s="331"/>
      <c r="K474" s="331"/>
      <c r="L474" s="331"/>
      <c r="M474" s="331"/>
      <c r="N474" s="331"/>
      <c r="O474" s="331"/>
      <c r="P474" s="792"/>
      <c r="AB474" s="314"/>
      <c r="AC474" s="314"/>
      <c r="AD474" s="314"/>
      <c r="AE474" s="314"/>
      <c r="AF474" s="314"/>
      <c r="AG474" s="314"/>
      <c r="AJ474" s="13" t="str">
        <f t="shared" ref="AJ474:AQ474" si="952">IF(OR(E474=$C474,E474=$D474,E474=""),"0","1")</f>
        <v>0</v>
      </c>
      <c r="AK474" s="13" t="str">
        <f t="shared" si="952"/>
        <v>0</v>
      </c>
      <c r="AL474" s="13" t="str">
        <f t="shared" si="952"/>
        <v>0</v>
      </c>
      <c r="AM474" s="13" t="str">
        <f t="shared" si="952"/>
        <v>0</v>
      </c>
      <c r="AN474" s="13" t="str">
        <f t="shared" si="952"/>
        <v>0</v>
      </c>
      <c r="AO474" s="13" t="str">
        <f t="shared" si="952"/>
        <v>0</v>
      </c>
      <c r="AP474" s="13" t="str">
        <f t="shared" si="952"/>
        <v>0</v>
      </c>
      <c r="AQ474" s="13" t="str">
        <f t="shared" si="952"/>
        <v>0</v>
      </c>
      <c r="AR474" s="13" t="str">
        <f t="shared" ref="AR474:AS474" si="953">IF(OR(O474=$C474,O474=$D474,O474=""),"0","1")</f>
        <v>0</v>
      </c>
      <c r="AS474" s="13" t="str">
        <f t="shared" si="953"/>
        <v>0</v>
      </c>
      <c r="AT474" s="698">
        <f t="shared" si="11"/>
        <v>0</v>
      </c>
    </row>
    <row r="475" ht="15.75" customHeight="1">
      <c r="A475" s="788" t="str">
        <f t="shared" si="5"/>
        <v>-</v>
      </c>
      <c r="B475" s="331"/>
      <c r="C475" s="331"/>
      <c r="D475" s="331"/>
      <c r="E475" s="790"/>
      <c r="F475" s="791"/>
      <c r="G475" s="331"/>
      <c r="H475" s="331"/>
      <c r="I475" s="331"/>
      <c r="J475" s="331"/>
      <c r="K475" s="331"/>
      <c r="L475" s="331"/>
      <c r="M475" s="331"/>
      <c r="N475" s="331"/>
      <c r="O475" s="331"/>
      <c r="P475" s="792"/>
      <c r="AB475" s="314"/>
      <c r="AC475" s="314"/>
      <c r="AD475" s="314"/>
      <c r="AE475" s="314"/>
      <c r="AF475" s="314"/>
      <c r="AG475" s="314"/>
      <c r="AJ475" s="13" t="str">
        <f t="shared" ref="AJ475:AQ475" si="954">IF(OR(E475=$C475,E475=$D475,E475=""),"0","1")</f>
        <v>0</v>
      </c>
      <c r="AK475" s="13" t="str">
        <f t="shared" si="954"/>
        <v>0</v>
      </c>
      <c r="AL475" s="13" t="str">
        <f t="shared" si="954"/>
        <v>0</v>
      </c>
      <c r="AM475" s="13" t="str">
        <f t="shared" si="954"/>
        <v>0</v>
      </c>
      <c r="AN475" s="13" t="str">
        <f t="shared" si="954"/>
        <v>0</v>
      </c>
      <c r="AO475" s="13" t="str">
        <f t="shared" si="954"/>
        <v>0</v>
      </c>
      <c r="AP475" s="13" t="str">
        <f t="shared" si="954"/>
        <v>0</v>
      </c>
      <c r="AQ475" s="13" t="str">
        <f t="shared" si="954"/>
        <v>0</v>
      </c>
      <c r="AR475" s="13" t="str">
        <f t="shared" ref="AR475:AS475" si="955">IF(OR(O475=$C475,O475=$D475,O475=""),"0","1")</f>
        <v>0</v>
      </c>
      <c r="AS475" s="13" t="str">
        <f t="shared" si="955"/>
        <v>0</v>
      </c>
      <c r="AT475" s="698">
        <f t="shared" si="11"/>
        <v>0</v>
      </c>
    </row>
    <row r="476" ht="15.75" customHeight="1">
      <c r="A476" s="788" t="str">
        <f t="shared" si="5"/>
        <v>-</v>
      </c>
      <c r="B476" s="331"/>
      <c r="C476" s="331"/>
      <c r="D476" s="331"/>
      <c r="E476" s="790"/>
      <c r="F476" s="791"/>
      <c r="G476" s="331"/>
      <c r="H476" s="331"/>
      <c r="I476" s="331"/>
      <c r="J476" s="331"/>
      <c r="K476" s="331"/>
      <c r="L476" s="331"/>
      <c r="M476" s="331"/>
      <c r="N476" s="331"/>
      <c r="O476" s="331"/>
      <c r="P476" s="792"/>
      <c r="AB476" s="314"/>
      <c r="AC476" s="314"/>
      <c r="AD476" s="314"/>
      <c r="AE476" s="314"/>
      <c r="AF476" s="314"/>
      <c r="AG476" s="314"/>
      <c r="AJ476" s="13" t="str">
        <f t="shared" ref="AJ476:AQ476" si="956">IF(OR(E476=$C476,E476=$D476,E476=""),"0","1")</f>
        <v>0</v>
      </c>
      <c r="AK476" s="13" t="str">
        <f t="shared" si="956"/>
        <v>0</v>
      </c>
      <c r="AL476" s="13" t="str">
        <f t="shared" si="956"/>
        <v>0</v>
      </c>
      <c r="AM476" s="13" t="str">
        <f t="shared" si="956"/>
        <v>0</v>
      </c>
      <c r="AN476" s="13" t="str">
        <f t="shared" si="956"/>
        <v>0</v>
      </c>
      <c r="AO476" s="13" t="str">
        <f t="shared" si="956"/>
        <v>0</v>
      </c>
      <c r="AP476" s="13" t="str">
        <f t="shared" si="956"/>
        <v>0</v>
      </c>
      <c r="AQ476" s="13" t="str">
        <f t="shared" si="956"/>
        <v>0</v>
      </c>
      <c r="AR476" s="13" t="str">
        <f t="shared" ref="AR476:AS476" si="957">IF(OR(O476=$C476,O476=$D476,O476=""),"0","1")</f>
        <v>0</v>
      </c>
      <c r="AS476" s="13" t="str">
        <f t="shared" si="957"/>
        <v>0</v>
      </c>
      <c r="AT476" s="698">
        <f t="shared" si="11"/>
        <v>0</v>
      </c>
    </row>
    <row r="477" ht="15.75" customHeight="1">
      <c r="A477" s="788" t="str">
        <f t="shared" si="5"/>
        <v>-</v>
      </c>
      <c r="B477" s="331"/>
      <c r="C477" s="331"/>
      <c r="D477" s="331"/>
      <c r="E477" s="790"/>
      <c r="F477" s="791"/>
      <c r="G477" s="331"/>
      <c r="H477" s="331"/>
      <c r="I477" s="331"/>
      <c r="J477" s="331"/>
      <c r="K477" s="331"/>
      <c r="L477" s="331"/>
      <c r="M477" s="331"/>
      <c r="N477" s="331"/>
      <c r="O477" s="331"/>
      <c r="P477" s="792"/>
      <c r="AB477" s="314"/>
      <c r="AC477" s="314"/>
      <c r="AD477" s="314"/>
      <c r="AE477" s="314"/>
      <c r="AF477" s="314"/>
      <c r="AG477" s="314"/>
      <c r="AJ477" s="13" t="str">
        <f t="shared" ref="AJ477:AQ477" si="958">IF(OR(E477=$C477,E477=$D477,E477=""),"0","1")</f>
        <v>0</v>
      </c>
      <c r="AK477" s="13" t="str">
        <f t="shared" si="958"/>
        <v>0</v>
      </c>
      <c r="AL477" s="13" t="str">
        <f t="shared" si="958"/>
        <v>0</v>
      </c>
      <c r="AM477" s="13" t="str">
        <f t="shared" si="958"/>
        <v>0</v>
      </c>
      <c r="AN477" s="13" t="str">
        <f t="shared" si="958"/>
        <v>0</v>
      </c>
      <c r="AO477" s="13" t="str">
        <f t="shared" si="958"/>
        <v>0</v>
      </c>
      <c r="AP477" s="13" t="str">
        <f t="shared" si="958"/>
        <v>0</v>
      </c>
      <c r="AQ477" s="13" t="str">
        <f t="shared" si="958"/>
        <v>0</v>
      </c>
      <c r="AR477" s="13" t="str">
        <f t="shared" ref="AR477:AS477" si="959">IF(OR(O477=$C477,O477=$D477,O477=""),"0","1")</f>
        <v>0</v>
      </c>
      <c r="AS477" s="13" t="str">
        <f t="shared" si="959"/>
        <v>0</v>
      </c>
      <c r="AT477" s="698">
        <f t="shared" si="11"/>
        <v>0</v>
      </c>
    </row>
    <row r="478" ht="15.75" customHeight="1">
      <c r="A478" s="788" t="str">
        <f t="shared" si="5"/>
        <v>-</v>
      </c>
      <c r="B478" s="331"/>
      <c r="C478" s="331"/>
      <c r="D478" s="331"/>
      <c r="E478" s="790"/>
      <c r="F478" s="791"/>
      <c r="G478" s="331"/>
      <c r="H478" s="331"/>
      <c r="I478" s="331"/>
      <c r="J478" s="331"/>
      <c r="K478" s="331"/>
      <c r="L478" s="331"/>
      <c r="M478" s="331"/>
      <c r="N478" s="331"/>
      <c r="O478" s="331"/>
      <c r="P478" s="792"/>
      <c r="AB478" s="314"/>
      <c r="AC478" s="314"/>
      <c r="AD478" s="314"/>
      <c r="AE478" s="314"/>
      <c r="AF478" s="314"/>
      <c r="AG478" s="314"/>
      <c r="AJ478" s="13" t="str">
        <f t="shared" ref="AJ478:AQ478" si="960">IF(OR(E478=$C478,E478=$D478,E478=""),"0","1")</f>
        <v>0</v>
      </c>
      <c r="AK478" s="13" t="str">
        <f t="shared" si="960"/>
        <v>0</v>
      </c>
      <c r="AL478" s="13" t="str">
        <f t="shared" si="960"/>
        <v>0</v>
      </c>
      <c r="AM478" s="13" t="str">
        <f t="shared" si="960"/>
        <v>0</v>
      </c>
      <c r="AN478" s="13" t="str">
        <f t="shared" si="960"/>
        <v>0</v>
      </c>
      <c r="AO478" s="13" t="str">
        <f t="shared" si="960"/>
        <v>0</v>
      </c>
      <c r="AP478" s="13" t="str">
        <f t="shared" si="960"/>
        <v>0</v>
      </c>
      <c r="AQ478" s="13" t="str">
        <f t="shared" si="960"/>
        <v>0</v>
      </c>
      <c r="AR478" s="13" t="str">
        <f t="shared" ref="AR478:AS478" si="961">IF(OR(O478=$C478,O478=$D478,O478=""),"0","1")</f>
        <v>0</v>
      </c>
      <c r="AS478" s="13" t="str">
        <f t="shared" si="961"/>
        <v>0</v>
      </c>
      <c r="AT478" s="698">
        <f t="shared" si="11"/>
        <v>0</v>
      </c>
    </row>
    <row r="479" ht="15.75" customHeight="1">
      <c r="A479" s="788" t="str">
        <f t="shared" si="5"/>
        <v>-</v>
      </c>
      <c r="B479" s="331"/>
      <c r="C479" s="331"/>
      <c r="D479" s="331"/>
      <c r="E479" s="790"/>
      <c r="F479" s="791"/>
      <c r="G479" s="331"/>
      <c r="H479" s="331"/>
      <c r="I479" s="331"/>
      <c r="J479" s="331"/>
      <c r="K479" s="331"/>
      <c r="L479" s="331"/>
      <c r="M479" s="331"/>
      <c r="N479" s="331"/>
      <c r="O479" s="331"/>
      <c r="P479" s="792"/>
      <c r="AB479" s="314"/>
      <c r="AC479" s="314"/>
      <c r="AD479" s="314"/>
      <c r="AE479" s="314"/>
      <c r="AF479" s="314"/>
      <c r="AG479" s="314"/>
      <c r="AJ479" s="13" t="str">
        <f t="shared" ref="AJ479:AQ479" si="962">IF(OR(E479=$C479,E479=$D479,E479=""),"0","1")</f>
        <v>0</v>
      </c>
      <c r="AK479" s="13" t="str">
        <f t="shared" si="962"/>
        <v>0</v>
      </c>
      <c r="AL479" s="13" t="str">
        <f t="shared" si="962"/>
        <v>0</v>
      </c>
      <c r="AM479" s="13" t="str">
        <f t="shared" si="962"/>
        <v>0</v>
      </c>
      <c r="AN479" s="13" t="str">
        <f t="shared" si="962"/>
        <v>0</v>
      </c>
      <c r="AO479" s="13" t="str">
        <f t="shared" si="962"/>
        <v>0</v>
      </c>
      <c r="AP479" s="13" t="str">
        <f t="shared" si="962"/>
        <v>0</v>
      </c>
      <c r="AQ479" s="13" t="str">
        <f t="shared" si="962"/>
        <v>0</v>
      </c>
      <c r="AR479" s="13" t="str">
        <f t="shared" ref="AR479:AS479" si="963">IF(OR(O479=$C479,O479=$D479,O479=""),"0","1")</f>
        <v>0</v>
      </c>
      <c r="AS479" s="13" t="str">
        <f t="shared" si="963"/>
        <v>0</v>
      </c>
      <c r="AT479" s="698">
        <f t="shared" si="11"/>
        <v>0</v>
      </c>
    </row>
    <row r="480" ht="15.75" customHeight="1">
      <c r="A480" s="788" t="str">
        <f t="shared" si="5"/>
        <v>-</v>
      </c>
      <c r="B480" s="331"/>
      <c r="C480" s="331"/>
      <c r="D480" s="331"/>
      <c r="E480" s="790"/>
      <c r="F480" s="791"/>
      <c r="G480" s="331"/>
      <c r="H480" s="331"/>
      <c r="I480" s="331"/>
      <c r="J480" s="331"/>
      <c r="K480" s="331"/>
      <c r="L480" s="331"/>
      <c r="M480" s="331"/>
      <c r="N480" s="331"/>
      <c r="O480" s="331"/>
      <c r="P480" s="792"/>
      <c r="AB480" s="314"/>
      <c r="AC480" s="314"/>
      <c r="AD480" s="314"/>
      <c r="AE480" s="314"/>
      <c r="AF480" s="314"/>
      <c r="AG480" s="314"/>
      <c r="AJ480" s="13" t="str">
        <f t="shared" ref="AJ480:AQ480" si="964">IF(OR(E480=$C480,E480=$D480,E480=""),"0","1")</f>
        <v>0</v>
      </c>
      <c r="AK480" s="13" t="str">
        <f t="shared" si="964"/>
        <v>0</v>
      </c>
      <c r="AL480" s="13" t="str">
        <f t="shared" si="964"/>
        <v>0</v>
      </c>
      <c r="AM480" s="13" t="str">
        <f t="shared" si="964"/>
        <v>0</v>
      </c>
      <c r="AN480" s="13" t="str">
        <f t="shared" si="964"/>
        <v>0</v>
      </c>
      <c r="AO480" s="13" t="str">
        <f t="shared" si="964"/>
        <v>0</v>
      </c>
      <c r="AP480" s="13" t="str">
        <f t="shared" si="964"/>
        <v>0</v>
      </c>
      <c r="AQ480" s="13" t="str">
        <f t="shared" si="964"/>
        <v>0</v>
      </c>
      <c r="AR480" s="13" t="str">
        <f t="shared" ref="AR480:AS480" si="965">IF(OR(O480=$C480,O480=$D480,O480=""),"0","1")</f>
        <v>0</v>
      </c>
      <c r="AS480" s="13" t="str">
        <f t="shared" si="965"/>
        <v>0</v>
      </c>
      <c r="AT480" s="698">
        <f t="shared" si="11"/>
        <v>0</v>
      </c>
    </row>
    <row r="481" ht="15.75" customHeight="1">
      <c r="A481" s="788" t="str">
        <f t="shared" si="5"/>
        <v>-</v>
      </c>
      <c r="B481" s="331"/>
      <c r="C481" s="331"/>
      <c r="D481" s="331"/>
      <c r="E481" s="790"/>
      <c r="F481" s="791"/>
      <c r="G481" s="331"/>
      <c r="H481" s="331"/>
      <c r="I481" s="331"/>
      <c r="J481" s="331"/>
      <c r="K481" s="331"/>
      <c r="L481" s="331"/>
      <c r="M481" s="331"/>
      <c r="N481" s="331"/>
      <c r="O481" s="331"/>
      <c r="P481" s="792"/>
      <c r="AB481" s="314"/>
      <c r="AC481" s="314"/>
      <c r="AD481" s="314"/>
      <c r="AE481" s="314"/>
      <c r="AF481" s="314"/>
      <c r="AG481" s="314"/>
      <c r="AJ481" s="13" t="str">
        <f t="shared" ref="AJ481:AQ481" si="966">IF(OR(E481=$C481,E481=$D481,E481=""),"0","1")</f>
        <v>0</v>
      </c>
      <c r="AK481" s="13" t="str">
        <f t="shared" si="966"/>
        <v>0</v>
      </c>
      <c r="AL481" s="13" t="str">
        <f t="shared" si="966"/>
        <v>0</v>
      </c>
      <c r="AM481" s="13" t="str">
        <f t="shared" si="966"/>
        <v>0</v>
      </c>
      <c r="AN481" s="13" t="str">
        <f t="shared" si="966"/>
        <v>0</v>
      </c>
      <c r="AO481" s="13" t="str">
        <f t="shared" si="966"/>
        <v>0</v>
      </c>
      <c r="AP481" s="13" t="str">
        <f t="shared" si="966"/>
        <v>0</v>
      </c>
      <c r="AQ481" s="13" t="str">
        <f t="shared" si="966"/>
        <v>0</v>
      </c>
      <c r="AR481" s="13" t="str">
        <f t="shared" ref="AR481:AS481" si="967">IF(OR(O481=$C481,O481=$D481,O481=""),"0","1")</f>
        <v>0</v>
      </c>
      <c r="AS481" s="13" t="str">
        <f t="shared" si="967"/>
        <v>0</v>
      </c>
      <c r="AT481" s="698">
        <f t="shared" si="11"/>
        <v>0</v>
      </c>
    </row>
    <row r="482" ht="15.75" customHeight="1">
      <c r="A482" s="788" t="str">
        <f t="shared" si="5"/>
        <v>-</v>
      </c>
      <c r="B482" s="331"/>
      <c r="C482" s="331"/>
      <c r="D482" s="331"/>
      <c r="E482" s="790"/>
      <c r="F482" s="791"/>
      <c r="G482" s="331"/>
      <c r="H482" s="331"/>
      <c r="I482" s="331"/>
      <c r="J482" s="331"/>
      <c r="K482" s="331"/>
      <c r="L482" s="331"/>
      <c r="M482" s="331"/>
      <c r="N482" s="331"/>
      <c r="O482" s="331"/>
      <c r="P482" s="792"/>
      <c r="AB482" s="314"/>
      <c r="AC482" s="314"/>
      <c r="AD482" s="314"/>
      <c r="AE482" s="314"/>
      <c r="AF482" s="314"/>
      <c r="AG482" s="314"/>
      <c r="AJ482" s="13" t="str">
        <f t="shared" ref="AJ482:AQ482" si="968">IF(OR(E482=$C482,E482=$D482,E482=""),"0","1")</f>
        <v>0</v>
      </c>
      <c r="AK482" s="13" t="str">
        <f t="shared" si="968"/>
        <v>0</v>
      </c>
      <c r="AL482" s="13" t="str">
        <f t="shared" si="968"/>
        <v>0</v>
      </c>
      <c r="AM482" s="13" t="str">
        <f t="shared" si="968"/>
        <v>0</v>
      </c>
      <c r="AN482" s="13" t="str">
        <f t="shared" si="968"/>
        <v>0</v>
      </c>
      <c r="AO482" s="13" t="str">
        <f t="shared" si="968"/>
        <v>0</v>
      </c>
      <c r="AP482" s="13" t="str">
        <f t="shared" si="968"/>
        <v>0</v>
      </c>
      <c r="AQ482" s="13" t="str">
        <f t="shared" si="968"/>
        <v>0</v>
      </c>
      <c r="AR482" s="13" t="str">
        <f t="shared" ref="AR482:AS482" si="969">IF(OR(O482=$C482,O482=$D482,O482=""),"0","1")</f>
        <v>0</v>
      </c>
      <c r="AS482" s="13" t="str">
        <f t="shared" si="969"/>
        <v>0</v>
      </c>
      <c r="AT482" s="698">
        <f t="shared" si="11"/>
        <v>0</v>
      </c>
    </row>
    <row r="483" ht="15.75" customHeight="1">
      <c r="A483" s="788" t="str">
        <f t="shared" si="5"/>
        <v>-</v>
      </c>
      <c r="B483" s="331"/>
      <c r="C483" s="331"/>
      <c r="D483" s="331"/>
      <c r="E483" s="790"/>
      <c r="F483" s="791"/>
      <c r="G483" s="331"/>
      <c r="H483" s="331"/>
      <c r="I483" s="331"/>
      <c r="J483" s="331"/>
      <c r="K483" s="331"/>
      <c r="L483" s="331"/>
      <c r="M483" s="331"/>
      <c r="N483" s="331"/>
      <c r="O483" s="331"/>
      <c r="P483" s="792"/>
      <c r="AB483" s="314"/>
      <c r="AC483" s="314"/>
      <c r="AD483" s="314"/>
      <c r="AE483" s="314"/>
      <c r="AF483" s="314"/>
      <c r="AG483" s="314"/>
      <c r="AJ483" s="13" t="str">
        <f t="shared" ref="AJ483:AQ483" si="970">IF(OR(E483=$C483,E483=$D483,E483=""),"0","1")</f>
        <v>0</v>
      </c>
      <c r="AK483" s="13" t="str">
        <f t="shared" si="970"/>
        <v>0</v>
      </c>
      <c r="AL483" s="13" t="str">
        <f t="shared" si="970"/>
        <v>0</v>
      </c>
      <c r="AM483" s="13" t="str">
        <f t="shared" si="970"/>
        <v>0</v>
      </c>
      <c r="AN483" s="13" t="str">
        <f t="shared" si="970"/>
        <v>0</v>
      </c>
      <c r="AO483" s="13" t="str">
        <f t="shared" si="970"/>
        <v>0</v>
      </c>
      <c r="AP483" s="13" t="str">
        <f t="shared" si="970"/>
        <v>0</v>
      </c>
      <c r="AQ483" s="13" t="str">
        <f t="shared" si="970"/>
        <v>0</v>
      </c>
      <c r="AR483" s="13" t="str">
        <f t="shared" ref="AR483:AS483" si="971">IF(OR(O483=$C483,O483=$D483,O483=""),"0","1")</f>
        <v>0</v>
      </c>
      <c r="AS483" s="13" t="str">
        <f t="shared" si="971"/>
        <v>0</v>
      </c>
      <c r="AT483" s="698">
        <f t="shared" si="11"/>
        <v>0</v>
      </c>
    </row>
    <row r="484" ht="15.75" customHeight="1">
      <c r="A484" s="788" t="str">
        <f t="shared" si="5"/>
        <v>-</v>
      </c>
      <c r="B484" s="331"/>
      <c r="C484" s="331"/>
      <c r="D484" s="331"/>
      <c r="E484" s="790"/>
      <c r="F484" s="791"/>
      <c r="G484" s="331"/>
      <c r="H484" s="331"/>
      <c r="I484" s="331"/>
      <c r="J484" s="331"/>
      <c r="K484" s="331"/>
      <c r="L484" s="331"/>
      <c r="M484" s="331"/>
      <c r="N484" s="331"/>
      <c r="O484" s="331"/>
      <c r="P484" s="792"/>
      <c r="AB484" s="314"/>
      <c r="AC484" s="314"/>
      <c r="AD484" s="314"/>
      <c r="AE484" s="314"/>
      <c r="AF484" s="314"/>
      <c r="AG484" s="314"/>
      <c r="AJ484" s="13" t="str">
        <f t="shared" ref="AJ484:AQ484" si="972">IF(OR(E484=$C484,E484=$D484,E484=""),"0","1")</f>
        <v>0</v>
      </c>
      <c r="AK484" s="13" t="str">
        <f t="shared" si="972"/>
        <v>0</v>
      </c>
      <c r="AL484" s="13" t="str">
        <f t="shared" si="972"/>
        <v>0</v>
      </c>
      <c r="AM484" s="13" t="str">
        <f t="shared" si="972"/>
        <v>0</v>
      </c>
      <c r="AN484" s="13" t="str">
        <f t="shared" si="972"/>
        <v>0</v>
      </c>
      <c r="AO484" s="13" t="str">
        <f t="shared" si="972"/>
        <v>0</v>
      </c>
      <c r="AP484" s="13" t="str">
        <f t="shared" si="972"/>
        <v>0</v>
      </c>
      <c r="AQ484" s="13" t="str">
        <f t="shared" si="972"/>
        <v>0</v>
      </c>
      <c r="AR484" s="13" t="str">
        <f t="shared" ref="AR484:AS484" si="973">IF(OR(O484=$C484,O484=$D484,O484=""),"0","1")</f>
        <v>0</v>
      </c>
      <c r="AS484" s="13" t="str">
        <f t="shared" si="973"/>
        <v>0</v>
      </c>
      <c r="AT484" s="698">
        <f t="shared" si="11"/>
        <v>0</v>
      </c>
    </row>
    <row r="485" ht="15.75" customHeight="1">
      <c r="A485" s="788" t="str">
        <f t="shared" si="5"/>
        <v>-</v>
      </c>
      <c r="B485" s="331"/>
      <c r="C485" s="331"/>
      <c r="D485" s="331"/>
      <c r="E485" s="790"/>
      <c r="F485" s="791"/>
      <c r="G485" s="331"/>
      <c r="H485" s="331"/>
      <c r="I485" s="331"/>
      <c r="J485" s="331"/>
      <c r="K485" s="331"/>
      <c r="L485" s="331"/>
      <c r="M485" s="331"/>
      <c r="N485" s="331"/>
      <c r="O485" s="331"/>
      <c r="P485" s="792"/>
      <c r="AB485" s="314"/>
      <c r="AC485" s="314"/>
      <c r="AD485" s="314"/>
      <c r="AE485" s="314"/>
      <c r="AF485" s="314"/>
      <c r="AG485" s="314"/>
      <c r="AJ485" s="13" t="str">
        <f t="shared" ref="AJ485:AQ485" si="974">IF(OR(E485=$C485,E485=$D485,E485=""),"0","1")</f>
        <v>0</v>
      </c>
      <c r="AK485" s="13" t="str">
        <f t="shared" si="974"/>
        <v>0</v>
      </c>
      <c r="AL485" s="13" t="str">
        <f t="shared" si="974"/>
        <v>0</v>
      </c>
      <c r="AM485" s="13" t="str">
        <f t="shared" si="974"/>
        <v>0</v>
      </c>
      <c r="AN485" s="13" t="str">
        <f t="shared" si="974"/>
        <v>0</v>
      </c>
      <c r="AO485" s="13" t="str">
        <f t="shared" si="974"/>
        <v>0</v>
      </c>
      <c r="AP485" s="13" t="str">
        <f t="shared" si="974"/>
        <v>0</v>
      </c>
      <c r="AQ485" s="13" t="str">
        <f t="shared" si="974"/>
        <v>0</v>
      </c>
      <c r="AR485" s="13" t="str">
        <f t="shared" ref="AR485:AS485" si="975">IF(OR(O485=$C485,O485=$D485,O485=""),"0","1")</f>
        <v>0</v>
      </c>
      <c r="AS485" s="13" t="str">
        <f t="shared" si="975"/>
        <v>0</v>
      </c>
      <c r="AT485" s="698">
        <f t="shared" si="11"/>
        <v>0</v>
      </c>
    </row>
    <row r="486" ht="15.75" customHeight="1">
      <c r="A486" s="788" t="str">
        <f t="shared" si="5"/>
        <v>-</v>
      </c>
      <c r="B486" s="331"/>
      <c r="C486" s="331"/>
      <c r="D486" s="331"/>
      <c r="E486" s="790"/>
      <c r="F486" s="791"/>
      <c r="G486" s="331"/>
      <c r="H486" s="331"/>
      <c r="I486" s="331"/>
      <c r="J486" s="331"/>
      <c r="K486" s="331"/>
      <c r="L486" s="331"/>
      <c r="M486" s="331"/>
      <c r="N486" s="331"/>
      <c r="O486" s="331"/>
      <c r="P486" s="792"/>
      <c r="AB486" s="314"/>
      <c r="AC486" s="314"/>
      <c r="AD486" s="314"/>
      <c r="AE486" s="314"/>
      <c r="AF486" s="314"/>
      <c r="AG486" s="314"/>
      <c r="AJ486" s="13" t="str">
        <f t="shared" ref="AJ486:AQ486" si="976">IF(OR(E486=$C486,E486=$D486,E486=""),"0","1")</f>
        <v>0</v>
      </c>
      <c r="AK486" s="13" t="str">
        <f t="shared" si="976"/>
        <v>0</v>
      </c>
      <c r="AL486" s="13" t="str">
        <f t="shared" si="976"/>
        <v>0</v>
      </c>
      <c r="AM486" s="13" t="str">
        <f t="shared" si="976"/>
        <v>0</v>
      </c>
      <c r="AN486" s="13" t="str">
        <f t="shared" si="976"/>
        <v>0</v>
      </c>
      <c r="AO486" s="13" t="str">
        <f t="shared" si="976"/>
        <v>0</v>
      </c>
      <c r="AP486" s="13" t="str">
        <f t="shared" si="976"/>
        <v>0</v>
      </c>
      <c r="AQ486" s="13" t="str">
        <f t="shared" si="976"/>
        <v>0</v>
      </c>
      <c r="AR486" s="13" t="str">
        <f t="shared" ref="AR486:AS486" si="977">IF(OR(O486=$C486,O486=$D486,O486=""),"0","1")</f>
        <v>0</v>
      </c>
      <c r="AS486" s="13" t="str">
        <f t="shared" si="977"/>
        <v>0</v>
      </c>
      <c r="AT486" s="698">
        <f t="shared" si="11"/>
        <v>0</v>
      </c>
    </row>
    <row r="487" ht="15.75" customHeight="1">
      <c r="A487" s="788" t="str">
        <f t="shared" si="5"/>
        <v>-</v>
      </c>
      <c r="B487" s="331"/>
      <c r="C487" s="331"/>
      <c r="D487" s="331"/>
      <c r="E487" s="790"/>
      <c r="F487" s="791"/>
      <c r="G487" s="331"/>
      <c r="H487" s="331"/>
      <c r="I487" s="331"/>
      <c r="J487" s="331"/>
      <c r="K487" s="331"/>
      <c r="L487" s="331"/>
      <c r="M487" s="331"/>
      <c r="N487" s="331"/>
      <c r="O487" s="331"/>
      <c r="P487" s="792"/>
      <c r="AB487" s="314"/>
      <c r="AC487" s="314"/>
      <c r="AD487" s="314"/>
      <c r="AE487" s="314"/>
      <c r="AF487" s="314"/>
      <c r="AG487" s="314"/>
      <c r="AJ487" s="13" t="str">
        <f t="shared" ref="AJ487:AQ487" si="978">IF(OR(E487=$C487,E487=$D487,E487=""),"0","1")</f>
        <v>0</v>
      </c>
      <c r="AK487" s="13" t="str">
        <f t="shared" si="978"/>
        <v>0</v>
      </c>
      <c r="AL487" s="13" t="str">
        <f t="shared" si="978"/>
        <v>0</v>
      </c>
      <c r="AM487" s="13" t="str">
        <f t="shared" si="978"/>
        <v>0</v>
      </c>
      <c r="AN487" s="13" t="str">
        <f t="shared" si="978"/>
        <v>0</v>
      </c>
      <c r="AO487" s="13" t="str">
        <f t="shared" si="978"/>
        <v>0</v>
      </c>
      <c r="AP487" s="13" t="str">
        <f t="shared" si="978"/>
        <v>0</v>
      </c>
      <c r="AQ487" s="13" t="str">
        <f t="shared" si="978"/>
        <v>0</v>
      </c>
      <c r="AR487" s="13" t="str">
        <f t="shared" ref="AR487:AS487" si="979">IF(OR(O487=$C487,O487=$D487,O487=""),"0","1")</f>
        <v>0</v>
      </c>
      <c r="AS487" s="13" t="str">
        <f t="shared" si="979"/>
        <v>0</v>
      </c>
      <c r="AT487" s="698">
        <f t="shared" si="11"/>
        <v>0</v>
      </c>
    </row>
    <row r="488" ht="15.75" customHeight="1">
      <c r="A488" s="788" t="str">
        <f t="shared" si="5"/>
        <v>-</v>
      </c>
      <c r="B488" s="331"/>
      <c r="C488" s="331"/>
      <c r="D488" s="331"/>
      <c r="E488" s="790"/>
      <c r="F488" s="791"/>
      <c r="G488" s="331"/>
      <c r="H488" s="331"/>
      <c r="I488" s="331"/>
      <c r="J488" s="331"/>
      <c r="K488" s="331"/>
      <c r="L488" s="331"/>
      <c r="M488" s="331"/>
      <c r="N488" s="331"/>
      <c r="O488" s="331"/>
      <c r="P488" s="792"/>
      <c r="AB488" s="314"/>
      <c r="AC488" s="314"/>
      <c r="AD488" s="314"/>
      <c r="AE488" s="314"/>
      <c r="AF488" s="314"/>
      <c r="AG488" s="314"/>
      <c r="AJ488" s="13" t="str">
        <f t="shared" ref="AJ488:AQ488" si="980">IF(OR(E488=$C488,E488=$D488,E488=""),"0","1")</f>
        <v>0</v>
      </c>
      <c r="AK488" s="13" t="str">
        <f t="shared" si="980"/>
        <v>0</v>
      </c>
      <c r="AL488" s="13" t="str">
        <f t="shared" si="980"/>
        <v>0</v>
      </c>
      <c r="AM488" s="13" t="str">
        <f t="shared" si="980"/>
        <v>0</v>
      </c>
      <c r="AN488" s="13" t="str">
        <f t="shared" si="980"/>
        <v>0</v>
      </c>
      <c r="AO488" s="13" t="str">
        <f t="shared" si="980"/>
        <v>0</v>
      </c>
      <c r="AP488" s="13" t="str">
        <f t="shared" si="980"/>
        <v>0</v>
      </c>
      <c r="AQ488" s="13" t="str">
        <f t="shared" si="980"/>
        <v>0</v>
      </c>
      <c r="AR488" s="13" t="str">
        <f t="shared" ref="AR488:AS488" si="981">IF(OR(O488=$C488,O488=$D488,O488=""),"0","1")</f>
        <v>0</v>
      </c>
      <c r="AS488" s="13" t="str">
        <f t="shared" si="981"/>
        <v>0</v>
      </c>
      <c r="AT488" s="698">
        <f t="shared" si="11"/>
        <v>0</v>
      </c>
    </row>
    <row r="489" ht="15.75" customHeight="1">
      <c r="A489" s="788" t="str">
        <f t="shared" si="5"/>
        <v>-</v>
      </c>
      <c r="B489" s="331"/>
      <c r="C489" s="331"/>
      <c r="D489" s="331"/>
      <c r="E489" s="790"/>
      <c r="F489" s="791"/>
      <c r="G489" s="331"/>
      <c r="H489" s="331"/>
      <c r="I489" s="331"/>
      <c r="J489" s="331"/>
      <c r="K489" s="331"/>
      <c r="L489" s="331"/>
      <c r="M489" s="331"/>
      <c r="N489" s="331"/>
      <c r="O489" s="331"/>
      <c r="P489" s="792"/>
      <c r="AB489" s="314"/>
      <c r="AC489" s="314"/>
      <c r="AD489" s="314"/>
      <c r="AE489" s="314"/>
      <c r="AF489" s="314"/>
      <c r="AG489" s="314"/>
      <c r="AJ489" s="13" t="str">
        <f t="shared" ref="AJ489:AQ489" si="982">IF(OR(E489=$C489,E489=$D489,E489=""),"0","1")</f>
        <v>0</v>
      </c>
      <c r="AK489" s="13" t="str">
        <f t="shared" si="982"/>
        <v>0</v>
      </c>
      <c r="AL489" s="13" t="str">
        <f t="shared" si="982"/>
        <v>0</v>
      </c>
      <c r="AM489" s="13" t="str">
        <f t="shared" si="982"/>
        <v>0</v>
      </c>
      <c r="AN489" s="13" t="str">
        <f t="shared" si="982"/>
        <v>0</v>
      </c>
      <c r="AO489" s="13" t="str">
        <f t="shared" si="982"/>
        <v>0</v>
      </c>
      <c r="AP489" s="13" t="str">
        <f t="shared" si="982"/>
        <v>0</v>
      </c>
      <c r="AQ489" s="13" t="str">
        <f t="shared" si="982"/>
        <v>0</v>
      </c>
      <c r="AR489" s="13" t="str">
        <f t="shared" ref="AR489:AS489" si="983">IF(OR(O489=$C489,O489=$D489,O489=""),"0","1")</f>
        <v>0</v>
      </c>
      <c r="AS489" s="13" t="str">
        <f t="shared" si="983"/>
        <v>0</v>
      </c>
      <c r="AT489" s="698">
        <f t="shared" si="11"/>
        <v>0</v>
      </c>
    </row>
    <row r="490" ht="15.75" customHeight="1">
      <c r="A490" s="788" t="str">
        <f t="shared" si="5"/>
        <v>-</v>
      </c>
      <c r="B490" s="331"/>
      <c r="C490" s="331"/>
      <c r="D490" s="331"/>
      <c r="E490" s="790"/>
      <c r="F490" s="791"/>
      <c r="G490" s="331"/>
      <c r="H490" s="331"/>
      <c r="I490" s="331"/>
      <c r="J490" s="331"/>
      <c r="K490" s="331"/>
      <c r="L490" s="331"/>
      <c r="M490" s="331"/>
      <c r="N490" s="331"/>
      <c r="O490" s="331"/>
      <c r="P490" s="792"/>
      <c r="AB490" s="314"/>
      <c r="AC490" s="314"/>
      <c r="AD490" s="314"/>
      <c r="AE490" s="314"/>
      <c r="AF490" s="314"/>
      <c r="AG490" s="314"/>
      <c r="AJ490" s="13" t="str">
        <f t="shared" ref="AJ490:AQ490" si="984">IF(OR(E490=$C490,E490=$D490,E490=""),"0","1")</f>
        <v>0</v>
      </c>
      <c r="AK490" s="13" t="str">
        <f t="shared" si="984"/>
        <v>0</v>
      </c>
      <c r="AL490" s="13" t="str">
        <f t="shared" si="984"/>
        <v>0</v>
      </c>
      <c r="AM490" s="13" t="str">
        <f t="shared" si="984"/>
        <v>0</v>
      </c>
      <c r="AN490" s="13" t="str">
        <f t="shared" si="984"/>
        <v>0</v>
      </c>
      <c r="AO490" s="13" t="str">
        <f t="shared" si="984"/>
        <v>0</v>
      </c>
      <c r="AP490" s="13" t="str">
        <f t="shared" si="984"/>
        <v>0</v>
      </c>
      <c r="AQ490" s="13" t="str">
        <f t="shared" si="984"/>
        <v>0</v>
      </c>
      <c r="AR490" s="13" t="str">
        <f t="shared" ref="AR490:AS490" si="985">IF(OR(O490=$C490,O490=$D490,O490=""),"0","1")</f>
        <v>0</v>
      </c>
      <c r="AS490" s="13" t="str">
        <f t="shared" si="985"/>
        <v>0</v>
      </c>
      <c r="AT490" s="698">
        <f t="shared" si="11"/>
        <v>0</v>
      </c>
    </row>
    <row r="491" ht="15.75" customHeight="1">
      <c r="A491" s="788" t="str">
        <f t="shared" si="5"/>
        <v>-</v>
      </c>
      <c r="B491" s="331"/>
      <c r="C491" s="331"/>
      <c r="D491" s="331"/>
      <c r="E491" s="790"/>
      <c r="F491" s="791"/>
      <c r="G491" s="331"/>
      <c r="H491" s="331"/>
      <c r="I491" s="331"/>
      <c r="J491" s="331"/>
      <c r="K491" s="331"/>
      <c r="L491" s="331"/>
      <c r="M491" s="331"/>
      <c r="N491" s="331"/>
      <c r="O491" s="331"/>
      <c r="P491" s="792"/>
      <c r="AB491" s="314"/>
      <c r="AC491" s="314"/>
      <c r="AD491" s="314"/>
      <c r="AE491" s="314"/>
      <c r="AF491" s="314"/>
      <c r="AG491" s="314"/>
      <c r="AJ491" s="13" t="str">
        <f t="shared" ref="AJ491:AQ491" si="986">IF(OR(E491=$C491,E491=$D491,E491=""),"0","1")</f>
        <v>0</v>
      </c>
      <c r="AK491" s="13" t="str">
        <f t="shared" si="986"/>
        <v>0</v>
      </c>
      <c r="AL491" s="13" t="str">
        <f t="shared" si="986"/>
        <v>0</v>
      </c>
      <c r="AM491" s="13" t="str">
        <f t="shared" si="986"/>
        <v>0</v>
      </c>
      <c r="AN491" s="13" t="str">
        <f t="shared" si="986"/>
        <v>0</v>
      </c>
      <c r="AO491" s="13" t="str">
        <f t="shared" si="986"/>
        <v>0</v>
      </c>
      <c r="AP491" s="13" t="str">
        <f t="shared" si="986"/>
        <v>0</v>
      </c>
      <c r="AQ491" s="13" t="str">
        <f t="shared" si="986"/>
        <v>0</v>
      </c>
      <c r="AR491" s="13" t="str">
        <f t="shared" ref="AR491:AS491" si="987">IF(OR(O491=$C491,O491=$D491,O491=""),"0","1")</f>
        <v>0</v>
      </c>
      <c r="AS491" s="13" t="str">
        <f t="shared" si="987"/>
        <v>0</v>
      </c>
      <c r="AT491" s="698">
        <f t="shared" si="11"/>
        <v>0</v>
      </c>
    </row>
    <row r="492" ht="15.75" customHeight="1">
      <c r="A492" s="788" t="str">
        <f t="shared" si="5"/>
        <v>-</v>
      </c>
      <c r="B492" s="331"/>
      <c r="C492" s="331"/>
      <c r="D492" s="331"/>
      <c r="E492" s="790"/>
      <c r="F492" s="791"/>
      <c r="G492" s="331"/>
      <c r="H492" s="331"/>
      <c r="I492" s="331"/>
      <c r="J492" s="331"/>
      <c r="K492" s="331"/>
      <c r="L492" s="331"/>
      <c r="M492" s="331"/>
      <c r="N492" s="331"/>
      <c r="O492" s="331"/>
      <c r="P492" s="792"/>
      <c r="AB492" s="314"/>
      <c r="AC492" s="314"/>
      <c r="AD492" s="314"/>
      <c r="AE492" s="314"/>
      <c r="AF492" s="314"/>
      <c r="AG492" s="314"/>
      <c r="AJ492" s="13" t="str">
        <f t="shared" ref="AJ492:AQ492" si="988">IF(OR(E492=$C492,E492=$D492,E492=""),"0","1")</f>
        <v>0</v>
      </c>
      <c r="AK492" s="13" t="str">
        <f t="shared" si="988"/>
        <v>0</v>
      </c>
      <c r="AL492" s="13" t="str">
        <f t="shared" si="988"/>
        <v>0</v>
      </c>
      <c r="AM492" s="13" t="str">
        <f t="shared" si="988"/>
        <v>0</v>
      </c>
      <c r="AN492" s="13" t="str">
        <f t="shared" si="988"/>
        <v>0</v>
      </c>
      <c r="AO492" s="13" t="str">
        <f t="shared" si="988"/>
        <v>0</v>
      </c>
      <c r="AP492" s="13" t="str">
        <f t="shared" si="988"/>
        <v>0</v>
      </c>
      <c r="AQ492" s="13" t="str">
        <f t="shared" si="988"/>
        <v>0</v>
      </c>
      <c r="AR492" s="13" t="str">
        <f t="shared" ref="AR492:AS492" si="989">IF(OR(O492=$C492,O492=$D492,O492=""),"0","1")</f>
        <v>0</v>
      </c>
      <c r="AS492" s="13" t="str">
        <f t="shared" si="989"/>
        <v>0</v>
      </c>
      <c r="AT492" s="698">
        <f t="shared" si="11"/>
        <v>0</v>
      </c>
    </row>
    <row r="493" ht="15.75" customHeight="1">
      <c r="A493" s="788" t="str">
        <f t="shared" si="5"/>
        <v>-</v>
      </c>
      <c r="B493" s="331"/>
      <c r="C493" s="331"/>
      <c r="D493" s="331"/>
      <c r="E493" s="790"/>
      <c r="F493" s="791"/>
      <c r="G493" s="331"/>
      <c r="H493" s="331"/>
      <c r="I493" s="331"/>
      <c r="J493" s="331"/>
      <c r="K493" s="331"/>
      <c r="L493" s="331"/>
      <c r="M493" s="331"/>
      <c r="N493" s="331"/>
      <c r="O493" s="331"/>
      <c r="P493" s="792"/>
      <c r="AB493" s="314"/>
      <c r="AC493" s="314"/>
      <c r="AD493" s="314"/>
      <c r="AE493" s="314"/>
      <c r="AF493" s="314"/>
      <c r="AG493" s="314"/>
      <c r="AJ493" s="13" t="str">
        <f t="shared" ref="AJ493:AQ493" si="990">IF(OR(E493=$C493,E493=$D493,E493=""),"0","1")</f>
        <v>0</v>
      </c>
      <c r="AK493" s="13" t="str">
        <f t="shared" si="990"/>
        <v>0</v>
      </c>
      <c r="AL493" s="13" t="str">
        <f t="shared" si="990"/>
        <v>0</v>
      </c>
      <c r="AM493" s="13" t="str">
        <f t="shared" si="990"/>
        <v>0</v>
      </c>
      <c r="AN493" s="13" t="str">
        <f t="shared" si="990"/>
        <v>0</v>
      </c>
      <c r="AO493" s="13" t="str">
        <f t="shared" si="990"/>
        <v>0</v>
      </c>
      <c r="AP493" s="13" t="str">
        <f t="shared" si="990"/>
        <v>0</v>
      </c>
      <c r="AQ493" s="13" t="str">
        <f t="shared" si="990"/>
        <v>0</v>
      </c>
      <c r="AR493" s="13" t="str">
        <f t="shared" ref="AR493:AS493" si="991">IF(OR(O493=$C493,O493=$D493,O493=""),"0","1")</f>
        <v>0</v>
      </c>
      <c r="AS493" s="13" t="str">
        <f t="shared" si="991"/>
        <v>0</v>
      </c>
      <c r="AT493" s="698">
        <f t="shared" si="11"/>
        <v>0</v>
      </c>
    </row>
    <row r="494" ht="15.75" customHeight="1">
      <c r="A494" s="788" t="str">
        <f t="shared" si="5"/>
        <v>-</v>
      </c>
      <c r="B494" s="331"/>
      <c r="C494" s="331"/>
      <c r="D494" s="331"/>
      <c r="E494" s="790"/>
      <c r="F494" s="791"/>
      <c r="G494" s="331"/>
      <c r="H494" s="331"/>
      <c r="I494" s="331"/>
      <c r="J494" s="331"/>
      <c r="K494" s="331"/>
      <c r="L494" s="331"/>
      <c r="M494" s="331"/>
      <c r="N494" s="331"/>
      <c r="O494" s="331"/>
      <c r="P494" s="792"/>
      <c r="AB494" s="314"/>
      <c r="AC494" s="314"/>
      <c r="AD494" s="314"/>
      <c r="AE494" s="314"/>
      <c r="AF494" s="314"/>
      <c r="AG494" s="314"/>
      <c r="AJ494" s="13" t="str">
        <f t="shared" ref="AJ494:AQ494" si="992">IF(OR(E494=$C494,E494=$D494,E494=""),"0","1")</f>
        <v>0</v>
      </c>
      <c r="AK494" s="13" t="str">
        <f t="shared" si="992"/>
        <v>0</v>
      </c>
      <c r="AL494" s="13" t="str">
        <f t="shared" si="992"/>
        <v>0</v>
      </c>
      <c r="AM494" s="13" t="str">
        <f t="shared" si="992"/>
        <v>0</v>
      </c>
      <c r="AN494" s="13" t="str">
        <f t="shared" si="992"/>
        <v>0</v>
      </c>
      <c r="AO494" s="13" t="str">
        <f t="shared" si="992"/>
        <v>0</v>
      </c>
      <c r="AP494" s="13" t="str">
        <f t="shared" si="992"/>
        <v>0</v>
      </c>
      <c r="AQ494" s="13" t="str">
        <f t="shared" si="992"/>
        <v>0</v>
      </c>
      <c r="AR494" s="13" t="str">
        <f t="shared" ref="AR494:AS494" si="993">IF(OR(O494=$C494,O494=$D494,O494=""),"0","1")</f>
        <v>0</v>
      </c>
      <c r="AS494" s="13" t="str">
        <f t="shared" si="993"/>
        <v>0</v>
      </c>
      <c r="AT494" s="698">
        <f t="shared" si="11"/>
        <v>0</v>
      </c>
    </row>
    <row r="495" ht="15.75" customHeight="1">
      <c r="A495" s="788" t="str">
        <f t="shared" si="5"/>
        <v>-</v>
      </c>
      <c r="B495" s="331"/>
      <c r="C495" s="331"/>
      <c r="D495" s="331"/>
      <c r="E495" s="790"/>
      <c r="F495" s="791"/>
      <c r="G495" s="331"/>
      <c r="H495" s="331"/>
      <c r="I495" s="331"/>
      <c r="J495" s="331"/>
      <c r="K495" s="331"/>
      <c r="L495" s="331"/>
      <c r="M495" s="331"/>
      <c r="N495" s="331"/>
      <c r="O495" s="331"/>
      <c r="P495" s="792"/>
      <c r="AB495" s="314"/>
      <c r="AC495" s="314"/>
      <c r="AD495" s="314"/>
      <c r="AE495" s="314"/>
      <c r="AF495" s="314"/>
      <c r="AG495" s="314"/>
      <c r="AJ495" s="13" t="str">
        <f t="shared" ref="AJ495:AQ495" si="994">IF(OR(E495=$C495,E495=$D495,E495=""),"0","1")</f>
        <v>0</v>
      </c>
      <c r="AK495" s="13" t="str">
        <f t="shared" si="994"/>
        <v>0</v>
      </c>
      <c r="AL495" s="13" t="str">
        <f t="shared" si="994"/>
        <v>0</v>
      </c>
      <c r="AM495" s="13" t="str">
        <f t="shared" si="994"/>
        <v>0</v>
      </c>
      <c r="AN495" s="13" t="str">
        <f t="shared" si="994"/>
        <v>0</v>
      </c>
      <c r="AO495" s="13" t="str">
        <f t="shared" si="994"/>
        <v>0</v>
      </c>
      <c r="AP495" s="13" t="str">
        <f t="shared" si="994"/>
        <v>0</v>
      </c>
      <c r="AQ495" s="13" t="str">
        <f t="shared" si="994"/>
        <v>0</v>
      </c>
      <c r="AR495" s="13" t="str">
        <f t="shared" ref="AR495:AS495" si="995">IF(OR(O495=$C495,O495=$D495,O495=""),"0","1")</f>
        <v>0</v>
      </c>
      <c r="AS495" s="13" t="str">
        <f t="shared" si="995"/>
        <v>0</v>
      </c>
      <c r="AT495" s="698">
        <f t="shared" si="11"/>
        <v>0</v>
      </c>
    </row>
    <row r="496" ht="15.75" customHeight="1">
      <c r="A496" s="788" t="str">
        <f t="shared" si="5"/>
        <v>-</v>
      </c>
      <c r="B496" s="331"/>
      <c r="C496" s="331"/>
      <c r="D496" s="331"/>
      <c r="E496" s="790"/>
      <c r="F496" s="791"/>
      <c r="G496" s="331"/>
      <c r="H496" s="331"/>
      <c r="I496" s="331"/>
      <c r="J496" s="331"/>
      <c r="K496" s="331"/>
      <c r="L496" s="331"/>
      <c r="M496" s="331"/>
      <c r="N496" s="331"/>
      <c r="O496" s="331"/>
      <c r="P496" s="792"/>
      <c r="AB496" s="314"/>
      <c r="AC496" s="314"/>
      <c r="AD496" s="314"/>
      <c r="AE496" s="314"/>
      <c r="AF496" s="314"/>
      <c r="AG496" s="314"/>
      <c r="AJ496" s="13" t="str">
        <f t="shared" ref="AJ496:AQ496" si="996">IF(OR(E496=$C496,E496=$D496,E496=""),"0","1")</f>
        <v>0</v>
      </c>
      <c r="AK496" s="13" t="str">
        <f t="shared" si="996"/>
        <v>0</v>
      </c>
      <c r="AL496" s="13" t="str">
        <f t="shared" si="996"/>
        <v>0</v>
      </c>
      <c r="AM496" s="13" t="str">
        <f t="shared" si="996"/>
        <v>0</v>
      </c>
      <c r="AN496" s="13" t="str">
        <f t="shared" si="996"/>
        <v>0</v>
      </c>
      <c r="AO496" s="13" t="str">
        <f t="shared" si="996"/>
        <v>0</v>
      </c>
      <c r="AP496" s="13" t="str">
        <f t="shared" si="996"/>
        <v>0</v>
      </c>
      <c r="AQ496" s="13" t="str">
        <f t="shared" si="996"/>
        <v>0</v>
      </c>
      <c r="AR496" s="13" t="str">
        <f t="shared" ref="AR496:AS496" si="997">IF(OR(O496=$C496,O496=$D496,O496=""),"0","1")</f>
        <v>0</v>
      </c>
      <c r="AS496" s="13" t="str">
        <f t="shared" si="997"/>
        <v>0</v>
      </c>
      <c r="AT496" s="698">
        <f t="shared" si="11"/>
        <v>0</v>
      </c>
    </row>
    <row r="497" ht="15.75" customHeight="1">
      <c r="A497" s="788" t="str">
        <f t="shared" si="5"/>
        <v>-</v>
      </c>
      <c r="B497" s="331"/>
      <c r="C497" s="331"/>
      <c r="D497" s="331"/>
      <c r="E497" s="790"/>
      <c r="F497" s="791"/>
      <c r="G497" s="331"/>
      <c r="H497" s="331"/>
      <c r="I497" s="331"/>
      <c r="J497" s="331"/>
      <c r="K497" s="331"/>
      <c r="L497" s="331"/>
      <c r="M497" s="331"/>
      <c r="N497" s="331"/>
      <c r="O497" s="331"/>
      <c r="P497" s="792"/>
      <c r="AB497" s="314"/>
      <c r="AC497" s="314"/>
      <c r="AD497" s="314"/>
      <c r="AE497" s="314"/>
      <c r="AF497" s="314"/>
      <c r="AG497" s="314"/>
      <c r="AJ497" s="13" t="str">
        <f t="shared" ref="AJ497:AQ497" si="998">IF(OR(E497=$C497,E497=$D497,E497=""),"0","1")</f>
        <v>0</v>
      </c>
      <c r="AK497" s="13" t="str">
        <f t="shared" si="998"/>
        <v>0</v>
      </c>
      <c r="AL497" s="13" t="str">
        <f t="shared" si="998"/>
        <v>0</v>
      </c>
      <c r="AM497" s="13" t="str">
        <f t="shared" si="998"/>
        <v>0</v>
      </c>
      <c r="AN497" s="13" t="str">
        <f t="shared" si="998"/>
        <v>0</v>
      </c>
      <c r="AO497" s="13" t="str">
        <f t="shared" si="998"/>
        <v>0</v>
      </c>
      <c r="AP497" s="13" t="str">
        <f t="shared" si="998"/>
        <v>0</v>
      </c>
      <c r="AQ497" s="13" t="str">
        <f t="shared" si="998"/>
        <v>0</v>
      </c>
      <c r="AR497" s="13" t="str">
        <f t="shared" ref="AR497:AS497" si="999">IF(OR(O497=$C497,O497=$D497,O497=""),"0","1")</f>
        <v>0</v>
      </c>
      <c r="AS497" s="13" t="str">
        <f t="shared" si="999"/>
        <v>0</v>
      </c>
      <c r="AT497" s="698">
        <f t="shared" si="11"/>
        <v>0</v>
      </c>
    </row>
    <row r="498" ht="15.75" customHeight="1">
      <c r="A498" s="788" t="str">
        <f t="shared" si="5"/>
        <v>-</v>
      </c>
      <c r="B498" s="331"/>
      <c r="C498" s="331"/>
      <c r="D498" s="331"/>
      <c r="E498" s="790"/>
      <c r="F498" s="791"/>
      <c r="G498" s="331"/>
      <c r="H498" s="331"/>
      <c r="I498" s="331"/>
      <c r="J498" s="331"/>
      <c r="K498" s="331"/>
      <c r="L498" s="331"/>
      <c r="M498" s="331"/>
      <c r="N498" s="331"/>
      <c r="O498" s="331"/>
      <c r="P498" s="792"/>
      <c r="AB498" s="314"/>
      <c r="AC498" s="314"/>
      <c r="AD498" s="314"/>
      <c r="AE498" s="314"/>
      <c r="AF498" s="314"/>
      <c r="AG498" s="314"/>
      <c r="AJ498" s="13" t="str">
        <f t="shared" ref="AJ498:AQ498" si="1000">IF(OR(E498=$C498,E498=$D498,E498=""),"0","1")</f>
        <v>0</v>
      </c>
      <c r="AK498" s="13" t="str">
        <f t="shared" si="1000"/>
        <v>0</v>
      </c>
      <c r="AL498" s="13" t="str">
        <f t="shared" si="1000"/>
        <v>0</v>
      </c>
      <c r="AM498" s="13" t="str">
        <f t="shared" si="1000"/>
        <v>0</v>
      </c>
      <c r="AN498" s="13" t="str">
        <f t="shared" si="1000"/>
        <v>0</v>
      </c>
      <c r="AO498" s="13" t="str">
        <f t="shared" si="1000"/>
        <v>0</v>
      </c>
      <c r="AP498" s="13" t="str">
        <f t="shared" si="1000"/>
        <v>0</v>
      </c>
      <c r="AQ498" s="13" t="str">
        <f t="shared" si="1000"/>
        <v>0</v>
      </c>
      <c r="AR498" s="13" t="str">
        <f t="shared" ref="AR498:AS498" si="1001">IF(OR(O498=$C498,O498=$D498,O498=""),"0","1")</f>
        <v>0</v>
      </c>
      <c r="AS498" s="13" t="str">
        <f t="shared" si="1001"/>
        <v>0</v>
      </c>
      <c r="AT498" s="698">
        <f t="shared" si="11"/>
        <v>0</v>
      </c>
    </row>
    <row r="499" ht="15.75" customHeight="1">
      <c r="A499" s="788" t="str">
        <f t="shared" si="5"/>
        <v>-</v>
      </c>
      <c r="B499" s="331"/>
      <c r="C499" s="331"/>
      <c r="D499" s="331"/>
      <c r="E499" s="790"/>
      <c r="F499" s="791"/>
      <c r="G499" s="331"/>
      <c r="H499" s="331"/>
      <c r="I499" s="331"/>
      <c r="J499" s="331"/>
      <c r="K499" s="331"/>
      <c r="L499" s="331"/>
      <c r="M499" s="331"/>
      <c r="N499" s="331"/>
      <c r="O499" s="331"/>
      <c r="P499" s="792"/>
      <c r="AB499" s="314"/>
      <c r="AC499" s="314"/>
      <c r="AD499" s="314"/>
      <c r="AE499" s="314"/>
      <c r="AF499" s="314"/>
      <c r="AG499" s="314"/>
      <c r="AJ499" s="13" t="str">
        <f t="shared" ref="AJ499:AQ499" si="1002">IF(OR(E499=$C499,E499=$D499,E499=""),"0","1")</f>
        <v>0</v>
      </c>
      <c r="AK499" s="13" t="str">
        <f t="shared" si="1002"/>
        <v>0</v>
      </c>
      <c r="AL499" s="13" t="str">
        <f t="shared" si="1002"/>
        <v>0</v>
      </c>
      <c r="AM499" s="13" t="str">
        <f t="shared" si="1002"/>
        <v>0</v>
      </c>
      <c r="AN499" s="13" t="str">
        <f t="shared" si="1002"/>
        <v>0</v>
      </c>
      <c r="AO499" s="13" t="str">
        <f t="shared" si="1002"/>
        <v>0</v>
      </c>
      <c r="AP499" s="13" t="str">
        <f t="shared" si="1002"/>
        <v>0</v>
      </c>
      <c r="AQ499" s="13" t="str">
        <f t="shared" si="1002"/>
        <v>0</v>
      </c>
      <c r="AR499" s="13" t="str">
        <f t="shared" ref="AR499:AS499" si="1003">IF(OR(O499=$C499,O499=$D499,O499=""),"0","1")</f>
        <v>0</v>
      </c>
      <c r="AS499" s="13" t="str">
        <f t="shared" si="1003"/>
        <v>0</v>
      </c>
      <c r="AT499" s="698">
        <f t="shared" si="11"/>
        <v>0</v>
      </c>
    </row>
    <row r="500" ht="15.75" customHeight="1">
      <c r="A500" s="788" t="str">
        <f t="shared" si="5"/>
        <v>-</v>
      </c>
      <c r="B500" s="331"/>
      <c r="C500" s="331"/>
      <c r="D500" s="331"/>
      <c r="E500" s="790"/>
      <c r="F500" s="791"/>
      <c r="G500" s="331"/>
      <c r="H500" s="331"/>
      <c r="I500" s="331"/>
      <c r="J500" s="331"/>
      <c r="K500" s="331"/>
      <c r="L500" s="331"/>
      <c r="M500" s="331"/>
      <c r="N500" s="331"/>
      <c r="O500" s="331"/>
      <c r="P500" s="792"/>
      <c r="AB500" s="314"/>
      <c r="AC500" s="314"/>
      <c r="AD500" s="314"/>
      <c r="AE500" s="314"/>
      <c r="AF500" s="314"/>
      <c r="AG500" s="314"/>
      <c r="AJ500" s="13" t="str">
        <f t="shared" ref="AJ500:AQ500" si="1004">IF(OR(E500=$C500,E500=$D500,E500=""),"0","1")</f>
        <v>0</v>
      </c>
      <c r="AK500" s="13" t="str">
        <f t="shared" si="1004"/>
        <v>0</v>
      </c>
      <c r="AL500" s="13" t="str">
        <f t="shared" si="1004"/>
        <v>0</v>
      </c>
      <c r="AM500" s="13" t="str">
        <f t="shared" si="1004"/>
        <v>0</v>
      </c>
      <c r="AN500" s="13" t="str">
        <f t="shared" si="1004"/>
        <v>0</v>
      </c>
      <c r="AO500" s="13" t="str">
        <f t="shared" si="1004"/>
        <v>0</v>
      </c>
      <c r="AP500" s="13" t="str">
        <f t="shared" si="1004"/>
        <v>0</v>
      </c>
      <c r="AQ500" s="13" t="str">
        <f t="shared" si="1004"/>
        <v>0</v>
      </c>
      <c r="AR500" s="13" t="str">
        <f t="shared" ref="AR500:AS500" si="1005">IF(OR(O500=$C500,O500=$D500,O500=""),"0","1")</f>
        <v>0</v>
      </c>
      <c r="AS500" s="13" t="str">
        <f t="shared" si="1005"/>
        <v>0</v>
      </c>
      <c r="AT500" s="698">
        <f t="shared" si="11"/>
        <v>0</v>
      </c>
    </row>
    <row r="501" ht="15.75" customHeight="1">
      <c r="A501" s="788" t="str">
        <f t="shared" si="5"/>
        <v>-</v>
      </c>
      <c r="B501" s="331"/>
      <c r="C501" s="331"/>
      <c r="D501" s="331"/>
      <c r="E501" s="790"/>
      <c r="F501" s="791"/>
      <c r="G501" s="331"/>
      <c r="H501" s="331"/>
      <c r="I501" s="331"/>
      <c r="J501" s="331"/>
      <c r="K501" s="331"/>
      <c r="L501" s="331"/>
      <c r="M501" s="331"/>
      <c r="N501" s="331"/>
      <c r="O501" s="331"/>
      <c r="P501" s="792"/>
      <c r="AB501" s="314"/>
      <c r="AC501" s="314"/>
      <c r="AD501" s="314"/>
      <c r="AE501" s="314"/>
      <c r="AF501" s="314"/>
      <c r="AG501" s="314"/>
      <c r="AJ501" s="13" t="str">
        <f t="shared" ref="AJ501:AQ501" si="1006">IF(OR(E501=$C501,E501=$D501,E501=""),"0","1")</f>
        <v>0</v>
      </c>
      <c r="AK501" s="13" t="str">
        <f t="shared" si="1006"/>
        <v>0</v>
      </c>
      <c r="AL501" s="13" t="str">
        <f t="shared" si="1006"/>
        <v>0</v>
      </c>
      <c r="AM501" s="13" t="str">
        <f t="shared" si="1006"/>
        <v>0</v>
      </c>
      <c r="AN501" s="13" t="str">
        <f t="shared" si="1006"/>
        <v>0</v>
      </c>
      <c r="AO501" s="13" t="str">
        <f t="shared" si="1006"/>
        <v>0</v>
      </c>
      <c r="AP501" s="13" t="str">
        <f t="shared" si="1006"/>
        <v>0</v>
      </c>
      <c r="AQ501" s="13" t="str">
        <f t="shared" si="1006"/>
        <v>0</v>
      </c>
      <c r="AR501" s="13" t="str">
        <f t="shared" ref="AR501:AS501" si="1007">IF(OR(O501=$C501,O501=$D501,O501=""),"0","1")</f>
        <v>0</v>
      </c>
      <c r="AS501" s="13" t="str">
        <f t="shared" si="1007"/>
        <v>0</v>
      </c>
      <c r="AT501" s="698">
        <f t="shared" si="11"/>
        <v>0</v>
      </c>
    </row>
    <row r="502" ht="15.75" customHeight="1">
      <c r="A502" s="788" t="str">
        <f t="shared" si="5"/>
        <v>-</v>
      </c>
      <c r="B502" s="331"/>
      <c r="C502" s="331"/>
      <c r="D502" s="331"/>
      <c r="E502" s="790"/>
      <c r="F502" s="791"/>
      <c r="G502" s="331"/>
      <c r="H502" s="331"/>
      <c r="I502" s="331"/>
      <c r="J502" s="331"/>
      <c r="K502" s="331"/>
      <c r="L502" s="331"/>
      <c r="M502" s="331"/>
      <c r="N502" s="331"/>
      <c r="O502" s="331"/>
      <c r="P502" s="792"/>
      <c r="AB502" s="314"/>
      <c r="AC502" s="314"/>
      <c r="AD502" s="314"/>
      <c r="AE502" s="314"/>
      <c r="AF502" s="314"/>
      <c r="AG502" s="314"/>
      <c r="AJ502" s="13" t="str">
        <f t="shared" ref="AJ502:AQ502" si="1008">IF(OR(E502=$C502,E502=$D502,E502=""),"0","1")</f>
        <v>0</v>
      </c>
      <c r="AK502" s="13" t="str">
        <f t="shared" si="1008"/>
        <v>0</v>
      </c>
      <c r="AL502" s="13" t="str">
        <f t="shared" si="1008"/>
        <v>0</v>
      </c>
      <c r="AM502" s="13" t="str">
        <f t="shared" si="1008"/>
        <v>0</v>
      </c>
      <c r="AN502" s="13" t="str">
        <f t="shared" si="1008"/>
        <v>0</v>
      </c>
      <c r="AO502" s="13" t="str">
        <f t="shared" si="1008"/>
        <v>0</v>
      </c>
      <c r="AP502" s="13" t="str">
        <f t="shared" si="1008"/>
        <v>0</v>
      </c>
      <c r="AQ502" s="13" t="str">
        <f t="shared" si="1008"/>
        <v>0</v>
      </c>
      <c r="AR502" s="13" t="str">
        <f t="shared" ref="AR502:AS502" si="1009">IF(OR(O502=$C502,O502=$D502,O502=""),"0","1")</f>
        <v>0</v>
      </c>
      <c r="AS502" s="13" t="str">
        <f t="shared" si="1009"/>
        <v>0</v>
      </c>
      <c r="AT502" s="698">
        <f t="shared" si="11"/>
        <v>0</v>
      </c>
    </row>
    <row r="503" ht="15.75" customHeight="1">
      <c r="A503" s="788" t="str">
        <f t="shared" si="5"/>
        <v>-</v>
      </c>
      <c r="B503" s="331"/>
      <c r="C503" s="331"/>
      <c r="D503" s="331"/>
      <c r="E503" s="790"/>
      <c r="F503" s="791"/>
      <c r="G503" s="331"/>
      <c r="H503" s="331"/>
      <c r="I503" s="331"/>
      <c r="J503" s="331"/>
      <c r="K503" s="331"/>
      <c r="L503" s="331"/>
      <c r="M503" s="331"/>
      <c r="N503" s="331"/>
      <c r="O503" s="331"/>
      <c r="P503" s="792"/>
      <c r="AB503" s="314"/>
      <c r="AC503" s="314"/>
      <c r="AD503" s="314"/>
      <c r="AE503" s="314"/>
      <c r="AF503" s="314"/>
      <c r="AG503" s="314"/>
      <c r="AJ503" s="13" t="str">
        <f t="shared" ref="AJ503:AQ503" si="1010">IF(OR(E503=$C503,E503=$D503,E503=""),"0","1")</f>
        <v>0</v>
      </c>
      <c r="AK503" s="13" t="str">
        <f t="shared" si="1010"/>
        <v>0</v>
      </c>
      <c r="AL503" s="13" t="str">
        <f t="shared" si="1010"/>
        <v>0</v>
      </c>
      <c r="AM503" s="13" t="str">
        <f t="shared" si="1010"/>
        <v>0</v>
      </c>
      <c r="AN503" s="13" t="str">
        <f t="shared" si="1010"/>
        <v>0</v>
      </c>
      <c r="AO503" s="13" t="str">
        <f t="shared" si="1010"/>
        <v>0</v>
      </c>
      <c r="AP503" s="13" t="str">
        <f t="shared" si="1010"/>
        <v>0</v>
      </c>
      <c r="AQ503" s="13" t="str">
        <f t="shared" si="1010"/>
        <v>0</v>
      </c>
      <c r="AR503" s="13" t="str">
        <f t="shared" ref="AR503:AS503" si="1011">IF(OR(O503=$C503,O503=$D503,O503=""),"0","1")</f>
        <v>0</v>
      </c>
      <c r="AS503" s="13" t="str">
        <f t="shared" si="1011"/>
        <v>0</v>
      </c>
      <c r="AT503" s="698">
        <f t="shared" si="11"/>
        <v>0</v>
      </c>
    </row>
    <row r="504" ht="15.75" customHeight="1">
      <c r="A504" s="788" t="str">
        <f t="shared" si="5"/>
        <v>-</v>
      </c>
      <c r="B504" s="331"/>
      <c r="C504" s="331"/>
      <c r="D504" s="331"/>
      <c r="E504" s="790"/>
      <c r="F504" s="791"/>
      <c r="G504" s="331"/>
      <c r="H504" s="331"/>
      <c r="I504" s="331"/>
      <c r="J504" s="331"/>
      <c r="K504" s="331"/>
      <c r="L504" s="331"/>
      <c r="M504" s="331"/>
      <c r="N504" s="331"/>
      <c r="O504" s="331"/>
      <c r="P504" s="792"/>
      <c r="AB504" s="314"/>
      <c r="AC504" s="314"/>
      <c r="AD504" s="314"/>
      <c r="AE504" s="314"/>
      <c r="AF504" s="314"/>
      <c r="AG504" s="314"/>
      <c r="AJ504" s="13" t="str">
        <f t="shared" ref="AJ504:AQ504" si="1012">IF(OR(E504=$C504,E504=$D504,E504=""),"0","1")</f>
        <v>0</v>
      </c>
      <c r="AK504" s="13" t="str">
        <f t="shared" si="1012"/>
        <v>0</v>
      </c>
      <c r="AL504" s="13" t="str">
        <f t="shared" si="1012"/>
        <v>0</v>
      </c>
      <c r="AM504" s="13" t="str">
        <f t="shared" si="1012"/>
        <v>0</v>
      </c>
      <c r="AN504" s="13" t="str">
        <f t="shared" si="1012"/>
        <v>0</v>
      </c>
      <c r="AO504" s="13" t="str">
        <f t="shared" si="1012"/>
        <v>0</v>
      </c>
      <c r="AP504" s="13" t="str">
        <f t="shared" si="1012"/>
        <v>0</v>
      </c>
      <c r="AQ504" s="13" t="str">
        <f t="shared" si="1012"/>
        <v>0</v>
      </c>
      <c r="AR504" s="13" t="str">
        <f t="shared" ref="AR504:AS504" si="1013">IF(OR(O504=$C504,O504=$D504,O504=""),"0","1")</f>
        <v>0</v>
      </c>
      <c r="AS504" s="13" t="str">
        <f t="shared" si="1013"/>
        <v>0</v>
      </c>
      <c r="AT504" s="698">
        <f t="shared" si="11"/>
        <v>0</v>
      </c>
    </row>
    <row r="505" ht="15.75" customHeight="1">
      <c r="A505" s="788" t="str">
        <f t="shared" si="5"/>
        <v>-</v>
      </c>
      <c r="B505" s="331"/>
      <c r="C505" s="331"/>
      <c r="D505" s="331"/>
      <c r="E505" s="790"/>
      <c r="F505" s="791"/>
      <c r="G505" s="331"/>
      <c r="H505" s="331"/>
      <c r="I505" s="331"/>
      <c r="J505" s="331"/>
      <c r="K505" s="331"/>
      <c r="L505" s="331"/>
      <c r="M505" s="331"/>
      <c r="N505" s="331"/>
      <c r="O505" s="331"/>
      <c r="P505" s="792"/>
      <c r="AB505" s="314"/>
      <c r="AC505" s="314"/>
      <c r="AD505" s="314"/>
      <c r="AE505" s="314"/>
      <c r="AF505" s="314"/>
      <c r="AG505" s="314"/>
      <c r="AJ505" s="13" t="str">
        <f t="shared" ref="AJ505:AQ505" si="1014">IF(OR(E505=$C505,E505=$D505,E505=""),"0","1")</f>
        <v>0</v>
      </c>
      <c r="AK505" s="13" t="str">
        <f t="shared" si="1014"/>
        <v>0</v>
      </c>
      <c r="AL505" s="13" t="str">
        <f t="shared" si="1014"/>
        <v>0</v>
      </c>
      <c r="AM505" s="13" t="str">
        <f t="shared" si="1014"/>
        <v>0</v>
      </c>
      <c r="AN505" s="13" t="str">
        <f t="shared" si="1014"/>
        <v>0</v>
      </c>
      <c r="AO505" s="13" t="str">
        <f t="shared" si="1014"/>
        <v>0</v>
      </c>
      <c r="AP505" s="13" t="str">
        <f t="shared" si="1014"/>
        <v>0</v>
      </c>
      <c r="AQ505" s="13" t="str">
        <f t="shared" si="1014"/>
        <v>0</v>
      </c>
      <c r="AR505" s="13" t="str">
        <f t="shared" ref="AR505:AS505" si="1015">IF(OR(O505=$C505,O505=$D505,O505=""),"0","1")</f>
        <v>0</v>
      </c>
      <c r="AS505" s="13" t="str">
        <f t="shared" si="1015"/>
        <v>0</v>
      </c>
      <c r="AT505" s="698">
        <f t="shared" si="11"/>
        <v>0</v>
      </c>
    </row>
    <row r="506" ht="15.75" customHeight="1">
      <c r="A506" s="788" t="str">
        <f t="shared" si="5"/>
        <v>-</v>
      </c>
      <c r="B506" s="331"/>
      <c r="C506" s="331"/>
      <c r="D506" s="331"/>
      <c r="E506" s="790"/>
      <c r="F506" s="791"/>
      <c r="G506" s="331"/>
      <c r="H506" s="331"/>
      <c r="I506" s="331"/>
      <c r="J506" s="331"/>
      <c r="K506" s="331"/>
      <c r="L506" s="331"/>
      <c r="M506" s="331"/>
      <c r="N506" s="331"/>
      <c r="O506" s="331"/>
      <c r="P506" s="792"/>
      <c r="AB506" s="314"/>
      <c r="AC506" s="314"/>
      <c r="AD506" s="314"/>
      <c r="AE506" s="314"/>
      <c r="AF506" s="314"/>
      <c r="AG506" s="314"/>
      <c r="AJ506" s="13" t="str">
        <f t="shared" ref="AJ506:AQ506" si="1016">IF(OR(E506=$C506,E506=$D506,E506=""),"0","1")</f>
        <v>0</v>
      </c>
      <c r="AK506" s="13" t="str">
        <f t="shared" si="1016"/>
        <v>0</v>
      </c>
      <c r="AL506" s="13" t="str">
        <f t="shared" si="1016"/>
        <v>0</v>
      </c>
      <c r="AM506" s="13" t="str">
        <f t="shared" si="1016"/>
        <v>0</v>
      </c>
      <c r="AN506" s="13" t="str">
        <f t="shared" si="1016"/>
        <v>0</v>
      </c>
      <c r="AO506" s="13" t="str">
        <f t="shared" si="1016"/>
        <v>0</v>
      </c>
      <c r="AP506" s="13" t="str">
        <f t="shared" si="1016"/>
        <v>0</v>
      </c>
      <c r="AQ506" s="13" t="str">
        <f t="shared" si="1016"/>
        <v>0</v>
      </c>
      <c r="AR506" s="13" t="str">
        <f t="shared" ref="AR506:AS506" si="1017">IF(OR(O506=$C506,O506=$D506,O506=""),"0","1")</f>
        <v>0</v>
      </c>
      <c r="AS506" s="13" t="str">
        <f t="shared" si="1017"/>
        <v>0</v>
      </c>
      <c r="AT506" s="698">
        <f t="shared" si="11"/>
        <v>0</v>
      </c>
    </row>
    <row r="507" ht="15.75" customHeight="1">
      <c r="A507" s="788" t="str">
        <f t="shared" si="5"/>
        <v>-</v>
      </c>
      <c r="B507" s="331"/>
      <c r="C507" s="331"/>
      <c r="D507" s="331"/>
      <c r="E507" s="790"/>
      <c r="F507" s="791"/>
      <c r="G507" s="331"/>
      <c r="H507" s="331"/>
      <c r="I507" s="331"/>
      <c r="J507" s="331"/>
      <c r="K507" s="331"/>
      <c r="L507" s="331"/>
      <c r="M507" s="331"/>
      <c r="N507" s="331"/>
      <c r="O507" s="331"/>
      <c r="P507" s="792"/>
      <c r="AB507" s="314"/>
      <c r="AC507" s="314"/>
      <c r="AD507" s="314"/>
      <c r="AE507" s="314"/>
      <c r="AF507" s="314"/>
      <c r="AG507" s="314"/>
      <c r="AJ507" s="13" t="str">
        <f t="shared" ref="AJ507:AQ507" si="1018">IF(OR(E507=$C507,E507=$D507,E507=""),"0","1")</f>
        <v>0</v>
      </c>
      <c r="AK507" s="13" t="str">
        <f t="shared" si="1018"/>
        <v>0</v>
      </c>
      <c r="AL507" s="13" t="str">
        <f t="shared" si="1018"/>
        <v>0</v>
      </c>
      <c r="AM507" s="13" t="str">
        <f t="shared" si="1018"/>
        <v>0</v>
      </c>
      <c r="AN507" s="13" t="str">
        <f t="shared" si="1018"/>
        <v>0</v>
      </c>
      <c r="AO507" s="13" t="str">
        <f t="shared" si="1018"/>
        <v>0</v>
      </c>
      <c r="AP507" s="13" t="str">
        <f t="shared" si="1018"/>
        <v>0</v>
      </c>
      <c r="AQ507" s="13" t="str">
        <f t="shared" si="1018"/>
        <v>0</v>
      </c>
      <c r="AR507" s="13" t="str">
        <f t="shared" ref="AR507:AS507" si="1019">IF(OR(O507=$C507,O507=$D507,O507=""),"0","1")</f>
        <v>0</v>
      </c>
      <c r="AS507" s="13" t="str">
        <f t="shared" si="1019"/>
        <v>0</v>
      </c>
      <c r="AT507" s="698">
        <f t="shared" si="11"/>
        <v>0</v>
      </c>
    </row>
    <row r="508" ht="15.75" customHeight="1">
      <c r="A508" s="788" t="str">
        <f t="shared" si="5"/>
        <v>-</v>
      </c>
      <c r="B508" s="331"/>
      <c r="C508" s="331"/>
      <c r="D508" s="331"/>
      <c r="E508" s="790"/>
      <c r="F508" s="791"/>
      <c r="G508" s="331"/>
      <c r="H508" s="331"/>
      <c r="I508" s="331"/>
      <c r="J508" s="331"/>
      <c r="K508" s="331"/>
      <c r="L508" s="331"/>
      <c r="M508" s="331"/>
      <c r="N508" s="331"/>
      <c r="O508" s="331"/>
      <c r="P508" s="792"/>
      <c r="AB508" s="314"/>
      <c r="AC508" s="314"/>
      <c r="AD508" s="314"/>
      <c r="AE508" s="314"/>
      <c r="AF508" s="314"/>
      <c r="AG508" s="314"/>
      <c r="AJ508" s="13" t="str">
        <f t="shared" ref="AJ508:AQ508" si="1020">IF(OR(E508=$C508,E508=$D508,E508=""),"0","1")</f>
        <v>0</v>
      </c>
      <c r="AK508" s="13" t="str">
        <f t="shared" si="1020"/>
        <v>0</v>
      </c>
      <c r="AL508" s="13" t="str">
        <f t="shared" si="1020"/>
        <v>0</v>
      </c>
      <c r="AM508" s="13" t="str">
        <f t="shared" si="1020"/>
        <v>0</v>
      </c>
      <c r="AN508" s="13" t="str">
        <f t="shared" si="1020"/>
        <v>0</v>
      </c>
      <c r="AO508" s="13" t="str">
        <f t="shared" si="1020"/>
        <v>0</v>
      </c>
      <c r="AP508" s="13" t="str">
        <f t="shared" si="1020"/>
        <v>0</v>
      </c>
      <c r="AQ508" s="13" t="str">
        <f t="shared" si="1020"/>
        <v>0</v>
      </c>
      <c r="AR508" s="13" t="str">
        <f t="shared" ref="AR508:AS508" si="1021">IF(OR(O508=$C508,O508=$D508,O508=""),"0","1")</f>
        <v>0</v>
      </c>
      <c r="AS508" s="13" t="str">
        <f t="shared" si="1021"/>
        <v>0</v>
      </c>
      <c r="AT508" s="698">
        <f t="shared" si="11"/>
        <v>0</v>
      </c>
    </row>
    <row r="509" ht="15.75" customHeight="1">
      <c r="A509" s="788" t="str">
        <f t="shared" si="5"/>
        <v>-</v>
      </c>
      <c r="B509" s="331"/>
      <c r="C509" s="331"/>
      <c r="D509" s="331"/>
      <c r="E509" s="790"/>
      <c r="F509" s="791"/>
      <c r="G509" s="331"/>
      <c r="H509" s="331"/>
      <c r="I509" s="331"/>
      <c r="J509" s="331"/>
      <c r="K509" s="331"/>
      <c r="L509" s="331"/>
      <c r="M509" s="331"/>
      <c r="N509" s="331"/>
      <c r="O509" s="331"/>
      <c r="P509" s="792"/>
      <c r="AB509" s="314"/>
      <c r="AC509" s="314"/>
      <c r="AD509" s="314"/>
      <c r="AE509" s="314"/>
      <c r="AF509" s="314"/>
      <c r="AG509" s="314"/>
      <c r="AJ509" s="13" t="str">
        <f t="shared" ref="AJ509:AQ509" si="1022">IF(OR(E509=$C509,E509=$D509,E509=""),"0","1")</f>
        <v>0</v>
      </c>
      <c r="AK509" s="13" t="str">
        <f t="shared" si="1022"/>
        <v>0</v>
      </c>
      <c r="AL509" s="13" t="str">
        <f t="shared" si="1022"/>
        <v>0</v>
      </c>
      <c r="AM509" s="13" t="str">
        <f t="shared" si="1022"/>
        <v>0</v>
      </c>
      <c r="AN509" s="13" t="str">
        <f t="shared" si="1022"/>
        <v>0</v>
      </c>
      <c r="AO509" s="13" t="str">
        <f t="shared" si="1022"/>
        <v>0</v>
      </c>
      <c r="AP509" s="13" t="str">
        <f t="shared" si="1022"/>
        <v>0</v>
      </c>
      <c r="AQ509" s="13" t="str">
        <f t="shared" si="1022"/>
        <v>0</v>
      </c>
      <c r="AR509" s="13" t="str">
        <f t="shared" ref="AR509:AS509" si="1023">IF(OR(O509=$C509,O509=$D509,O509=""),"0","1")</f>
        <v>0</v>
      </c>
      <c r="AS509" s="13" t="str">
        <f t="shared" si="1023"/>
        <v>0</v>
      </c>
      <c r="AT509" s="698">
        <f t="shared" si="11"/>
        <v>0</v>
      </c>
    </row>
    <row r="510" ht="15.75" customHeight="1">
      <c r="A510" s="788" t="str">
        <f t="shared" si="5"/>
        <v>-</v>
      </c>
      <c r="B510" s="331"/>
      <c r="C510" s="331"/>
      <c r="D510" s="331"/>
      <c r="E510" s="790"/>
      <c r="F510" s="791"/>
      <c r="G510" s="331"/>
      <c r="H510" s="331"/>
      <c r="I510" s="331"/>
      <c r="J510" s="331"/>
      <c r="K510" s="331"/>
      <c r="L510" s="331"/>
      <c r="M510" s="331"/>
      <c r="N510" s="331"/>
      <c r="O510" s="331"/>
      <c r="P510" s="792"/>
      <c r="AB510" s="314"/>
      <c r="AC510" s="314"/>
      <c r="AD510" s="314"/>
      <c r="AE510" s="314"/>
      <c r="AF510" s="314"/>
      <c r="AG510" s="314"/>
      <c r="AJ510" s="13" t="str">
        <f t="shared" ref="AJ510:AQ510" si="1024">IF(OR(E510=$C510,E510=$D510,E510=""),"0","1")</f>
        <v>0</v>
      </c>
      <c r="AK510" s="13" t="str">
        <f t="shared" si="1024"/>
        <v>0</v>
      </c>
      <c r="AL510" s="13" t="str">
        <f t="shared" si="1024"/>
        <v>0</v>
      </c>
      <c r="AM510" s="13" t="str">
        <f t="shared" si="1024"/>
        <v>0</v>
      </c>
      <c r="AN510" s="13" t="str">
        <f t="shared" si="1024"/>
        <v>0</v>
      </c>
      <c r="AO510" s="13" t="str">
        <f t="shared" si="1024"/>
        <v>0</v>
      </c>
      <c r="AP510" s="13" t="str">
        <f t="shared" si="1024"/>
        <v>0</v>
      </c>
      <c r="AQ510" s="13" t="str">
        <f t="shared" si="1024"/>
        <v>0</v>
      </c>
      <c r="AR510" s="13" t="str">
        <f t="shared" ref="AR510:AS510" si="1025">IF(OR(O510=$C510,O510=$D510,O510=""),"0","1")</f>
        <v>0</v>
      </c>
      <c r="AS510" s="13" t="str">
        <f t="shared" si="1025"/>
        <v>0</v>
      </c>
      <c r="AT510" s="698">
        <f t="shared" si="11"/>
        <v>0</v>
      </c>
    </row>
    <row r="511" ht="15.75" customHeight="1">
      <c r="A511" s="788" t="str">
        <f t="shared" si="5"/>
        <v>-</v>
      </c>
      <c r="B511" s="331"/>
      <c r="C511" s="331"/>
      <c r="D511" s="331"/>
      <c r="E511" s="790"/>
      <c r="F511" s="791"/>
      <c r="G511" s="331"/>
      <c r="H511" s="331"/>
      <c r="I511" s="331"/>
      <c r="J511" s="331"/>
      <c r="K511" s="331"/>
      <c r="L511" s="331"/>
      <c r="M511" s="331"/>
      <c r="N511" s="331"/>
      <c r="O511" s="331"/>
      <c r="P511" s="792"/>
      <c r="AB511" s="314"/>
      <c r="AC511" s="314"/>
      <c r="AD511" s="314"/>
      <c r="AE511" s="314"/>
      <c r="AF511" s="314"/>
      <c r="AG511" s="314"/>
      <c r="AJ511" s="13" t="str">
        <f t="shared" ref="AJ511:AQ511" si="1026">IF(OR(E511=$C511,E511=$D511,E511=""),"0","1")</f>
        <v>0</v>
      </c>
      <c r="AK511" s="13" t="str">
        <f t="shared" si="1026"/>
        <v>0</v>
      </c>
      <c r="AL511" s="13" t="str">
        <f t="shared" si="1026"/>
        <v>0</v>
      </c>
      <c r="AM511" s="13" t="str">
        <f t="shared" si="1026"/>
        <v>0</v>
      </c>
      <c r="AN511" s="13" t="str">
        <f t="shared" si="1026"/>
        <v>0</v>
      </c>
      <c r="AO511" s="13" t="str">
        <f t="shared" si="1026"/>
        <v>0</v>
      </c>
      <c r="AP511" s="13" t="str">
        <f t="shared" si="1026"/>
        <v>0</v>
      </c>
      <c r="AQ511" s="13" t="str">
        <f t="shared" si="1026"/>
        <v>0</v>
      </c>
      <c r="AR511" s="13" t="str">
        <f t="shared" ref="AR511:AS511" si="1027">IF(OR(O511=$C511,O511=$D511,O511=""),"0","1")</f>
        <v>0</v>
      </c>
      <c r="AS511" s="13" t="str">
        <f t="shared" si="1027"/>
        <v>0</v>
      </c>
      <c r="AT511" s="698">
        <f t="shared" si="11"/>
        <v>0</v>
      </c>
    </row>
    <row r="512" ht="15.75" customHeight="1">
      <c r="A512" s="788" t="str">
        <f t="shared" si="5"/>
        <v>-</v>
      </c>
      <c r="B512" s="331"/>
      <c r="C512" s="331"/>
      <c r="D512" s="331"/>
      <c r="E512" s="790"/>
      <c r="F512" s="791"/>
      <c r="G512" s="331"/>
      <c r="H512" s="331"/>
      <c r="I512" s="331"/>
      <c r="J512" s="331"/>
      <c r="K512" s="331"/>
      <c r="L512" s="331"/>
      <c r="M512" s="331"/>
      <c r="N512" s="331"/>
      <c r="O512" s="331"/>
      <c r="P512" s="792"/>
      <c r="AB512" s="314"/>
      <c r="AC512" s="314"/>
      <c r="AD512" s="314"/>
      <c r="AE512" s="314"/>
      <c r="AF512" s="314"/>
      <c r="AG512" s="314"/>
      <c r="AJ512" s="13" t="str">
        <f t="shared" ref="AJ512:AQ512" si="1028">IF(OR(E512=$C512,E512=$D512,E512=""),"0","1")</f>
        <v>0</v>
      </c>
      <c r="AK512" s="13" t="str">
        <f t="shared" si="1028"/>
        <v>0</v>
      </c>
      <c r="AL512" s="13" t="str">
        <f t="shared" si="1028"/>
        <v>0</v>
      </c>
      <c r="AM512" s="13" t="str">
        <f t="shared" si="1028"/>
        <v>0</v>
      </c>
      <c r="AN512" s="13" t="str">
        <f t="shared" si="1028"/>
        <v>0</v>
      </c>
      <c r="AO512" s="13" t="str">
        <f t="shared" si="1028"/>
        <v>0</v>
      </c>
      <c r="AP512" s="13" t="str">
        <f t="shared" si="1028"/>
        <v>0</v>
      </c>
      <c r="AQ512" s="13" t="str">
        <f t="shared" si="1028"/>
        <v>0</v>
      </c>
      <c r="AR512" s="13" t="str">
        <f t="shared" ref="AR512:AS512" si="1029">IF(OR(O512=$C512,O512=$D512,O512=""),"0","1")</f>
        <v>0</v>
      </c>
      <c r="AS512" s="13" t="str">
        <f t="shared" si="1029"/>
        <v>0</v>
      </c>
      <c r="AT512" s="698">
        <f t="shared" si="11"/>
        <v>0</v>
      </c>
    </row>
    <row r="513" ht="15.75" customHeight="1">
      <c r="A513" s="788" t="str">
        <f t="shared" si="5"/>
        <v>-</v>
      </c>
      <c r="B513" s="331"/>
      <c r="C513" s="331"/>
      <c r="D513" s="331"/>
      <c r="E513" s="790"/>
      <c r="F513" s="791"/>
      <c r="G513" s="331"/>
      <c r="H513" s="331"/>
      <c r="I513" s="331"/>
      <c r="J513" s="331"/>
      <c r="K513" s="331"/>
      <c r="L513" s="331"/>
      <c r="M513" s="331"/>
      <c r="N513" s="331"/>
      <c r="O513" s="331"/>
      <c r="P513" s="792"/>
      <c r="AB513" s="314"/>
      <c r="AC513" s="314"/>
      <c r="AD513" s="314"/>
      <c r="AE513" s="314"/>
      <c r="AF513" s="314"/>
      <c r="AG513" s="314"/>
      <c r="AJ513" s="13" t="str">
        <f t="shared" ref="AJ513:AQ513" si="1030">IF(OR(E513=$C513,E513=$D513,E513=""),"0","1")</f>
        <v>0</v>
      </c>
      <c r="AK513" s="13" t="str">
        <f t="shared" si="1030"/>
        <v>0</v>
      </c>
      <c r="AL513" s="13" t="str">
        <f t="shared" si="1030"/>
        <v>0</v>
      </c>
      <c r="AM513" s="13" t="str">
        <f t="shared" si="1030"/>
        <v>0</v>
      </c>
      <c r="AN513" s="13" t="str">
        <f t="shared" si="1030"/>
        <v>0</v>
      </c>
      <c r="AO513" s="13" t="str">
        <f t="shared" si="1030"/>
        <v>0</v>
      </c>
      <c r="AP513" s="13" t="str">
        <f t="shared" si="1030"/>
        <v>0</v>
      </c>
      <c r="AQ513" s="13" t="str">
        <f t="shared" si="1030"/>
        <v>0</v>
      </c>
      <c r="AR513" s="13" t="str">
        <f t="shared" ref="AR513:AS513" si="1031">IF(OR(O513=$C513,O513=$D513,O513=""),"0","1")</f>
        <v>0</v>
      </c>
      <c r="AS513" s="13" t="str">
        <f t="shared" si="1031"/>
        <v>0</v>
      </c>
      <c r="AT513" s="698">
        <f t="shared" si="11"/>
        <v>0</v>
      </c>
    </row>
    <row r="514" ht="15.75" customHeight="1">
      <c r="A514" s="788" t="str">
        <f t="shared" si="5"/>
        <v>-</v>
      </c>
      <c r="B514" s="331"/>
      <c r="C514" s="331"/>
      <c r="D514" s="331"/>
      <c r="E514" s="790"/>
      <c r="F514" s="791"/>
      <c r="G514" s="331"/>
      <c r="H514" s="331"/>
      <c r="I514" s="331"/>
      <c r="J514" s="331"/>
      <c r="K514" s="331"/>
      <c r="L514" s="331"/>
      <c r="M514" s="331"/>
      <c r="N514" s="331"/>
      <c r="O514" s="331"/>
      <c r="P514" s="792"/>
      <c r="AB514" s="314"/>
      <c r="AC514" s="314"/>
      <c r="AD514" s="314"/>
      <c r="AE514" s="314"/>
      <c r="AF514" s="314"/>
      <c r="AG514" s="314"/>
      <c r="AJ514" s="13" t="str">
        <f t="shared" ref="AJ514:AQ514" si="1032">IF(OR(E514=$C514,E514=$D514,E514=""),"0","1")</f>
        <v>0</v>
      </c>
      <c r="AK514" s="13" t="str">
        <f t="shared" si="1032"/>
        <v>0</v>
      </c>
      <c r="AL514" s="13" t="str">
        <f t="shared" si="1032"/>
        <v>0</v>
      </c>
      <c r="AM514" s="13" t="str">
        <f t="shared" si="1032"/>
        <v>0</v>
      </c>
      <c r="AN514" s="13" t="str">
        <f t="shared" si="1032"/>
        <v>0</v>
      </c>
      <c r="AO514" s="13" t="str">
        <f t="shared" si="1032"/>
        <v>0</v>
      </c>
      <c r="AP514" s="13" t="str">
        <f t="shared" si="1032"/>
        <v>0</v>
      </c>
      <c r="AQ514" s="13" t="str">
        <f t="shared" si="1032"/>
        <v>0</v>
      </c>
      <c r="AR514" s="13" t="str">
        <f t="shared" ref="AR514:AS514" si="1033">IF(OR(O514=$C514,O514=$D514,O514=""),"0","1")</f>
        <v>0</v>
      </c>
      <c r="AS514" s="13" t="str">
        <f t="shared" si="1033"/>
        <v>0</v>
      </c>
      <c r="AT514" s="698">
        <f t="shared" si="11"/>
        <v>0</v>
      </c>
    </row>
    <row r="515" ht="15.75" customHeight="1">
      <c r="A515" s="788" t="str">
        <f t="shared" si="5"/>
        <v>-</v>
      </c>
      <c r="B515" s="331"/>
      <c r="C515" s="331"/>
      <c r="D515" s="331"/>
      <c r="E515" s="790"/>
      <c r="F515" s="791"/>
      <c r="G515" s="331"/>
      <c r="H515" s="331"/>
      <c r="I515" s="331"/>
      <c r="J515" s="331"/>
      <c r="K515" s="331"/>
      <c r="L515" s="331"/>
      <c r="M515" s="331"/>
      <c r="N515" s="331"/>
      <c r="O515" s="331"/>
      <c r="P515" s="792"/>
      <c r="AB515" s="314"/>
      <c r="AC515" s="314"/>
      <c r="AD515" s="314"/>
      <c r="AE515" s="314"/>
      <c r="AF515" s="314"/>
      <c r="AG515" s="314"/>
      <c r="AJ515" s="13" t="str">
        <f t="shared" ref="AJ515:AQ515" si="1034">IF(OR(E515=$C515,E515=$D515,E515=""),"0","1")</f>
        <v>0</v>
      </c>
      <c r="AK515" s="13" t="str">
        <f t="shared" si="1034"/>
        <v>0</v>
      </c>
      <c r="AL515" s="13" t="str">
        <f t="shared" si="1034"/>
        <v>0</v>
      </c>
      <c r="AM515" s="13" t="str">
        <f t="shared" si="1034"/>
        <v>0</v>
      </c>
      <c r="AN515" s="13" t="str">
        <f t="shared" si="1034"/>
        <v>0</v>
      </c>
      <c r="AO515" s="13" t="str">
        <f t="shared" si="1034"/>
        <v>0</v>
      </c>
      <c r="AP515" s="13" t="str">
        <f t="shared" si="1034"/>
        <v>0</v>
      </c>
      <c r="AQ515" s="13" t="str">
        <f t="shared" si="1034"/>
        <v>0</v>
      </c>
      <c r="AR515" s="13" t="str">
        <f t="shared" ref="AR515:AS515" si="1035">IF(OR(O515=$C515,O515=$D515,O515=""),"0","1")</f>
        <v>0</v>
      </c>
      <c r="AS515" s="13" t="str">
        <f t="shared" si="1035"/>
        <v>0</v>
      </c>
      <c r="AT515" s="698">
        <f t="shared" si="11"/>
        <v>0</v>
      </c>
    </row>
    <row r="516" ht="15.75" customHeight="1">
      <c r="A516" s="788" t="str">
        <f t="shared" si="5"/>
        <v>-</v>
      </c>
      <c r="B516" s="331"/>
      <c r="C516" s="331"/>
      <c r="D516" s="331"/>
      <c r="E516" s="790"/>
      <c r="F516" s="791"/>
      <c r="G516" s="331"/>
      <c r="H516" s="331"/>
      <c r="I516" s="331"/>
      <c r="J516" s="331"/>
      <c r="K516" s="331"/>
      <c r="L516" s="331"/>
      <c r="M516" s="331"/>
      <c r="N516" s="331"/>
      <c r="O516" s="331"/>
      <c r="P516" s="792"/>
      <c r="AB516" s="314"/>
      <c r="AC516" s="314"/>
      <c r="AD516" s="314"/>
      <c r="AE516" s="314"/>
      <c r="AF516" s="314"/>
      <c r="AG516" s="314"/>
      <c r="AJ516" s="13" t="str">
        <f t="shared" ref="AJ516:AQ516" si="1036">IF(OR(E516=$C516,E516=$D516,E516=""),"0","1")</f>
        <v>0</v>
      </c>
      <c r="AK516" s="13" t="str">
        <f t="shared" si="1036"/>
        <v>0</v>
      </c>
      <c r="AL516" s="13" t="str">
        <f t="shared" si="1036"/>
        <v>0</v>
      </c>
      <c r="AM516" s="13" t="str">
        <f t="shared" si="1036"/>
        <v>0</v>
      </c>
      <c r="AN516" s="13" t="str">
        <f t="shared" si="1036"/>
        <v>0</v>
      </c>
      <c r="AO516" s="13" t="str">
        <f t="shared" si="1036"/>
        <v>0</v>
      </c>
      <c r="AP516" s="13" t="str">
        <f t="shared" si="1036"/>
        <v>0</v>
      </c>
      <c r="AQ516" s="13" t="str">
        <f t="shared" si="1036"/>
        <v>0</v>
      </c>
      <c r="AR516" s="13" t="str">
        <f t="shared" ref="AR516:AS516" si="1037">IF(OR(O516=$C516,O516=$D516,O516=""),"0","1")</f>
        <v>0</v>
      </c>
      <c r="AS516" s="13" t="str">
        <f t="shared" si="1037"/>
        <v>0</v>
      </c>
      <c r="AT516" s="698">
        <f t="shared" si="11"/>
        <v>0</v>
      </c>
    </row>
    <row r="517" ht="15.75" customHeight="1">
      <c r="A517" s="788" t="str">
        <f t="shared" si="5"/>
        <v>-</v>
      </c>
      <c r="B517" s="331"/>
      <c r="C517" s="331"/>
      <c r="D517" s="331"/>
      <c r="E517" s="790"/>
      <c r="F517" s="791"/>
      <c r="G517" s="331"/>
      <c r="H517" s="331"/>
      <c r="I517" s="331"/>
      <c r="J517" s="331"/>
      <c r="K517" s="331"/>
      <c r="L517" s="331"/>
      <c r="M517" s="331"/>
      <c r="N517" s="331"/>
      <c r="O517" s="331"/>
      <c r="P517" s="792"/>
      <c r="AB517" s="314"/>
      <c r="AC517" s="314"/>
      <c r="AD517" s="314"/>
      <c r="AE517" s="314"/>
      <c r="AF517" s="314"/>
      <c r="AG517" s="314"/>
      <c r="AJ517" s="13" t="str">
        <f t="shared" ref="AJ517:AQ517" si="1038">IF(OR(E517=$C517,E517=$D517,E517=""),"0","1")</f>
        <v>0</v>
      </c>
      <c r="AK517" s="13" t="str">
        <f t="shared" si="1038"/>
        <v>0</v>
      </c>
      <c r="AL517" s="13" t="str">
        <f t="shared" si="1038"/>
        <v>0</v>
      </c>
      <c r="AM517" s="13" t="str">
        <f t="shared" si="1038"/>
        <v>0</v>
      </c>
      <c r="AN517" s="13" t="str">
        <f t="shared" si="1038"/>
        <v>0</v>
      </c>
      <c r="AO517" s="13" t="str">
        <f t="shared" si="1038"/>
        <v>0</v>
      </c>
      <c r="AP517" s="13" t="str">
        <f t="shared" si="1038"/>
        <v>0</v>
      </c>
      <c r="AQ517" s="13" t="str">
        <f t="shared" si="1038"/>
        <v>0</v>
      </c>
      <c r="AR517" s="13" t="str">
        <f t="shared" ref="AR517:AS517" si="1039">IF(OR(O517=$C517,O517=$D517,O517=""),"0","1")</f>
        <v>0</v>
      </c>
      <c r="AS517" s="13" t="str">
        <f t="shared" si="1039"/>
        <v>0</v>
      </c>
      <c r="AT517" s="698">
        <f t="shared" si="11"/>
        <v>0</v>
      </c>
    </row>
    <row r="518" ht="15.75" customHeight="1">
      <c r="A518" s="788" t="str">
        <f t="shared" si="5"/>
        <v>-</v>
      </c>
      <c r="B518" s="331"/>
      <c r="C518" s="331"/>
      <c r="D518" s="331"/>
      <c r="E518" s="790"/>
      <c r="F518" s="791"/>
      <c r="G518" s="331"/>
      <c r="H518" s="331"/>
      <c r="I518" s="331"/>
      <c r="J518" s="331"/>
      <c r="K518" s="331"/>
      <c r="L518" s="331"/>
      <c r="M518" s="331"/>
      <c r="N518" s="331"/>
      <c r="O518" s="331"/>
      <c r="P518" s="792"/>
      <c r="AB518" s="314"/>
      <c r="AC518" s="314"/>
      <c r="AD518" s="314"/>
      <c r="AE518" s="314"/>
      <c r="AF518" s="314"/>
      <c r="AG518" s="314"/>
      <c r="AJ518" s="13" t="str">
        <f t="shared" ref="AJ518:AQ518" si="1040">IF(OR(E518=$C518,E518=$D518,E518=""),"0","1")</f>
        <v>0</v>
      </c>
      <c r="AK518" s="13" t="str">
        <f t="shared" si="1040"/>
        <v>0</v>
      </c>
      <c r="AL518" s="13" t="str">
        <f t="shared" si="1040"/>
        <v>0</v>
      </c>
      <c r="AM518" s="13" t="str">
        <f t="shared" si="1040"/>
        <v>0</v>
      </c>
      <c r="AN518" s="13" t="str">
        <f t="shared" si="1040"/>
        <v>0</v>
      </c>
      <c r="AO518" s="13" t="str">
        <f t="shared" si="1040"/>
        <v>0</v>
      </c>
      <c r="AP518" s="13" t="str">
        <f t="shared" si="1040"/>
        <v>0</v>
      </c>
      <c r="AQ518" s="13" t="str">
        <f t="shared" si="1040"/>
        <v>0</v>
      </c>
      <c r="AR518" s="13" t="str">
        <f t="shared" ref="AR518:AS518" si="1041">IF(OR(O518=$C518,O518=$D518,O518=""),"0","1")</f>
        <v>0</v>
      </c>
      <c r="AS518" s="13" t="str">
        <f t="shared" si="1041"/>
        <v>0</v>
      </c>
      <c r="AT518" s="698">
        <f t="shared" si="11"/>
        <v>0</v>
      </c>
    </row>
    <row r="519" ht="15.75" customHeight="1">
      <c r="A519" s="788" t="str">
        <f t="shared" si="5"/>
        <v>-</v>
      </c>
      <c r="B519" s="331"/>
      <c r="C519" s="331"/>
      <c r="D519" s="331"/>
      <c r="E519" s="790"/>
      <c r="F519" s="791"/>
      <c r="G519" s="331"/>
      <c r="H519" s="331"/>
      <c r="I519" s="331"/>
      <c r="J519" s="331"/>
      <c r="K519" s="331"/>
      <c r="L519" s="331"/>
      <c r="M519" s="331"/>
      <c r="N519" s="331"/>
      <c r="O519" s="331"/>
      <c r="P519" s="792"/>
      <c r="AB519" s="314"/>
      <c r="AC519" s="314"/>
      <c r="AD519" s="314"/>
      <c r="AE519" s="314"/>
      <c r="AF519" s="314"/>
      <c r="AG519" s="314"/>
      <c r="AJ519" s="13" t="str">
        <f t="shared" ref="AJ519:AQ519" si="1042">IF(OR(E519=$C519,E519=$D519,E519=""),"0","1")</f>
        <v>0</v>
      </c>
      <c r="AK519" s="13" t="str">
        <f t="shared" si="1042"/>
        <v>0</v>
      </c>
      <c r="AL519" s="13" t="str">
        <f t="shared" si="1042"/>
        <v>0</v>
      </c>
      <c r="AM519" s="13" t="str">
        <f t="shared" si="1042"/>
        <v>0</v>
      </c>
      <c r="AN519" s="13" t="str">
        <f t="shared" si="1042"/>
        <v>0</v>
      </c>
      <c r="AO519" s="13" t="str">
        <f t="shared" si="1042"/>
        <v>0</v>
      </c>
      <c r="AP519" s="13" t="str">
        <f t="shared" si="1042"/>
        <v>0</v>
      </c>
      <c r="AQ519" s="13" t="str">
        <f t="shared" si="1042"/>
        <v>0</v>
      </c>
      <c r="AR519" s="13" t="str">
        <f t="shared" ref="AR519:AS519" si="1043">IF(OR(O519=$C519,O519=$D519,O519=""),"0","1")</f>
        <v>0</v>
      </c>
      <c r="AS519" s="13" t="str">
        <f t="shared" si="1043"/>
        <v>0</v>
      </c>
      <c r="AT519" s="698">
        <f t="shared" si="11"/>
        <v>0</v>
      </c>
    </row>
    <row r="520" ht="15.75" customHeight="1">
      <c r="A520" s="788" t="str">
        <f t="shared" si="5"/>
        <v>-</v>
      </c>
      <c r="B520" s="331"/>
      <c r="C520" s="331"/>
      <c r="D520" s="331"/>
      <c r="E520" s="790"/>
      <c r="F520" s="791"/>
      <c r="G520" s="331"/>
      <c r="H520" s="331"/>
      <c r="I520" s="331"/>
      <c r="J520" s="331"/>
      <c r="K520" s="331"/>
      <c r="L520" s="331"/>
      <c r="M520" s="331"/>
      <c r="N520" s="331"/>
      <c r="O520" s="331"/>
      <c r="P520" s="792"/>
      <c r="AB520" s="314"/>
      <c r="AC520" s="314"/>
      <c r="AD520" s="314"/>
      <c r="AE520" s="314"/>
      <c r="AF520" s="314"/>
      <c r="AG520" s="314"/>
      <c r="AJ520" s="13" t="str">
        <f t="shared" ref="AJ520:AQ520" si="1044">IF(OR(E520=$C520,E520=$D520,E520=""),"0","1")</f>
        <v>0</v>
      </c>
      <c r="AK520" s="13" t="str">
        <f t="shared" si="1044"/>
        <v>0</v>
      </c>
      <c r="AL520" s="13" t="str">
        <f t="shared" si="1044"/>
        <v>0</v>
      </c>
      <c r="AM520" s="13" t="str">
        <f t="shared" si="1044"/>
        <v>0</v>
      </c>
      <c r="AN520" s="13" t="str">
        <f t="shared" si="1044"/>
        <v>0</v>
      </c>
      <c r="AO520" s="13" t="str">
        <f t="shared" si="1044"/>
        <v>0</v>
      </c>
      <c r="AP520" s="13" t="str">
        <f t="shared" si="1044"/>
        <v>0</v>
      </c>
      <c r="AQ520" s="13" t="str">
        <f t="shared" si="1044"/>
        <v>0</v>
      </c>
      <c r="AR520" s="13" t="str">
        <f t="shared" ref="AR520:AS520" si="1045">IF(OR(O520=$C520,O520=$D520,O520=""),"0","1")</f>
        <v>0</v>
      </c>
      <c r="AS520" s="13" t="str">
        <f t="shared" si="1045"/>
        <v>0</v>
      </c>
      <c r="AT520" s="698">
        <f t="shared" si="11"/>
        <v>0</v>
      </c>
    </row>
    <row r="521" ht="15.75" customHeight="1">
      <c r="A521" s="788" t="str">
        <f t="shared" si="5"/>
        <v>-</v>
      </c>
      <c r="B521" s="331"/>
      <c r="C521" s="331"/>
      <c r="D521" s="331"/>
      <c r="E521" s="790"/>
      <c r="F521" s="791"/>
      <c r="G521" s="331"/>
      <c r="H521" s="331"/>
      <c r="I521" s="331"/>
      <c r="J521" s="331"/>
      <c r="K521" s="331"/>
      <c r="L521" s="331"/>
      <c r="M521" s="331"/>
      <c r="N521" s="331"/>
      <c r="O521" s="331"/>
      <c r="P521" s="792"/>
      <c r="AB521" s="314"/>
      <c r="AC521" s="314"/>
      <c r="AD521" s="314"/>
      <c r="AE521" s="314"/>
      <c r="AF521" s="314"/>
      <c r="AG521" s="314"/>
      <c r="AJ521" s="13" t="str">
        <f t="shared" ref="AJ521:AQ521" si="1046">IF(OR(E521=$C521,E521=$D521,E521=""),"0","1")</f>
        <v>0</v>
      </c>
      <c r="AK521" s="13" t="str">
        <f t="shared" si="1046"/>
        <v>0</v>
      </c>
      <c r="AL521" s="13" t="str">
        <f t="shared" si="1046"/>
        <v>0</v>
      </c>
      <c r="AM521" s="13" t="str">
        <f t="shared" si="1046"/>
        <v>0</v>
      </c>
      <c r="AN521" s="13" t="str">
        <f t="shared" si="1046"/>
        <v>0</v>
      </c>
      <c r="AO521" s="13" t="str">
        <f t="shared" si="1046"/>
        <v>0</v>
      </c>
      <c r="AP521" s="13" t="str">
        <f t="shared" si="1046"/>
        <v>0</v>
      </c>
      <c r="AQ521" s="13" t="str">
        <f t="shared" si="1046"/>
        <v>0</v>
      </c>
      <c r="AR521" s="13" t="str">
        <f t="shared" ref="AR521:AS521" si="1047">IF(OR(O521=$C521,O521=$D521,O521=""),"0","1")</f>
        <v>0</v>
      </c>
      <c r="AS521" s="13" t="str">
        <f t="shared" si="1047"/>
        <v>0</v>
      </c>
      <c r="AT521" s="698">
        <f t="shared" si="11"/>
        <v>0</v>
      </c>
    </row>
    <row r="522" ht="15.75" customHeight="1">
      <c r="A522" s="788" t="str">
        <f t="shared" si="5"/>
        <v>-</v>
      </c>
      <c r="B522" s="331"/>
      <c r="C522" s="331"/>
      <c r="D522" s="331"/>
      <c r="E522" s="790"/>
      <c r="F522" s="791"/>
      <c r="G522" s="331"/>
      <c r="H522" s="331"/>
      <c r="I522" s="331"/>
      <c r="J522" s="331"/>
      <c r="K522" s="331"/>
      <c r="L522" s="331"/>
      <c r="M522" s="331"/>
      <c r="N522" s="331"/>
      <c r="O522" s="331"/>
      <c r="P522" s="792"/>
      <c r="AB522" s="314"/>
      <c r="AC522" s="314"/>
      <c r="AD522" s="314"/>
      <c r="AE522" s="314"/>
      <c r="AF522" s="314"/>
      <c r="AG522" s="314"/>
      <c r="AJ522" s="13" t="str">
        <f t="shared" ref="AJ522:AQ522" si="1048">IF(OR(E522=$C522,E522=$D522,E522=""),"0","1")</f>
        <v>0</v>
      </c>
      <c r="AK522" s="13" t="str">
        <f t="shared" si="1048"/>
        <v>0</v>
      </c>
      <c r="AL522" s="13" t="str">
        <f t="shared" si="1048"/>
        <v>0</v>
      </c>
      <c r="AM522" s="13" t="str">
        <f t="shared" si="1048"/>
        <v>0</v>
      </c>
      <c r="AN522" s="13" t="str">
        <f t="shared" si="1048"/>
        <v>0</v>
      </c>
      <c r="AO522" s="13" t="str">
        <f t="shared" si="1048"/>
        <v>0</v>
      </c>
      <c r="AP522" s="13" t="str">
        <f t="shared" si="1048"/>
        <v>0</v>
      </c>
      <c r="AQ522" s="13" t="str">
        <f t="shared" si="1048"/>
        <v>0</v>
      </c>
      <c r="AR522" s="13" t="str">
        <f t="shared" ref="AR522:AS522" si="1049">IF(OR(O522=$C522,O522=$D522,O522=""),"0","1")</f>
        <v>0</v>
      </c>
      <c r="AS522" s="13" t="str">
        <f t="shared" si="1049"/>
        <v>0</v>
      </c>
      <c r="AT522" s="698">
        <f t="shared" si="11"/>
        <v>0</v>
      </c>
    </row>
    <row r="523" ht="15.75" customHeight="1">
      <c r="A523" s="788" t="str">
        <f t="shared" si="5"/>
        <v>-</v>
      </c>
      <c r="B523" s="331"/>
      <c r="C523" s="331"/>
      <c r="D523" s="331"/>
      <c r="E523" s="790"/>
      <c r="F523" s="791"/>
      <c r="G523" s="331"/>
      <c r="H523" s="331"/>
      <c r="I523" s="331"/>
      <c r="J523" s="331"/>
      <c r="K523" s="331"/>
      <c r="L523" s="331"/>
      <c r="M523" s="331"/>
      <c r="N523" s="331"/>
      <c r="O523" s="331"/>
      <c r="P523" s="792"/>
      <c r="AB523" s="314"/>
      <c r="AC523" s="314"/>
      <c r="AD523" s="314"/>
      <c r="AE523" s="314"/>
      <c r="AF523" s="314"/>
      <c r="AG523" s="314"/>
      <c r="AJ523" s="13" t="str">
        <f t="shared" ref="AJ523:AQ523" si="1050">IF(OR(E523=$C523,E523=$D523,E523=""),"0","1")</f>
        <v>0</v>
      </c>
      <c r="AK523" s="13" t="str">
        <f t="shared" si="1050"/>
        <v>0</v>
      </c>
      <c r="AL523" s="13" t="str">
        <f t="shared" si="1050"/>
        <v>0</v>
      </c>
      <c r="AM523" s="13" t="str">
        <f t="shared" si="1050"/>
        <v>0</v>
      </c>
      <c r="AN523" s="13" t="str">
        <f t="shared" si="1050"/>
        <v>0</v>
      </c>
      <c r="AO523" s="13" t="str">
        <f t="shared" si="1050"/>
        <v>0</v>
      </c>
      <c r="AP523" s="13" t="str">
        <f t="shared" si="1050"/>
        <v>0</v>
      </c>
      <c r="AQ523" s="13" t="str">
        <f t="shared" si="1050"/>
        <v>0</v>
      </c>
      <c r="AR523" s="13" t="str">
        <f t="shared" ref="AR523:AS523" si="1051">IF(OR(O523=$C523,O523=$D523,O523=""),"0","1")</f>
        <v>0</v>
      </c>
      <c r="AS523" s="13" t="str">
        <f t="shared" si="1051"/>
        <v>0</v>
      </c>
      <c r="AT523" s="698">
        <f t="shared" si="11"/>
        <v>0</v>
      </c>
    </row>
    <row r="524" ht="15.75" customHeight="1">
      <c r="A524" s="788" t="str">
        <f t="shared" si="5"/>
        <v>-</v>
      </c>
      <c r="B524" s="331"/>
      <c r="C524" s="331"/>
      <c r="D524" s="331"/>
      <c r="E524" s="790"/>
      <c r="F524" s="791"/>
      <c r="G524" s="331"/>
      <c r="H524" s="331"/>
      <c r="I524" s="331"/>
      <c r="J524" s="331"/>
      <c r="K524" s="331"/>
      <c r="L524" s="331"/>
      <c r="M524" s="331"/>
      <c r="N524" s="331"/>
      <c r="O524" s="331"/>
      <c r="P524" s="792"/>
      <c r="AB524" s="314"/>
      <c r="AC524" s="314"/>
      <c r="AD524" s="314"/>
      <c r="AE524" s="314"/>
      <c r="AF524" s="314"/>
      <c r="AG524" s="314"/>
      <c r="AJ524" s="13" t="str">
        <f t="shared" ref="AJ524:AQ524" si="1052">IF(OR(E524=$C524,E524=$D524,E524=""),"0","1")</f>
        <v>0</v>
      </c>
      <c r="AK524" s="13" t="str">
        <f t="shared" si="1052"/>
        <v>0</v>
      </c>
      <c r="AL524" s="13" t="str">
        <f t="shared" si="1052"/>
        <v>0</v>
      </c>
      <c r="AM524" s="13" t="str">
        <f t="shared" si="1052"/>
        <v>0</v>
      </c>
      <c r="AN524" s="13" t="str">
        <f t="shared" si="1052"/>
        <v>0</v>
      </c>
      <c r="AO524" s="13" t="str">
        <f t="shared" si="1052"/>
        <v>0</v>
      </c>
      <c r="AP524" s="13" t="str">
        <f t="shared" si="1052"/>
        <v>0</v>
      </c>
      <c r="AQ524" s="13" t="str">
        <f t="shared" si="1052"/>
        <v>0</v>
      </c>
      <c r="AR524" s="13" t="str">
        <f t="shared" ref="AR524:AS524" si="1053">IF(OR(O524=$C524,O524=$D524,O524=""),"0","1")</f>
        <v>0</v>
      </c>
      <c r="AS524" s="13" t="str">
        <f t="shared" si="1053"/>
        <v>0</v>
      </c>
      <c r="AT524" s="698">
        <f t="shared" si="11"/>
        <v>0</v>
      </c>
    </row>
    <row r="525" ht="15.75" customHeight="1">
      <c r="A525" s="788" t="str">
        <f t="shared" si="5"/>
        <v>-</v>
      </c>
      <c r="B525" s="331"/>
      <c r="C525" s="331"/>
      <c r="D525" s="331"/>
      <c r="E525" s="790"/>
      <c r="F525" s="791"/>
      <c r="G525" s="331"/>
      <c r="H525" s="331"/>
      <c r="I525" s="331"/>
      <c r="J525" s="331"/>
      <c r="K525" s="331"/>
      <c r="L525" s="331"/>
      <c r="M525" s="331"/>
      <c r="N525" s="331"/>
      <c r="O525" s="331"/>
      <c r="P525" s="792"/>
      <c r="AB525" s="314"/>
      <c r="AC525" s="314"/>
      <c r="AD525" s="314"/>
      <c r="AE525" s="314"/>
      <c r="AF525" s="314"/>
      <c r="AG525" s="314"/>
      <c r="AJ525" s="13" t="str">
        <f t="shared" ref="AJ525:AQ525" si="1054">IF(OR(E525=$C525,E525=$D525,E525=""),"0","1")</f>
        <v>0</v>
      </c>
      <c r="AK525" s="13" t="str">
        <f t="shared" si="1054"/>
        <v>0</v>
      </c>
      <c r="AL525" s="13" t="str">
        <f t="shared" si="1054"/>
        <v>0</v>
      </c>
      <c r="AM525" s="13" t="str">
        <f t="shared" si="1054"/>
        <v>0</v>
      </c>
      <c r="AN525" s="13" t="str">
        <f t="shared" si="1054"/>
        <v>0</v>
      </c>
      <c r="AO525" s="13" t="str">
        <f t="shared" si="1054"/>
        <v>0</v>
      </c>
      <c r="AP525" s="13" t="str">
        <f t="shared" si="1054"/>
        <v>0</v>
      </c>
      <c r="AQ525" s="13" t="str">
        <f t="shared" si="1054"/>
        <v>0</v>
      </c>
      <c r="AR525" s="13" t="str">
        <f t="shared" ref="AR525:AS525" si="1055">IF(OR(O525=$C525,O525=$D525,O525=""),"0","1")</f>
        <v>0</v>
      </c>
      <c r="AS525" s="13" t="str">
        <f t="shared" si="1055"/>
        <v>0</v>
      </c>
      <c r="AT525" s="698">
        <f t="shared" si="11"/>
        <v>0</v>
      </c>
    </row>
    <row r="526" ht="15.75" customHeight="1">
      <c r="A526" s="788" t="str">
        <f t="shared" si="5"/>
        <v>-</v>
      </c>
      <c r="B526" s="331"/>
      <c r="C526" s="331"/>
      <c r="D526" s="331"/>
      <c r="E526" s="790"/>
      <c r="F526" s="791"/>
      <c r="G526" s="331"/>
      <c r="H526" s="331"/>
      <c r="I526" s="331"/>
      <c r="J526" s="331"/>
      <c r="K526" s="331"/>
      <c r="L526" s="331"/>
      <c r="M526" s="331"/>
      <c r="N526" s="331"/>
      <c r="O526" s="331"/>
      <c r="P526" s="792"/>
      <c r="AB526" s="314"/>
      <c r="AC526" s="314"/>
      <c r="AD526" s="314"/>
      <c r="AE526" s="314"/>
      <c r="AF526" s="314"/>
      <c r="AG526" s="314"/>
      <c r="AJ526" s="13" t="str">
        <f t="shared" ref="AJ526:AQ526" si="1056">IF(OR(E526=$C526,E526=$D526,E526=""),"0","1")</f>
        <v>0</v>
      </c>
      <c r="AK526" s="13" t="str">
        <f t="shared" si="1056"/>
        <v>0</v>
      </c>
      <c r="AL526" s="13" t="str">
        <f t="shared" si="1056"/>
        <v>0</v>
      </c>
      <c r="AM526" s="13" t="str">
        <f t="shared" si="1056"/>
        <v>0</v>
      </c>
      <c r="AN526" s="13" t="str">
        <f t="shared" si="1056"/>
        <v>0</v>
      </c>
      <c r="AO526" s="13" t="str">
        <f t="shared" si="1056"/>
        <v>0</v>
      </c>
      <c r="AP526" s="13" t="str">
        <f t="shared" si="1056"/>
        <v>0</v>
      </c>
      <c r="AQ526" s="13" t="str">
        <f t="shared" si="1056"/>
        <v>0</v>
      </c>
      <c r="AR526" s="13" t="str">
        <f t="shared" ref="AR526:AS526" si="1057">IF(OR(O526=$C526,O526=$D526,O526=""),"0","1")</f>
        <v>0</v>
      </c>
      <c r="AS526" s="13" t="str">
        <f t="shared" si="1057"/>
        <v>0</v>
      </c>
      <c r="AT526" s="698">
        <f t="shared" si="11"/>
        <v>0</v>
      </c>
    </row>
    <row r="527" ht="15.75" customHeight="1">
      <c r="A527" s="788" t="str">
        <f t="shared" si="5"/>
        <v>-</v>
      </c>
      <c r="B527" s="331"/>
      <c r="C527" s="331"/>
      <c r="D527" s="331"/>
      <c r="E527" s="790"/>
      <c r="F527" s="791"/>
      <c r="G527" s="331"/>
      <c r="H527" s="331"/>
      <c r="I527" s="331"/>
      <c r="J527" s="331"/>
      <c r="K527" s="331"/>
      <c r="L527" s="331"/>
      <c r="M527" s="331"/>
      <c r="N527" s="331"/>
      <c r="O527" s="331"/>
      <c r="P527" s="792"/>
      <c r="AB527" s="314"/>
      <c r="AC527" s="314"/>
      <c r="AD527" s="314"/>
      <c r="AE527" s="314"/>
      <c r="AF527" s="314"/>
      <c r="AG527" s="314"/>
      <c r="AJ527" s="13" t="str">
        <f t="shared" ref="AJ527:AQ527" si="1058">IF(OR(E527=$C527,E527=$D527,E527=""),"0","1")</f>
        <v>0</v>
      </c>
      <c r="AK527" s="13" t="str">
        <f t="shared" si="1058"/>
        <v>0</v>
      </c>
      <c r="AL527" s="13" t="str">
        <f t="shared" si="1058"/>
        <v>0</v>
      </c>
      <c r="AM527" s="13" t="str">
        <f t="shared" si="1058"/>
        <v>0</v>
      </c>
      <c r="AN527" s="13" t="str">
        <f t="shared" si="1058"/>
        <v>0</v>
      </c>
      <c r="AO527" s="13" t="str">
        <f t="shared" si="1058"/>
        <v>0</v>
      </c>
      <c r="AP527" s="13" t="str">
        <f t="shared" si="1058"/>
        <v>0</v>
      </c>
      <c r="AQ527" s="13" t="str">
        <f t="shared" si="1058"/>
        <v>0</v>
      </c>
      <c r="AR527" s="13" t="str">
        <f t="shared" ref="AR527:AS527" si="1059">IF(OR(O527=$C527,O527=$D527,O527=""),"0","1")</f>
        <v>0</v>
      </c>
      <c r="AS527" s="13" t="str">
        <f t="shared" si="1059"/>
        <v>0</v>
      </c>
      <c r="AT527" s="698">
        <f t="shared" si="11"/>
        <v>0</v>
      </c>
    </row>
    <row r="528" ht="15.75" customHeight="1">
      <c r="A528" s="788" t="str">
        <f t="shared" si="5"/>
        <v>-</v>
      </c>
      <c r="B528" s="331"/>
      <c r="C528" s="331"/>
      <c r="D528" s="331"/>
      <c r="E528" s="790"/>
      <c r="F528" s="791"/>
      <c r="G528" s="331"/>
      <c r="H528" s="331"/>
      <c r="I528" s="331"/>
      <c r="J528" s="331"/>
      <c r="K528" s="331"/>
      <c r="L528" s="331"/>
      <c r="M528" s="331"/>
      <c r="N528" s="331"/>
      <c r="O528" s="331"/>
      <c r="P528" s="792"/>
      <c r="AB528" s="314"/>
      <c r="AC528" s="314"/>
      <c r="AD528" s="314"/>
      <c r="AE528" s="314"/>
      <c r="AF528" s="314"/>
      <c r="AG528" s="314"/>
      <c r="AJ528" s="13" t="str">
        <f t="shared" ref="AJ528:AQ528" si="1060">IF(OR(E528=$C528,E528=$D528,E528=""),"0","1")</f>
        <v>0</v>
      </c>
      <c r="AK528" s="13" t="str">
        <f t="shared" si="1060"/>
        <v>0</v>
      </c>
      <c r="AL528" s="13" t="str">
        <f t="shared" si="1060"/>
        <v>0</v>
      </c>
      <c r="AM528" s="13" t="str">
        <f t="shared" si="1060"/>
        <v>0</v>
      </c>
      <c r="AN528" s="13" t="str">
        <f t="shared" si="1060"/>
        <v>0</v>
      </c>
      <c r="AO528" s="13" t="str">
        <f t="shared" si="1060"/>
        <v>0</v>
      </c>
      <c r="AP528" s="13" t="str">
        <f t="shared" si="1060"/>
        <v>0</v>
      </c>
      <c r="AQ528" s="13" t="str">
        <f t="shared" si="1060"/>
        <v>0</v>
      </c>
      <c r="AR528" s="13" t="str">
        <f t="shared" ref="AR528:AS528" si="1061">IF(OR(O528=$C528,O528=$D528,O528=""),"0","1")</f>
        <v>0</v>
      </c>
      <c r="AS528" s="13" t="str">
        <f t="shared" si="1061"/>
        <v>0</v>
      </c>
      <c r="AT528" s="698">
        <f t="shared" si="11"/>
        <v>0</v>
      </c>
    </row>
    <row r="529" ht="15.75" customHeight="1">
      <c r="A529" s="788" t="str">
        <f t="shared" si="5"/>
        <v>-</v>
      </c>
      <c r="B529" s="331"/>
      <c r="C529" s="331"/>
      <c r="D529" s="331"/>
      <c r="E529" s="790"/>
      <c r="F529" s="791"/>
      <c r="G529" s="331"/>
      <c r="H529" s="331"/>
      <c r="I529" s="331"/>
      <c r="J529" s="331"/>
      <c r="K529" s="331"/>
      <c r="L529" s="331"/>
      <c r="M529" s="331"/>
      <c r="N529" s="331"/>
      <c r="O529" s="331"/>
      <c r="P529" s="792"/>
      <c r="AB529" s="314"/>
      <c r="AC529" s="314"/>
      <c r="AD529" s="314"/>
      <c r="AE529" s="314"/>
      <c r="AF529" s="314"/>
      <c r="AG529" s="314"/>
      <c r="AJ529" s="13" t="str">
        <f t="shared" ref="AJ529:AQ529" si="1062">IF(OR(E529=$C529,E529=$D529,E529=""),"0","1")</f>
        <v>0</v>
      </c>
      <c r="AK529" s="13" t="str">
        <f t="shared" si="1062"/>
        <v>0</v>
      </c>
      <c r="AL529" s="13" t="str">
        <f t="shared" si="1062"/>
        <v>0</v>
      </c>
      <c r="AM529" s="13" t="str">
        <f t="shared" si="1062"/>
        <v>0</v>
      </c>
      <c r="AN529" s="13" t="str">
        <f t="shared" si="1062"/>
        <v>0</v>
      </c>
      <c r="AO529" s="13" t="str">
        <f t="shared" si="1062"/>
        <v>0</v>
      </c>
      <c r="AP529" s="13" t="str">
        <f t="shared" si="1062"/>
        <v>0</v>
      </c>
      <c r="AQ529" s="13" t="str">
        <f t="shared" si="1062"/>
        <v>0</v>
      </c>
      <c r="AR529" s="13" t="str">
        <f t="shared" ref="AR529:AS529" si="1063">IF(OR(O529=$C529,O529=$D529,O529=""),"0","1")</f>
        <v>0</v>
      </c>
      <c r="AS529" s="13" t="str">
        <f t="shared" si="1063"/>
        <v>0</v>
      </c>
      <c r="AT529" s="698">
        <f t="shared" si="11"/>
        <v>0</v>
      </c>
    </row>
    <row r="530" ht="15.75" customHeight="1">
      <c r="A530" s="788" t="str">
        <f t="shared" si="5"/>
        <v>-</v>
      </c>
      <c r="B530" s="331"/>
      <c r="C530" s="331"/>
      <c r="D530" s="331"/>
      <c r="E530" s="790"/>
      <c r="F530" s="791"/>
      <c r="G530" s="331"/>
      <c r="H530" s="331"/>
      <c r="I530" s="331"/>
      <c r="J530" s="331"/>
      <c r="K530" s="331"/>
      <c r="L530" s="331"/>
      <c r="M530" s="331"/>
      <c r="N530" s="331"/>
      <c r="O530" s="331"/>
      <c r="P530" s="792"/>
      <c r="AB530" s="314"/>
      <c r="AC530" s="314"/>
      <c r="AD530" s="314"/>
      <c r="AE530" s="314"/>
      <c r="AF530" s="314"/>
      <c r="AG530" s="314"/>
      <c r="AJ530" s="13" t="str">
        <f t="shared" ref="AJ530:AQ530" si="1064">IF(OR(E530=$C530,E530=$D530,E530=""),"0","1")</f>
        <v>0</v>
      </c>
      <c r="AK530" s="13" t="str">
        <f t="shared" si="1064"/>
        <v>0</v>
      </c>
      <c r="AL530" s="13" t="str">
        <f t="shared" si="1064"/>
        <v>0</v>
      </c>
      <c r="AM530" s="13" t="str">
        <f t="shared" si="1064"/>
        <v>0</v>
      </c>
      <c r="AN530" s="13" t="str">
        <f t="shared" si="1064"/>
        <v>0</v>
      </c>
      <c r="AO530" s="13" t="str">
        <f t="shared" si="1064"/>
        <v>0</v>
      </c>
      <c r="AP530" s="13" t="str">
        <f t="shared" si="1064"/>
        <v>0</v>
      </c>
      <c r="AQ530" s="13" t="str">
        <f t="shared" si="1064"/>
        <v>0</v>
      </c>
      <c r="AR530" s="13" t="str">
        <f t="shared" ref="AR530:AS530" si="1065">IF(OR(O530=$C530,O530=$D530,O530=""),"0","1")</f>
        <v>0</v>
      </c>
      <c r="AS530" s="13" t="str">
        <f t="shared" si="1065"/>
        <v>0</v>
      </c>
      <c r="AT530" s="698">
        <f t="shared" si="11"/>
        <v>0</v>
      </c>
    </row>
    <row r="531" ht="15.75" customHeight="1">
      <c r="A531" s="788" t="str">
        <f t="shared" si="5"/>
        <v>-</v>
      </c>
      <c r="B531" s="331"/>
      <c r="C531" s="331"/>
      <c r="D531" s="331"/>
      <c r="E531" s="790"/>
      <c r="F531" s="791"/>
      <c r="G531" s="331"/>
      <c r="H531" s="331"/>
      <c r="I531" s="331"/>
      <c r="J531" s="331"/>
      <c r="K531" s="331"/>
      <c r="L531" s="331"/>
      <c r="M531" s="331"/>
      <c r="N531" s="331"/>
      <c r="O531" s="331"/>
      <c r="P531" s="792"/>
      <c r="AB531" s="314"/>
      <c r="AC531" s="314"/>
      <c r="AD531" s="314"/>
      <c r="AE531" s="314"/>
      <c r="AF531" s="314"/>
      <c r="AG531" s="314"/>
      <c r="AJ531" s="13" t="str">
        <f t="shared" ref="AJ531:AQ531" si="1066">IF(OR(E531=$C531,E531=$D531,E531=""),"0","1")</f>
        <v>0</v>
      </c>
      <c r="AK531" s="13" t="str">
        <f t="shared" si="1066"/>
        <v>0</v>
      </c>
      <c r="AL531" s="13" t="str">
        <f t="shared" si="1066"/>
        <v>0</v>
      </c>
      <c r="AM531" s="13" t="str">
        <f t="shared" si="1066"/>
        <v>0</v>
      </c>
      <c r="AN531" s="13" t="str">
        <f t="shared" si="1066"/>
        <v>0</v>
      </c>
      <c r="AO531" s="13" t="str">
        <f t="shared" si="1066"/>
        <v>0</v>
      </c>
      <c r="AP531" s="13" t="str">
        <f t="shared" si="1066"/>
        <v>0</v>
      </c>
      <c r="AQ531" s="13" t="str">
        <f t="shared" si="1066"/>
        <v>0</v>
      </c>
      <c r="AR531" s="13" t="str">
        <f t="shared" ref="AR531:AS531" si="1067">IF(OR(O531=$C531,O531=$D531,O531=""),"0","1")</f>
        <v>0</v>
      </c>
      <c r="AS531" s="13" t="str">
        <f t="shared" si="1067"/>
        <v>0</v>
      </c>
      <c r="AT531" s="698">
        <f t="shared" si="11"/>
        <v>0</v>
      </c>
    </row>
    <row r="532" ht="15.75" customHeight="1">
      <c r="A532" s="788" t="str">
        <f t="shared" si="5"/>
        <v>-</v>
      </c>
      <c r="B532" s="331"/>
      <c r="C532" s="331"/>
      <c r="D532" s="331"/>
      <c r="E532" s="790"/>
      <c r="F532" s="791"/>
      <c r="G532" s="331"/>
      <c r="H532" s="331"/>
      <c r="I532" s="331"/>
      <c r="J532" s="331"/>
      <c r="K532" s="331"/>
      <c r="L532" s="331"/>
      <c r="M532" s="331"/>
      <c r="N532" s="331"/>
      <c r="O532" s="331"/>
      <c r="P532" s="792"/>
      <c r="AB532" s="314"/>
      <c r="AC532" s="314"/>
      <c r="AD532" s="314"/>
      <c r="AE532" s="314"/>
      <c r="AF532" s="314"/>
      <c r="AG532" s="314"/>
      <c r="AJ532" s="13" t="str">
        <f t="shared" ref="AJ532:AQ532" si="1068">IF(OR(E532=$C532,E532=$D532,E532=""),"0","1")</f>
        <v>0</v>
      </c>
      <c r="AK532" s="13" t="str">
        <f t="shared" si="1068"/>
        <v>0</v>
      </c>
      <c r="AL532" s="13" t="str">
        <f t="shared" si="1068"/>
        <v>0</v>
      </c>
      <c r="AM532" s="13" t="str">
        <f t="shared" si="1068"/>
        <v>0</v>
      </c>
      <c r="AN532" s="13" t="str">
        <f t="shared" si="1068"/>
        <v>0</v>
      </c>
      <c r="AO532" s="13" t="str">
        <f t="shared" si="1068"/>
        <v>0</v>
      </c>
      <c r="AP532" s="13" t="str">
        <f t="shared" si="1068"/>
        <v>0</v>
      </c>
      <c r="AQ532" s="13" t="str">
        <f t="shared" si="1068"/>
        <v>0</v>
      </c>
      <c r="AR532" s="13" t="str">
        <f t="shared" ref="AR532:AS532" si="1069">IF(OR(O532=$C532,O532=$D532,O532=""),"0","1")</f>
        <v>0</v>
      </c>
      <c r="AS532" s="13" t="str">
        <f t="shared" si="1069"/>
        <v>0</v>
      </c>
      <c r="AT532" s="698">
        <f t="shared" si="11"/>
        <v>0</v>
      </c>
    </row>
    <row r="533" ht="15.75" customHeight="1">
      <c r="A533" s="788" t="str">
        <f t="shared" si="5"/>
        <v>-</v>
      </c>
      <c r="B533" s="331"/>
      <c r="C533" s="331"/>
      <c r="D533" s="331"/>
      <c r="E533" s="790"/>
      <c r="F533" s="791"/>
      <c r="G533" s="331"/>
      <c r="H533" s="331"/>
      <c r="I533" s="331"/>
      <c r="J533" s="331"/>
      <c r="K533" s="331"/>
      <c r="L533" s="331"/>
      <c r="M533" s="331"/>
      <c r="N533" s="331"/>
      <c r="O533" s="331"/>
      <c r="P533" s="792"/>
      <c r="AB533" s="314"/>
      <c r="AC533" s="314"/>
      <c r="AD533" s="314"/>
      <c r="AE533" s="314"/>
      <c r="AF533" s="314"/>
      <c r="AG533" s="314"/>
      <c r="AJ533" s="13" t="str">
        <f t="shared" ref="AJ533:AQ533" si="1070">IF(OR(E533=$C533,E533=$D533,E533=""),"0","1")</f>
        <v>0</v>
      </c>
      <c r="AK533" s="13" t="str">
        <f t="shared" si="1070"/>
        <v>0</v>
      </c>
      <c r="AL533" s="13" t="str">
        <f t="shared" si="1070"/>
        <v>0</v>
      </c>
      <c r="AM533" s="13" t="str">
        <f t="shared" si="1070"/>
        <v>0</v>
      </c>
      <c r="AN533" s="13" t="str">
        <f t="shared" si="1070"/>
        <v>0</v>
      </c>
      <c r="AO533" s="13" t="str">
        <f t="shared" si="1070"/>
        <v>0</v>
      </c>
      <c r="AP533" s="13" t="str">
        <f t="shared" si="1070"/>
        <v>0</v>
      </c>
      <c r="AQ533" s="13" t="str">
        <f t="shared" si="1070"/>
        <v>0</v>
      </c>
      <c r="AR533" s="13" t="str">
        <f t="shared" ref="AR533:AS533" si="1071">IF(OR(O533=$C533,O533=$D533,O533=""),"0","1")</f>
        <v>0</v>
      </c>
      <c r="AS533" s="13" t="str">
        <f t="shared" si="1071"/>
        <v>0</v>
      </c>
      <c r="AT533" s="698">
        <f t="shared" si="11"/>
        <v>0</v>
      </c>
    </row>
    <row r="534" ht="15.75" customHeight="1">
      <c r="A534" s="788" t="str">
        <f t="shared" si="5"/>
        <v>-</v>
      </c>
      <c r="B534" s="331"/>
      <c r="C534" s="331"/>
      <c r="D534" s="331"/>
      <c r="E534" s="790"/>
      <c r="F534" s="791"/>
      <c r="G534" s="331"/>
      <c r="H534" s="331"/>
      <c r="I534" s="331"/>
      <c r="J534" s="331"/>
      <c r="K534" s="331"/>
      <c r="L534" s="331"/>
      <c r="M534" s="331"/>
      <c r="N534" s="331"/>
      <c r="O534" s="331"/>
      <c r="P534" s="792"/>
      <c r="AB534" s="314"/>
      <c r="AC534" s="314"/>
      <c r="AD534" s="314"/>
      <c r="AE534" s="314"/>
      <c r="AF534" s="314"/>
      <c r="AG534" s="314"/>
      <c r="AJ534" s="13" t="str">
        <f t="shared" ref="AJ534:AQ534" si="1072">IF(OR(E534=$C534,E534=$D534,E534=""),"0","1")</f>
        <v>0</v>
      </c>
      <c r="AK534" s="13" t="str">
        <f t="shared" si="1072"/>
        <v>0</v>
      </c>
      <c r="AL534" s="13" t="str">
        <f t="shared" si="1072"/>
        <v>0</v>
      </c>
      <c r="AM534" s="13" t="str">
        <f t="shared" si="1072"/>
        <v>0</v>
      </c>
      <c r="AN534" s="13" t="str">
        <f t="shared" si="1072"/>
        <v>0</v>
      </c>
      <c r="AO534" s="13" t="str">
        <f t="shared" si="1072"/>
        <v>0</v>
      </c>
      <c r="AP534" s="13" t="str">
        <f t="shared" si="1072"/>
        <v>0</v>
      </c>
      <c r="AQ534" s="13" t="str">
        <f t="shared" si="1072"/>
        <v>0</v>
      </c>
      <c r="AR534" s="13" t="str">
        <f t="shared" ref="AR534:AS534" si="1073">IF(OR(O534=$C534,O534=$D534,O534=""),"0","1")</f>
        <v>0</v>
      </c>
      <c r="AS534" s="13" t="str">
        <f t="shared" si="1073"/>
        <v>0</v>
      </c>
      <c r="AT534" s="698">
        <f t="shared" si="11"/>
        <v>0</v>
      </c>
    </row>
    <row r="535" ht="15.75" customHeight="1">
      <c r="A535" s="788" t="str">
        <f t="shared" si="5"/>
        <v>-</v>
      </c>
      <c r="B535" s="331"/>
      <c r="C535" s="331"/>
      <c r="D535" s="331"/>
      <c r="E535" s="790"/>
      <c r="F535" s="791"/>
      <c r="G535" s="331"/>
      <c r="H535" s="331"/>
      <c r="I535" s="331"/>
      <c r="J535" s="331"/>
      <c r="K535" s="331"/>
      <c r="L535" s="331"/>
      <c r="M535" s="331"/>
      <c r="N535" s="331"/>
      <c r="O535" s="331"/>
      <c r="P535" s="792"/>
      <c r="AB535" s="314"/>
      <c r="AC535" s="314"/>
      <c r="AD535" s="314"/>
      <c r="AE535" s="314"/>
      <c r="AF535" s="314"/>
      <c r="AG535" s="314"/>
      <c r="AJ535" s="13" t="str">
        <f t="shared" ref="AJ535:AQ535" si="1074">IF(OR(E535=$C535,E535=$D535,E535=""),"0","1")</f>
        <v>0</v>
      </c>
      <c r="AK535" s="13" t="str">
        <f t="shared" si="1074"/>
        <v>0</v>
      </c>
      <c r="AL535" s="13" t="str">
        <f t="shared" si="1074"/>
        <v>0</v>
      </c>
      <c r="AM535" s="13" t="str">
        <f t="shared" si="1074"/>
        <v>0</v>
      </c>
      <c r="AN535" s="13" t="str">
        <f t="shared" si="1074"/>
        <v>0</v>
      </c>
      <c r="AO535" s="13" t="str">
        <f t="shared" si="1074"/>
        <v>0</v>
      </c>
      <c r="AP535" s="13" t="str">
        <f t="shared" si="1074"/>
        <v>0</v>
      </c>
      <c r="AQ535" s="13" t="str">
        <f t="shared" si="1074"/>
        <v>0</v>
      </c>
      <c r="AR535" s="13" t="str">
        <f t="shared" ref="AR535:AS535" si="1075">IF(OR(O535=$C535,O535=$D535,O535=""),"0","1")</f>
        <v>0</v>
      </c>
      <c r="AS535" s="13" t="str">
        <f t="shared" si="1075"/>
        <v>0</v>
      </c>
      <c r="AT535" s="698">
        <f t="shared" si="11"/>
        <v>0</v>
      </c>
    </row>
    <row r="536" ht="15.75" customHeight="1">
      <c r="A536" s="788" t="str">
        <f t="shared" si="5"/>
        <v>-</v>
      </c>
      <c r="B536" s="331"/>
      <c r="C536" s="331"/>
      <c r="D536" s="331"/>
      <c r="E536" s="790"/>
      <c r="F536" s="791"/>
      <c r="G536" s="331"/>
      <c r="H536" s="331"/>
      <c r="I536" s="331"/>
      <c r="J536" s="331"/>
      <c r="K536" s="331"/>
      <c r="L536" s="331"/>
      <c r="M536" s="331"/>
      <c r="N536" s="331"/>
      <c r="O536" s="331"/>
      <c r="P536" s="792"/>
      <c r="AB536" s="314"/>
      <c r="AC536" s="314"/>
      <c r="AD536" s="314"/>
      <c r="AE536" s="314"/>
      <c r="AF536" s="314"/>
      <c r="AG536" s="314"/>
      <c r="AJ536" s="13" t="str">
        <f t="shared" ref="AJ536:AQ536" si="1076">IF(OR(E536=$C536,E536=$D536,E536=""),"0","1")</f>
        <v>0</v>
      </c>
      <c r="AK536" s="13" t="str">
        <f t="shared" si="1076"/>
        <v>0</v>
      </c>
      <c r="AL536" s="13" t="str">
        <f t="shared" si="1076"/>
        <v>0</v>
      </c>
      <c r="AM536" s="13" t="str">
        <f t="shared" si="1076"/>
        <v>0</v>
      </c>
      <c r="AN536" s="13" t="str">
        <f t="shared" si="1076"/>
        <v>0</v>
      </c>
      <c r="AO536" s="13" t="str">
        <f t="shared" si="1076"/>
        <v>0</v>
      </c>
      <c r="AP536" s="13" t="str">
        <f t="shared" si="1076"/>
        <v>0</v>
      </c>
      <c r="AQ536" s="13" t="str">
        <f t="shared" si="1076"/>
        <v>0</v>
      </c>
      <c r="AR536" s="13" t="str">
        <f t="shared" ref="AR536:AS536" si="1077">IF(OR(O536=$C536,O536=$D536,O536=""),"0","1")</f>
        <v>0</v>
      </c>
      <c r="AS536" s="13" t="str">
        <f t="shared" si="1077"/>
        <v>0</v>
      </c>
      <c r="AT536" s="698">
        <f t="shared" si="11"/>
        <v>0</v>
      </c>
    </row>
    <row r="537" ht="15.75" customHeight="1">
      <c r="A537" s="788" t="str">
        <f t="shared" si="5"/>
        <v>-</v>
      </c>
      <c r="B537" s="331"/>
      <c r="C537" s="331"/>
      <c r="D537" s="331"/>
      <c r="E537" s="790"/>
      <c r="F537" s="791"/>
      <c r="G537" s="331"/>
      <c r="H537" s="331"/>
      <c r="I537" s="331"/>
      <c r="J537" s="331"/>
      <c r="K537" s="331"/>
      <c r="L537" s="331"/>
      <c r="M537" s="331"/>
      <c r="N537" s="331"/>
      <c r="O537" s="331"/>
      <c r="P537" s="792"/>
      <c r="AB537" s="314"/>
      <c r="AC537" s="314"/>
      <c r="AD537" s="314"/>
      <c r="AE537" s="314"/>
      <c r="AF537" s="314"/>
      <c r="AG537" s="314"/>
      <c r="AJ537" s="13" t="str">
        <f t="shared" ref="AJ537:AQ537" si="1078">IF(OR(E537=$C537,E537=$D537,E537=""),"0","1")</f>
        <v>0</v>
      </c>
      <c r="AK537" s="13" t="str">
        <f t="shared" si="1078"/>
        <v>0</v>
      </c>
      <c r="AL537" s="13" t="str">
        <f t="shared" si="1078"/>
        <v>0</v>
      </c>
      <c r="AM537" s="13" t="str">
        <f t="shared" si="1078"/>
        <v>0</v>
      </c>
      <c r="AN537" s="13" t="str">
        <f t="shared" si="1078"/>
        <v>0</v>
      </c>
      <c r="AO537" s="13" t="str">
        <f t="shared" si="1078"/>
        <v>0</v>
      </c>
      <c r="AP537" s="13" t="str">
        <f t="shared" si="1078"/>
        <v>0</v>
      </c>
      <c r="AQ537" s="13" t="str">
        <f t="shared" si="1078"/>
        <v>0</v>
      </c>
      <c r="AR537" s="13" t="str">
        <f t="shared" ref="AR537:AS537" si="1079">IF(OR(O537=$C537,O537=$D537,O537=""),"0","1")</f>
        <v>0</v>
      </c>
      <c r="AS537" s="13" t="str">
        <f t="shared" si="1079"/>
        <v>0</v>
      </c>
      <c r="AT537" s="698">
        <f t="shared" si="11"/>
        <v>0</v>
      </c>
    </row>
    <row r="538" ht="15.75" customHeight="1">
      <c r="A538" s="788" t="str">
        <f t="shared" si="5"/>
        <v>-</v>
      </c>
      <c r="B538" s="331"/>
      <c r="C538" s="331"/>
      <c r="D538" s="331"/>
      <c r="E538" s="790"/>
      <c r="F538" s="791"/>
      <c r="G538" s="331"/>
      <c r="H538" s="331"/>
      <c r="I538" s="331"/>
      <c r="J538" s="331"/>
      <c r="K538" s="331"/>
      <c r="L538" s="331"/>
      <c r="M538" s="331"/>
      <c r="N538" s="331"/>
      <c r="O538" s="331"/>
      <c r="P538" s="792"/>
      <c r="AB538" s="314"/>
      <c r="AC538" s="314"/>
      <c r="AD538" s="314"/>
      <c r="AE538" s="314"/>
      <c r="AF538" s="314"/>
      <c r="AG538" s="314"/>
      <c r="AJ538" s="13" t="str">
        <f t="shared" ref="AJ538:AQ538" si="1080">IF(OR(E538=$C538,E538=$D538,E538=""),"0","1")</f>
        <v>0</v>
      </c>
      <c r="AK538" s="13" t="str">
        <f t="shared" si="1080"/>
        <v>0</v>
      </c>
      <c r="AL538" s="13" t="str">
        <f t="shared" si="1080"/>
        <v>0</v>
      </c>
      <c r="AM538" s="13" t="str">
        <f t="shared" si="1080"/>
        <v>0</v>
      </c>
      <c r="AN538" s="13" t="str">
        <f t="shared" si="1080"/>
        <v>0</v>
      </c>
      <c r="AO538" s="13" t="str">
        <f t="shared" si="1080"/>
        <v>0</v>
      </c>
      <c r="AP538" s="13" t="str">
        <f t="shared" si="1080"/>
        <v>0</v>
      </c>
      <c r="AQ538" s="13" t="str">
        <f t="shared" si="1080"/>
        <v>0</v>
      </c>
      <c r="AR538" s="13" t="str">
        <f t="shared" ref="AR538:AS538" si="1081">IF(OR(O538=$C538,O538=$D538,O538=""),"0","1")</f>
        <v>0</v>
      </c>
      <c r="AS538" s="13" t="str">
        <f t="shared" si="1081"/>
        <v>0</v>
      </c>
      <c r="AT538" s="698">
        <f t="shared" si="11"/>
        <v>0</v>
      </c>
    </row>
    <row r="539" ht="15.75" customHeight="1">
      <c r="A539" s="788" t="str">
        <f t="shared" si="5"/>
        <v>-</v>
      </c>
      <c r="B539" s="331"/>
      <c r="C539" s="331"/>
      <c r="D539" s="331"/>
      <c r="E539" s="790"/>
      <c r="F539" s="791"/>
      <c r="G539" s="331"/>
      <c r="H539" s="331"/>
      <c r="I539" s="331"/>
      <c r="J539" s="331"/>
      <c r="K539" s="331"/>
      <c r="L539" s="331"/>
      <c r="M539" s="331"/>
      <c r="N539" s="331"/>
      <c r="O539" s="331"/>
      <c r="P539" s="792"/>
      <c r="AB539" s="314"/>
      <c r="AC539" s="314"/>
      <c r="AD539" s="314"/>
      <c r="AE539" s="314"/>
      <c r="AF539" s="314"/>
      <c r="AG539" s="314"/>
      <c r="AJ539" s="13" t="str">
        <f t="shared" ref="AJ539:AQ539" si="1082">IF(OR(E539=$C539,E539=$D539,E539=""),"0","1")</f>
        <v>0</v>
      </c>
      <c r="AK539" s="13" t="str">
        <f t="shared" si="1082"/>
        <v>0</v>
      </c>
      <c r="AL539" s="13" t="str">
        <f t="shared" si="1082"/>
        <v>0</v>
      </c>
      <c r="AM539" s="13" t="str">
        <f t="shared" si="1082"/>
        <v>0</v>
      </c>
      <c r="AN539" s="13" t="str">
        <f t="shared" si="1082"/>
        <v>0</v>
      </c>
      <c r="AO539" s="13" t="str">
        <f t="shared" si="1082"/>
        <v>0</v>
      </c>
      <c r="AP539" s="13" t="str">
        <f t="shared" si="1082"/>
        <v>0</v>
      </c>
      <c r="AQ539" s="13" t="str">
        <f t="shared" si="1082"/>
        <v>0</v>
      </c>
      <c r="AR539" s="13" t="str">
        <f t="shared" ref="AR539:AS539" si="1083">IF(OR(O539=$C539,O539=$D539,O539=""),"0","1")</f>
        <v>0</v>
      </c>
      <c r="AS539" s="13" t="str">
        <f t="shared" si="1083"/>
        <v>0</v>
      </c>
      <c r="AT539" s="698">
        <f t="shared" si="11"/>
        <v>0</v>
      </c>
    </row>
    <row r="540" ht="15.75" customHeight="1">
      <c r="A540" s="788" t="str">
        <f t="shared" si="5"/>
        <v>-</v>
      </c>
      <c r="B540" s="331"/>
      <c r="C540" s="331"/>
      <c r="D540" s="331"/>
      <c r="E540" s="790"/>
      <c r="F540" s="791"/>
      <c r="G540" s="331"/>
      <c r="H540" s="331"/>
      <c r="I540" s="331"/>
      <c r="J540" s="331"/>
      <c r="K540" s="331"/>
      <c r="L540" s="331"/>
      <c r="M540" s="331"/>
      <c r="N540" s="331"/>
      <c r="O540" s="331"/>
      <c r="P540" s="792"/>
      <c r="AB540" s="314"/>
      <c r="AC540" s="314"/>
      <c r="AD540" s="314"/>
      <c r="AE540" s="314"/>
      <c r="AF540" s="314"/>
      <c r="AG540" s="314"/>
      <c r="AJ540" s="13" t="str">
        <f t="shared" ref="AJ540:AQ540" si="1084">IF(OR(E540=$C540,E540=$D540,E540=""),"0","1")</f>
        <v>0</v>
      </c>
      <c r="AK540" s="13" t="str">
        <f t="shared" si="1084"/>
        <v>0</v>
      </c>
      <c r="AL540" s="13" t="str">
        <f t="shared" si="1084"/>
        <v>0</v>
      </c>
      <c r="AM540" s="13" t="str">
        <f t="shared" si="1084"/>
        <v>0</v>
      </c>
      <c r="AN540" s="13" t="str">
        <f t="shared" si="1084"/>
        <v>0</v>
      </c>
      <c r="AO540" s="13" t="str">
        <f t="shared" si="1084"/>
        <v>0</v>
      </c>
      <c r="AP540" s="13" t="str">
        <f t="shared" si="1084"/>
        <v>0</v>
      </c>
      <c r="AQ540" s="13" t="str">
        <f t="shared" si="1084"/>
        <v>0</v>
      </c>
      <c r="AR540" s="13" t="str">
        <f t="shared" ref="AR540:AS540" si="1085">IF(OR(O540=$C540,O540=$D540,O540=""),"0","1")</f>
        <v>0</v>
      </c>
      <c r="AS540" s="13" t="str">
        <f t="shared" si="1085"/>
        <v>0</v>
      </c>
      <c r="AT540" s="698">
        <f t="shared" si="11"/>
        <v>0</v>
      </c>
    </row>
    <row r="541" ht="15.75" customHeight="1">
      <c r="A541" s="788" t="str">
        <f t="shared" si="5"/>
        <v>-</v>
      </c>
      <c r="B541" s="331"/>
      <c r="C541" s="331"/>
      <c r="D541" s="331"/>
      <c r="E541" s="790"/>
      <c r="F541" s="791"/>
      <c r="G541" s="331"/>
      <c r="H541" s="331"/>
      <c r="I541" s="331"/>
      <c r="J541" s="331"/>
      <c r="K541" s="331"/>
      <c r="L541" s="331"/>
      <c r="M541" s="331"/>
      <c r="N541" s="331"/>
      <c r="O541" s="331"/>
      <c r="P541" s="792"/>
      <c r="AB541" s="314"/>
      <c r="AC541" s="314"/>
      <c r="AD541" s="314"/>
      <c r="AE541" s="314"/>
      <c r="AF541" s="314"/>
      <c r="AG541" s="314"/>
      <c r="AJ541" s="13" t="str">
        <f t="shared" ref="AJ541:AQ541" si="1086">IF(OR(E541=$C541,E541=$D541,E541=""),"0","1")</f>
        <v>0</v>
      </c>
      <c r="AK541" s="13" t="str">
        <f t="shared" si="1086"/>
        <v>0</v>
      </c>
      <c r="AL541" s="13" t="str">
        <f t="shared" si="1086"/>
        <v>0</v>
      </c>
      <c r="AM541" s="13" t="str">
        <f t="shared" si="1086"/>
        <v>0</v>
      </c>
      <c r="AN541" s="13" t="str">
        <f t="shared" si="1086"/>
        <v>0</v>
      </c>
      <c r="AO541" s="13" t="str">
        <f t="shared" si="1086"/>
        <v>0</v>
      </c>
      <c r="AP541" s="13" t="str">
        <f t="shared" si="1086"/>
        <v>0</v>
      </c>
      <c r="AQ541" s="13" t="str">
        <f t="shared" si="1086"/>
        <v>0</v>
      </c>
      <c r="AR541" s="13" t="str">
        <f t="shared" ref="AR541:AS541" si="1087">IF(OR(O541=$C541,O541=$D541,O541=""),"0","1")</f>
        <v>0</v>
      </c>
      <c r="AS541" s="13" t="str">
        <f t="shared" si="1087"/>
        <v>0</v>
      </c>
      <c r="AT541" s="698">
        <f t="shared" si="11"/>
        <v>0</v>
      </c>
    </row>
    <row r="542" ht="15.75" customHeight="1">
      <c r="A542" s="788" t="str">
        <f t="shared" si="5"/>
        <v>-</v>
      </c>
      <c r="B542" s="331"/>
      <c r="C542" s="331"/>
      <c r="D542" s="331"/>
      <c r="E542" s="790"/>
      <c r="F542" s="791"/>
      <c r="G542" s="331"/>
      <c r="H542" s="331"/>
      <c r="I542" s="331"/>
      <c r="J542" s="331"/>
      <c r="K542" s="331"/>
      <c r="L542" s="331"/>
      <c r="M542" s="331"/>
      <c r="N542" s="331"/>
      <c r="O542" s="331"/>
      <c r="P542" s="792"/>
      <c r="AB542" s="314"/>
      <c r="AC542" s="314"/>
      <c r="AD542" s="314"/>
      <c r="AE542" s="314"/>
      <c r="AF542" s="314"/>
      <c r="AG542" s="314"/>
      <c r="AJ542" s="13" t="str">
        <f t="shared" ref="AJ542:AQ542" si="1088">IF(OR(E542=$C542,E542=$D542,E542=""),"0","1")</f>
        <v>0</v>
      </c>
      <c r="AK542" s="13" t="str">
        <f t="shared" si="1088"/>
        <v>0</v>
      </c>
      <c r="AL542" s="13" t="str">
        <f t="shared" si="1088"/>
        <v>0</v>
      </c>
      <c r="AM542" s="13" t="str">
        <f t="shared" si="1088"/>
        <v>0</v>
      </c>
      <c r="AN542" s="13" t="str">
        <f t="shared" si="1088"/>
        <v>0</v>
      </c>
      <c r="AO542" s="13" t="str">
        <f t="shared" si="1088"/>
        <v>0</v>
      </c>
      <c r="AP542" s="13" t="str">
        <f t="shared" si="1088"/>
        <v>0</v>
      </c>
      <c r="AQ542" s="13" t="str">
        <f t="shared" si="1088"/>
        <v>0</v>
      </c>
      <c r="AR542" s="13" t="str">
        <f t="shared" ref="AR542:AS542" si="1089">IF(OR(O542=$C542,O542=$D542,O542=""),"0","1")</f>
        <v>0</v>
      </c>
      <c r="AS542" s="13" t="str">
        <f t="shared" si="1089"/>
        <v>0</v>
      </c>
      <c r="AT542" s="698">
        <f t="shared" si="11"/>
        <v>0</v>
      </c>
    </row>
    <row r="543" ht="15.75" customHeight="1">
      <c r="A543" s="788" t="str">
        <f t="shared" si="5"/>
        <v>-</v>
      </c>
      <c r="B543" s="331"/>
      <c r="C543" s="331"/>
      <c r="D543" s="331"/>
      <c r="E543" s="790"/>
      <c r="F543" s="791"/>
      <c r="G543" s="331"/>
      <c r="H543" s="331"/>
      <c r="I543" s="331"/>
      <c r="J543" s="331"/>
      <c r="K543" s="331"/>
      <c r="L543" s="331"/>
      <c r="M543" s="331"/>
      <c r="N543" s="331"/>
      <c r="O543" s="331"/>
      <c r="P543" s="792"/>
      <c r="AB543" s="314"/>
      <c r="AC543" s="314"/>
      <c r="AD543" s="314"/>
      <c r="AE543" s="314"/>
      <c r="AF543" s="314"/>
      <c r="AG543" s="314"/>
      <c r="AJ543" s="13" t="str">
        <f t="shared" ref="AJ543:AQ543" si="1090">IF(OR(E543=$C543,E543=$D543,E543=""),"0","1")</f>
        <v>0</v>
      </c>
      <c r="AK543" s="13" t="str">
        <f t="shared" si="1090"/>
        <v>0</v>
      </c>
      <c r="AL543" s="13" t="str">
        <f t="shared" si="1090"/>
        <v>0</v>
      </c>
      <c r="AM543" s="13" t="str">
        <f t="shared" si="1090"/>
        <v>0</v>
      </c>
      <c r="AN543" s="13" t="str">
        <f t="shared" si="1090"/>
        <v>0</v>
      </c>
      <c r="AO543" s="13" t="str">
        <f t="shared" si="1090"/>
        <v>0</v>
      </c>
      <c r="AP543" s="13" t="str">
        <f t="shared" si="1090"/>
        <v>0</v>
      </c>
      <c r="AQ543" s="13" t="str">
        <f t="shared" si="1090"/>
        <v>0</v>
      </c>
      <c r="AR543" s="13" t="str">
        <f t="shared" ref="AR543:AS543" si="1091">IF(OR(O543=$C543,O543=$D543,O543=""),"0","1")</f>
        <v>0</v>
      </c>
      <c r="AS543" s="13" t="str">
        <f t="shared" si="1091"/>
        <v>0</v>
      </c>
      <c r="AT543" s="698">
        <f t="shared" si="11"/>
        <v>0</v>
      </c>
    </row>
    <row r="544" ht="15.75" customHeight="1">
      <c r="A544" s="788" t="str">
        <f t="shared" si="5"/>
        <v>-</v>
      </c>
      <c r="B544" s="331"/>
      <c r="C544" s="331"/>
      <c r="D544" s="331"/>
      <c r="E544" s="790"/>
      <c r="F544" s="791"/>
      <c r="G544" s="331"/>
      <c r="H544" s="331"/>
      <c r="I544" s="331"/>
      <c r="J544" s="331"/>
      <c r="K544" s="331"/>
      <c r="L544" s="331"/>
      <c r="M544" s="331"/>
      <c r="N544" s="331"/>
      <c r="O544" s="331"/>
      <c r="P544" s="792"/>
      <c r="AB544" s="314"/>
      <c r="AC544" s="314"/>
      <c r="AD544" s="314"/>
      <c r="AE544" s="314"/>
      <c r="AF544" s="314"/>
      <c r="AG544" s="314"/>
      <c r="AJ544" s="13" t="str">
        <f t="shared" ref="AJ544:AQ544" si="1092">IF(OR(E544=$C544,E544=$D544,E544=""),"0","1")</f>
        <v>0</v>
      </c>
      <c r="AK544" s="13" t="str">
        <f t="shared" si="1092"/>
        <v>0</v>
      </c>
      <c r="AL544" s="13" t="str">
        <f t="shared" si="1092"/>
        <v>0</v>
      </c>
      <c r="AM544" s="13" t="str">
        <f t="shared" si="1092"/>
        <v>0</v>
      </c>
      <c r="AN544" s="13" t="str">
        <f t="shared" si="1092"/>
        <v>0</v>
      </c>
      <c r="AO544" s="13" t="str">
        <f t="shared" si="1092"/>
        <v>0</v>
      </c>
      <c r="AP544" s="13" t="str">
        <f t="shared" si="1092"/>
        <v>0</v>
      </c>
      <c r="AQ544" s="13" t="str">
        <f t="shared" si="1092"/>
        <v>0</v>
      </c>
      <c r="AR544" s="13" t="str">
        <f t="shared" ref="AR544:AS544" si="1093">IF(OR(O544=$C544,O544=$D544,O544=""),"0","1")</f>
        <v>0</v>
      </c>
      <c r="AS544" s="13" t="str">
        <f t="shared" si="1093"/>
        <v>0</v>
      </c>
      <c r="AT544" s="698">
        <f t="shared" si="11"/>
        <v>0</v>
      </c>
    </row>
    <row r="545" ht="15.75" customHeight="1">
      <c r="A545" s="788" t="str">
        <f t="shared" si="5"/>
        <v>-</v>
      </c>
      <c r="B545" s="331"/>
      <c r="C545" s="331"/>
      <c r="D545" s="331"/>
      <c r="E545" s="790"/>
      <c r="F545" s="791"/>
      <c r="G545" s="331"/>
      <c r="H545" s="331"/>
      <c r="I545" s="331"/>
      <c r="J545" s="331"/>
      <c r="K545" s="331"/>
      <c r="L545" s="331"/>
      <c r="M545" s="331"/>
      <c r="N545" s="331"/>
      <c r="O545" s="331"/>
      <c r="P545" s="792"/>
      <c r="AB545" s="314"/>
      <c r="AC545" s="314"/>
      <c r="AD545" s="314"/>
      <c r="AE545" s="314"/>
      <c r="AF545" s="314"/>
      <c r="AG545" s="314"/>
      <c r="AJ545" s="13" t="str">
        <f t="shared" ref="AJ545:AQ545" si="1094">IF(OR(E545=$C545,E545=$D545,E545=""),"0","1")</f>
        <v>0</v>
      </c>
      <c r="AK545" s="13" t="str">
        <f t="shared" si="1094"/>
        <v>0</v>
      </c>
      <c r="AL545" s="13" t="str">
        <f t="shared" si="1094"/>
        <v>0</v>
      </c>
      <c r="AM545" s="13" t="str">
        <f t="shared" si="1094"/>
        <v>0</v>
      </c>
      <c r="AN545" s="13" t="str">
        <f t="shared" si="1094"/>
        <v>0</v>
      </c>
      <c r="AO545" s="13" t="str">
        <f t="shared" si="1094"/>
        <v>0</v>
      </c>
      <c r="AP545" s="13" t="str">
        <f t="shared" si="1094"/>
        <v>0</v>
      </c>
      <c r="AQ545" s="13" t="str">
        <f t="shared" si="1094"/>
        <v>0</v>
      </c>
      <c r="AR545" s="13" t="str">
        <f t="shared" ref="AR545:AS545" si="1095">IF(OR(O545=$C545,O545=$D545,O545=""),"0","1")</f>
        <v>0</v>
      </c>
      <c r="AS545" s="13" t="str">
        <f t="shared" si="1095"/>
        <v>0</v>
      </c>
      <c r="AT545" s="698">
        <f t="shared" si="11"/>
        <v>0</v>
      </c>
    </row>
    <row r="546" ht="15.75" customHeight="1">
      <c r="A546" s="788" t="str">
        <f t="shared" si="5"/>
        <v>-</v>
      </c>
      <c r="B546" s="331"/>
      <c r="C546" s="331"/>
      <c r="D546" s="331"/>
      <c r="E546" s="790"/>
      <c r="F546" s="791"/>
      <c r="G546" s="331"/>
      <c r="H546" s="331"/>
      <c r="I546" s="331"/>
      <c r="J546" s="331"/>
      <c r="K546" s="331"/>
      <c r="L546" s="331"/>
      <c r="M546" s="331"/>
      <c r="N546" s="331"/>
      <c r="O546" s="331"/>
      <c r="P546" s="792"/>
      <c r="AB546" s="314"/>
      <c r="AC546" s="314"/>
      <c r="AD546" s="314"/>
      <c r="AE546" s="314"/>
      <c r="AF546" s="314"/>
      <c r="AG546" s="314"/>
      <c r="AJ546" s="13" t="str">
        <f t="shared" ref="AJ546:AQ546" si="1096">IF(OR(E546=$C546,E546=$D546,E546=""),"0","1")</f>
        <v>0</v>
      </c>
      <c r="AK546" s="13" t="str">
        <f t="shared" si="1096"/>
        <v>0</v>
      </c>
      <c r="AL546" s="13" t="str">
        <f t="shared" si="1096"/>
        <v>0</v>
      </c>
      <c r="AM546" s="13" t="str">
        <f t="shared" si="1096"/>
        <v>0</v>
      </c>
      <c r="AN546" s="13" t="str">
        <f t="shared" si="1096"/>
        <v>0</v>
      </c>
      <c r="AO546" s="13" t="str">
        <f t="shared" si="1096"/>
        <v>0</v>
      </c>
      <c r="AP546" s="13" t="str">
        <f t="shared" si="1096"/>
        <v>0</v>
      </c>
      <c r="AQ546" s="13" t="str">
        <f t="shared" si="1096"/>
        <v>0</v>
      </c>
      <c r="AR546" s="13" t="str">
        <f t="shared" ref="AR546:AS546" si="1097">IF(OR(O546=$C546,O546=$D546,O546=""),"0","1")</f>
        <v>0</v>
      </c>
      <c r="AS546" s="13" t="str">
        <f t="shared" si="1097"/>
        <v>0</v>
      </c>
      <c r="AT546" s="698">
        <f t="shared" si="11"/>
        <v>0</v>
      </c>
    </row>
    <row r="547" ht="15.75" customHeight="1">
      <c r="A547" s="788" t="str">
        <f t="shared" si="5"/>
        <v>-</v>
      </c>
      <c r="B547" s="331"/>
      <c r="C547" s="331"/>
      <c r="D547" s="331"/>
      <c r="E547" s="790"/>
      <c r="F547" s="791"/>
      <c r="G547" s="331"/>
      <c r="H547" s="331"/>
      <c r="I547" s="331"/>
      <c r="J547" s="331"/>
      <c r="K547" s="331"/>
      <c r="L547" s="331"/>
      <c r="M547" s="331"/>
      <c r="N547" s="331"/>
      <c r="O547" s="331"/>
      <c r="P547" s="792"/>
      <c r="AB547" s="314"/>
      <c r="AC547" s="314"/>
      <c r="AD547" s="314"/>
      <c r="AE547" s="314"/>
      <c r="AF547" s="314"/>
      <c r="AG547" s="314"/>
      <c r="AJ547" s="13" t="str">
        <f t="shared" ref="AJ547:AQ547" si="1098">IF(OR(E547=$C547,E547=$D547,E547=""),"0","1")</f>
        <v>0</v>
      </c>
      <c r="AK547" s="13" t="str">
        <f t="shared" si="1098"/>
        <v>0</v>
      </c>
      <c r="AL547" s="13" t="str">
        <f t="shared" si="1098"/>
        <v>0</v>
      </c>
      <c r="AM547" s="13" t="str">
        <f t="shared" si="1098"/>
        <v>0</v>
      </c>
      <c r="AN547" s="13" t="str">
        <f t="shared" si="1098"/>
        <v>0</v>
      </c>
      <c r="AO547" s="13" t="str">
        <f t="shared" si="1098"/>
        <v>0</v>
      </c>
      <c r="AP547" s="13" t="str">
        <f t="shared" si="1098"/>
        <v>0</v>
      </c>
      <c r="AQ547" s="13" t="str">
        <f t="shared" si="1098"/>
        <v>0</v>
      </c>
      <c r="AR547" s="13" t="str">
        <f t="shared" ref="AR547:AS547" si="1099">IF(OR(O547=$C547,O547=$D547,O547=""),"0","1")</f>
        <v>0</v>
      </c>
      <c r="AS547" s="13" t="str">
        <f t="shared" si="1099"/>
        <v>0</v>
      </c>
      <c r="AT547" s="698">
        <f t="shared" si="11"/>
        <v>0</v>
      </c>
    </row>
    <row r="548" ht="15.75" customHeight="1">
      <c r="A548" s="788" t="str">
        <f t="shared" si="5"/>
        <v>-</v>
      </c>
      <c r="B548" s="331"/>
      <c r="C548" s="331"/>
      <c r="D548" s="331"/>
      <c r="E548" s="790"/>
      <c r="F548" s="791"/>
      <c r="G548" s="331"/>
      <c r="H548" s="331"/>
      <c r="I548" s="331"/>
      <c r="J548" s="331"/>
      <c r="K548" s="331"/>
      <c r="L548" s="331"/>
      <c r="M548" s="331"/>
      <c r="N548" s="331"/>
      <c r="O548" s="331"/>
      <c r="P548" s="792"/>
      <c r="AB548" s="314"/>
      <c r="AC548" s="314"/>
      <c r="AD548" s="314"/>
      <c r="AE548" s="314"/>
      <c r="AF548" s="314"/>
      <c r="AG548" s="314"/>
      <c r="AJ548" s="13" t="str">
        <f t="shared" ref="AJ548:AQ548" si="1100">IF(OR(E548=$C548,E548=$D548,E548=""),"0","1")</f>
        <v>0</v>
      </c>
      <c r="AK548" s="13" t="str">
        <f t="shared" si="1100"/>
        <v>0</v>
      </c>
      <c r="AL548" s="13" t="str">
        <f t="shared" si="1100"/>
        <v>0</v>
      </c>
      <c r="AM548" s="13" t="str">
        <f t="shared" si="1100"/>
        <v>0</v>
      </c>
      <c r="AN548" s="13" t="str">
        <f t="shared" si="1100"/>
        <v>0</v>
      </c>
      <c r="AO548" s="13" t="str">
        <f t="shared" si="1100"/>
        <v>0</v>
      </c>
      <c r="AP548" s="13" t="str">
        <f t="shared" si="1100"/>
        <v>0</v>
      </c>
      <c r="AQ548" s="13" t="str">
        <f t="shared" si="1100"/>
        <v>0</v>
      </c>
      <c r="AR548" s="13" t="str">
        <f t="shared" ref="AR548:AS548" si="1101">IF(OR(O548=$C548,O548=$D548,O548=""),"0","1")</f>
        <v>0</v>
      </c>
      <c r="AS548" s="13" t="str">
        <f t="shared" si="1101"/>
        <v>0</v>
      </c>
      <c r="AT548" s="698">
        <f t="shared" si="11"/>
        <v>0</v>
      </c>
    </row>
    <row r="549" ht="15.75" customHeight="1">
      <c r="A549" s="788" t="str">
        <f t="shared" si="5"/>
        <v>-</v>
      </c>
      <c r="B549" s="331"/>
      <c r="C549" s="331"/>
      <c r="D549" s="331"/>
      <c r="E549" s="790"/>
      <c r="F549" s="791"/>
      <c r="G549" s="331"/>
      <c r="H549" s="331"/>
      <c r="I549" s="331"/>
      <c r="J549" s="331"/>
      <c r="K549" s="331"/>
      <c r="L549" s="331"/>
      <c r="M549" s="331"/>
      <c r="N549" s="331"/>
      <c r="O549" s="331"/>
      <c r="P549" s="792"/>
      <c r="AB549" s="314"/>
      <c r="AC549" s="314"/>
      <c r="AD549" s="314"/>
      <c r="AE549" s="314"/>
      <c r="AF549" s="314"/>
      <c r="AG549" s="314"/>
      <c r="AJ549" s="13" t="str">
        <f t="shared" ref="AJ549:AQ549" si="1102">IF(OR(E549=$C549,E549=$D549,E549=""),"0","1")</f>
        <v>0</v>
      </c>
      <c r="AK549" s="13" t="str">
        <f t="shared" si="1102"/>
        <v>0</v>
      </c>
      <c r="AL549" s="13" t="str">
        <f t="shared" si="1102"/>
        <v>0</v>
      </c>
      <c r="AM549" s="13" t="str">
        <f t="shared" si="1102"/>
        <v>0</v>
      </c>
      <c r="AN549" s="13" t="str">
        <f t="shared" si="1102"/>
        <v>0</v>
      </c>
      <c r="AO549" s="13" t="str">
        <f t="shared" si="1102"/>
        <v>0</v>
      </c>
      <c r="AP549" s="13" t="str">
        <f t="shared" si="1102"/>
        <v>0</v>
      </c>
      <c r="AQ549" s="13" t="str">
        <f t="shared" si="1102"/>
        <v>0</v>
      </c>
      <c r="AR549" s="13" t="str">
        <f t="shared" ref="AR549:AS549" si="1103">IF(OR(O549=$C549,O549=$D549,O549=""),"0","1")</f>
        <v>0</v>
      </c>
      <c r="AS549" s="13" t="str">
        <f t="shared" si="1103"/>
        <v>0</v>
      </c>
      <c r="AT549" s="698">
        <f t="shared" si="11"/>
        <v>0</v>
      </c>
    </row>
    <row r="550" ht="15.75" customHeight="1">
      <c r="A550" s="788" t="str">
        <f t="shared" si="5"/>
        <v>-</v>
      </c>
      <c r="B550" s="331"/>
      <c r="C550" s="331"/>
      <c r="D550" s="331"/>
      <c r="E550" s="790"/>
      <c r="F550" s="791"/>
      <c r="G550" s="331"/>
      <c r="H550" s="331"/>
      <c r="I550" s="331"/>
      <c r="J550" s="331"/>
      <c r="K550" s="331"/>
      <c r="L550" s="331"/>
      <c r="M550" s="331"/>
      <c r="N550" s="331"/>
      <c r="O550" s="331"/>
      <c r="P550" s="792"/>
      <c r="AB550" s="314"/>
      <c r="AC550" s="314"/>
      <c r="AD550" s="314"/>
      <c r="AE550" s="314"/>
      <c r="AF550" s="314"/>
      <c r="AG550" s="314"/>
      <c r="AJ550" s="13" t="str">
        <f t="shared" ref="AJ550:AQ550" si="1104">IF(OR(E550=$C550,E550=$D550,E550=""),"0","1")</f>
        <v>0</v>
      </c>
      <c r="AK550" s="13" t="str">
        <f t="shared" si="1104"/>
        <v>0</v>
      </c>
      <c r="AL550" s="13" t="str">
        <f t="shared" si="1104"/>
        <v>0</v>
      </c>
      <c r="AM550" s="13" t="str">
        <f t="shared" si="1104"/>
        <v>0</v>
      </c>
      <c r="AN550" s="13" t="str">
        <f t="shared" si="1104"/>
        <v>0</v>
      </c>
      <c r="AO550" s="13" t="str">
        <f t="shared" si="1104"/>
        <v>0</v>
      </c>
      <c r="AP550" s="13" t="str">
        <f t="shared" si="1104"/>
        <v>0</v>
      </c>
      <c r="AQ550" s="13" t="str">
        <f t="shared" si="1104"/>
        <v>0</v>
      </c>
      <c r="AR550" s="13" t="str">
        <f t="shared" ref="AR550:AS550" si="1105">IF(OR(O550=$C550,O550=$D550,O550=""),"0","1")</f>
        <v>0</v>
      </c>
      <c r="AS550" s="13" t="str">
        <f t="shared" si="1105"/>
        <v>0</v>
      </c>
      <c r="AT550" s="698">
        <f t="shared" si="11"/>
        <v>0</v>
      </c>
    </row>
    <row r="551" ht="15.75" customHeight="1">
      <c r="A551" s="788" t="str">
        <f t="shared" si="5"/>
        <v>-</v>
      </c>
      <c r="B551" s="331"/>
      <c r="C551" s="331"/>
      <c r="D551" s="331"/>
      <c r="E551" s="790"/>
      <c r="F551" s="791"/>
      <c r="G551" s="331"/>
      <c r="H551" s="331"/>
      <c r="I551" s="331"/>
      <c r="J551" s="331"/>
      <c r="K551" s="331"/>
      <c r="L551" s="331"/>
      <c r="M551" s="331"/>
      <c r="N551" s="331"/>
      <c r="O551" s="331"/>
      <c r="P551" s="792"/>
      <c r="AB551" s="314"/>
      <c r="AC551" s="314"/>
      <c r="AD551" s="314"/>
      <c r="AE551" s="314"/>
      <c r="AF551" s="314"/>
      <c r="AG551" s="314"/>
      <c r="AJ551" s="13" t="str">
        <f t="shared" ref="AJ551:AQ551" si="1106">IF(OR(E551=$C551,E551=$D551,E551=""),"0","1")</f>
        <v>0</v>
      </c>
      <c r="AK551" s="13" t="str">
        <f t="shared" si="1106"/>
        <v>0</v>
      </c>
      <c r="AL551" s="13" t="str">
        <f t="shared" si="1106"/>
        <v>0</v>
      </c>
      <c r="AM551" s="13" t="str">
        <f t="shared" si="1106"/>
        <v>0</v>
      </c>
      <c r="AN551" s="13" t="str">
        <f t="shared" si="1106"/>
        <v>0</v>
      </c>
      <c r="AO551" s="13" t="str">
        <f t="shared" si="1106"/>
        <v>0</v>
      </c>
      <c r="AP551" s="13" t="str">
        <f t="shared" si="1106"/>
        <v>0</v>
      </c>
      <c r="AQ551" s="13" t="str">
        <f t="shared" si="1106"/>
        <v>0</v>
      </c>
      <c r="AR551" s="13" t="str">
        <f t="shared" ref="AR551:AS551" si="1107">IF(OR(O551=$C551,O551=$D551,O551=""),"0","1")</f>
        <v>0</v>
      </c>
      <c r="AS551" s="13" t="str">
        <f t="shared" si="1107"/>
        <v>0</v>
      </c>
      <c r="AT551" s="698">
        <f t="shared" si="11"/>
        <v>0</v>
      </c>
    </row>
    <row r="552" ht="15.75" customHeight="1">
      <c r="A552" s="788" t="str">
        <f t="shared" si="5"/>
        <v>-</v>
      </c>
      <c r="B552" s="331"/>
      <c r="C552" s="331"/>
      <c r="D552" s="331"/>
      <c r="E552" s="790"/>
      <c r="F552" s="791"/>
      <c r="G552" s="331"/>
      <c r="H552" s="331"/>
      <c r="I552" s="331"/>
      <c r="J552" s="331"/>
      <c r="K552" s="331"/>
      <c r="L552" s="331"/>
      <c r="M552" s="331"/>
      <c r="N552" s="331"/>
      <c r="O552" s="331"/>
      <c r="P552" s="792"/>
      <c r="AB552" s="314"/>
      <c r="AC552" s="314"/>
      <c r="AD552" s="314"/>
      <c r="AE552" s="314"/>
      <c r="AF552" s="314"/>
      <c r="AG552" s="314"/>
      <c r="AJ552" s="13" t="str">
        <f t="shared" ref="AJ552:AQ552" si="1108">IF(OR(E552=$C552,E552=$D552,E552=""),"0","1")</f>
        <v>0</v>
      </c>
      <c r="AK552" s="13" t="str">
        <f t="shared" si="1108"/>
        <v>0</v>
      </c>
      <c r="AL552" s="13" t="str">
        <f t="shared" si="1108"/>
        <v>0</v>
      </c>
      <c r="AM552" s="13" t="str">
        <f t="shared" si="1108"/>
        <v>0</v>
      </c>
      <c r="AN552" s="13" t="str">
        <f t="shared" si="1108"/>
        <v>0</v>
      </c>
      <c r="AO552" s="13" t="str">
        <f t="shared" si="1108"/>
        <v>0</v>
      </c>
      <c r="AP552" s="13" t="str">
        <f t="shared" si="1108"/>
        <v>0</v>
      </c>
      <c r="AQ552" s="13" t="str">
        <f t="shared" si="1108"/>
        <v>0</v>
      </c>
      <c r="AR552" s="13" t="str">
        <f t="shared" ref="AR552:AS552" si="1109">IF(OR(O552=$C552,O552=$D552,O552=""),"0","1")</f>
        <v>0</v>
      </c>
      <c r="AS552" s="13" t="str">
        <f t="shared" si="1109"/>
        <v>0</v>
      </c>
      <c r="AT552" s="698">
        <f t="shared" si="11"/>
        <v>0</v>
      </c>
    </row>
    <row r="553" ht="15.75" customHeight="1">
      <c r="A553" s="788" t="str">
        <f t="shared" si="5"/>
        <v>-</v>
      </c>
      <c r="B553" s="331"/>
      <c r="C553" s="331"/>
      <c r="D553" s="331"/>
      <c r="E553" s="790"/>
      <c r="F553" s="791"/>
      <c r="G553" s="331"/>
      <c r="H553" s="331"/>
      <c r="I553" s="331"/>
      <c r="J553" s="331"/>
      <c r="K553" s="331"/>
      <c r="L553" s="331"/>
      <c r="M553" s="331"/>
      <c r="N553" s="331"/>
      <c r="O553" s="331"/>
      <c r="P553" s="792"/>
      <c r="AB553" s="314"/>
      <c r="AC553" s="314"/>
      <c r="AD553" s="314"/>
      <c r="AE553" s="314"/>
      <c r="AF553" s="314"/>
      <c r="AG553" s="314"/>
      <c r="AJ553" s="13" t="str">
        <f t="shared" ref="AJ553:AQ553" si="1110">IF(OR(E553=$C553,E553=$D553,E553=""),"0","1")</f>
        <v>0</v>
      </c>
      <c r="AK553" s="13" t="str">
        <f t="shared" si="1110"/>
        <v>0</v>
      </c>
      <c r="AL553" s="13" t="str">
        <f t="shared" si="1110"/>
        <v>0</v>
      </c>
      <c r="AM553" s="13" t="str">
        <f t="shared" si="1110"/>
        <v>0</v>
      </c>
      <c r="AN553" s="13" t="str">
        <f t="shared" si="1110"/>
        <v>0</v>
      </c>
      <c r="AO553" s="13" t="str">
        <f t="shared" si="1110"/>
        <v>0</v>
      </c>
      <c r="AP553" s="13" t="str">
        <f t="shared" si="1110"/>
        <v>0</v>
      </c>
      <c r="AQ553" s="13" t="str">
        <f t="shared" si="1110"/>
        <v>0</v>
      </c>
      <c r="AR553" s="13" t="str">
        <f t="shared" ref="AR553:AS553" si="1111">IF(OR(O553=$C553,O553=$D553,O553=""),"0","1")</f>
        <v>0</v>
      </c>
      <c r="AS553" s="13" t="str">
        <f t="shared" si="1111"/>
        <v>0</v>
      </c>
      <c r="AT553" s="698">
        <f t="shared" si="11"/>
        <v>0</v>
      </c>
    </row>
    <row r="554" ht="15.75" customHeight="1">
      <c r="A554" s="788" t="str">
        <f t="shared" si="5"/>
        <v>-</v>
      </c>
      <c r="B554" s="331"/>
      <c r="C554" s="331"/>
      <c r="D554" s="331"/>
      <c r="E554" s="790"/>
      <c r="F554" s="791"/>
      <c r="G554" s="331"/>
      <c r="H554" s="331"/>
      <c r="I554" s="331"/>
      <c r="J554" s="331"/>
      <c r="K554" s="331"/>
      <c r="L554" s="331"/>
      <c r="M554" s="331"/>
      <c r="N554" s="331"/>
      <c r="O554" s="331"/>
      <c r="P554" s="792"/>
      <c r="AB554" s="314"/>
      <c r="AC554" s="314"/>
      <c r="AD554" s="314"/>
      <c r="AE554" s="314"/>
      <c r="AF554" s="314"/>
      <c r="AG554" s="314"/>
      <c r="AJ554" s="13" t="str">
        <f t="shared" ref="AJ554:AQ554" si="1112">IF(OR(E554=$C554,E554=$D554,E554=""),"0","1")</f>
        <v>0</v>
      </c>
      <c r="AK554" s="13" t="str">
        <f t="shared" si="1112"/>
        <v>0</v>
      </c>
      <c r="AL554" s="13" t="str">
        <f t="shared" si="1112"/>
        <v>0</v>
      </c>
      <c r="AM554" s="13" t="str">
        <f t="shared" si="1112"/>
        <v>0</v>
      </c>
      <c r="AN554" s="13" t="str">
        <f t="shared" si="1112"/>
        <v>0</v>
      </c>
      <c r="AO554" s="13" t="str">
        <f t="shared" si="1112"/>
        <v>0</v>
      </c>
      <c r="AP554" s="13" t="str">
        <f t="shared" si="1112"/>
        <v>0</v>
      </c>
      <c r="AQ554" s="13" t="str">
        <f t="shared" si="1112"/>
        <v>0</v>
      </c>
      <c r="AR554" s="13" t="str">
        <f t="shared" ref="AR554:AS554" si="1113">IF(OR(O554=$C554,O554=$D554,O554=""),"0","1")</f>
        <v>0</v>
      </c>
      <c r="AS554" s="13" t="str">
        <f t="shared" si="1113"/>
        <v>0</v>
      </c>
      <c r="AT554" s="698">
        <f t="shared" si="11"/>
        <v>0</v>
      </c>
    </row>
    <row r="555" ht="15.75" customHeight="1">
      <c r="A555" s="788" t="str">
        <f t="shared" si="5"/>
        <v>-</v>
      </c>
      <c r="B555" s="331"/>
      <c r="C555" s="331"/>
      <c r="D555" s="331"/>
      <c r="E555" s="790"/>
      <c r="F555" s="791"/>
      <c r="G555" s="331"/>
      <c r="H555" s="331"/>
      <c r="I555" s="331"/>
      <c r="J555" s="331"/>
      <c r="K555" s="331"/>
      <c r="L555" s="331"/>
      <c r="M555" s="331"/>
      <c r="N555" s="331"/>
      <c r="O555" s="331"/>
      <c r="P555" s="792"/>
      <c r="AB555" s="314"/>
      <c r="AC555" s="314"/>
      <c r="AD555" s="314"/>
      <c r="AE555" s="314"/>
      <c r="AF555" s="314"/>
      <c r="AG555" s="314"/>
      <c r="AJ555" s="13" t="str">
        <f t="shared" ref="AJ555:AQ555" si="1114">IF(OR(E555=$C555,E555=$D555,E555=""),"0","1")</f>
        <v>0</v>
      </c>
      <c r="AK555" s="13" t="str">
        <f t="shared" si="1114"/>
        <v>0</v>
      </c>
      <c r="AL555" s="13" t="str">
        <f t="shared" si="1114"/>
        <v>0</v>
      </c>
      <c r="AM555" s="13" t="str">
        <f t="shared" si="1114"/>
        <v>0</v>
      </c>
      <c r="AN555" s="13" t="str">
        <f t="shared" si="1114"/>
        <v>0</v>
      </c>
      <c r="AO555" s="13" t="str">
        <f t="shared" si="1114"/>
        <v>0</v>
      </c>
      <c r="AP555" s="13" t="str">
        <f t="shared" si="1114"/>
        <v>0</v>
      </c>
      <c r="AQ555" s="13" t="str">
        <f t="shared" si="1114"/>
        <v>0</v>
      </c>
      <c r="AR555" s="13" t="str">
        <f t="shared" ref="AR555:AS555" si="1115">IF(OR(O555=$C555,O555=$D555,O555=""),"0","1")</f>
        <v>0</v>
      </c>
      <c r="AS555" s="13" t="str">
        <f t="shared" si="1115"/>
        <v>0</v>
      </c>
      <c r="AT555" s="698">
        <f t="shared" si="11"/>
        <v>0</v>
      </c>
    </row>
    <row r="556" ht="15.75" customHeight="1">
      <c r="A556" s="788" t="str">
        <f t="shared" si="5"/>
        <v>-</v>
      </c>
      <c r="B556" s="331"/>
      <c r="C556" s="331"/>
      <c r="D556" s="331"/>
      <c r="E556" s="790"/>
      <c r="F556" s="791"/>
      <c r="G556" s="331"/>
      <c r="H556" s="331"/>
      <c r="I556" s="331"/>
      <c r="J556" s="331"/>
      <c r="K556" s="331"/>
      <c r="L556" s="331"/>
      <c r="M556" s="331"/>
      <c r="N556" s="331"/>
      <c r="O556" s="331"/>
      <c r="P556" s="792"/>
      <c r="AB556" s="314"/>
      <c r="AC556" s="314"/>
      <c r="AD556" s="314"/>
      <c r="AE556" s="314"/>
      <c r="AF556" s="314"/>
      <c r="AG556" s="314"/>
      <c r="AJ556" s="13" t="str">
        <f t="shared" ref="AJ556:AQ556" si="1116">IF(OR(E556=$C556,E556=$D556,E556=""),"0","1")</f>
        <v>0</v>
      </c>
      <c r="AK556" s="13" t="str">
        <f t="shared" si="1116"/>
        <v>0</v>
      </c>
      <c r="AL556" s="13" t="str">
        <f t="shared" si="1116"/>
        <v>0</v>
      </c>
      <c r="AM556" s="13" t="str">
        <f t="shared" si="1116"/>
        <v>0</v>
      </c>
      <c r="AN556" s="13" t="str">
        <f t="shared" si="1116"/>
        <v>0</v>
      </c>
      <c r="AO556" s="13" t="str">
        <f t="shared" si="1116"/>
        <v>0</v>
      </c>
      <c r="AP556" s="13" t="str">
        <f t="shared" si="1116"/>
        <v>0</v>
      </c>
      <c r="AQ556" s="13" t="str">
        <f t="shared" si="1116"/>
        <v>0</v>
      </c>
      <c r="AR556" s="13" t="str">
        <f t="shared" ref="AR556:AS556" si="1117">IF(OR(O556=$C556,O556=$D556,O556=""),"0","1")</f>
        <v>0</v>
      </c>
      <c r="AS556" s="13" t="str">
        <f t="shared" si="1117"/>
        <v>0</v>
      </c>
      <c r="AT556" s="698">
        <f t="shared" si="11"/>
        <v>0</v>
      </c>
    </row>
    <row r="557" ht="15.75" customHeight="1">
      <c r="A557" s="788" t="str">
        <f t="shared" si="5"/>
        <v>-</v>
      </c>
      <c r="B557" s="331"/>
      <c r="C557" s="331"/>
      <c r="D557" s="331"/>
      <c r="E557" s="790"/>
      <c r="F557" s="791"/>
      <c r="G557" s="331"/>
      <c r="H557" s="331"/>
      <c r="I557" s="331"/>
      <c r="J557" s="331"/>
      <c r="K557" s="331"/>
      <c r="L557" s="331"/>
      <c r="M557" s="331"/>
      <c r="N557" s="331"/>
      <c r="O557" s="331"/>
      <c r="P557" s="792"/>
      <c r="AB557" s="314"/>
      <c r="AC557" s="314"/>
      <c r="AD557" s="314"/>
      <c r="AE557" s="314"/>
      <c r="AF557" s="314"/>
      <c r="AG557" s="314"/>
      <c r="AJ557" s="13" t="str">
        <f t="shared" ref="AJ557:AQ557" si="1118">IF(OR(E557=$C557,E557=$D557,E557=""),"0","1")</f>
        <v>0</v>
      </c>
      <c r="AK557" s="13" t="str">
        <f t="shared" si="1118"/>
        <v>0</v>
      </c>
      <c r="AL557" s="13" t="str">
        <f t="shared" si="1118"/>
        <v>0</v>
      </c>
      <c r="AM557" s="13" t="str">
        <f t="shared" si="1118"/>
        <v>0</v>
      </c>
      <c r="AN557" s="13" t="str">
        <f t="shared" si="1118"/>
        <v>0</v>
      </c>
      <c r="AO557" s="13" t="str">
        <f t="shared" si="1118"/>
        <v>0</v>
      </c>
      <c r="AP557" s="13" t="str">
        <f t="shared" si="1118"/>
        <v>0</v>
      </c>
      <c r="AQ557" s="13" t="str">
        <f t="shared" si="1118"/>
        <v>0</v>
      </c>
      <c r="AR557" s="13" t="str">
        <f t="shared" ref="AR557:AS557" si="1119">IF(OR(O557=$C557,O557=$D557,O557=""),"0","1")</f>
        <v>0</v>
      </c>
      <c r="AS557" s="13" t="str">
        <f t="shared" si="1119"/>
        <v>0</v>
      </c>
      <c r="AT557" s="698">
        <f t="shared" si="11"/>
        <v>0</v>
      </c>
    </row>
    <row r="558" ht="15.75" customHeight="1">
      <c r="A558" s="788" t="str">
        <f t="shared" si="5"/>
        <v>-</v>
      </c>
      <c r="B558" s="331"/>
      <c r="C558" s="331"/>
      <c r="D558" s="331"/>
      <c r="E558" s="790"/>
      <c r="F558" s="791"/>
      <c r="G558" s="331"/>
      <c r="H558" s="331"/>
      <c r="I558" s="331"/>
      <c r="J558" s="331"/>
      <c r="K558" s="331"/>
      <c r="L558" s="331"/>
      <c r="M558" s="331"/>
      <c r="N558" s="331"/>
      <c r="O558" s="331"/>
      <c r="P558" s="792"/>
      <c r="AB558" s="314"/>
      <c r="AC558" s="314"/>
      <c r="AD558" s="314"/>
      <c r="AE558" s="314"/>
      <c r="AF558" s="314"/>
      <c r="AG558" s="314"/>
      <c r="AJ558" s="13" t="str">
        <f t="shared" ref="AJ558:AQ558" si="1120">IF(OR(E558=$C558,E558=$D558,E558=""),"0","1")</f>
        <v>0</v>
      </c>
      <c r="AK558" s="13" t="str">
        <f t="shared" si="1120"/>
        <v>0</v>
      </c>
      <c r="AL558" s="13" t="str">
        <f t="shared" si="1120"/>
        <v>0</v>
      </c>
      <c r="AM558" s="13" t="str">
        <f t="shared" si="1120"/>
        <v>0</v>
      </c>
      <c r="AN558" s="13" t="str">
        <f t="shared" si="1120"/>
        <v>0</v>
      </c>
      <c r="AO558" s="13" t="str">
        <f t="shared" si="1120"/>
        <v>0</v>
      </c>
      <c r="AP558" s="13" t="str">
        <f t="shared" si="1120"/>
        <v>0</v>
      </c>
      <c r="AQ558" s="13" t="str">
        <f t="shared" si="1120"/>
        <v>0</v>
      </c>
      <c r="AR558" s="13" t="str">
        <f t="shared" ref="AR558:AS558" si="1121">IF(OR(O558=$C558,O558=$D558,O558=""),"0","1")</f>
        <v>0</v>
      </c>
      <c r="AS558" s="13" t="str">
        <f t="shared" si="1121"/>
        <v>0</v>
      </c>
      <c r="AT558" s="698">
        <f t="shared" si="11"/>
        <v>0</v>
      </c>
    </row>
    <row r="559" ht="15.75" customHeight="1">
      <c r="A559" s="788" t="str">
        <f t="shared" si="5"/>
        <v>-</v>
      </c>
      <c r="B559" s="331"/>
      <c r="C559" s="331"/>
      <c r="D559" s="331"/>
      <c r="E559" s="790"/>
      <c r="F559" s="791"/>
      <c r="G559" s="331"/>
      <c r="H559" s="331"/>
      <c r="I559" s="331"/>
      <c r="J559" s="331"/>
      <c r="K559" s="331"/>
      <c r="L559" s="331"/>
      <c r="M559" s="331"/>
      <c r="N559" s="331"/>
      <c r="O559" s="331"/>
      <c r="P559" s="792"/>
      <c r="AB559" s="314"/>
      <c r="AC559" s="314"/>
      <c r="AD559" s="314"/>
      <c r="AE559" s="314"/>
      <c r="AF559" s="314"/>
      <c r="AG559" s="314"/>
      <c r="AJ559" s="13" t="str">
        <f t="shared" ref="AJ559:AQ559" si="1122">IF(OR(E559=$C559,E559=$D559,E559=""),"0","1")</f>
        <v>0</v>
      </c>
      <c r="AK559" s="13" t="str">
        <f t="shared" si="1122"/>
        <v>0</v>
      </c>
      <c r="AL559" s="13" t="str">
        <f t="shared" si="1122"/>
        <v>0</v>
      </c>
      <c r="AM559" s="13" t="str">
        <f t="shared" si="1122"/>
        <v>0</v>
      </c>
      <c r="AN559" s="13" t="str">
        <f t="shared" si="1122"/>
        <v>0</v>
      </c>
      <c r="AO559" s="13" t="str">
        <f t="shared" si="1122"/>
        <v>0</v>
      </c>
      <c r="AP559" s="13" t="str">
        <f t="shared" si="1122"/>
        <v>0</v>
      </c>
      <c r="AQ559" s="13" t="str">
        <f t="shared" si="1122"/>
        <v>0</v>
      </c>
      <c r="AR559" s="13" t="str">
        <f t="shared" ref="AR559:AS559" si="1123">IF(OR(O559=$C559,O559=$D559,O559=""),"0","1")</f>
        <v>0</v>
      </c>
      <c r="AS559" s="13" t="str">
        <f t="shared" si="1123"/>
        <v>0</v>
      </c>
      <c r="AT559" s="698">
        <f t="shared" si="11"/>
        <v>0</v>
      </c>
    </row>
    <row r="560" ht="15.75" customHeight="1">
      <c r="A560" s="788" t="str">
        <f t="shared" si="5"/>
        <v>-</v>
      </c>
      <c r="B560" s="331"/>
      <c r="C560" s="331"/>
      <c r="D560" s="331"/>
      <c r="E560" s="790"/>
      <c r="F560" s="791"/>
      <c r="G560" s="331"/>
      <c r="H560" s="331"/>
      <c r="I560" s="331"/>
      <c r="J560" s="331"/>
      <c r="K560" s="331"/>
      <c r="L560" s="331"/>
      <c r="M560" s="331"/>
      <c r="N560" s="331"/>
      <c r="O560" s="331"/>
      <c r="P560" s="792"/>
      <c r="AB560" s="314"/>
      <c r="AC560" s="314"/>
      <c r="AD560" s="314"/>
      <c r="AE560" s="314"/>
      <c r="AF560" s="314"/>
      <c r="AG560" s="314"/>
      <c r="AJ560" s="13" t="str">
        <f t="shared" ref="AJ560:AQ560" si="1124">IF(OR(E560=$C560,E560=$D560,E560=""),"0","1")</f>
        <v>0</v>
      </c>
      <c r="AK560" s="13" t="str">
        <f t="shared" si="1124"/>
        <v>0</v>
      </c>
      <c r="AL560" s="13" t="str">
        <f t="shared" si="1124"/>
        <v>0</v>
      </c>
      <c r="AM560" s="13" t="str">
        <f t="shared" si="1124"/>
        <v>0</v>
      </c>
      <c r="AN560" s="13" t="str">
        <f t="shared" si="1124"/>
        <v>0</v>
      </c>
      <c r="AO560" s="13" t="str">
        <f t="shared" si="1124"/>
        <v>0</v>
      </c>
      <c r="AP560" s="13" t="str">
        <f t="shared" si="1124"/>
        <v>0</v>
      </c>
      <c r="AQ560" s="13" t="str">
        <f t="shared" si="1124"/>
        <v>0</v>
      </c>
      <c r="AR560" s="13" t="str">
        <f t="shared" ref="AR560:AS560" si="1125">IF(OR(O560=$C560,O560=$D560,O560=""),"0","1")</f>
        <v>0</v>
      </c>
      <c r="AS560" s="13" t="str">
        <f t="shared" si="1125"/>
        <v>0</v>
      </c>
      <c r="AT560" s="698">
        <f t="shared" si="11"/>
        <v>0</v>
      </c>
    </row>
    <row r="561" ht="15.75" customHeight="1">
      <c r="A561" s="788" t="str">
        <f t="shared" si="5"/>
        <v>-</v>
      </c>
      <c r="B561" s="331"/>
      <c r="C561" s="331"/>
      <c r="D561" s="331"/>
      <c r="E561" s="790"/>
      <c r="F561" s="791"/>
      <c r="G561" s="331"/>
      <c r="H561" s="331"/>
      <c r="I561" s="331"/>
      <c r="J561" s="331"/>
      <c r="K561" s="331"/>
      <c r="L561" s="331"/>
      <c r="M561" s="331"/>
      <c r="N561" s="331"/>
      <c r="O561" s="331"/>
      <c r="P561" s="792"/>
      <c r="AB561" s="314"/>
      <c r="AC561" s="314"/>
      <c r="AD561" s="314"/>
      <c r="AE561" s="314"/>
      <c r="AF561" s="314"/>
      <c r="AG561" s="314"/>
      <c r="AJ561" s="13" t="str">
        <f t="shared" ref="AJ561:AQ561" si="1126">IF(OR(E561=$C561,E561=$D561,E561=""),"0","1")</f>
        <v>0</v>
      </c>
      <c r="AK561" s="13" t="str">
        <f t="shared" si="1126"/>
        <v>0</v>
      </c>
      <c r="AL561" s="13" t="str">
        <f t="shared" si="1126"/>
        <v>0</v>
      </c>
      <c r="AM561" s="13" t="str">
        <f t="shared" si="1126"/>
        <v>0</v>
      </c>
      <c r="AN561" s="13" t="str">
        <f t="shared" si="1126"/>
        <v>0</v>
      </c>
      <c r="AO561" s="13" t="str">
        <f t="shared" si="1126"/>
        <v>0</v>
      </c>
      <c r="AP561" s="13" t="str">
        <f t="shared" si="1126"/>
        <v>0</v>
      </c>
      <c r="AQ561" s="13" t="str">
        <f t="shared" si="1126"/>
        <v>0</v>
      </c>
      <c r="AR561" s="13" t="str">
        <f t="shared" ref="AR561:AS561" si="1127">IF(OR(O561=$C561,O561=$D561,O561=""),"0","1")</f>
        <v>0</v>
      </c>
      <c r="AS561" s="13" t="str">
        <f t="shared" si="1127"/>
        <v>0</v>
      </c>
      <c r="AT561" s="698">
        <f t="shared" si="11"/>
        <v>0</v>
      </c>
    </row>
    <row r="562" ht="15.75" customHeight="1">
      <c r="A562" s="788" t="str">
        <f t="shared" si="5"/>
        <v>-</v>
      </c>
      <c r="B562" s="331"/>
      <c r="C562" s="331"/>
      <c r="D562" s="331"/>
      <c r="E562" s="790"/>
      <c r="F562" s="791"/>
      <c r="G562" s="331"/>
      <c r="H562" s="331"/>
      <c r="I562" s="331"/>
      <c r="J562" s="331"/>
      <c r="K562" s="331"/>
      <c r="L562" s="331"/>
      <c r="M562" s="331"/>
      <c r="N562" s="331"/>
      <c r="O562" s="331"/>
      <c r="P562" s="792"/>
      <c r="AB562" s="314"/>
      <c r="AC562" s="314"/>
      <c r="AD562" s="314"/>
      <c r="AE562" s="314"/>
      <c r="AF562" s="314"/>
      <c r="AG562" s="314"/>
      <c r="AJ562" s="13" t="str">
        <f t="shared" ref="AJ562:AQ562" si="1128">IF(OR(E562=$C562,E562=$D562,E562=""),"0","1")</f>
        <v>0</v>
      </c>
      <c r="AK562" s="13" t="str">
        <f t="shared" si="1128"/>
        <v>0</v>
      </c>
      <c r="AL562" s="13" t="str">
        <f t="shared" si="1128"/>
        <v>0</v>
      </c>
      <c r="AM562" s="13" t="str">
        <f t="shared" si="1128"/>
        <v>0</v>
      </c>
      <c r="AN562" s="13" t="str">
        <f t="shared" si="1128"/>
        <v>0</v>
      </c>
      <c r="AO562" s="13" t="str">
        <f t="shared" si="1128"/>
        <v>0</v>
      </c>
      <c r="AP562" s="13" t="str">
        <f t="shared" si="1128"/>
        <v>0</v>
      </c>
      <c r="AQ562" s="13" t="str">
        <f t="shared" si="1128"/>
        <v>0</v>
      </c>
      <c r="AR562" s="13" t="str">
        <f t="shared" ref="AR562:AS562" si="1129">IF(OR(O562=$C562,O562=$D562,O562=""),"0","1")</f>
        <v>0</v>
      </c>
      <c r="AS562" s="13" t="str">
        <f t="shared" si="1129"/>
        <v>0</v>
      </c>
      <c r="AT562" s="698">
        <f t="shared" si="11"/>
        <v>0</v>
      </c>
    </row>
    <row r="563" ht="15.75" customHeight="1">
      <c r="A563" s="788" t="str">
        <f t="shared" si="5"/>
        <v>-</v>
      </c>
      <c r="B563" s="331"/>
      <c r="C563" s="331"/>
      <c r="D563" s="331"/>
      <c r="E563" s="790"/>
      <c r="F563" s="791"/>
      <c r="G563" s="331"/>
      <c r="H563" s="331"/>
      <c r="I563" s="331"/>
      <c r="J563" s="331"/>
      <c r="K563" s="331"/>
      <c r="L563" s="331"/>
      <c r="M563" s="331"/>
      <c r="N563" s="331"/>
      <c r="O563" s="331"/>
      <c r="P563" s="792"/>
      <c r="AB563" s="314"/>
      <c r="AC563" s="314"/>
      <c r="AD563" s="314"/>
      <c r="AE563" s="314"/>
      <c r="AF563" s="314"/>
      <c r="AG563" s="314"/>
      <c r="AJ563" s="13" t="str">
        <f t="shared" ref="AJ563:AQ563" si="1130">IF(OR(E563=$C563,E563=$D563,E563=""),"0","1")</f>
        <v>0</v>
      </c>
      <c r="AK563" s="13" t="str">
        <f t="shared" si="1130"/>
        <v>0</v>
      </c>
      <c r="AL563" s="13" t="str">
        <f t="shared" si="1130"/>
        <v>0</v>
      </c>
      <c r="AM563" s="13" t="str">
        <f t="shared" si="1130"/>
        <v>0</v>
      </c>
      <c r="AN563" s="13" t="str">
        <f t="shared" si="1130"/>
        <v>0</v>
      </c>
      <c r="AO563" s="13" t="str">
        <f t="shared" si="1130"/>
        <v>0</v>
      </c>
      <c r="AP563" s="13" t="str">
        <f t="shared" si="1130"/>
        <v>0</v>
      </c>
      <c r="AQ563" s="13" t="str">
        <f t="shared" si="1130"/>
        <v>0</v>
      </c>
      <c r="AR563" s="13" t="str">
        <f t="shared" ref="AR563:AS563" si="1131">IF(OR(O563=$C563,O563=$D563,O563=""),"0","1")</f>
        <v>0</v>
      </c>
      <c r="AS563" s="13" t="str">
        <f t="shared" si="1131"/>
        <v>0</v>
      </c>
      <c r="AT563" s="698">
        <f t="shared" si="11"/>
        <v>0</v>
      </c>
    </row>
    <row r="564" ht="15.75" customHeight="1">
      <c r="A564" s="788" t="str">
        <f t="shared" si="5"/>
        <v>-</v>
      </c>
      <c r="B564" s="331"/>
      <c r="C564" s="331"/>
      <c r="D564" s="331"/>
      <c r="E564" s="790"/>
      <c r="F564" s="791"/>
      <c r="G564" s="331"/>
      <c r="H564" s="331"/>
      <c r="I564" s="331"/>
      <c r="J564" s="331"/>
      <c r="K564" s="331"/>
      <c r="L564" s="331"/>
      <c r="M564" s="331"/>
      <c r="N564" s="331"/>
      <c r="O564" s="331"/>
      <c r="P564" s="792"/>
      <c r="AB564" s="314"/>
      <c r="AC564" s="314"/>
      <c r="AD564" s="314"/>
      <c r="AE564" s="314"/>
      <c r="AF564" s="314"/>
      <c r="AG564" s="314"/>
      <c r="AJ564" s="13" t="str">
        <f t="shared" ref="AJ564:AQ564" si="1132">IF(OR(E564=$C564,E564=$D564,E564=""),"0","1")</f>
        <v>0</v>
      </c>
      <c r="AK564" s="13" t="str">
        <f t="shared" si="1132"/>
        <v>0</v>
      </c>
      <c r="AL564" s="13" t="str">
        <f t="shared" si="1132"/>
        <v>0</v>
      </c>
      <c r="AM564" s="13" t="str">
        <f t="shared" si="1132"/>
        <v>0</v>
      </c>
      <c r="AN564" s="13" t="str">
        <f t="shared" si="1132"/>
        <v>0</v>
      </c>
      <c r="AO564" s="13" t="str">
        <f t="shared" si="1132"/>
        <v>0</v>
      </c>
      <c r="AP564" s="13" t="str">
        <f t="shared" si="1132"/>
        <v>0</v>
      </c>
      <c r="AQ564" s="13" t="str">
        <f t="shared" si="1132"/>
        <v>0</v>
      </c>
      <c r="AR564" s="13" t="str">
        <f t="shared" ref="AR564:AS564" si="1133">IF(OR(O564=$C564,O564=$D564,O564=""),"0","1")</f>
        <v>0</v>
      </c>
      <c r="AS564" s="13" t="str">
        <f t="shared" si="1133"/>
        <v>0</v>
      </c>
      <c r="AT564" s="698">
        <f t="shared" si="11"/>
        <v>0</v>
      </c>
    </row>
    <row r="565" ht="15.75" customHeight="1">
      <c r="A565" s="788" t="str">
        <f t="shared" si="5"/>
        <v>-</v>
      </c>
      <c r="B565" s="331"/>
      <c r="C565" s="331"/>
      <c r="D565" s="331"/>
      <c r="E565" s="790"/>
      <c r="F565" s="791"/>
      <c r="G565" s="331"/>
      <c r="H565" s="331"/>
      <c r="I565" s="331"/>
      <c r="J565" s="331"/>
      <c r="K565" s="331"/>
      <c r="L565" s="331"/>
      <c r="M565" s="331"/>
      <c r="N565" s="331"/>
      <c r="O565" s="331"/>
      <c r="P565" s="792"/>
      <c r="AB565" s="314"/>
      <c r="AC565" s="314"/>
      <c r="AD565" s="314"/>
      <c r="AE565" s="314"/>
      <c r="AF565" s="314"/>
      <c r="AG565" s="314"/>
      <c r="AJ565" s="13" t="str">
        <f t="shared" ref="AJ565:AQ565" si="1134">IF(OR(E565=$C565,E565=$D565,E565=""),"0","1")</f>
        <v>0</v>
      </c>
      <c r="AK565" s="13" t="str">
        <f t="shared" si="1134"/>
        <v>0</v>
      </c>
      <c r="AL565" s="13" t="str">
        <f t="shared" si="1134"/>
        <v>0</v>
      </c>
      <c r="AM565" s="13" t="str">
        <f t="shared" si="1134"/>
        <v>0</v>
      </c>
      <c r="AN565" s="13" t="str">
        <f t="shared" si="1134"/>
        <v>0</v>
      </c>
      <c r="AO565" s="13" t="str">
        <f t="shared" si="1134"/>
        <v>0</v>
      </c>
      <c r="AP565" s="13" t="str">
        <f t="shared" si="1134"/>
        <v>0</v>
      </c>
      <c r="AQ565" s="13" t="str">
        <f t="shared" si="1134"/>
        <v>0</v>
      </c>
      <c r="AR565" s="13" t="str">
        <f t="shared" ref="AR565:AS565" si="1135">IF(OR(O565=$C565,O565=$D565,O565=""),"0","1")</f>
        <v>0</v>
      </c>
      <c r="AS565" s="13" t="str">
        <f t="shared" si="1135"/>
        <v>0</v>
      </c>
      <c r="AT565" s="698">
        <f t="shared" si="11"/>
        <v>0</v>
      </c>
    </row>
    <row r="566" ht="15.75" customHeight="1">
      <c r="A566" s="788" t="str">
        <f t="shared" si="5"/>
        <v>-</v>
      </c>
      <c r="B566" s="331"/>
      <c r="C566" s="331"/>
      <c r="D566" s="331"/>
      <c r="E566" s="790"/>
      <c r="F566" s="791"/>
      <c r="G566" s="331"/>
      <c r="H566" s="331"/>
      <c r="I566" s="331"/>
      <c r="J566" s="331"/>
      <c r="K566" s="331"/>
      <c r="L566" s="331"/>
      <c r="M566" s="331"/>
      <c r="N566" s="331"/>
      <c r="O566" s="331"/>
      <c r="P566" s="792"/>
      <c r="AB566" s="314"/>
      <c r="AC566" s="314"/>
      <c r="AD566" s="314"/>
      <c r="AE566" s="314"/>
      <c r="AF566" s="314"/>
      <c r="AG566" s="314"/>
      <c r="AJ566" s="13" t="str">
        <f t="shared" ref="AJ566:AQ566" si="1136">IF(OR(E566=$C566,E566=$D566,E566=""),"0","1")</f>
        <v>0</v>
      </c>
      <c r="AK566" s="13" t="str">
        <f t="shared" si="1136"/>
        <v>0</v>
      </c>
      <c r="AL566" s="13" t="str">
        <f t="shared" si="1136"/>
        <v>0</v>
      </c>
      <c r="AM566" s="13" t="str">
        <f t="shared" si="1136"/>
        <v>0</v>
      </c>
      <c r="AN566" s="13" t="str">
        <f t="shared" si="1136"/>
        <v>0</v>
      </c>
      <c r="AO566" s="13" t="str">
        <f t="shared" si="1136"/>
        <v>0</v>
      </c>
      <c r="AP566" s="13" t="str">
        <f t="shared" si="1136"/>
        <v>0</v>
      </c>
      <c r="AQ566" s="13" t="str">
        <f t="shared" si="1136"/>
        <v>0</v>
      </c>
      <c r="AR566" s="13" t="str">
        <f t="shared" ref="AR566:AS566" si="1137">IF(OR(O566=$C566,O566=$D566,O566=""),"0","1")</f>
        <v>0</v>
      </c>
      <c r="AS566" s="13" t="str">
        <f t="shared" si="1137"/>
        <v>0</v>
      </c>
      <c r="AT566" s="698">
        <f t="shared" si="11"/>
        <v>0</v>
      </c>
    </row>
    <row r="567" ht="15.75" customHeight="1">
      <c r="A567" s="788" t="str">
        <f t="shared" si="5"/>
        <v>-</v>
      </c>
      <c r="B567" s="331"/>
      <c r="C567" s="331"/>
      <c r="D567" s="331"/>
      <c r="E567" s="790"/>
      <c r="F567" s="791"/>
      <c r="G567" s="331"/>
      <c r="H567" s="331"/>
      <c r="I567" s="331"/>
      <c r="J567" s="331"/>
      <c r="K567" s="331"/>
      <c r="L567" s="331"/>
      <c r="M567" s="331"/>
      <c r="N567" s="331"/>
      <c r="O567" s="331"/>
      <c r="P567" s="792"/>
      <c r="AB567" s="314"/>
      <c r="AC567" s="314"/>
      <c r="AD567" s="314"/>
      <c r="AE567" s="314"/>
      <c r="AF567" s="314"/>
      <c r="AG567" s="314"/>
      <c r="AJ567" s="13" t="str">
        <f t="shared" ref="AJ567:AQ567" si="1138">IF(OR(E567=$C567,E567=$D567,E567=""),"0","1")</f>
        <v>0</v>
      </c>
      <c r="AK567" s="13" t="str">
        <f t="shared" si="1138"/>
        <v>0</v>
      </c>
      <c r="AL567" s="13" t="str">
        <f t="shared" si="1138"/>
        <v>0</v>
      </c>
      <c r="AM567" s="13" t="str">
        <f t="shared" si="1138"/>
        <v>0</v>
      </c>
      <c r="AN567" s="13" t="str">
        <f t="shared" si="1138"/>
        <v>0</v>
      </c>
      <c r="AO567" s="13" t="str">
        <f t="shared" si="1138"/>
        <v>0</v>
      </c>
      <c r="AP567" s="13" t="str">
        <f t="shared" si="1138"/>
        <v>0</v>
      </c>
      <c r="AQ567" s="13" t="str">
        <f t="shared" si="1138"/>
        <v>0</v>
      </c>
      <c r="AR567" s="13" t="str">
        <f t="shared" ref="AR567:AS567" si="1139">IF(OR(O567=$C567,O567=$D567,O567=""),"0","1")</f>
        <v>0</v>
      </c>
      <c r="AS567" s="13" t="str">
        <f t="shared" si="1139"/>
        <v>0</v>
      </c>
      <c r="AT567" s="698">
        <f t="shared" si="11"/>
        <v>0</v>
      </c>
    </row>
    <row r="568" ht="15.75" customHeight="1">
      <c r="A568" s="788" t="str">
        <f t="shared" si="5"/>
        <v>-</v>
      </c>
      <c r="B568" s="331"/>
      <c r="C568" s="331"/>
      <c r="D568" s="331"/>
      <c r="E568" s="790"/>
      <c r="F568" s="791"/>
      <c r="G568" s="331"/>
      <c r="H568" s="331"/>
      <c r="I568" s="331"/>
      <c r="J568" s="331"/>
      <c r="K568" s="331"/>
      <c r="L568" s="331"/>
      <c r="M568" s="331"/>
      <c r="N568" s="331"/>
      <c r="O568" s="331"/>
      <c r="P568" s="792"/>
      <c r="AB568" s="314"/>
      <c r="AC568" s="314"/>
      <c r="AD568" s="314"/>
      <c r="AE568" s="314"/>
      <c r="AF568" s="314"/>
      <c r="AG568" s="314"/>
      <c r="AJ568" s="13" t="str">
        <f t="shared" ref="AJ568:AQ568" si="1140">IF(OR(E568=$C568,E568=$D568,E568=""),"0","1")</f>
        <v>0</v>
      </c>
      <c r="AK568" s="13" t="str">
        <f t="shared" si="1140"/>
        <v>0</v>
      </c>
      <c r="AL568" s="13" t="str">
        <f t="shared" si="1140"/>
        <v>0</v>
      </c>
      <c r="AM568" s="13" t="str">
        <f t="shared" si="1140"/>
        <v>0</v>
      </c>
      <c r="AN568" s="13" t="str">
        <f t="shared" si="1140"/>
        <v>0</v>
      </c>
      <c r="AO568" s="13" t="str">
        <f t="shared" si="1140"/>
        <v>0</v>
      </c>
      <c r="AP568" s="13" t="str">
        <f t="shared" si="1140"/>
        <v>0</v>
      </c>
      <c r="AQ568" s="13" t="str">
        <f t="shared" si="1140"/>
        <v>0</v>
      </c>
      <c r="AR568" s="13" t="str">
        <f t="shared" ref="AR568:AS568" si="1141">IF(OR(O568=$C568,O568=$D568,O568=""),"0","1")</f>
        <v>0</v>
      </c>
      <c r="AS568" s="13" t="str">
        <f t="shared" si="1141"/>
        <v>0</v>
      </c>
      <c r="AT568" s="698">
        <f t="shared" si="11"/>
        <v>0</v>
      </c>
    </row>
    <row r="569" ht="15.75" customHeight="1">
      <c r="A569" s="788" t="str">
        <f t="shared" si="5"/>
        <v>-</v>
      </c>
      <c r="B569" s="331"/>
      <c r="C569" s="331"/>
      <c r="D569" s="331"/>
      <c r="E569" s="790"/>
      <c r="F569" s="791"/>
      <c r="G569" s="331"/>
      <c r="H569" s="331"/>
      <c r="I569" s="331"/>
      <c r="J569" s="331"/>
      <c r="K569" s="331"/>
      <c r="L569" s="331"/>
      <c r="M569" s="331"/>
      <c r="N569" s="331"/>
      <c r="O569" s="331"/>
      <c r="P569" s="792"/>
      <c r="AB569" s="314"/>
      <c r="AC569" s="314"/>
      <c r="AD569" s="314"/>
      <c r="AE569" s="314"/>
      <c r="AF569" s="314"/>
      <c r="AG569" s="314"/>
      <c r="AJ569" s="13" t="str">
        <f t="shared" ref="AJ569:AQ569" si="1142">IF(OR(E569=$C569,E569=$D569,E569=""),"0","1")</f>
        <v>0</v>
      </c>
      <c r="AK569" s="13" t="str">
        <f t="shared" si="1142"/>
        <v>0</v>
      </c>
      <c r="AL569" s="13" t="str">
        <f t="shared" si="1142"/>
        <v>0</v>
      </c>
      <c r="AM569" s="13" t="str">
        <f t="shared" si="1142"/>
        <v>0</v>
      </c>
      <c r="AN569" s="13" t="str">
        <f t="shared" si="1142"/>
        <v>0</v>
      </c>
      <c r="AO569" s="13" t="str">
        <f t="shared" si="1142"/>
        <v>0</v>
      </c>
      <c r="AP569" s="13" t="str">
        <f t="shared" si="1142"/>
        <v>0</v>
      </c>
      <c r="AQ569" s="13" t="str">
        <f t="shared" si="1142"/>
        <v>0</v>
      </c>
      <c r="AR569" s="13" t="str">
        <f t="shared" ref="AR569:AS569" si="1143">IF(OR(O569=$C569,O569=$D569,O569=""),"0","1")</f>
        <v>0</v>
      </c>
      <c r="AS569" s="13" t="str">
        <f t="shared" si="1143"/>
        <v>0</v>
      </c>
      <c r="AT569" s="698">
        <f t="shared" si="11"/>
        <v>0</v>
      </c>
    </row>
    <row r="570" ht="15.75" customHeight="1">
      <c r="A570" s="788" t="str">
        <f t="shared" si="5"/>
        <v>-</v>
      </c>
      <c r="B570" s="331"/>
      <c r="C570" s="331"/>
      <c r="D570" s="331"/>
      <c r="E570" s="790"/>
      <c r="F570" s="791"/>
      <c r="G570" s="331"/>
      <c r="H570" s="331"/>
      <c r="I570" s="331"/>
      <c r="J570" s="331"/>
      <c r="K570" s="331"/>
      <c r="L570" s="331"/>
      <c r="M570" s="331"/>
      <c r="N570" s="331"/>
      <c r="O570" s="331"/>
      <c r="P570" s="792"/>
      <c r="AB570" s="314"/>
      <c r="AC570" s="314"/>
      <c r="AD570" s="314"/>
      <c r="AE570" s="314"/>
      <c r="AF570" s="314"/>
      <c r="AG570" s="314"/>
      <c r="AJ570" s="13" t="str">
        <f t="shared" ref="AJ570:AQ570" si="1144">IF(OR(E570=$C570,E570=$D570,E570=""),"0","1")</f>
        <v>0</v>
      </c>
      <c r="AK570" s="13" t="str">
        <f t="shared" si="1144"/>
        <v>0</v>
      </c>
      <c r="AL570" s="13" t="str">
        <f t="shared" si="1144"/>
        <v>0</v>
      </c>
      <c r="AM570" s="13" t="str">
        <f t="shared" si="1144"/>
        <v>0</v>
      </c>
      <c r="AN570" s="13" t="str">
        <f t="shared" si="1144"/>
        <v>0</v>
      </c>
      <c r="AO570" s="13" t="str">
        <f t="shared" si="1144"/>
        <v>0</v>
      </c>
      <c r="AP570" s="13" t="str">
        <f t="shared" si="1144"/>
        <v>0</v>
      </c>
      <c r="AQ570" s="13" t="str">
        <f t="shared" si="1144"/>
        <v>0</v>
      </c>
      <c r="AR570" s="13" t="str">
        <f t="shared" ref="AR570:AS570" si="1145">IF(OR(O570=$C570,O570=$D570,O570=""),"0","1")</f>
        <v>0</v>
      </c>
      <c r="AS570" s="13" t="str">
        <f t="shared" si="1145"/>
        <v>0</v>
      </c>
      <c r="AT570" s="698">
        <f t="shared" si="11"/>
        <v>0</v>
      </c>
    </row>
    <row r="571" ht="15.75" customHeight="1">
      <c r="A571" s="788" t="str">
        <f t="shared" si="5"/>
        <v>-</v>
      </c>
      <c r="B571" s="331"/>
      <c r="C571" s="331"/>
      <c r="D571" s="331"/>
      <c r="E571" s="790"/>
      <c r="F571" s="791"/>
      <c r="G571" s="331"/>
      <c r="H571" s="331"/>
      <c r="I571" s="331"/>
      <c r="J571" s="331"/>
      <c r="K571" s="331"/>
      <c r="L571" s="331"/>
      <c r="M571" s="331"/>
      <c r="N571" s="331"/>
      <c r="O571" s="331"/>
      <c r="P571" s="792"/>
      <c r="AB571" s="314"/>
      <c r="AC571" s="314"/>
      <c r="AD571" s="314"/>
      <c r="AE571" s="314"/>
      <c r="AF571" s="314"/>
      <c r="AG571" s="314"/>
      <c r="AJ571" s="13" t="str">
        <f t="shared" ref="AJ571:AQ571" si="1146">IF(OR(E571=$C571,E571=$D571,E571=""),"0","1")</f>
        <v>0</v>
      </c>
      <c r="AK571" s="13" t="str">
        <f t="shared" si="1146"/>
        <v>0</v>
      </c>
      <c r="AL571" s="13" t="str">
        <f t="shared" si="1146"/>
        <v>0</v>
      </c>
      <c r="AM571" s="13" t="str">
        <f t="shared" si="1146"/>
        <v>0</v>
      </c>
      <c r="AN571" s="13" t="str">
        <f t="shared" si="1146"/>
        <v>0</v>
      </c>
      <c r="AO571" s="13" t="str">
        <f t="shared" si="1146"/>
        <v>0</v>
      </c>
      <c r="AP571" s="13" t="str">
        <f t="shared" si="1146"/>
        <v>0</v>
      </c>
      <c r="AQ571" s="13" t="str">
        <f t="shared" si="1146"/>
        <v>0</v>
      </c>
      <c r="AR571" s="13" t="str">
        <f t="shared" ref="AR571:AS571" si="1147">IF(OR(O571=$C571,O571=$D571,O571=""),"0","1")</f>
        <v>0</v>
      </c>
      <c r="AS571" s="13" t="str">
        <f t="shared" si="1147"/>
        <v>0</v>
      </c>
      <c r="AT571" s="698">
        <f t="shared" si="11"/>
        <v>0</v>
      </c>
    </row>
    <row r="572" ht="15.75" customHeight="1">
      <c r="A572" s="788" t="str">
        <f t="shared" si="5"/>
        <v>-</v>
      </c>
      <c r="B572" s="331"/>
      <c r="C572" s="331"/>
      <c r="D572" s="331"/>
      <c r="E572" s="790"/>
      <c r="F572" s="791"/>
      <c r="G572" s="331"/>
      <c r="H572" s="331"/>
      <c r="I572" s="331"/>
      <c r="J572" s="331"/>
      <c r="K572" s="331"/>
      <c r="L572" s="331"/>
      <c r="M572" s="331"/>
      <c r="N572" s="331"/>
      <c r="O572" s="331"/>
      <c r="P572" s="792"/>
      <c r="AB572" s="314"/>
      <c r="AC572" s="314"/>
      <c r="AD572" s="314"/>
      <c r="AE572" s="314"/>
      <c r="AF572" s="314"/>
      <c r="AG572" s="314"/>
      <c r="AJ572" s="13" t="str">
        <f t="shared" ref="AJ572:AQ572" si="1148">IF(OR(E572=$C572,E572=$D572,E572=""),"0","1")</f>
        <v>0</v>
      </c>
      <c r="AK572" s="13" t="str">
        <f t="shared" si="1148"/>
        <v>0</v>
      </c>
      <c r="AL572" s="13" t="str">
        <f t="shared" si="1148"/>
        <v>0</v>
      </c>
      <c r="AM572" s="13" t="str">
        <f t="shared" si="1148"/>
        <v>0</v>
      </c>
      <c r="AN572" s="13" t="str">
        <f t="shared" si="1148"/>
        <v>0</v>
      </c>
      <c r="AO572" s="13" t="str">
        <f t="shared" si="1148"/>
        <v>0</v>
      </c>
      <c r="AP572" s="13" t="str">
        <f t="shared" si="1148"/>
        <v>0</v>
      </c>
      <c r="AQ572" s="13" t="str">
        <f t="shared" si="1148"/>
        <v>0</v>
      </c>
      <c r="AR572" s="13" t="str">
        <f t="shared" ref="AR572:AS572" si="1149">IF(OR(O572=$C572,O572=$D572,O572=""),"0","1")</f>
        <v>0</v>
      </c>
      <c r="AS572" s="13" t="str">
        <f t="shared" si="1149"/>
        <v>0</v>
      </c>
      <c r="AT572" s="698">
        <f t="shared" si="11"/>
        <v>0</v>
      </c>
    </row>
    <row r="573" ht="15.75" customHeight="1">
      <c r="A573" s="788" t="str">
        <f t="shared" si="5"/>
        <v>-</v>
      </c>
      <c r="B573" s="331"/>
      <c r="C573" s="331"/>
      <c r="D573" s="331"/>
      <c r="E573" s="790"/>
      <c r="F573" s="791"/>
      <c r="G573" s="331"/>
      <c r="H573" s="331"/>
      <c r="I573" s="331"/>
      <c r="J573" s="331"/>
      <c r="K573" s="331"/>
      <c r="L573" s="331"/>
      <c r="M573" s="331"/>
      <c r="N573" s="331"/>
      <c r="O573" s="331"/>
      <c r="P573" s="792"/>
      <c r="AB573" s="314"/>
      <c r="AC573" s="314"/>
      <c r="AD573" s="314"/>
      <c r="AE573" s="314"/>
      <c r="AF573" s="314"/>
      <c r="AG573" s="314"/>
      <c r="AJ573" s="13" t="str">
        <f t="shared" ref="AJ573:AQ573" si="1150">IF(OR(E573=$C573,E573=$D573,E573=""),"0","1")</f>
        <v>0</v>
      </c>
      <c r="AK573" s="13" t="str">
        <f t="shared" si="1150"/>
        <v>0</v>
      </c>
      <c r="AL573" s="13" t="str">
        <f t="shared" si="1150"/>
        <v>0</v>
      </c>
      <c r="AM573" s="13" t="str">
        <f t="shared" si="1150"/>
        <v>0</v>
      </c>
      <c r="AN573" s="13" t="str">
        <f t="shared" si="1150"/>
        <v>0</v>
      </c>
      <c r="AO573" s="13" t="str">
        <f t="shared" si="1150"/>
        <v>0</v>
      </c>
      <c r="AP573" s="13" t="str">
        <f t="shared" si="1150"/>
        <v>0</v>
      </c>
      <c r="AQ573" s="13" t="str">
        <f t="shared" si="1150"/>
        <v>0</v>
      </c>
      <c r="AR573" s="13" t="str">
        <f t="shared" ref="AR573:AS573" si="1151">IF(OR(O573=$C573,O573=$D573,O573=""),"0","1")</f>
        <v>0</v>
      </c>
      <c r="AS573" s="13" t="str">
        <f t="shared" si="1151"/>
        <v>0</v>
      </c>
      <c r="AT573" s="698">
        <f t="shared" si="11"/>
        <v>0</v>
      </c>
    </row>
    <row r="574" ht="15.75" customHeight="1">
      <c r="A574" s="788" t="str">
        <f t="shared" si="5"/>
        <v>-</v>
      </c>
      <c r="B574" s="331"/>
      <c r="C574" s="331"/>
      <c r="D574" s="331"/>
      <c r="E574" s="790"/>
      <c r="F574" s="791"/>
      <c r="G574" s="331"/>
      <c r="H574" s="331"/>
      <c r="I574" s="331"/>
      <c r="J574" s="331"/>
      <c r="K574" s="331"/>
      <c r="L574" s="331"/>
      <c r="M574" s="331"/>
      <c r="N574" s="331"/>
      <c r="O574" s="331"/>
      <c r="P574" s="792"/>
      <c r="AB574" s="314"/>
      <c r="AC574" s="314"/>
      <c r="AD574" s="314"/>
      <c r="AE574" s="314"/>
      <c r="AF574" s="314"/>
      <c r="AG574" s="314"/>
      <c r="AJ574" s="13" t="str">
        <f t="shared" ref="AJ574:AQ574" si="1152">IF(OR(E574=$C574,E574=$D574,E574=""),"0","1")</f>
        <v>0</v>
      </c>
      <c r="AK574" s="13" t="str">
        <f t="shared" si="1152"/>
        <v>0</v>
      </c>
      <c r="AL574" s="13" t="str">
        <f t="shared" si="1152"/>
        <v>0</v>
      </c>
      <c r="AM574" s="13" t="str">
        <f t="shared" si="1152"/>
        <v>0</v>
      </c>
      <c r="AN574" s="13" t="str">
        <f t="shared" si="1152"/>
        <v>0</v>
      </c>
      <c r="AO574" s="13" t="str">
        <f t="shared" si="1152"/>
        <v>0</v>
      </c>
      <c r="AP574" s="13" t="str">
        <f t="shared" si="1152"/>
        <v>0</v>
      </c>
      <c r="AQ574" s="13" t="str">
        <f t="shared" si="1152"/>
        <v>0</v>
      </c>
      <c r="AR574" s="13" t="str">
        <f t="shared" ref="AR574:AS574" si="1153">IF(OR(O574=$C574,O574=$D574,O574=""),"0","1")</f>
        <v>0</v>
      </c>
      <c r="AS574" s="13" t="str">
        <f t="shared" si="1153"/>
        <v>0</v>
      </c>
      <c r="AT574" s="698">
        <f t="shared" si="11"/>
        <v>0</v>
      </c>
    </row>
    <row r="575" ht="15.75" customHeight="1">
      <c r="A575" s="788" t="str">
        <f t="shared" si="5"/>
        <v>-</v>
      </c>
      <c r="B575" s="331"/>
      <c r="C575" s="331"/>
      <c r="D575" s="331"/>
      <c r="E575" s="790"/>
      <c r="F575" s="791"/>
      <c r="G575" s="331"/>
      <c r="H575" s="331"/>
      <c r="I575" s="331"/>
      <c r="J575" s="331"/>
      <c r="K575" s="331"/>
      <c r="L575" s="331"/>
      <c r="M575" s="331"/>
      <c r="N575" s="331"/>
      <c r="O575" s="331"/>
      <c r="P575" s="792"/>
      <c r="AB575" s="314"/>
      <c r="AC575" s="314"/>
      <c r="AD575" s="314"/>
      <c r="AE575" s="314"/>
      <c r="AF575" s="314"/>
      <c r="AG575" s="314"/>
      <c r="AJ575" s="13" t="str">
        <f t="shared" ref="AJ575:AQ575" si="1154">IF(OR(E575=$C575,E575=$D575,E575=""),"0","1")</f>
        <v>0</v>
      </c>
      <c r="AK575" s="13" t="str">
        <f t="shared" si="1154"/>
        <v>0</v>
      </c>
      <c r="AL575" s="13" t="str">
        <f t="shared" si="1154"/>
        <v>0</v>
      </c>
      <c r="AM575" s="13" t="str">
        <f t="shared" si="1154"/>
        <v>0</v>
      </c>
      <c r="AN575" s="13" t="str">
        <f t="shared" si="1154"/>
        <v>0</v>
      </c>
      <c r="AO575" s="13" t="str">
        <f t="shared" si="1154"/>
        <v>0</v>
      </c>
      <c r="AP575" s="13" t="str">
        <f t="shared" si="1154"/>
        <v>0</v>
      </c>
      <c r="AQ575" s="13" t="str">
        <f t="shared" si="1154"/>
        <v>0</v>
      </c>
      <c r="AR575" s="13" t="str">
        <f t="shared" ref="AR575:AS575" si="1155">IF(OR(O575=$C575,O575=$D575,O575=""),"0","1")</f>
        <v>0</v>
      </c>
      <c r="AS575" s="13" t="str">
        <f t="shared" si="1155"/>
        <v>0</v>
      </c>
      <c r="AT575" s="698">
        <f t="shared" si="11"/>
        <v>0</v>
      </c>
    </row>
    <row r="576" ht="15.75" customHeight="1">
      <c r="A576" s="788" t="str">
        <f t="shared" si="5"/>
        <v>-</v>
      </c>
      <c r="B576" s="331"/>
      <c r="C576" s="331"/>
      <c r="D576" s="331"/>
      <c r="E576" s="790"/>
      <c r="F576" s="791"/>
      <c r="G576" s="331"/>
      <c r="H576" s="331"/>
      <c r="I576" s="331"/>
      <c r="J576" s="331"/>
      <c r="K576" s="331"/>
      <c r="L576" s="331"/>
      <c r="M576" s="331"/>
      <c r="N576" s="331"/>
      <c r="O576" s="331"/>
      <c r="P576" s="792"/>
      <c r="AB576" s="314"/>
      <c r="AC576" s="314"/>
      <c r="AD576" s="314"/>
      <c r="AE576" s="314"/>
      <c r="AF576" s="314"/>
      <c r="AG576" s="314"/>
      <c r="AJ576" s="13" t="str">
        <f t="shared" ref="AJ576:AQ576" si="1156">IF(OR(E576=$C576,E576=$D576,E576=""),"0","1")</f>
        <v>0</v>
      </c>
      <c r="AK576" s="13" t="str">
        <f t="shared" si="1156"/>
        <v>0</v>
      </c>
      <c r="AL576" s="13" t="str">
        <f t="shared" si="1156"/>
        <v>0</v>
      </c>
      <c r="AM576" s="13" t="str">
        <f t="shared" si="1156"/>
        <v>0</v>
      </c>
      <c r="AN576" s="13" t="str">
        <f t="shared" si="1156"/>
        <v>0</v>
      </c>
      <c r="AO576" s="13" t="str">
        <f t="shared" si="1156"/>
        <v>0</v>
      </c>
      <c r="AP576" s="13" t="str">
        <f t="shared" si="1156"/>
        <v>0</v>
      </c>
      <c r="AQ576" s="13" t="str">
        <f t="shared" si="1156"/>
        <v>0</v>
      </c>
      <c r="AR576" s="13" t="str">
        <f t="shared" ref="AR576:AS576" si="1157">IF(OR(O576=$C576,O576=$D576,O576=""),"0","1")</f>
        <v>0</v>
      </c>
      <c r="AS576" s="13" t="str">
        <f t="shared" si="1157"/>
        <v>0</v>
      </c>
      <c r="AT576" s="698">
        <f t="shared" si="11"/>
        <v>0</v>
      </c>
    </row>
    <row r="577" ht="15.75" customHeight="1">
      <c r="A577" s="788" t="str">
        <f t="shared" si="5"/>
        <v>-</v>
      </c>
      <c r="B577" s="331"/>
      <c r="C577" s="331"/>
      <c r="D577" s="331"/>
      <c r="E577" s="790"/>
      <c r="F577" s="791"/>
      <c r="G577" s="331"/>
      <c r="H577" s="331"/>
      <c r="I577" s="331"/>
      <c r="J577" s="331"/>
      <c r="K577" s="331"/>
      <c r="L577" s="331"/>
      <c r="M577" s="331"/>
      <c r="N577" s="331"/>
      <c r="O577" s="331"/>
      <c r="P577" s="792"/>
      <c r="AB577" s="314"/>
      <c r="AC577" s="314"/>
      <c r="AD577" s="314"/>
      <c r="AE577" s="314"/>
      <c r="AF577" s="314"/>
      <c r="AG577" s="314"/>
      <c r="AJ577" s="13" t="str">
        <f t="shared" ref="AJ577:AQ577" si="1158">IF(OR(E577=$C577,E577=$D577,E577=""),"0","1")</f>
        <v>0</v>
      </c>
      <c r="AK577" s="13" t="str">
        <f t="shared" si="1158"/>
        <v>0</v>
      </c>
      <c r="AL577" s="13" t="str">
        <f t="shared" si="1158"/>
        <v>0</v>
      </c>
      <c r="AM577" s="13" t="str">
        <f t="shared" si="1158"/>
        <v>0</v>
      </c>
      <c r="AN577" s="13" t="str">
        <f t="shared" si="1158"/>
        <v>0</v>
      </c>
      <c r="AO577" s="13" t="str">
        <f t="shared" si="1158"/>
        <v>0</v>
      </c>
      <c r="AP577" s="13" t="str">
        <f t="shared" si="1158"/>
        <v>0</v>
      </c>
      <c r="AQ577" s="13" t="str">
        <f t="shared" si="1158"/>
        <v>0</v>
      </c>
      <c r="AR577" s="13" t="str">
        <f t="shared" ref="AR577:AS577" si="1159">IF(OR(O577=$C577,O577=$D577,O577=""),"0","1")</f>
        <v>0</v>
      </c>
      <c r="AS577" s="13" t="str">
        <f t="shared" si="1159"/>
        <v>0</v>
      </c>
      <c r="AT577" s="698">
        <f t="shared" si="11"/>
        <v>0</v>
      </c>
    </row>
    <row r="578" ht="15.75" customHeight="1">
      <c r="A578" s="788" t="str">
        <f t="shared" si="5"/>
        <v>-</v>
      </c>
      <c r="B578" s="331"/>
      <c r="C578" s="331"/>
      <c r="D578" s="331"/>
      <c r="E578" s="790"/>
      <c r="F578" s="791"/>
      <c r="G578" s="331"/>
      <c r="H578" s="331"/>
      <c r="I578" s="331"/>
      <c r="J578" s="331"/>
      <c r="K578" s="331"/>
      <c r="L578" s="331"/>
      <c r="M578" s="331"/>
      <c r="N578" s="331"/>
      <c r="O578" s="331"/>
      <c r="P578" s="792"/>
      <c r="AB578" s="314"/>
      <c r="AC578" s="314"/>
      <c r="AD578" s="314"/>
      <c r="AE578" s="314"/>
      <c r="AF578" s="314"/>
      <c r="AG578" s="314"/>
      <c r="AJ578" s="13" t="str">
        <f t="shared" ref="AJ578:AQ578" si="1160">IF(OR(E578=$C578,E578=$D578,E578=""),"0","1")</f>
        <v>0</v>
      </c>
      <c r="AK578" s="13" t="str">
        <f t="shared" si="1160"/>
        <v>0</v>
      </c>
      <c r="AL578" s="13" t="str">
        <f t="shared" si="1160"/>
        <v>0</v>
      </c>
      <c r="AM578" s="13" t="str">
        <f t="shared" si="1160"/>
        <v>0</v>
      </c>
      <c r="AN578" s="13" t="str">
        <f t="shared" si="1160"/>
        <v>0</v>
      </c>
      <c r="AO578" s="13" t="str">
        <f t="shared" si="1160"/>
        <v>0</v>
      </c>
      <c r="AP578" s="13" t="str">
        <f t="shared" si="1160"/>
        <v>0</v>
      </c>
      <c r="AQ578" s="13" t="str">
        <f t="shared" si="1160"/>
        <v>0</v>
      </c>
      <c r="AR578" s="13" t="str">
        <f t="shared" ref="AR578:AS578" si="1161">IF(OR(O578=$C578,O578=$D578,O578=""),"0","1")</f>
        <v>0</v>
      </c>
      <c r="AS578" s="13" t="str">
        <f t="shared" si="1161"/>
        <v>0</v>
      </c>
      <c r="AT578" s="698">
        <f t="shared" si="11"/>
        <v>0</v>
      </c>
    </row>
    <row r="579" ht="15.75" customHeight="1">
      <c r="A579" s="788" t="str">
        <f t="shared" si="5"/>
        <v>-</v>
      </c>
      <c r="B579" s="331"/>
      <c r="C579" s="331"/>
      <c r="D579" s="331"/>
      <c r="E579" s="790"/>
      <c r="F579" s="791"/>
      <c r="G579" s="331"/>
      <c r="H579" s="331"/>
      <c r="I579" s="331"/>
      <c r="J579" s="331"/>
      <c r="K579" s="331"/>
      <c r="L579" s="331"/>
      <c r="M579" s="331"/>
      <c r="N579" s="331"/>
      <c r="O579" s="331"/>
      <c r="P579" s="792"/>
      <c r="AB579" s="314"/>
      <c r="AC579" s="314"/>
      <c r="AD579" s="314"/>
      <c r="AE579" s="314"/>
      <c r="AF579" s="314"/>
      <c r="AG579" s="314"/>
      <c r="AJ579" s="13" t="str">
        <f t="shared" ref="AJ579:AQ579" si="1162">IF(OR(E579=$C579,E579=$D579,E579=""),"0","1")</f>
        <v>0</v>
      </c>
      <c r="AK579" s="13" t="str">
        <f t="shared" si="1162"/>
        <v>0</v>
      </c>
      <c r="AL579" s="13" t="str">
        <f t="shared" si="1162"/>
        <v>0</v>
      </c>
      <c r="AM579" s="13" t="str">
        <f t="shared" si="1162"/>
        <v>0</v>
      </c>
      <c r="AN579" s="13" t="str">
        <f t="shared" si="1162"/>
        <v>0</v>
      </c>
      <c r="AO579" s="13" t="str">
        <f t="shared" si="1162"/>
        <v>0</v>
      </c>
      <c r="AP579" s="13" t="str">
        <f t="shared" si="1162"/>
        <v>0</v>
      </c>
      <c r="AQ579" s="13" t="str">
        <f t="shared" si="1162"/>
        <v>0</v>
      </c>
      <c r="AR579" s="13" t="str">
        <f t="shared" ref="AR579:AS579" si="1163">IF(OR(O579=$C579,O579=$D579,O579=""),"0","1")</f>
        <v>0</v>
      </c>
      <c r="AS579" s="13" t="str">
        <f t="shared" si="1163"/>
        <v>0</v>
      </c>
      <c r="AT579" s="698">
        <f t="shared" si="11"/>
        <v>0</v>
      </c>
    </row>
    <row r="580" ht="15.75" customHeight="1">
      <c r="A580" s="788" t="str">
        <f t="shared" si="5"/>
        <v>-</v>
      </c>
      <c r="B580" s="331"/>
      <c r="C580" s="331"/>
      <c r="D580" s="331"/>
      <c r="E580" s="790"/>
      <c r="F580" s="791"/>
      <c r="G580" s="331"/>
      <c r="H580" s="331"/>
      <c r="I580" s="331"/>
      <c r="J580" s="331"/>
      <c r="K580" s="331"/>
      <c r="L580" s="331"/>
      <c r="M580" s="331"/>
      <c r="N580" s="331"/>
      <c r="O580" s="331"/>
      <c r="P580" s="792"/>
      <c r="AB580" s="314"/>
      <c r="AC580" s="314"/>
      <c r="AD580" s="314"/>
      <c r="AE580" s="314"/>
      <c r="AF580" s="314"/>
      <c r="AG580" s="314"/>
      <c r="AJ580" s="13" t="str">
        <f t="shared" ref="AJ580:AQ580" si="1164">IF(OR(E580=$C580,E580=$D580,E580=""),"0","1")</f>
        <v>0</v>
      </c>
      <c r="AK580" s="13" t="str">
        <f t="shared" si="1164"/>
        <v>0</v>
      </c>
      <c r="AL580" s="13" t="str">
        <f t="shared" si="1164"/>
        <v>0</v>
      </c>
      <c r="AM580" s="13" t="str">
        <f t="shared" si="1164"/>
        <v>0</v>
      </c>
      <c r="AN580" s="13" t="str">
        <f t="shared" si="1164"/>
        <v>0</v>
      </c>
      <c r="AO580" s="13" t="str">
        <f t="shared" si="1164"/>
        <v>0</v>
      </c>
      <c r="AP580" s="13" t="str">
        <f t="shared" si="1164"/>
        <v>0</v>
      </c>
      <c r="AQ580" s="13" t="str">
        <f t="shared" si="1164"/>
        <v>0</v>
      </c>
      <c r="AR580" s="13" t="str">
        <f t="shared" ref="AR580:AS580" si="1165">IF(OR(O580=$C580,O580=$D580,O580=""),"0","1")</f>
        <v>0</v>
      </c>
      <c r="AS580" s="13" t="str">
        <f t="shared" si="1165"/>
        <v>0</v>
      </c>
      <c r="AT580" s="698">
        <f t="shared" si="11"/>
        <v>0</v>
      </c>
    </row>
    <row r="581" ht="15.75" customHeight="1">
      <c r="A581" s="788" t="str">
        <f t="shared" si="5"/>
        <v>-</v>
      </c>
      <c r="B581" s="331"/>
      <c r="C581" s="331"/>
      <c r="D581" s="331"/>
      <c r="E581" s="790"/>
      <c r="F581" s="791"/>
      <c r="G581" s="331"/>
      <c r="H581" s="331"/>
      <c r="I581" s="331"/>
      <c r="J581" s="331"/>
      <c r="K581" s="331"/>
      <c r="L581" s="331"/>
      <c r="M581" s="331"/>
      <c r="N581" s="331"/>
      <c r="O581" s="331"/>
      <c r="P581" s="792"/>
      <c r="AB581" s="314"/>
      <c r="AC581" s="314"/>
      <c r="AD581" s="314"/>
      <c r="AE581" s="314"/>
      <c r="AF581" s="314"/>
      <c r="AG581" s="314"/>
      <c r="AJ581" s="13" t="str">
        <f t="shared" ref="AJ581:AQ581" si="1166">IF(OR(E581=$C581,E581=$D581,E581=""),"0","1")</f>
        <v>0</v>
      </c>
      <c r="AK581" s="13" t="str">
        <f t="shared" si="1166"/>
        <v>0</v>
      </c>
      <c r="AL581" s="13" t="str">
        <f t="shared" si="1166"/>
        <v>0</v>
      </c>
      <c r="AM581" s="13" t="str">
        <f t="shared" si="1166"/>
        <v>0</v>
      </c>
      <c r="AN581" s="13" t="str">
        <f t="shared" si="1166"/>
        <v>0</v>
      </c>
      <c r="AO581" s="13" t="str">
        <f t="shared" si="1166"/>
        <v>0</v>
      </c>
      <c r="AP581" s="13" t="str">
        <f t="shared" si="1166"/>
        <v>0</v>
      </c>
      <c r="AQ581" s="13" t="str">
        <f t="shared" si="1166"/>
        <v>0</v>
      </c>
      <c r="AR581" s="13" t="str">
        <f t="shared" ref="AR581:AS581" si="1167">IF(OR(O581=$C581,O581=$D581,O581=""),"0","1")</f>
        <v>0</v>
      </c>
      <c r="AS581" s="13" t="str">
        <f t="shared" si="1167"/>
        <v>0</v>
      </c>
      <c r="AT581" s="698">
        <f t="shared" si="11"/>
        <v>0</v>
      </c>
    </row>
    <row r="582" ht="15.75" customHeight="1">
      <c r="A582" s="788" t="str">
        <f t="shared" si="5"/>
        <v>-</v>
      </c>
      <c r="B582" s="331"/>
      <c r="C582" s="331"/>
      <c r="D582" s="331"/>
      <c r="E582" s="790"/>
      <c r="F582" s="791"/>
      <c r="G582" s="331"/>
      <c r="H582" s="331"/>
      <c r="I582" s="331"/>
      <c r="J582" s="331"/>
      <c r="K582" s="331"/>
      <c r="L582" s="331"/>
      <c r="M582" s="331"/>
      <c r="N582" s="331"/>
      <c r="O582" s="331"/>
      <c r="P582" s="792"/>
      <c r="AB582" s="314"/>
      <c r="AC582" s="314"/>
      <c r="AD582" s="314"/>
      <c r="AE582" s="314"/>
      <c r="AF582" s="314"/>
      <c r="AG582" s="314"/>
      <c r="AJ582" s="13" t="str">
        <f t="shared" ref="AJ582:AQ582" si="1168">IF(OR(E582=$C582,E582=$D582,E582=""),"0","1")</f>
        <v>0</v>
      </c>
      <c r="AK582" s="13" t="str">
        <f t="shared" si="1168"/>
        <v>0</v>
      </c>
      <c r="AL582" s="13" t="str">
        <f t="shared" si="1168"/>
        <v>0</v>
      </c>
      <c r="AM582" s="13" t="str">
        <f t="shared" si="1168"/>
        <v>0</v>
      </c>
      <c r="AN582" s="13" t="str">
        <f t="shared" si="1168"/>
        <v>0</v>
      </c>
      <c r="AO582" s="13" t="str">
        <f t="shared" si="1168"/>
        <v>0</v>
      </c>
      <c r="AP582" s="13" t="str">
        <f t="shared" si="1168"/>
        <v>0</v>
      </c>
      <c r="AQ582" s="13" t="str">
        <f t="shared" si="1168"/>
        <v>0</v>
      </c>
      <c r="AR582" s="13" t="str">
        <f t="shared" ref="AR582:AS582" si="1169">IF(OR(O582=$C582,O582=$D582,O582=""),"0","1")</f>
        <v>0</v>
      </c>
      <c r="AS582" s="13" t="str">
        <f t="shared" si="1169"/>
        <v>0</v>
      </c>
      <c r="AT582" s="698">
        <f t="shared" si="11"/>
        <v>0</v>
      </c>
    </row>
    <row r="583" ht="15.75" customHeight="1">
      <c r="A583" s="788" t="str">
        <f t="shared" si="5"/>
        <v>-</v>
      </c>
      <c r="B583" s="331"/>
      <c r="C583" s="331"/>
      <c r="D583" s="331"/>
      <c r="E583" s="790"/>
      <c r="F583" s="791"/>
      <c r="G583" s="331"/>
      <c r="H583" s="331"/>
      <c r="I583" s="331"/>
      <c r="J583" s="331"/>
      <c r="K583" s="331"/>
      <c r="L583" s="331"/>
      <c r="M583" s="331"/>
      <c r="N583" s="331"/>
      <c r="O583" s="331"/>
      <c r="P583" s="792"/>
      <c r="AB583" s="314"/>
      <c r="AC583" s="314"/>
      <c r="AD583" s="314"/>
      <c r="AE583" s="314"/>
      <c r="AF583" s="314"/>
      <c r="AG583" s="314"/>
      <c r="AJ583" s="13" t="str">
        <f t="shared" ref="AJ583:AQ583" si="1170">IF(OR(E583=$C583,E583=$D583,E583=""),"0","1")</f>
        <v>0</v>
      </c>
      <c r="AK583" s="13" t="str">
        <f t="shared" si="1170"/>
        <v>0</v>
      </c>
      <c r="AL583" s="13" t="str">
        <f t="shared" si="1170"/>
        <v>0</v>
      </c>
      <c r="AM583" s="13" t="str">
        <f t="shared" si="1170"/>
        <v>0</v>
      </c>
      <c r="AN583" s="13" t="str">
        <f t="shared" si="1170"/>
        <v>0</v>
      </c>
      <c r="AO583" s="13" t="str">
        <f t="shared" si="1170"/>
        <v>0</v>
      </c>
      <c r="AP583" s="13" t="str">
        <f t="shared" si="1170"/>
        <v>0</v>
      </c>
      <c r="AQ583" s="13" t="str">
        <f t="shared" si="1170"/>
        <v>0</v>
      </c>
      <c r="AR583" s="13" t="str">
        <f t="shared" ref="AR583:AS583" si="1171">IF(OR(O583=$C583,O583=$D583,O583=""),"0","1")</f>
        <v>0</v>
      </c>
      <c r="AS583" s="13" t="str">
        <f t="shared" si="1171"/>
        <v>0</v>
      </c>
      <c r="AT583" s="698">
        <f t="shared" si="11"/>
        <v>0</v>
      </c>
    </row>
    <row r="584" ht="15.75" customHeight="1">
      <c r="A584" s="788" t="str">
        <f t="shared" si="5"/>
        <v>-</v>
      </c>
      <c r="B584" s="331"/>
      <c r="C584" s="331"/>
      <c r="D584" s="331"/>
      <c r="E584" s="790"/>
      <c r="F584" s="791"/>
      <c r="G584" s="331"/>
      <c r="H584" s="331"/>
      <c r="I584" s="331"/>
      <c r="J584" s="331"/>
      <c r="K584" s="331"/>
      <c r="L584" s="331"/>
      <c r="M584" s="331"/>
      <c r="N584" s="331"/>
      <c r="O584" s="331"/>
      <c r="P584" s="792"/>
      <c r="AB584" s="314"/>
      <c r="AC584" s="314"/>
      <c r="AD584" s="314"/>
      <c r="AE584" s="314"/>
      <c r="AF584" s="314"/>
      <c r="AG584" s="314"/>
      <c r="AJ584" s="13" t="str">
        <f t="shared" ref="AJ584:AQ584" si="1172">IF(OR(E584=$C584,E584=$D584,E584=""),"0","1")</f>
        <v>0</v>
      </c>
      <c r="AK584" s="13" t="str">
        <f t="shared" si="1172"/>
        <v>0</v>
      </c>
      <c r="AL584" s="13" t="str">
        <f t="shared" si="1172"/>
        <v>0</v>
      </c>
      <c r="AM584" s="13" t="str">
        <f t="shared" si="1172"/>
        <v>0</v>
      </c>
      <c r="AN584" s="13" t="str">
        <f t="shared" si="1172"/>
        <v>0</v>
      </c>
      <c r="AO584" s="13" t="str">
        <f t="shared" si="1172"/>
        <v>0</v>
      </c>
      <c r="AP584" s="13" t="str">
        <f t="shared" si="1172"/>
        <v>0</v>
      </c>
      <c r="AQ584" s="13" t="str">
        <f t="shared" si="1172"/>
        <v>0</v>
      </c>
      <c r="AR584" s="13" t="str">
        <f t="shared" ref="AR584:AS584" si="1173">IF(OR(O584=$C584,O584=$D584,O584=""),"0","1")</f>
        <v>0</v>
      </c>
      <c r="AS584" s="13" t="str">
        <f t="shared" si="1173"/>
        <v>0</v>
      </c>
      <c r="AT584" s="698">
        <f t="shared" si="11"/>
        <v>0</v>
      </c>
    </row>
    <row r="585" ht="15.75" customHeight="1">
      <c r="A585" s="788" t="str">
        <f t="shared" si="5"/>
        <v>-</v>
      </c>
      <c r="B585" s="331"/>
      <c r="C585" s="331"/>
      <c r="D585" s="331"/>
      <c r="E585" s="790"/>
      <c r="F585" s="791"/>
      <c r="G585" s="331"/>
      <c r="H585" s="331"/>
      <c r="I585" s="331"/>
      <c r="J585" s="331"/>
      <c r="K585" s="331"/>
      <c r="L585" s="331"/>
      <c r="M585" s="331"/>
      <c r="N585" s="331"/>
      <c r="O585" s="331"/>
      <c r="P585" s="792"/>
      <c r="AB585" s="314"/>
      <c r="AC585" s="314"/>
      <c r="AD585" s="314"/>
      <c r="AE585" s="314"/>
      <c r="AF585" s="314"/>
      <c r="AG585" s="314"/>
      <c r="AJ585" s="13" t="str">
        <f t="shared" ref="AJ585:AQ585" si="1174">IF(OR(E585=$C585,E585=$D585,E585=""),"0","1")</f>
        <v>0</v>
      </c>
      <c r="AK585" s="13" t="str">
        <f t="shared" si="1174"/>
        <v>0</v>
      </c>
      <c r="AL585" s="13" t="str">
        <f t="shared" si="1174"/>
        <v>0</v>
      </c>
      <c r="AM585" s="13" t="str">
        <f t="shared" si="1174"/>
        <v>0</v>
      </c>
      <c r="AN585" s="13" t="str">
        <f t="shared" si="1174"/>
        <v>0</v>
      </c>
      <c r="AO585" s="13" t="str">
        <f t="shared" si="1174"/>
        <v>0</v>
      </c>
      <c r="AP585" s="13" t="str">
        <f t="shared" si="1174"/>
        <v>0</v>
      </c>
      <c r="AQ585" s="13" t="str">
        <f t="shared" si="1174"/>
        <v>0</v>
      </c>
      <c r="AR585" s="13" t="str">
        <f t="shared" ref="AR585:AS585" si="1175">IF(OR(O585=$C585,O585=$D585,O585=""),"0","1")</f>
        <v>0</v>
      </c>
      <c r="AS585" s="13" t="str">
        <f t="shared" si="1175"/>
        <v>0</v>
      </c>
      <c r="AT585" s="698">
        <f t="shared" si="11"/>
        <v>0</v>
      </c>
    </row>
    <row r="586" ht="15.75" customHeight="1">
      <c r="A586" s="788" t="str">
        <f t="shared" si="5"/>
        <v>-</v>
      </c>
      <c r="B586" s="331"/>
      <c r="C586" s="331"/>
      <c r="D586" s="331"/>
      <c r="E586" s="790"/>
      <c r="F586" s="791"/>
      <c r="G586" s="331"/>
      <c r="H586" s="331"/>
      <c r="I586" s="331"/>
      <c r="J586" s="331"/>
      <c r="K586" s="331"/>
      <c r="L586" s="331"/>
      <c r="M586" s="331"/>
      <c r="N586" s="331"/>
      <c r="O586" s="331"/>
      <c r="P586" s="792"/>
      <c r="AB586" s="314"/>
      <c r="AC586" s="314"/>
      <c r="AD586" s="314"/>
      <c r="AE586" s="314"/>
      <c r="AF586" s="314"/>
      <c r="AG586" s="314"/>
      <c r="AJ586" s="13" t="str">
        <f t="shared" ref="AJ586:AQ586" si="1176">IF(OR(E586=$C586,E586=$D586,E586=""),"0","1")</f>
        <v>0</v>
      </c>
      <c r="AK586" s="13" t="str">
        <f t="shared" si="1176"/>
        <v>0</v>
      </c>
      <c r="AL586" s="13" t="str">
        <f t="shared" si="1176"/>
        <v>0</v>
      </c>
      <c r="AM586" s="13" t="str">
        <f t="shared" si="1176"/>
        <v>0</v>
      </c>
      <c r="AN586" s="13" t="str">
        <f t="shared" si="1176"/>
        <v>0</v>
      </c>
      <c r="AO586" s="13" t="str">
        <f t="shared" si="1176"/>
        <v>0</v>
      </c>
      <c r="AP586" s="13" t="str">
        <f t="shared" si="1176"/>
        <v>0</v>
      </c>
      <c r="AQ586" s="13" t="str">
        <f t="shared" si="1176"/>
        <v>0</v>
      </c>
      <c r="AR586" s="13" t="str">
        <f t="shared" ref="AR586:AS586" si="1177">IF(OR(O586=$C586,O586=$D586,O586=""),"0","1")</f>
        <v>0</v>
      </c>
      <c r="AS586" s="13" t="str">
        <f t="shared" si="1177"/>
        <v>0</v>
      </c>
      <c r="AT586" s="698">
        <f t="shared" si="11"/>
        <v>0</v>
      </c>
    </row>
    <row r="587" ht="15.75" customHeight="1">
      <c r="A587" s="788" t="str">
        <f t="shared" si="5"/>
        <v>-</v>
      </c>
      <c r="B587" s="331"/>
      <c r="C587" s="331"/>
      <c r="D587" s="331"/>
      <c r="E587" s="790"/>
      <c r="F587" s="791"/>
      <c r="G587" s="331"/>
      <c r="H587" s="331"/>
      <c r="I587" s="331"/>
      <c r="J587" s="331"/>
      <c r="K587" s="331"/>
      <c r="L587" s="331"/>
      <c r="M587" s="331"/>
      <c r="N587" s="331"/>
      <c r="O587" s="331"/>
      <c r="P587" s="792"/>
      <c r="AB587" s="314"/>
      <c r="AC587" s="314"/>
      <c r="AD587" s="314"/>
      <c r="AE587" s="314"/>
      <c r="AF587" s="314"/>
      <c r="AG587" s="314"/>
      <c r="AJ587" s="13" t="str">
        <f t="shared" ref="AJ587:AQ587" si="1178">IF(OR(E587=$C587,E587=$D587,E587=""),"0","1")</f>
        <v>0</v>
      </c>
      <c r="AK587" s="13" t="str">
        <f t="shared" si="1178"/>
        <v>0</v>
      </c>
      <c r="AL587" s="13" t="str">
        <f t="shared" si="1178"/>
        <v>0</v>
      </c>
      <c r="AM587" s="13" t="str">
        <f t="shared" si="1178"/>
        <v>0</v>
      </c>
      <c r="AN587" s="13" t="str">
        <f t="shared" si="1178"/>
        <v>0</v>
      </c>
      <c r="AO587" s="13" t="str">
        <f t="shared" si="1178"/>
        <v>0</v>
      </c>
      <c r="AP587" s="13" t="str">
        <f t="shared" si="1178"/>
        <v>0</v>
      </c>
      <c r="AQ587" s="13" t="str">
        <f t="shared" si="1178"/>
        <v>0</v>
      </c>
      <c r="AR587" s="13" t="str">
        <f t="shared" ref="AR587:AS587" si="1179">IF(OR(O587=$C587,O587=$D587,O587=""),"0","1")</f>
        <v>0</v>
      </c>
      <c r="AS587" s="13" t="str">
        <f t="shared" si="1179"/>
        <v>0</v>
      </c>
      <c r="AT587" s="698">
        <f t="shared" si="11"/>
        <v>0</v>
      </c>
    </row>
    <row r="588" ht="15.75" customHeight="1">
      <c r="A588" s="788" t="str">
        <f t="shared" si="5"/>
        <v>-</v>
      </c>
      <c r="B588" s="331"/>
      <c r="C588" s="331"/>
      <c r="D588" s="331"/>
      <c r="E588" s="790"/>
      <c r="F588" s="791"/>
      <c r="G588" s="331"/>
      <c r="H588" s="331"/>
      <c r="I588" s="331"/>
      <c r="J588" s="331"/>
      <c r="K588" s="331"/>
      <c r="L588" s="331"/>
      <c r="M588" s="331"/>
      <c r="N588" s="331"/>
      <c r="O588" s="331"/>
      <c r="P588" s="792"/>
      <c r="AB588" s="314"/>
      <c r="AC588" s="314"/>
      <c r="AD588" s="314"/>
      <c r="AE588" s="314"/>
      <c r="AF588" s="314"/>
      <c r="AG588" s="314"/>
      <c r="AJ588" s="13" t="str">
        <f t="shared" ref="AJ588:AQ588" si="1180">IF(OR(E588=$C588,E588=$D588,E588=""),"0","1")</f>
        <v>0</v>
      </c>
      <c r="AK588" s="13" t="str">
        <f t="shared" si="1180"/>
        <v>0</v>
      </c>
      <c r="AL588" s="13" t="str">
        <f t="shared" si="1180"/>
        <v>0</v>
      </c>
      <c r="AM588" s="13" t="str">
        <f t="shared" si="1180"/>
        <v>0</v>
      </c>
      <c r="AN588" s="13" t="str">
        <f t="shared" si="1180"/>
        <v>0</v>
      </c>
      <c r="AO588" s="13" t="str">
        <f t="shared" si="1180"/>
        <v>0</v>
      </c>
      <c r="AP588" s="13" t="str">
        <f t="shared" si="1180"/>
        <v>0</v>
      </c>
      <c r="AQ588" s="13" t="str">
        <f t="shared" si="1180"/>
        <v>0</v>
      </c>
      <c r="AR588" s="13" t="str">
        <f t="shared" ref="AR588:AS588" si="1181">IF(OR(O588=$C588,O588=$D588,O588=""),"0","1")</f>
        <v>0</v>
      </c>
      <c r="AS588" s="13" t="str">
        <f t="shared" si="1181"/>
        <v>0</v>
      </c>
      <c r="AT588" s="698">
        <f t="shared" si="11"/>
        <v>0</v>
      </c>
    </row>
    <row r="589" ht="15.75" customHeight="1">
      <c r="A589" s="788" t="str">
        <f t="shared" si="5"/>
        <v>-</v>
      </c>
      <c r="B589" s="331"/>
      <c r="C589" s="331"/>
      <c r="D589" s="331"/>
      <c r="E589" s="790"/>
      <c r="F589" s="791"/>
      <c r="G589" s="331"/>
      <c r="H589" s="331"/>
      <c r="I589" s="331"/>
      <c r="J589" s="331"/>
      <c r="K589" s="331"/>
      <c r="L589" s="331"/>
      <c r="M589" s="331"/>
      <c r="N589" s="331"/>
      <c r="O589" s="331"/>
      <c r="P589" s="792"/>
      <c r="AB589" s="314"/>
      <c r="AC589" s="314"/>
      <c r="AD589" s="314"/>
      <c r="AE589" s="314"/>
      <c r="AF589" s="314"/>
      <c r="AG589" s="314"/>
      <c r="AJ589" s="13" t="str">
        <f t="shared" ref="AJ589:AQ589" si="1182">IF(OR(E589=$C589,E589=$D589,E589=""),"0","1")</f>
        <v>0</v>
      </c>
      <c r="AK589" s="13" t="str">
        <f t="shared" si="1182"/>
        <v>0</v>
      </c>
      <c r="AL589" s="13" t="str">
        <f t="shared" si="1182"/>
        <v>0</v>
      </c>
      <c r="AM589" s="13" t="str">
        <f t="shared" si="1182"/>
        <v>0</v>
      </c>
      <c r="AN589" s="13" t="str">
        <f t="shared" si="1182"/>
        <v>0</v>
      </c>
      <c r="AO589" s="13" t="str">
        <f t="shared" si="1182"/>
        <v>0</v>
      </c>
      <c r="AP589" s="13" t="str">
        <f t="shared" si="1182"/>
        <v>0</v>
      </c>
      <c r="AQ589" s="13" t="str">
        <f t="shared" si="1182"/>
        <v>0</v>
      </c>
      <c r="AR589" s="13" t="str">
        <f t="shared" ref="AR589:AS589" si="1183">IF(OR(O589=$C589,O589=$D589,O589=""),"0","1")</f>
        <v>0</v>
      </c>
      <c r="AS589" s="13" t="str">
        <f t="shared" si="1183"/>
        <v>0</v>
      </c>
      <c r="AT589" s="698">
        <f t="shared" si="11"/>
        <v>0</v>
      </c>
    </row>
    <row r="590" ht="15.75" customHeight="1">
      <c r="A590" s="788" t="str">
        <f t="shared" si="5"/>
        <v>-</v>
      </c>
      <c r="B590" s="331"/>
      <c r="C590" s="331"/>
      <c r="D590" s="331"/>
      <c r="E590" s="790"/>
      <c r="F590" s="791"/>
      <c r="G590" s="331"/>
      <c r="H590" s="331"/>
      <c r="I590" s="331"/>
      <c r="J590" s="331"/>
      <c r="K590" s="331"/>
      <c r="L590" s="331"/>
      <c r="M590" s="331"/>
      <c r="N590" s="331"/>
      <c r="O590" s="331"/>
      <c r="P590" s="792"/>
      <c r="AB590" s="314"/>
      <c r="AC590" s="314"/>
      <c r="AD590" s="314"/>
      <c r="AE590" s="314"/>
      <c r="AF590" s="314"/>
      <c r="AG590" s="314"/>
      <c r="AJ590" s="13" t="str">
        <f t="shared" ref="AJ590:AQ590" si="1184">IF(OR(E590=$C590,E590=$D590,E590=""),"0","1")</f>
        <v>0</v>
      </c>
      <c r="AK590" s="13" t="str">
        <f t="shared" si="1184"/>
        <v>0</v>
      </c>
      <c r="AL590" s="13" t="str">
        <f t="shared" si="1184"/>
        <v>0</v>
      </c>
      <c r="AM590" s="13" t="str">
        <f t="shared" si="1184"/>
        <v>0</v>
      </c>
      <c r="AN590" s="13" t="str">
        <f t="shared" si="1184"/>
        <v>0</v>
      </c>
      <c r="AO590" s="13" t="str">
        <f t="shared" si="1184"/>
        <v>0</v>
      </c>
      <c r="AP590" s="13" t="str">
        <f t="shared" si="1184"/>
        <v>0</v>
      </c>
      <c r="AQ590" s="13" t="str">
        <f t="shared" si="1184"/>
        <v>0</v>
      </c>
      <c r="AR590" s="13" t="str">
        <f t="shared" ref="AR590:AS590" si="1185">IF(OR(O590=$C590,O590=$D590,O590=""),"0","1")</f>
        <v>0</v>
      </c>
      <c r="AS590" s="13" t="str">
        <f t="shared" si="1185"/>
        <v>0</v>
      </c>
      <c r="AT590" s="698">
        <f t="shared" si="11"/>
        <v>0</v>
      </c>
    </row>
    <row r="591" ht="15.75" customHeight="1">
      <c r="A591" s="788" t="str">
        <f t="shared" si="5"/>
        <v>-</v>
      </c>
      <c r="B591" s="331"/>
      <c r="C591" s="331"/>
      <c r="D591" s="331"/>
      <c r="E591" s="790"/>
      <c r="F591" s="791"/>
      <c r="G591" s="331"/>
      <c r="H591" s="331"/>
      <c r="I591" s="331"/>
      <c r="J591" s="331"/>
      <c r="K591" s="331"/>
      <c r="L591" s="331"/>
      <c r="M591" s="331"/>
      <c r="N591" s="331"/>
      <c r="O591" s="331"/>
      <c r="P591" s="792"/>
      <c r="AB591" s="314"/>
      <c r="AC591" s="314"/>
      <c r="AD591" s="314"/>
      <c r="AE591" s="314"/>
      <c r="AF591" s="314"/>
      <c r="AG591" s="314"/>
      <c r="AJ591" s="13" t="str">
        <f t="shared" ref="AJ591:AQ591" si="1186">IF(OR(E591=$C591,E591=$D591,E591=""),"0","1")</f>
        <v>0</v>
      </c>
      <c r="AK591" s="13" t="str">
        <f t="shared" si="1186"/>
        <v>0</v>
      </c>
      <c r="AL591" s="13" t="str">
        <f t="shared" si="1186"/>
        <v>0</v>
      </c>
      <c r="AM591" s="13" t="str">
        <f t="shared" si="1186"/>
        <v>0</v>
      </c>
      <c r="AN591" s="13" t="str">
        <f t="shared" si="1186"/>
        <v>0</v>
      </c>
      <c r="AO591" s="13" t="str">
        <f t="shared" si="1186"/>
        <v>0</v>
      </c>
      <c r="AP591" s="13" t="str">
        <f t="shared" si="1186"/>
        <v>0</v>
      </c>
      <c r="AQ591" s="13" t="str">
        <f t="shared" si="1186"/>
        <v>0</v>
      </c>
      <c r="AR591" s="13" t="str">
        <f t="shared" ref="AR591:AS591" si="1187">IF(OR(O591=$C591,O591=$D591,O591=""),"0","1")</f>
        <v>0</v>
      </c>
      <c r="AS591" s="13" t="str">
        <f t="shared" si="1187"/>
        <v>0</v>
      </c>
      <c r="AT591" s="698">
        <f t="shared" si="11"/>
        <v>0</v>
      </c>
    </row>
    <row r="592" ht="15.75" customHeight="1">
      <c r="A592" s="788" t="str">
        <f t="shared" si="5"/>
        <v>-</v>
      </c>
      <c r="B592" s="331"/>
      <c r="C592" s="331"/>
      <c r="D592" s="331"/>
      <c r="E592" s="790"/>
      <c r="F592" s="791"/>
      <c r="G592" s="331"/>
      <c r="H592" s="331"/>
      <c r="I592" s="331"/>
      <c r="J592" s="331"/>
      <c r="K592" s="331"/>
      <c r="L592" s="331"/>
      <c r="M592" s="331"/>
      <c r="N592" s="331"/>
      <c r="O592" s="331"/>
      <c r="P592" s="792"/>
      <c r="AB592" s="314"/>
      <c r="AC592" s="314"/>
      <c r="AD592" s="314"/>
      <c r="AE592" s="314"/>
      <c r="AF592" s="314"/>
      <c r="AG592" s="314"/>
      <c r="AJ592" s="13" t="str">
        <f t="shared" ref="AJ592:AQ592" si="1188">IF(OR(E592=$C592,E592=$D592,E592=""),"0","1")</f>
        <v>0</v>
      </c>
      <c r="AK592" s="13" t="str">
        <f t="shared" si="1188"/>
        <v>0</v>
      </c>
      <c r="AL592" s="13" t="str">
        <f t="shared" si="1188"/>
        <v>0</v>
      </c>
      <c r="AM592" s="13" t="str">
        <f t="shared" si="1188"/>
        <v>0</v>
      </c>
      <c r="AN592" s="13" t="str">
        <f t="shared" si="1188"/>
        <v>0</v>
      </c>
      <c r="AO592" s="13" t="str">
        <f t="shared" si="1188"/>
        <v>0</v>
      </c>
      <c r="AP592" s="13" t="str">
        <f t="shared" si="1188"/>
        <v>0</v>
      </c>
      <c r="AQ592" s="13" t="str">
        <f t="shared" si="1188"/>
        <v>0</v>
      </c>
      <c r="AR592" s="13" t="str">
        <f t="shared" ref="AR592:AS592" si="1189">IF(OR(O592=$C592,O592=$D592,O592=""),"0","1")</f>
        <v>0</v>
      </c>
      <c r="AS592" s="13" t="str">
        <f t="shared" si="1189"/>
        <v>0</v>
      </c>
      <c r="AT592" s="698">
        <f t="shared" si="11"/>
        <v>0</v>
      </c>
    </row>
    <row r="593" ht="15.75" customHeight="1">
      <c r="A593" s="788" t="str">
        <f t="shared" si="5"/>
        <v>-</v>
      </c>
      <c r="B593" s="331"/>
      <c r="C593" s="331"/>
      <c r="D593" s="331"/>
      <c r="E593" s="790"/>
      <c r="F593" s="791"/>
      <c r="G593" s="331"/>
      <c r="H593" s="331"/>
      <c r="I593" s="331"/>
      <c r="J593" s="331"/>
      <c r="K593" s="331"/>
      <c r="L593" s="331"/>
      <c r="M593" s="331"/>
      <c r="N593" s="331"/>
      <c r="O593" s="331"/>
      <c r="P593" s="792"/>
      <c r="AB593" s="314"/>
      <c r="AC593" s="314"/>
      <c r="AD593" s="314"/>
      <c r="AE593" s="314"/>
      <c r="AF593" s="314"/>
      <c r="AG593" s="314"/>
      <c r="AJ593" s="13" t="str">
        <f t="shared" ref="AJ593:AQ593" si="1190">IF(OR(E593=$C593,E593=$D593,E593=""),"0","1")</f>
        <v>0</v>
      </c>
      <c r="AK593" s="13" t="str">
        <f t="shared" si="1190"/>
        <v>0</v>
      </c>
      <c r="AL593" s="13" t="str">
        <f t="shared" si="1190"/>
        <v>0</v>
      </c>
      <c r="AM593" s="13" t="str">
        <f t="shared" si="1190"/>
        <v>0</v>
      </c>
      <c r="AN593" s="13" t="str">
        <f t="shared" si="1190"/>
        <v>0</v>
      </c>
      <c r="AO593" s="13" t="str">
        <f t="shared" si="1190"/>
        <v>0</v>
      </c>
      <c r="AP593" s="13" t="str">
        <f t="shared" si="1190"/>
        <v>0</v>
      </c>
      <c r="AQ593" s="13" t="str">
        <f t="shared" si="1190"/>
        <v>0</v>
      </c>
      <c r="AR593" s="13" t="str">
        <f t="shared" ref="AR593:AS593" si="1191">IF(OR(O593=$C593,O593=$D593,O593=""),"0","1")</f>
        <v>0</v>
      </c>
      <c r="AS593" s="13" t="str">
        <f t="shared" si="1191"/>
        <v>0</v>
      </c>
      <c r="AT593" s="698">
        <f t="shared" si="11"/>
        <v>0</v>
      </c>
    </row>
    <row r="594" ht="15.75" customHeight="1">
      <c r="A594" s="788" t="str">
        <f t="shared" si="5"/>
        <v>-</v>
      </c>
      <c r="B594" s="331"/>
      <c r="C594" s="331"/>
      <c r="D594" s="331"/>
      <c r="E594" s="790"/>
      <c r="F594" s="791"/>
      <c r="G594" s="331"/>
      <c r="H594" s="331"/>
      <c r="I594" s="331"/>
      <c r="J594" s="331"/>
      <c r="K594" s="331"/>
      <c r="L594" s="331"/>
      <c r="M594" s="331"/>
      <c r="N594" s="331"/>
      <c r="O594" s="331"/>
      <c r="P594" s="792"/>
      <c r="AB594" s="314"/>
      <c r="AC594" s="314"/>
      <c r="AD594" s="314"/>
      <c r="AE594" s="314"/>
      <c r="AF594" s="314"/>
      <c r="AG594" s="314"/>
      <c r="AJ594" s="13" t="str">
        <f t="shared" ref="AJ594:AQ594" si="1192">IF(OR(E594=$C594,E594=$D594,E594=""),"0","1")</f>
        <v>0</v>
      </c>
      <c r="AK594" s="13" t="str">
        <f t="shared" si="1192"/>
        <v>0</v>
      </c>
      <c r="AL594" s="13" t="str">
        <f t="shared" si="1192"/>
        <v>0</v>
      </c>
      <c r="AM594" s="13" t="str">
        <f t="shared" si="1192"/>
        <v>0</v>
      </c>
      <c r="AN594" s="13" t="str">
        <f t="shared" si="1192"/>
        <v>0</v>
      </c>
      <c r="AO594" s="13" t="str">
        <f t="shared" si="1192"/>
        <v>0</v>
      </c>
      <c r="AP594" s="13" t="str">
        <f t="shared" si="1192"/>
        <v>0</v>
      </c>
      <c r="AQ594" s="13" t="str">
        <f t="shared" si="1192"/>
        <v>0</v>
      </c>
      <c r="AR594" s="13" t="str">
        <f t="shared" ref="AR594:AS594" si="1193">IF(OR(O594=$C594,O594=$D594,O594=""),"0","1")</f>
        <v>0</v>
      </c>
      <c r="AS594" s="13" t="str">
        <f t="shared" si="1193"/>
        <v>0</v>
      </c>
      <c r="AT594" s="698">
        <f t="shared" si="11"/>
        <v>0</v>
      </c>
    </row>
    <row r="595" ht="15.75" customHeight="1">
      <c r="A595" s="788" t="str">
        <f t="shared" si="5"/>
        <v>-</v>
      </c>
      <c r="B595" s="331"/>
      <c r="C595" s="331"/>
      <c r="D595" s="331"/>
      <c r="E595" s="790"/>
      <c r="F595" s="791"/>
      <c r="G595" s="331"/>
      <c r="H595" s="331"/>
      <c r="I595" s="331"/>
      <c r="J595" s="331"/>
      <c r="K595" s="331"/>
      <c r="L595" s="331"/>
      <c r="M595" s="331"/>
      <c r="N595" s="331"/>
      <c r="O595" s="331"/>
      <c r="P595" s="792"/>
      <c r="AB595" s="314"/>
      <c r="AC595" s="314"/>
      <c r="AD595" s="314"/>
      <c r="AE595" s="314"/>
      <c r="AF595" s="314"/>
      <c r="AG595" s="314"/>
      <c r="AJ595" s="13" t="str">
        <f t="shared" ref="AJ595:AQ595" si="1194">IF(OR(E595=$C595,E595=$D595,E595=""),"0","1")</f>
        <v>0</v>
      </c>
      <c r="AK595" s="13" t="str">
        <f t="shared" si="1194"/>
        <v>0</v>
      </c>
      <c r="AL595" s="13" t="str">
        <f t="shared" si="1194"/>
        <v>0</v>
      </c>
      <c r="AM595" s="13" t="str">
        <f t="shared" si="1194"/>
        <v>0</v>
      </c>
      <c r="AN595" s="13" t="str">
        <f t="shared" si="1194"/>
        <v>0</v>
      </c>
      <c r="AO595" s="13" t="str">
        <f t="shared" si="1194"/>
        <v>0</v>
      </c>
      <c r="AP595" s="13" t="str">
        <f t="shared" si="1194"/>
        <v>0</v>
      </c>
      <c r="AQ595" s="13" t="str">
        <f t="shared" si="1194"/>
        <v>0</v>
      </c>
      <c r="AR595" s="13" t="str">
        <f t="shared" ref="AR595:AS595" si="1195">IF(OR(O595=$C595,O595=$D595,O595=""),"0","1")</f>
        <v>0</v>
      </c>
      <c r="AS595" s="13" t="str">
        <f t="shared" si="1195"/>
        <v>0</v>
      </c>
      <c r="AT595" s="698">
        <f t="shared" si="11"/>
        <v>0</v>
      </c>
    </row>
    <row r="596" ht="15.75" customHeight="1">
      <c r="A596" s="788" t="str">
        <f t="shared" si="5"/>
        <v>-</v>
      </c>
      <c r="B596" s="331"/>
      <c r="C596" s="331"/>
      <c r="D596" s="331"/>
      <c r="E596" s="790"/>
      <c r="F596" s="791"/>
      <c r="G596" s="331"/>
      <c r="H596" s="331"/>
      <c r="I596" s="331"/>
      <c r="J596" s="331"/>
      <c r="K596" s="331"/>
      <c r="L596" s="331"/>
      <c r="M596" s="331"/>
      <c r="N596" s="331"/>
      <c r="O596" s="331"/>
      <c r="P596" s="792"/>
      <c r="AB596" s="314"/>
      <c r="AC596" s="314"/>
      <c r="AD596" s="314"/>
      <c r="AE596" s="314"/>
      <c r="AF596" s="314"/>
      <c r="AG596" s="314"/>
      <c r="AJ596" s="13" t="str">
        <f t="shared" ref="AJ596:AQ596" si="1196">IF(OR(E596=$C596,E596=$D596,E596=""),"0","1")</f>
        <v>0</v>
      </c>
      <c r="AK596" s="13" t="str">
        <f t="shared" si="1196"/>
        <v>0</v>
      </c>
      <c r="AL596" s="13" t="str">
        <f t="shared" si="1196"/>
        <v>0</v>
      </c>
      <c r="AM596" s="13" t="str">
        <f t="shared" si="1196"/>
        <v>0</v>
      </c>
      <c r="AN596" s="13" t="str">
        <f t="shared" si="1196"/>
        <v>0</v>
      </c>
      <c r="AO596" s="13" t="str">
        <f t="shared" si="1196"/>
        <v>0</v>
      </c>
      <c r="AP596" s="13" t="str">
        <f t="shared" si="1196"/>
        <v>0</v>
      </c>
      <c r="AQ596" s="13" t="str">
        <f t="shared" si="1196"/>
        <v>0</v>
      </c>
      <c r="AR596" s="13" t="str">
        <f t="shared" ref="AR596:AS596" si="1197">IF(OR(O596=$C596,O596=$D596,O596=""),"0","1")</f>
        <v>0</v>
      </c>
      <c r="AS596" s="13" t="str">
        <f t="shared" si="1197"/>
        <v>0</v>
      </c>
      <c r="AT596" s="698">
        <f t="shared" si="11"/>
        <v>0</v>
      </c>
    </row>
    <row r="597" ht="15.75" customHeight="1">
      <c r="A597" s="788" t="str">
        <f t="shared" si="5"/>
        <v>-</v>
      </c>
      <c r="B597" s="331"/>
      <c r="C597" s="331"/>
      <c r="D597" s="331"/>
      <c r="E597" s="790"/>
      <c r="F597" s="791"/>
      <c r="G597" s="331"/>
      <c r="H597" s="331"/>
      <c r="I597" s="331"/>
      <c r="J597" s="331"/>
      <c r="K597" s="331"/>
      <c r="L597" s="331"/>
      <c r="M597" s="331"/>
      <c r="N597" s="331"/>
      <c r="O597" s="331"/>
      <c r="P597" s="792"/>
      <c r="AB597" s="314"/>
      <c r="AC597" s="314"/>
      <c r="AD597" s="314"/>
      <c r="AE597" s="314"/>
      <c r="AF597" s="314"/>
      <c r="AG597" s="314"/>
      <c r="AJ597" s="13" t="str">
        <f t="shared" ref="AJ597:AQ597" si="1198">IF(OR(E597=$C597,E597=$D597,E597=""),"0","1")</f>
        <v>0</v>
      </c>
      <c r="AK597" s="13" t="str">
        <f t="shared" si="1198"/>
        <v>0</v>
      </c>
      <c r="AL597" s="13" t="str">
        <f t="shared" si="1198"/>
        <v>0</v>
      </c>
      <c r="AM597" s="13" t="str">
        <f t="shared" si="1198"/>
        <v>0</v>
      </c>
      <c r="AN597" s="13" t="str">
        <f t="shared" si="1198"/>
        <v>0</v>
      </c>
      <c r="AO597" s="13" t="str">
        <f t="shared" si="1198"/>
        <v>0</v>
      </c>
      <c r="AP597" s="13" t="str">
        <f t="shared" si="1198"/>
        <v>0</v>
      </c>
      <c r="AQ597" s="13" t="str">
        <f t="shared" si="1198"/>
        <v>0</v>
      </c>
      <c r="AR597" s="13" t="str">
        <f t="shared" ref="AR597:AS597" si="1199">IF(OR(O597=$C597,O597=$D597,O597=""),"0","1")</f>
        <v>0</v>
      </c>
      <c r="AS597" s="13" t="str">
        <f t="shared" si="1199"/>
        <v>0</v>
      </c>
      <c r="AT597" s="698">
        <f t="shared" si="11"/>
        <v>0</v>
      </c>
    </row>
    <row r="598" ht="15.75" customHeight="1">
      <c r="A598" s="788" t="str">
        <f t="shared" si="5"/>
        <v>-</v>
      </c>
      <c r="B598" s="331"/>
      <c r="C598" s="331"/>
      <c r="D598" s="331"/>
      <c r="E598" s="790"/>
      <c r="F598" s="791"/>
      <c r="G598" s="331"/>
      <c r="H598" s="331"/>
      <c r="I598" s="331"/>
      <c r="J598" s="331"/>
      <c r="K598" s="331"/>
      <c r="L598" s="331"/>
      <c r="M598" s="331"/>
      <c r="N598" s="331"/>
      <c r="O598" s="331"/>
      <c r="P598" s="792"/>
      <c r="AB598" s="314"/>
      <c r="AC598" s="314"/>
      <c r="AD598" s="314"/>
      <c r="AE598" s="314"/>
      <c r="AF598" s="314"/>
      <c r="AG598" s="314"/>
      <c r="AJ598" s="13" t="str">
        <f t="shared" ref="AJ598:AQ598" si="1200">IF(OR(E598=$C598,E598=$D598,E598=""),"0","1")</f>
        <v>0</v>
      </c>
      <c r="AK598" s="13" t="str">
        <f t="shared" si="1200"/>
        <v>0</v>
      </c>
      <c r="AL598" s="13" t="str">
        <f t="shared" si="1200"/>
        <v>0</v>
      </c>
      <c r="AM598" s="13" t="str">
        <f t="shared" si="1200"/>
        <v>0</v>
      </c>
      <c r="AN598" s="13" t="str">
        <f t="shared" si="1200"/>
        <v>0</v>
      </c>
      <c r="AO598" s="13" t="str">
        <f t="shared" si="1200"/>
        <v>0</v>
      </c>
      <c r="AP598" s="13" t="str">
        <f t="shared" si="1200"/>
        <v>0</v>
      </c>
      <c r="AQ598" s="13" t="str">
        <f t="shared" si="1200"/>
        <v>0</v>
      </c>
      <c r="AR598" s="13" t="str">
        <f t="shared" ref="AR598:AS598" si="1201">IF(OR(O598=$C598,O598=$D598,O598=""),"0","1")</f>
        <v>0</v>
      </c>
      <c r="AS598" s="13" t="str">
        <f t="shared" si="1201"/>
        <v>0</v>
      </c>
      <c r="AT598" s="698">
        <f t="shared" si="11"/>
        <v>0</v>
      </c>
    </row>
    <row r="599" ht="15.75" customHeight="1">
      <c r="A599" s="788" t="str">
        <f t="shared" si="5"/>
        <v>-</v>
      </c>
      <c r="B599" s="331"/>
      <c r="C599" s="331"/>
      <c r="D599" s="331"/>
      <c r="E599" s="790"/>
      <c r="F599" s="791"/>
      <c r="G599" s="331"/>
      <c r="H599" s="331"/>
      <c r="I599" s="331"/>
      <c r="J599" s="331"/>
      <c r="K599" s="331"/>
      <c r="L599" s="331"/>
      <c r="M599" s="331"/>
      <c r="N599" s="331"/>
      <c r="O599" s="331"/>
      <c r="P599" s="792"/>
      <c r="AB599" s="314"/>
      <c r="AC599" s="314"/>
      <c r="AD599" s="314"/>
      <c r="AE599" s="314"/>
      <c r="AF599" s="314"/>
      <c r="AG599" s="314"/>
      <c r="AJ599" s="13" t="str">
        <f t="shared" ref="AJ599:AQ599" si="1202">IF(OR(E599=$C599,E599=$D599,E599=""),"0","1")</f>
        <v>0</v>
      </c>
      <c r="AK599" s="13" t="str">
        <f t="shared" si="1202"/>
        <v>0</v>
      </c>
      <c r="AL599" s="13" t="str">
        <f t="shared" si="1202"/>
        <v>0</v>
      </c>
      <c r="AM599" s="13" t="str">
        <f t="shared" si="1202"/>
        <v>0</v>
      </c>
      <c r="AN599" s="13" t="str">
        <f t="shared" si="1202"/>
        <v>0</v>
      </c>
      <c r="AO599" s="13" t="str">
        <f t="shared" si="1202"/>
        <v>0</v>
      </c>
      <c r="AP599" s="13" t="str">
        <f t="shared" si="1202"/>
        <v>0</v>
      </c>
      <c r="AQ599" s="13" t="str">
        <f t="shared" si="1202"/>
        <v>0</v>
      </c>
      <c r="AR599" s="13" t="str">
        <f t="shared" ref="AR599:AS599" si="1203">IF(OR(O599=$C599,O599=$D599,O599=""),"0","1")</f>
        <v>0</v>
      </c>
      <c r="AS599" s="13" t="str">
        <f t="shared" si="1203"/>
        <v>0</v>
      </c>
      <c r="AT599" s="698">
        <f t="shared" si="11"/>
        <v>0</v>
      </c>
    </row>
    <row r="600" ht="15.75" customHeight="1">
      <c r="A600" s="788" t="str">
        <f t="shared" si="5"/>
        <v>-</v>
      </c>
      <c r="B600" s="331"/>
      <c r="C600" s="331"/>
      <c r="D600" s="331"/>
      <c r="E600" s="790"/>
      <c r="F600" s="791"/>
      <c r="G600" s="331"/>
      <c r="H600" s="331"/>
      <c r="I600" s="331"/>
      <c r="J600" s="331"/>
      <c r="K600" s="331"/>
      <c r="L600" s="331"/>
      <c r="M600" s="331"/>
      <c r="N600" s="331"/>
      <c r="O600" s="331"/>
      <c r="P600" s="792"/>
      <c r="AB600" s="314"/>
      <c r="AC600" s="314"/>
      <c r="AD600" s="314"/>
      <c r="AE600" s="314"/>
      <c r="AF600" s="314"/>
      <c r="AG600" s="314"/>
      <c r="AJ600" s="13" t="str">
        <f t="shared" ref="AJ600:AQ600" si="1204">IF(OR(E600=$C600,E600=$D600,E600=""),"0","1")</f>
        <v>0</v>
      </c>
      <c r="AK600" s="13" t="str">
        <f t="shared" si="1204"/>
        <v>0</v>
      </c>
      <c r="AL600" s="13" t="str">
        <f t="shared" si="1204"/>
        <v>0</v>
      </c>
      <c r="AM600" s="13" t="str">
        <f t="shared" si="1204"/>
        <v>0</v>
      </c>
      <c r="AN600" s="13" t="str">
        <f t="shared" si="1204"/>
        <v>0</v>
      </c>
      <c r="AO600" s="13" t="str">
        <f t="shared" si="1204"/>
        <v>0</v>
      </c>
      <c r="AP600" s="13" t="str">
        <f t="shared" si="1204"/>
        <v>0</v>
      </c>
      <c r="AQ600" s="13" t="str">
        <f t="shared" si="1204"/>
        <v>0</v>
      </c>
      <c r="AR600" s="13" t="str">
        <f t="shared" ref="AR600:AS600" si="1205">IF(OR(O600=$C600,O600=$D600,O600=""),"0","1")</f>
        <v>0</v>
      </c>
      <c r="AS600" s="13" t="str">
        <f t="shared" si="1205"/>
        <v>0</v>
      </c>
      <c r="AT600" s="698">
        <f t="shared" si="11"/>
        <v>0</v>
      </c>
    </row>
  </sheetData>
  <mergeCells count="1">
    <mergeCell ref="AB12:AH13"/>
  </mergeCells>
  <conditionalFormatting sqref="A1:A600">
    <cfRule type="colorScale" priority="1">
      <colorScale>
        <cfvo type="formula" val="0"/>
        <cfvo type="formula" val="1"/>
        <color theme="1"/>
        <color rgb="FFFF0000"/>
      </colorScale>
    </cfRule>
  </conditionalFormatting>
  <conditionalFormatting sqref="AG2:AG10">
    <cfRule type="colorScale" priority="2">
      <colorScale>
        <cfvo type="min"/>
        <cfvo type="max"/>
        <color rgb="FFFCFCFF"/>
        <color rgb="FF63BE7B"/>
      </colorScale>
    </cfRule>
  </conditionalFormatting>
  <conditionalFormatting sqref="AH2:AH10">
    <cfRule type="colorScale" priority="3">
      <colorScale>
        <cfvo type="min"/>
        <cfvo type="formula" val="$AH$11"/>
        <cfvo type="max"/>
        <color rgb="FFFF002A"/>
        <color theme="0"/>
        <color rgb="FF15A041"/>
      </colorScale>
    </cfRule>
  </conditionalFormatting>
  <conditionalFormatting sqref="AH2:AH10">
    <cfRule type="colorScale" priority="4">
      <colorScale>
        <cfvo type="min"/>
        <cfvo type="percent" val="$AH$11"/>
        <cfvo type="max"/>
        <color rgb="FFFF002A"/>
        <color theme="0"/>
        <color rgb="FF15A041"/>
      </colorScale>
    </cfRule>
  </conditionalFormatting>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33"/>
    <col customWidth="1" min="2" max="9" width="3.11"/>
    <col customWidth="1" min="10" max="10" width="7.44"/>
    <col customWidth="1" min="11" max="12" width="3.11"/>
    <col customWidth="1" min="13" max="13" width="7.44"/>
    <col customWidth="1" min="14" max="15" width="3.11"/>
    <col customWidth="1" min="16" max="16" width="5.67"/>
    <col customWidth="1" min="17" max="26" width="10.56"/>
  </cols>
  <sheetData>
    <row r="1" ht="15.75" customHeight="1">
      <c r="A1" s="860" t="s">
        <v>627</v>
      </c>
      <c r="B1" s="21"/>
      <c r="C1" s="21"/>
      <c r="D1" s="21"/>
      <c r="E1" s="21"/>
      <c r="F1" s="21"/>
      <c r="G1" s="24"/>
      <c r="H1" s="314"/>
      <c r="I1" s="314"/>
    </row>
    <row r="2" ht="15.75" customHeight="1">
      <c r="A2" s="861" t="s">
        <v>494</v>
      </c>
      <c r="B2" s="862">
        <v>2019.0</v>
      </c>
      <c r="C2" s="24"/>
      <c r="D2" s="862">
        <v>2020.0</v>
      </c>
      <c r="E2" s="24"/>
      <c r="F2" s="862">
        <v>2021.0</v>
      </c>
      <c r="G2" s="863"/>
      <c r="H2" s="862" t="s">
        <v>625</v>
      </c>
      <c r="I2" s="21"/>
      <c r="J2" s="24"/>
      <c r="K2" s="862">
        <v>2022.0</v>
      </c>
      <c r="L2" s="21"/>
      <c r="M2" s="24"/>
      <c r="N2" s="864" t="s">
        <v>628</v>
      </c>
      <c r="O2" s="515"/>
    </row>
    <row r="3" ht="15.75" customHeight="1">
      <c r="A3" s="331" t="s">
        <v>629</v>
      </c>
      <c r="B3" s="331">
        <v>3.0</v>
      </c>
      <c r="C3" s="331">
        <v>0.0</v>
      </c>
      <c r="D3" s="331">
        <v>2.0</v>
      </c>
      <c r="E3" s="331">
        <v>1.0</v>
      </c>
      <c r="F3" s="331">
        <v>0.0</v>
      </c>
      <c r="G3" s="792">
        <v>3.0</v>
      </c>
      <c r="H3" s="865">
        <f t="shared" ref="H3:I3" si="1">B3+D3+F3</f>
        <v>5</v>
      </c>
      <c r="I3" s="865">
        <f t="shared" si="1"/>
        <v>4</v>
      </c>
      <c r="J3" s="334">
        <f t="shared" ref="J3:J11" si="4">H3/(H3+I3)</f>
        <v>0.5555555556</v>
      </c>
      <c r="K3" s="866">
        <v>2.0</v>
      </c>
      <c r="L3" s="866">
        <v>2.0</v>
      </c>
      <c r="M3" s="334">
        <f t="shared" ref="M3:M10" si="5">(K3+H3)/(K3+H3+I3+L3)</f>
        <v>0.5384615385</v>
      </c>
      <c r="N3" s="585">
        <f t="shared" ref="N3:O3" si="2">H3+K3</f>
        <v>7</v>
      </c>
      <c r="O3" s="585">
        <f t="shared" si="2"/>
        <v>6</v>
      </c>
      <c r="P3" s="867">
        <f t="shared" ref="P3:P10" si="7">IFERROR(N3/(N3+O3),"N/A")</f>
        <v>0.5384615385</v>
      </c>
    </row>
    <row r="4" ht="15.75" customHeight="1">
      <c r="A4" s="331" t="s">
        <v>630</v>
      </c>
      <c r="B4" s="77"/>
      <c r="C4" s="77"/>
      <c r="D4" s="77"/>
      <c r="E4" s="77"/>
      <c r="F4" s="77"/>
      <c r="G4" s="868"/>
      <c r="H4" s="869">
        <f t="shared" ref="H4:I4" si="3">B4+D4+F4</f>
        <v>0</v>
      </c>
      <c r="I4" s="869">
        <f t="shared" si="3"/>
        <v>0</v>
      </c>
      <c r="J4" s="870" t="str">
        <f t="shared" si="4"/>
        <v>#DIV/0!</v>
      </c>
      <c r="K4" s="77">
        <v>0.0</v>
      </c>
      <c r="L4" s="77">
        <v>0.0</v>
      </c>
      <c r="M4" s="870" t="str">
        <f t="shared" si="5"/>
        <v>#DIV/0!</v>
      </c>
      <c r="N4" s="201">
        <f t="shared" ref="N4:O4" si="6">H4+K4</f>
        <v>0</v>
      </c>
      <c r="O4" s="201">
        <f t="shared" si="6"/>
        <v>0</v>
      </c>
      <c r="P4" s="867" t="str">
        <f t="shared" si="7"/>
        <v>N/A</v>
      </c>
    </row>
    <row r="5" ht="15.75" customHeight="1">
      <c r="A5" s="331" t="s">
        <v>631</v>
      </c>
      <c r="B5" s="331">
        <v>1.0</v>
      </c>
      <c r="C5" s="331">
        <v>2.0</v>
      </c>
      <c r="D5" s="331">
        <v>3.0</v>
      </c>
      <c r="E5" s="331">
        <v>0.0</v>
      </c>
      <c r="F5" s="331">
        <v>0.0</v>
      </c>
      <c r="G5" s="792">
        <v>2.0</v>
      </c>
      <c r="H5" s="865">
        <f t="shared" ref="H5:I5" si="8">B5+D5+F5</f>
        <v>4</v>
      </c>
      <c r="I5" s="865">
        <f t="shared" si="8"/>
        <v>4</v>
      </c>
      <c r="J5" s="334">
        <f t="shared" si="4"/>
        <v>0.5</v>
      </c>
      <c r="K5" s="866">
        <v>0.0</v>
      </c>
      <c r="L5" s="866">
        <v>4.0</v>
      </c>
      <c r="M5" s="334">
        <f t="shared" si="5"/>
        <v>0.3333333333</v>
      </c>
      <c r="N5" s="585">
        <f t="shared" ref="N5:O5" si="9">H5+K5</f>
        <v>4</v>
      </c>
      <c r="O5" s="585">
        <f t="shared" si="9"/>
        <v>8</v>
      </c>
      <c r="P5" s="867">
        <f t="shared" si="7"/>
        <v>0.3333333333</v>
      </c>
    </row>
    <row r="6" ht="15.75" customHeight="1">
      <c r="A6" s="331" t="s">
        <v>632</v>
      </c>
      <c r="B6" s="331">
        <v>1.0</v>
      </c>
      <c r="C6" s="331">
        <v>2.0</v>
      </c>
      <c r="D6" s="331">
        <v>4.0</v>
      </c>
      <c r="E6" s="331">
        <v>0.0</v>
      </c>
      <c r="F6" s="331">
        <v>2.0</v>
      </c>
      <c r="G6" s="792">
        <v>1.0</v>
      </c>
      <c r="H6" s="865">
        <f t="shared" ref="H6:I6" si="10">B6+D6+F6</f>
        <v>7</v>
      </c>
      <c r="I6" s="865">
        <f t="shared" si="10"/>
        <v>3</v>
      </c>
      <c r="J6" s="334">
        <f t="shared" si="4"/>
        <v>0.7</v>
      </c>
      <c r="K6" s="871">
        <v>2.0</v>
      </c>
      <c r="L6" s="871">
        <v>1.0</v>
      </c>
      <c r="M6" s="334">
        <f t="shared" si="5"/>
        <v>0.6923076923</v>
      </c>
      <c r="N6" s="585">
        <f t="shared" ref="N6:O6" si="11">H6+K6</f>
        <v>9</v>
      </c>
      <c r="O6" s="585">
        <f t="shared" si="11"/>
        <v>4</v>
      </c>
      <c r="P6" s="867">
        <f t="shared" si="7"/>
        <v>0.6923076923</v>
      </c>
    </row>
    <row r="7" ht="15.75" customHeight="1">
      <c r="A7" s="331" t="s">
        <v>633</v>
      </c>
      <c r="B7" s="331">
        <v>0.0</v>
      </c>
      <c r="C7" s="331">
        <v>1.0</v>
      </c>
      <c r="D7" s="331">
        <v>2.0</v>
      </c>
      <c r="E7" s="331">
        <v>0.0</v>
      </c>
      <c r="F7" s="331">
        <v>1.0</v>
      </c>
      <c r="G7" s="792">
        <v>1.0</v>
      </c>
      <c r="H7" s="865">
        <f t="shared" ref="H7:I7" si="12">B7+D7+F7</f>
        <v>3</v>
      </c>
      <c r="I7" s="865">
        <f t="shared" si="12"/>
        <v>2</v>
      </c>
      <c r="J7" s="334">
        <f t="shared" si="4"/>
        <v>0.6</v>
      </c>
      <c r="K7" s="866">
        <v>1.0</v>
      </c>
      <c r="L7" s="866">
        <v>1.0</v>
      </c>
      <c r="M7" s="334">
        <f t="shared" si="5"/>
        <v>0.5714285714</v>
      </c>
      <c r="N7" s="585">
        <f t="shared" ref="N7:O7" si="13">H7+K7</f>
        <v>4</v>
      </c>
      <c r="O7" s="585">
        <f t="shared" si="13"/>
        <v>3</v>
      </c>
      <c r="P7" s="867">
        <f t="shared" si="7"/>
        <v>0.5714285714</v>
      </c>
    </row>
    <row r="8" ht="15.75" customHeight="1">
      <c r="A8" s="331" t="s">
        <v>634</v>
      </c>
      <c r="B8" s="331">
        <v>0.0</v>
      </c>
      <c r="C8" s="331">
        <v>1.0</v>
      </c>
      <c r="D8" s="331">
        <v>0.0</v>
      </c>
      <c r="E8" s="331">
        <v>1.0</v>
      </c>
      <c r="F8" s="331">
        <v>1.0</v>
      </c>
      <c r="G8" s="792">
        <v>0.0</v>
      </c>
      <c r="H8" s="865">
        <f t="shared" ref="H8:I8" si="14">B8+D8+F8</f>
        <v>1</v>
      </c>
      <c r="I8" s="865">
        <f t="shared" si="14"/>
        <v>2</v>
      </c>
      <c r="J8" s="872">
        <f t="shared" si="4"/>
        <v>0.3333333333</v>
      </c>
      <c r="K8" s="871">
        <v>1.0</v>
      </c>
      <c r="L8" s="871">
        <v>0.0</v>
      </c>
      <c r="M8" s="334">
        <f t="shared" si="5"/>
        <v>0.5</v>
      </c>
      <c r="N8" s="585">
        <f t="shared" ref="N8:O8" si="15">H8+K8</f>
        <v>2</v>
      </c>
      <c r="O8" s="585">
        <f t="shared" si="15"/>
        <v>2</v>
      </c>
      <c r="P8" s="867">
        <f t="shared" si="7"/>
        <v>0.5</v>
      </c>
    </row>
    <row r="9" ht="15.75" customHeight="1">
      <c r="A9" s="331" t="s">
        <v>635</v>
      </c>
      <c r="B9" s="77"/>
      <c r="C9" s="77"/>
      <c r="D9" s="77"/>
      <c r="E9" s="77"/>
      <c r="F9" s="331">
        <v>2.0</v>
      </c>
      <c r="G9" s="792">
        <v>0.0</v>
      </c>
      <c r="H9" s="865">
        <f t="shared" ref="H9:I9" si="16">B9+D9+F9</f>
        <v>2</v>
      </c>
      <c r="I9" s="865">
        <f t="shared" si="16"/>
        <v>0</v>
      </c>
      <c r="J9" s="873">
        <f t="shared" si="4"/>
        <v>1</v>
      </c>
      <c r="K9" s="866">
        <v>0.0</v>
      </c>
      <c r="L9" s="866">
        <v>1.0</v>
      </c>
      <c r="M9" s="334">
        <f t="shared" si="5"/>
        <v>0.6666666667</v>
      </c>
      <c r="N9" s="585">
        <f t="shared" ref="N9:O9" si="17">H9+K9</f>
        <v>2</v>
      </c>
      <c r="O9" s="585">
        <f t="shared" si="17"/>
        <v>1</v>
      </c>
      <c r="P9" s="867">
        <f t="shared" si="7"/>
        <v>0.6666666667</v>
      </c>
    </row>
    <row r="10" ht="15.75" customHeight="1">
      <c r="A10" s="331" t="s">
        <v>636</v>
      </c>
      <c r="B10" s="331">
        <v>2.0</v>
      </c>
      <c r="C10" s="331">
        <v>2.0</v>
      </c>
      <c r="D10" s="331">
        <v>1.0</v>
      </c>
      <c r="E10" s="331">
        <v>0.0</v>
      </c>
      <c r="F10" s="331">
        <v>1.0</v>
      </c>
      <c r="G10" s="792">
        <v>0.0</v>
      </c>
      <c r="H10" s="865">
        <f t="shared" ref="H10:I10" si="18">B10+D10+F10</f>
        <v>4</v>
      </c>
      <c r="I10" s="865">
        <f t="shared" si="18"/>
        <v>2</v>
      </c>
      <c r="J10" s="334">
        <f t="shared" si="4"/>
        <v>0.6666666667</v>
      </c>
      <c r="K10" s="871">
        <v>0.0</v>
      </c>
      <c r="L10" s="871">
        <v>2.0</v>
      </c>
      <c r="M10" s="334">
        <f t="shared" si="5"/>
        <v>0.5</v>
      </c>
      <c r="N10" s="585">
        <f t="shared" ref="N10:O10" si="19">H10+K10</f>
        <v>4</v>
      </c>
      <c r="O10" s="585">
        <f t="shared" si="19"/>
        <v>4</v>
      </c>
      <c r="P10" s="867">
        <f t="shared" si="7"/>
        <v>0.5</v>
      </c>
    </row>
    <row r="11" ht="15.75" customHeight="1">
      <c r="B11" s="874">
        <v>7.0</v>
      </c>
      <c r="C11" s="874">
        <v>9.0</v>
      </c>
      <c r="D11" s="874">
        <v>13.0</v>
      </c>
      <c r="E11" s="874">
        <v>2.0</v>
      </c>
      <c r="F11" s="874">
        <v>9.0</v>
      </c>
      <c r="G11" s="874">
        <v>7.0</v>
      </c>
      <c r="H11" s="875">
        <f t="shared" ref="H11:I11" si="20">B11+D11+F11</f>
        <v>29</v>
      </c>
      <c r="I11" s="875">
        <f t="shared" si="20"/>
        <v>18</v>
      </c>
      <c r="J11" s="876">
        <f t="shared" si="4"/>
        <v>0.6170212766</v>
      </c>
      <c r="K11" s="877">
        <f t="shared" ref="K11:L11" si="21">SUM(K3:K10)</f>
        <v>6</v>
      </c>
      <c r="L11" s="877">
        <f t="shared" si="21"/>
        <v>11</v>
      </c>
      <c r="M11" s="876">
        <f>K11/(K11+L11)</f>
        <v>0.3529411765</v>
      </c>
      <c r="N11" s="878">
        <f t="shared" ref="N11:O11" si="22">H11+SUM(K3:K10)</f>
        <v>35</v>
      </c>
      <c r="O11" s="878">
        <f t="shared" si="22"/>
        <v>29</v>
      </c>
      <c r="P11" s="879">
        <f>N11/(N11+O11)</f>
        <v>0.546875</v>
      </c>
    </row>
    <row r="12" ht="15.75" customHeight="1">
      <c r="H12" s="314"/>
      <c r="I12" s="314"/>
    </row>
    <row r="13" ht="15.75" customHeight="1">
      <c r="H13" s="314"/>
      <c r="I13" s="314"/>
    </row>
    <row r="14" ht="15.75" customHeight="1">
      <c r="A14" s="861" t="s">
        <v>538</v>
      </c>
      <c r="B14" s="862">
        <v>2019.0</v>
      </c>
      <c r="C14" s="24"/>
      <c r="D14" s="862">
        <v>2020.0</v>
      </c>
      <c r="E14" s="24"/>
      <c r="F14" s="862">
        <v>2021.0</v>
      </c>
      <c r="G14" s="24"/>
      <c r="H14" s="880" t="s">
        <v>625</v>
      </c>
      <c r="I14" s="21"/>
      <c r="J14" s="24"/>
      <c r="K14" s="862">
        <v>2022.0</v>
      </c>
      <c r="L14" s="21"/>
      <c r="M14" s="24"/>
      <c r="N14" s="864" t="s">
        <v>628</v>
      </c>
      <c r="O14" s="515"/>
    </row>
    <row r="15" ht="15.75" customHeight="1">
      <c r="A15" s="331" t="s">
        <v>629</v>
      </c>
      <c r="B15" s="331">
        <v>1.0</v>
      </c>
      <c r="C15" s="331">
        <v>1.0</v>
      </c>
      <c r="D15" s="331">
        <v>0.0</v>
      </c>
      <c r="E15" s="331">
        <v>1.0</v>
      </c>
      <c r="F15" s="331">
        <v>0.0</v>
      </c>
      <c r="G15" s="331">
        <v>1.0</v>
      </c>
      <c r="H15" s="865">
        <f t="shared" ref="H15:I15" si="23">B15+D15+F15</f>
        <v>1</v>
      </c>
      <c r="I15" s="865">
        <f t="shared" si="23"/>
        <v>3</v>
      </c>
      <c r="J15" s="872">
        <f t="shared" ref="J15:J23" si="26">H15/(H15+I15)</f>
        <v>0.25</v>
      </c>
      <c r="K15" s="866">
        <v>0.0</v>
      </c>
      <c r="L15" s="866">
        <v>1.0</v>
      </c>
      <c r="M15" s="334">
        <f t="shared" ref="M15:M22" si="27">(K15+H15)/(K15+H15+I15+L15)</f>
        <v>0.2</v>
      </c>
      <c r="N15" s="585">
        <f t="shared" ref="N15:O15" si="24">H15+K15</f>
        <v>1</v>
      </c>
      <c r="O15" s="585">
        <f t="shared" si="24"/>
        <v>4</v>
      </c>
      <c r="P15" s="867">
        <f t="shared" ref="P15:P22" si="29">IFERROR(N15/(N15+O15),"N/A")</f>
        <v>0.2</v>
      </c>
    </row>
    <row r="16" ht="15.75" customHeight="1">
      <c r="A16" s="331" t="s">
        <v>630</v>
      </c>
      <c r="B16" s="331">
        <v>1.0</v>
      </c>
      <c r="C16" s="331">
        <v>0.0</v>
      </c>
      <c r="D16" s="331">
        <v>1.0</v>
      </c>
      <c r="E16" s="331">
        <v>0.0</v>
      </c>
      <c r="F16" s="331">
        <v>0.0</v>
      </c>
      <c r="G16" s="331">
        <v>1.0</v>
      </c>
      <c r="H16" s="865">
        <f t="shared" ref="H16:I16" si="25">B16+D16+F16</f>
        <v>2</v>
      </c>
      <c r="I16" s="865">
        <f t="shared" si="25"/>
        <v>1</v>
      </c>
      <c r="J16" s="334">
        <f t="shared" si="26"/>
        <v>0.6666666667</v>
      </c>
      <c r="K16" s="871">
        <v>0.0</v>
      </c>
      <c r="L16" s="871">
        <v>1.0</v>
      </c>
      <c r="M16" s="334">
        <f t="shared" si="27"/>
        <v>0.5</v>
      </c>
      <c r="N16" s="585">
        <f t="shared" ref="N16:O16" si="28">H16+K16</f>
        <v>2</v>
      </c>
      <c r="O16" s="585">
        <f t="shared" si="28"/>
        <v>2</v>
      </c>
      <c r="P16" s="867">
        <f t="shared" si="29"/>
        <v>0.5</v>
      </c>
    </row>
    <row r="17" ht="15.75" customHeight="1">
      <c r="A17" s="331" t="s">
        <v>631</v>
      </c>
      <c r="B17" s="331">
        <v>2.0</v>
      </c>
      <c r="C17" s="331">
        <v>1.0</v>
      </c>
      <c r="D17" s="331">
        <v>1.0</v>
      </c>
      <c r="E17" s="331">
        <v>0.0</v>
      </c>
      <c r="F17" s="331">
        <v>1.0</v>
      </c>
      <c r="G17" s="331">
        <v>0.0</v>
      </c>
      <c r="H17" s="865">
        <f t="shared" ref="H17:I17" si="30">B17+D17+F17</f>
        <v>4</v>
      </c>
      <c r="I17" s="865">
        <f t="shared" si="30"/>
        <v>1</v>
      </c>
      <c r="J17" s="334">
        <f t="shared" si="26"/>
        <v>0.8</v>
      </c>
      <c r="K17" s="866">
        <v>1.0</v>
      </c>
      <c r="L17" s="866">
        <v>1.0</v>
      </c>
      <c r="M17" s="334">
        <f t="shared" si="27"/>
        <v>0.7142857143</v>
      </c>
      <c r="N17" s="585">
        <f t="shared" ref="N17:O17" si="31">H17+K17</f>
        <v>5</v>
      </c>
      <c r="O17" s="585">
        <f t="shared" si="31"/>
        <v>2</v>
      </c>
      <c r="P17" s="867">
        <f t="shared" si="29"/>
        <v>0.7142857143</v>
      </c>
    </row>
    <row r="18" ht="15.75" customHeight="1">
      <c r="A18" s="331" t="s">
        <v>632</v>
      </c>
      <c r="B18" s="331">
        <v>0.0</v>
      </c>
      <c r="C18" s="331">
        <v>1.0</v>
      </c>
      <c r="D18" s="331">
        <v>2.0</v>
      </c>
      <c r="E18" s="331">
        <v>0.0</v>
      </c>
      <c r="F18" s="331">
        <v>1.0</v>
      </c>
      <c r="G18" s="331">
        <v>1.0</v>
      </c>
      <c r="H18" s="865">
        <f t="shared" ref="H18:I18" si="32">B18+D18+F18</f>
        <v>3</v>
      </c>
      <c r="I18" s="865">
        <f t="shared" si="32"/>
        <v>2</v>
      </c>
      <c r="J18" s="334">
        <f t="shared" si="26"/>
        <v>0.6</v>
      </c>
      <c r="K18" s="871">
        <v>1.0</v>
      </c>
      <c r="L18" s="871">
        <v>1.0</v>
      </c>
      <c r="M18" s="334">
        <f t="shared" si="27"/>
        <v>0.5714285714</v>
      </c>
      <c r="N18" s="585">
        <f t="shared" ref="N18:O18" si="33">H18+K18</f>
        <v>4</v>
      </c>
      <c r="O18" s="585">
        <f t="shared" si="33"/>
        <v>3</v>
      </c>
      <c r="P18" s="867">
        <f t="shared" si="29"/>
        <v>0.5714285714</v>
      </c>
    </row>
    <row r="19" ht="15.75" customHeight="1">
      <c r="A19" s="331" t="s">
        <v>633</v>
      </c>
      <c r="B19" s="331">
        <v>1.0</v>
      </c>
      <c r="C19" s="331">
        <v>2.0</v>
      </c>
      <c r="D19" s="331">
        <v>0.0</v>
      </c>
      <c r="E19" s="331">
        <v>4.0</v>
      </c>
      <c r="F19" s="331">
        <v>2.0</v>
      </c>
      <c r="G19" s="331">
        <v>1.0</v>
      </c>
      <c r="H19" s="865">
        <f t="shared" ref="H19:I19" si="34">B19+D19+F19</f>
        <v>3</v>
      </c>
      <c r="I19" s="865">
        <f t="shared" si="34"/>
        <v>7</v>
      </c>
      <c r="J19" s="334">
        <f t="shared" si="26"/>
        <v>0.3</v>
      </c>
      <c r="K19" s="866">
        <v>2.0</v>
      </c>
      <c r="L19" s="866">
        <v>1.0</v>
      </c>
      <c r="M19" s="334">
        <f t="shared" si="27"/>
        <v>0.3846153846</v>
      </c>
      <c r="N19" s="585">
        <f t="shared" ref="N19:O19" si="35">H19+K19</f>
        <v>5</v>
      </c>
      <c r="O19" s="585">
        <f t="shared" si="35"/>
        <v>8</v>
      </c>
      <c r="P19" s="867">
        <f t="shared" si="29"/>
        <v>0.3846153846</v>
      </c>
    </row>
    <row r="20" ht="15.75" customHeight="1">
      <c r="A20" s="331" t="s">
        <v>634</v>
      </c>
      <c r="B20" s="77"/>
      <c r="C20" s="77"/>
      <c r="D20" s="77"/>
      <c r="E20" s="77"/>
      <c r="F20" s="77"/>
      <c r="G20" s="77"/>
      <c r="H20" s="869">
        <f t="shared" ref="H20:I20" si="36">B20+D20+F20</f>
        <v>0</v>
      </c>
      <c r="I20" s="869">
        <f t="shared" si="36"/>
        <v>0</v>
      </c>
      <c r="J20" s="77" t="str">
        <f t="shared" si="26"/>
        <v>#DIV/0!</v>
      </c>
      <c r="K20" s="77">
        <v>0.0</v>
      </c>
      <c r="L20" s="77">
        <v>0.0</v>
      </c>
      <c r="M20" s="870" t="str">
        <f t="shared" si="27"/>
        <v>#DIV/0!</v>
      </c>
      <c r="N20" s="201">
        <f t="shared" ref="N20:O20" si="37">H20+K20</f>
        <v>0</v>
      </c>
      <c r="O20" s="201">
        <f t="shared" si="37"/>
        <v>0</v>
      </c>
      <c r="P20" s="867" t="str">
        <f t="shared" si="29"/>
        <v>N/A</v>
      </c>
    </row>
    <row r="21" ht="15.75" customHeight="1">
      <c r="A21" s="331" t="s">
        <v>635</v>
      </c>
      <c r="B21" s="77"/>
      <c r="C21" s="77"/>
      <c r="D21" s="77"/>
      <c r="E21" s="77"/>
      <c r="F21" s="331">
        <v>1.0</v>
      </c>
      <c r="G21" s="331">
        <v>0.0</v>
      </c>
      <c r="H21" s="865">
        <f t="shared" ref="H21:I21" si="38">B21+D21+F21</f>
        <v>1</v>
      </c>
      <c r="I21" s="865">
        <f t="shared" si="38"/>
        <v>0</v>
      </c>
      <c r="J21" s="881">
        <f t="shared" si="26"/>
        <v>1</v>
      </c>
      <c r="K21" s="866">
        <v>4.0</v>
      </c>
      <c r="L21" s="866">
        <v>0.0</v>
      </c>
      <c r="M21" s="334">
        <f t="shared" si="27"/>
        <v>1</v>
      </c>
      <c r="N21" s="585">
        <f t="shared" ref="N21:O21" si="39">H21+K21</f>
        <v>5</v>
      </c>
      <c r="O21" s="585">
        <f t="shared" si="39"/>
        <v>0</v>
      </c>
      <c r="P21" s="867">
        <f t="shared" si="29"/>
        <v>1</v>
      </c>
    </row>
    <row r="22" ht="15.75" customHeight="1">
      <c r="A22" s="331" t="s">
        <v>636</v>
      </c>
      <c r="B22" s="331">
        <v>2.0</v>
      </c>
      <c r="C22" s="331">
        <v>1.0</v>
      </c>
      <c r="D22" s="331">
        <v>2.0</v>
      </c>
      <c r="E22" s="331">
        <v>1.0</v>
      </c>
      <c r="F22" s="331">
        <v>2.0</v>
      </c>
      <c r="G22" s="331">
        <v>1.0</v>
      </c>
      <c r="H22" s="865">
        <f t="shared" ref="H22:I22" si="40">B22+D22+F22</f>
        <v>6</v>
      </c>
      <c r="I22" s="865">
        <f t="shared" si="40"/>
        <v>3</v>
      </c>
      <c r="J22" s="334">
        <f t="shared" si="26"/>
        <v>0.6666666667</v>
      </c>
      <c r="K22" s="871">
        <v>2.0</v>
      </c>
      <c r="L22" s="871">
        <v>2.0</v>
      </c>
      <c r="M22" s="334">
        <f t="shared" si="27"/>
        <v>0.6153846154</v>
      </c>
      <c r="N22" s="585">
        <f t="shared" ref="N22:O22" si="41">H22+K22</f>
        <v>8</v>
      </c>
      <c r="O22" s="585">
        <f t="shared" si="41"/>
        <v>5</v>
      </c>
      <c r="P22" s="867">
        <f t="shared" si="29"/>
        <v>0.6153846154</v>
      </c>
    </row>
    <row r="23" ht="15.75" customHeight="1">
      <c r="B23" s="874">
        <v>8.0</v>
      </c>
      <c r="C23" s="874">
        <v>8.0</v>
      </c>
      <c r="D23" s="874">
        <v>10.0</v>
      </c>
      <c r="E23" s="874">
        <v>6.0</v>
      </c>
      <c r="F23" s="874">
        <v>8.0</v>
      </c>
      <c r="G23" s="874">
        <v>8.0</v>
      </c>
      <c r="H23" s="882">
        <f t="shared" ref="H23:I23" si="42">B23+D23+F23</f>
        <v>26</v>
      </c>
      <c r="I23" s="882">
        <f t="shared" si="42"/>
        <v>22</v>
      </c>
      <c r="J23" s="876">
        <f t="shared" si="26"/>
        <v>0.5416666667</v>
      </c>
      <c r="K23" s="877">
        <f t="shared" ref="K23:L23" si="43">SUM(K15:K22)</f>
        <v>10</v>
      </c>
      <c r="L23" s="877">
        <f t="shared" si="43"/>
        <v>7</v>
      </c>
      <c r="M23" s="876">
        <f>K23/(K23+L23)</f>
        <v>0.5882352941</v>
      </c>
      <c r="N23" s="878">
        <f t="shared" ref="N23:O23" si="44">H23+SUM(K15:K22)</f>
        <v>36</v>
      </c>
      <c r="O23" s="878">
        <f t="shared" si="44"/>
        <v>29</v>
      </c>
      <c r="P23" s="879">
        <f>N23/(N23+O23)</f>
        <v>0.5538461538</v>
      </c>
    </row>
    <row r="24" ht="15.75" customHeight="1">
      <c r="H24" s="314"/>
      <c r="I24" s="314"/>
    </row>
    <row r="25" ht="15.75" customHeight="1">
      <c r="A25" s="861" t="s">
        <v>493</v>
      </c>
      <c r="B25" s="862">
        <v>2019.0</v>
      </c>
      <c r="C25" s="24"/>
      <c r="D25" s="862">
        <v>2020.0</v>
      </c>
      <c r="E25" s="24"/>
      <c r="F25" s="862">
        <v>2021.0</v>
      </c>
      <c r="G25" s="24"/>
      <c r="H25" s="880" t="s">
        <v>625</v>
      </c>
      <c r="I25" s="21"/>
      <c r="J25" s="24"/>
      <c r="K25" s="862">
        <v>2022.0</v>
      </c>
      <c r="L25" s="21"/>
      <c r="M25" s="24"/>
      <c r="N25" s="864" t="s">
        <v>628</v>
      </c>
      <c r="O25" s="515"/>
    </row>
    <row r="26" ht="15.75" customHeight="1">
      <c r="A26" s="331" t="s">
        <v>629</v>
      </c>
      <c r="B26" s="77"/>
      <c r="C26" s="77"/>
      <c r="D26" s="77"/>
      <c r="E26" s="77"/>
      <c r="F26" s="77"/>
      <c r="G26" s="77"/>
      <c r="H26" s="869">
        <f t="shared" ref="H26:I26" si="45">B26+D26+F26</f>
        <v>0</v>
      </c>
      <c r="I26" s="883">
        <f t="shared" si="45"/>
        <v>0</v>
      </c>
      <c r="J26" s="870" t="str">
        <f t="shared" ref="J26:J34" si="48">H26/(H26+I26)</f>
        <v>#DIV/0!</v>
      </c>
      <c r="K26" s="77">
        <v>0.0</v>
      </c>
      <c r="L26" s="77">
        <v>0.0</v>
      </c>
      <c r="M26" s="870" t="str">
        <f t="shared" ref="M26:M33" si="49">(K26+H26)/(K26+H26+I26+L26)</f>
        <v>#DIV/0!</v>
      </c>
      <c r="N26" s="201">
        <f t="shared" ref="N26:O26" si="46">H26+K26</f>
        <v>0</v>
      </c>
      <c r="O26" s="201">
        <f t="shared" si="46"/>
        <v>0</v>
      </c>
      <c r="P26" s="867" t="str">
        <f t="shared" ref="P26:P33" si="51">IFERROR(N26/(N26+O26),"N/A")</f>
        <v>N/A</v>
      </c>
    </row>
    <row r="27" ht="15.75" customHeight="1">
      <c r="A27" s="331" t="s">
        <v>630</v>
      </c>
      <c r="B27" s="331">
        <v>0.0</v>
      </c>
      <c r="C27" s="331">
        <v>3.0</v>
      </c>
      <c r="D27" s="331">
        <v>1.0</v>
      </c>
      <c r="E27" s="331">
        <v>2.0</v>
      </c>
      <c r="F27" s="331">
        <v>3.0</v>
      </c>
      <c r="G27" s="331">
        <v>0.0</v>
      </c>
      <c r="H27" s="865">
        <f t="shared" ref="H27:I27" si="47">B27+D27+F27</f>
        <v>4</v>
      </c>
      <c r="I27" s="884">
        <f t="shared" si="47"/>
        <v>5</v>
      </c>
      <c r="J27" s="334">
        <f t="shared" si="48"/>
        <v>0.4444444444</v>
      </c>
      <c r="K27" s="871">
        <v>2.0</v>
      </c>
      <c r="L27" s="871">
        <v>2.0</v>
      </c>
      <c r="M27" s="334">
        <f t="shared" si="49"/>
        <v>0.4615384615</v>
      </c>
      <c r="N27" s="585">
        <f t="shared" ref="N27:O27" si="50">H27+K27</f>
        <v>6</v>
      </c>
      <c r="O27" s="585">
        <f t="shared" si="50"/>
        <v>7</v>
      </c>
      <c r="P27" s="867">
        <f t="shared" si="51"/>
        <v>0.4615384615</v>
      </c>
    </row>
    <row r="28" ht="15.75" customHeight="1">
      <c r="A28" s="331" t="s">
        <v>631</v>
      </c>
      <c r="B28" s="331">
        <v>2.0</v>
      </c>
      <c r="C28" s="331">
        <v>1.0</v>
      </c>
      <c r="D28" s="331">
        <v>3.0</v>
      </c>
      <c r="E28" s="331">
        <v>0.0</v>
      </c>
      <c r="F28" s="331">
        <v>2.0</v>
      </c>
      <c r="G28" s="331">
        <v>1.0</v>
      </c>
      <c r="H28" s="865">
        <f t="shared" ref="H28:I28" si="52">B28+D28+F28</f>
        <v>7</v>
      </c>
      <c r="I28" s="884">
        <f t="shared" si="52"/>
        <v>2</v>
      </c>
      <c r="J28" s="334">
        <f t="shared" si="48"/>
        <v>0.7777777778</v>
      </c>
      <c r="K28" s="866">
        <v>1.0</v>
      </c>
      <c r="L28" s="866">
        <v>2.0</v>
      </c>
      <c r="M28" s="334">
        <f t="shared" si="49"/>
        <v>0.6666666667</v>
      </c>
      <c r="N28" s="585">
        <f t="shared" ref="N28:O28" si="53">H28+K28</f>
        <v>8</v>
      </c>
      <c r="O28" s="585">
        <f t="shared" si="53"/>
        <v>4</v>
      </c>
      <c r="P28" s="867">
        <f t="shared" si="51"/>
        <v>0.6666666667</v>
      </c>
    </row>
    <row r="29" ht="15.75" customHeight="1">
      <c r="A29" s="331" t="s">
        <v>632</v>
      </c>
      <c r="B29" s="331">
        <v>1.0</v>
      </c>
      <c r="C29" s="331">
        <v>3.0</v>
      </c>
      <c r="D29" s="331">
        <v>2.0</v>
      </c>
      <c r="E29" s="331">
        <v>2.0</v>
      </c>
      <c r="F29" s="331">
        <v>0.0</v>
      </c>
      <c r="G29" s="331">
        <v>2.0</v>
      </c>
      <c r="H29" s="865">
        <f t="shared" ref="H29:I29" si="54">B29+D29+F29</f>
        <v>3</v>
      </c>
      <c r="I29" s="884">
        <f t="shared" si="54"/>
        <v>7</v>
      </c>
      <c r="J29" s="872">
        <f t="shared" si="48"/>
        <v>0.3</v>
      </c>
      <c r="K29" s="871">
        <v>1.0</v>
      </c>
      <c r="L29" s="871">
        <v>2.0</v>
      </c>
      <c r="M29" s="334">
        <f t="shared" si="49"/>
        <v>0.3076923077</v>
      </c>
      <c r="N29" s="585">
        <f t="shared" ref="N29:O29" si="55">H29+K29</f>
        <v>4</v>
      </c>
      <c r="O29" s="585">
        <f t="shared" si="55"/>
        <v>9</v>
      </c>
      <c r="P29" s="867">
        <f t="shared" si="51"/>
        <v>0.3076923077</v>
      </c>
    </row>
    <row r="30" ht="15.75" customHeight="1">
      <c r="A30" s="331" t="s">
        <v>633</v>
      </c>
      <c r="B30" s="331">
        <v>1.0</v>
      </c>
      <c r="C30" s="331">
        <v>0.0</v>
      </c>
      <c r="D30" s="331">
        <v>0.0</v>
      </c>
      <c r="E30" s="331">
        <v>1.0</v>
      </c>
      <c r="F30" s="331">
        <v>1.0</v>
      </c>
      <c r="G30" s="331">
        <v>0.0</v>
      </c>
      <c r="H30" s="865">
        <f t="shared" ref="H30:I30" si="56">B30+D30+F30</f>
        <v>2</v>
      </c>
      <c r="I30" s="884">
        <f t="shared" si="56"/>
        <v>1</v>
      </c>
      <c r="J30" s="334">
        <f t="shared" si="48"/>
        <v>0.6666666667</v>
      </c>
      <c r="K30" s="866">
        <v>0.0</v>
      </c>
      <c r="L30" s="866">
        <v>1.0</v>
      </c>
      <c r="M30" s="334">
        <f t="shared" si="49"/>
        <v>0.5</v>
      </c>
      <c r="N30" s="585">
        <f t="shared" ref="N30:O30" si="57">H30+K30</f>
        <v>2</v>
      </c>
      <c r="O30" s="585">
        <f t="shared" si="57"/>
        <v>2</v>
      </c>
      <c r="P30" s="867">
        <f t="shared" si="51"/>
        <v>0.5</v>
      </c>
    </row>
    <row r="31" ht="15.75" customHeight="1">
      <c r="A31" s="331" t="s">
        <v>634</v>
      </c>
      <c r="B31" s="331">
        <v>1.0</v>
      </c>
      <c r="C31" s="331">
        <v>1.0</v>
      </c>
      <c r="D31" s="331">
        <v>1.0</v>
      </c>
      <c r="E31" s="331">
        <v>0.0</v>
      </c>
      <c r="F31" s="331">
        <v>1.0</v>
      </c>
      <c r="G31" s="331">
        <v>0.0</v>
      </c>
      <c r="H31" s="865">
        <f t="shared" ref="H31:I31" si="58">B31+D31+F31</f>
        <v>3</v>
      </c>
      <c r="I31" s="884">
        <f t="shared" si="58"/>
        <v>1</v>
      </c>
      <c r="J31" s="334">
        <f t="shared" si="48"/>
        <v>0.75</v>
      </c>
      <c r="K31" s="871">
        <v>1.0</v>
      </c>
      <c r="L31" s="871">
        <v>0.0</v>
      </c>
      <c r="M31" s="334">
        <f t="shared" si="49"/>
        <v>0.8</v>
      </c>
      <c r="N31" s="585">
        <f t="shared" ref="N31:O31" si="59">H31+K31</f>
        <v>4</v>
      </c>
      <c r="O31" s="585">
        <f t="shared" si="59"/>
        <v>1</v>
      </c>
      <c r="P31" s="867">
        <f t="shared" si="51"/>
        <v>0.8</v>
      </c>
    </row>
    <row r="32" ht="15.75" customHeight="1">
      <c r="A32" s="331" t="s">
        <v>635</v>
      </c>
      <c r="B32" s="77"/>
      <c r="C32" s="77"/>
      <c r="D32" s="77"/>
      <c r="E32" s="77"/>
      <c r="F32" s="331">
        <v>3.0</v>
      </c>
      <c r="G32" s="331">
        <v>0.0</v>
      </c>
      <c r="H32" s="865">
        <f t="shared" ref="H32:I32" si="60">B32+D32+F32</f>
        <v>3</v>
      </c>
      <c r="I32" s="884">
        <f t="shared" si="60"/>
        <v>0</v>
      </c>
      <c r="J32" s="873">
        <f t="shared" si="48"/>
        <v>1</v>
      </c>
      <c r="K32" s="866">
        <v>2.0</v>
      </c>
      <c r="L32" s="866">
        <v>2.0</v>
      </c>
      <c r="M32" s="334">
        <f t="shared" si="49"/>
        <v>0.7142857143</v>
      </c>
      <c r="N32" s="585">
        <f t="shared" ref="N32:O32" si="61">H32+K32</f>
        <v>5</v>
      </c>
      <c r="O32" s="585">
        <f t="shared" si="61"/>
        <v>2</v>
      </c>
      <c r="P32" s="867">
        <f t="shared" si="51"/>
        <v>0.7142857143</v>
      </c>
    </row>
    <row r="33" ht="15.75" customHeight="1">
      <c r="A33" s="331" t="s">
        <v>636</v>
      </c>
      <c r="B33" s="331">
        <v>1.0</v>
      </c>
      <c r="C33" s="331">
        <v>0.0</v>
      </c>
      <c r="D33" s="331">
        <v>0.0</v>
      </c>
      <c r="E33" s="331">
        <v>1.0</v>
      </c>
      <c r="F33" s="331">
        <v>0.0</v>
      </c>
      <c r="G33" s="331">
        <v>1.0</v>
      </c>
      <c r="H33" s="865">
        <f t="shared" ref="H33:I33" si="62">B33+D33+F33</f>
        <v>1</v>
      </c>
      <c r="I33" s="884">
        <f t="shared" si="62"/>
        <v>2</v>
      </c>
      <c r="J33" s="337">
        <f t="shared" si="48"/>
        <v>0.3333333333</v>
      </c>
      <c r="K33" s="871">
        <v>0.0</v>
      </c>
      <c r="L33" s="871">
        <v>1.0</v>
      </c>
      <c r="M33" s="334">
        <f t="shared" si="49"/>
        <v>0.25</v>
      </c>
      <c r="N33" s="585">
        <f t="shared" ref="N33:O33" si="63">H33+K33</f>
        <v>1</v>
      </c>
      <c r="O33" s="585">
        <f t="shared" si="63"/>
        <v>3</v>
      </c>
      <c r="P33" s="867">
        <f t="shared" si="51"/>
        <v>0.25</v>
      </c>
    </row>
    <row r="34" ht="15.75" customHeight="1">
      <c r="B34" s="874">
        <v>8.0</v>
      </c>
      <c r="C34" s="874">
        <v>8.0</v>
      </c>
      <c r="D34" s="874">
        <v>9.0</v>
      </c>
      <c r="E34" s="874">
        <v>7.0</v>
      </c>
      <c r="F34" s="874">
        <v>11.0</v>
      </c>
      <c r="G34" s="874">
        <v>5.0</v>
      </c>
      <c r="H34" s="882">
        <f t="shared" ref="H34:I34" si="64">B34+D34+F34</f>
        <v>28</v>
      </c>
      <c r="I34" s="882">
        <f t="shared" si="64"/>
        <v>20</v>
      </c>
      <c r="J34" s="876">
        <f t="shared" si="48"/>
        <v>0.5833333333</v>
      </c>
      <c r="K34" s="877">
        <f t="shared" ref="K34:L34" si="65">SUM(K26:K33)</f>
        <v>7</v>
      </c>
      <c r="L34" s="877">
        <f t="shared" si="65"/>
        <v>10</v>
      </c>
      <c r="M34" s="876">
        <f>K34/(K34+L34)</f>
        <v>0.4117647059</v>
      </c>
      <c r="N34" s="878">
        <f t="shared" ref="N34:O34" si="66">H34+SUM(K26:K33)</f>
        <v>35</v>
      </c>
      <c r="O34" s="878">
        <f t="shared" si="66"/>
        <v>30</v>
      </c>
      <c r="P34" s="879">
        <f>N34/(N34+O34)</f>
        <v>0.5384615385</v>
      </c>
    </row>
    <row r="35" ht="15.75" customHeight="1">
      <c r="H35" s="314"/>
      <c r="I35" s="314"/>
    </row>
    <row r="36" ht="15.75" customHeight="1">
      <c r="A36" s="861" t="s">
        <v>497</v>
      </c>
      <c r="B36" s="862">
        <v>2019.0</v>
      </c>
      <c r="C36" s="24"/>
      <c r="D36" s="862">
        <v>2020.0</v>
      </c>
      <c r="E36" s="24"/>
      <c r="F36" s="862">
        <v>2021.0</v>
      </c>
      <c r="G36" s="24"/>
      <c r="H36" s="880" t="s">
        <v>625</v>
      </c>
      <c r="I36" s="21"/>
      <c r="J36" s="24"/>
      <c r="K36" s="862">
        <v>2022.0</v>
      </c>
      <c r="L36" s="21"/>
      <c r="M36" s="24"/>
      <c r="N36" s="864" t="s">
        <v>628</v>
      </c>
      <c r="O36" s="515"/>
    </row>
    <row r="37" ht="15.75" customHeight="1">
      <c r="A37" s="331" t="s">
        <v>629</v>
      </c>
      <c r="B37" s="331">
        <v>3.0</v>
      </c>
      <c r="C37" s="331">
        <v>1.0</v>
      </c>
      <c r="D37" s="331">
        <v>2.0</v>
      </c>
      <c r="E37" s="331">
        <v>2.0</v>
      </c>
      <c r="F37" s="331">
        <v>2.0</v>
      </c>
      <c r="G37" s="331">
        <v>0.0</v>
      </c>
      <c r="H37" s="865">
        <f t="shared" ref="H37:I37" si="67">B37+D37+F37</f>
        <v>7</v>
      </c>
      <c r="I37" s="884">
        <f t="shared" si="67"/>
        <v>3</v>
      </c>
      <c r="J37" s="334">
        <f t="shared" ref="J37:J45" si="70">H37/(H37+I37)</f>
        <v>0.7</v>
      </c>
      <c r="K37" s="866">
        <v>2.0</v>
      </c>
      <c r="L37" s="866">
        <v>1.0</v>
      </c>
      <c r="M37" s="334">
        <f t="shared" ref="M37:M44" si="71">(K37+H37)/(K37+H37+I37+L37)</f>
        <v>0.6923076923</v>
      </c>
      <c r="N37" s="585">
        <f t="shared" ref="N37:O37" si="68">H37+K37</f>
        <v>9</v>
      </c>
      <c r="O37" s="585">
        <f t="shared" si="68"/>
        <v>4</v>
      </c>
      <c r="P37" s="867">
        <f t="shared" ref="P37:P44" si="73">IFERROR(N37/(N37+O37),"N/A")</f>
        <v>0.6923076923</v>
      </c>
    </row>
    <row r="38" ht="15.75" customHeight="1">
      <c r="A38" s="331" t="s">
        <v>630</v>
      </c>
      <c r="B38" s="331">
        <v>2.0</v>
      </c>
      <c r="C38" s="331">
        <v>1.0</v>
      </c>
      <c r="D38" s="331">
        <v>0.0</v>
      </c>
      <c r="E38" s="331">
        <v>4.0</v>
      </c>
      <c r="F38" s="331">
        <v>1.0</v>
      </c>
      <c r="G38" s="331">
        <v>2.0</v>
      </c>
      <c r="H38" s="865">
        <f t="shared" ref="H38:I38" si="69">B38+D38+F38</f>
        <v>3</v>
      </c>
      <c r="I38" s="884">
        <f t="shared" si="69"/>
        <v>7</v>
      </c>
      <c r="J38" s="872">
        <f t="shared" si="70"/>
        <v>0.3</v>
      </c>
      <c r="K38" s="871">
        <v>1.0</v>
      </c>
      <c r="L38" s="871">
        <v>2.0</v>
      </c>
      <c r="M38" s="334">
        <f t="shared" si="71"/>
        <v>0.3076923077</v>
      </c>
      <c r="N38" s="585">
        <f t="shared" ref="N38:O38" si="72">H38+K38</f>
        <v>4</v>
      </c>
      <c r="O38" s="585">
        <f t="shared" si="72"/>
        <v>9</v>
      </c>
      <c r="P38" s="867">
        <f t="shared" si="73"/>
        <v>0.3076923077</v>
      </c>
    </row>
    <row r="39" ht="15.75" customHeight="1">
      <c r="A39" s="331" t="s">
        <v>631</v>
      </c>
      <c r="B39" s="331">
        <v>2.0</v>
      </c>
      <c r="C39" s="331">
        <v>1.0</v>
      </c>
      <c r="D39" s="331">
        <v>3.0</v>
      </c>
      <c r="E39" s="331">
        <v>0.0</v>
      </c>
      <c r="F39" s="331">
        <v>1.0</v>
      </c>
      <c r="G39" s="331">
        <v>2.0</v>
      </c>
      <c r="H39" s="865">
        <f t="shared" ref="H39:I39" si="74">B39+D39+F39</f>
        <v>6</v>
      </c>
      <c r="I39" s="884">
        <f t="shared" si="74"/>
        <v>3</v>
      </c>
      <c r="J39" s="873">
        <f t="shared" si="70"/>
        <v>0.6666666667</v>
      </c>
      <c r="K39" s="866">
        <v>0.0</v>
      </c>
      <c r="L39" s="866">
        <v>3.0</v>
      </c>
      <c r="M39" s="334">
        <f t="shared" si="71"/>
        <v>0.5</v>
      </c>
      <c r="N39" s="585">
        <f t="shared" ref="N39:O39" si="75">H39+K39</f>
        <v>6</v>
      </c>
      <c r="O39" s="585">
        <f t="shared" si="75"/>
        <v>6</v>
      </c>
      <c r="P39" s="867">
        <f t="shared" si="73"/>
        <v>0.5</v>
      </c>
    </row>
    <row r="40" ht="15.75" customHeight="1">
      <c r="A40" s="331" t="s">
        <v>632</v>
      </c>
      <c r="B40" s="77"/>
      <c r="C40" s="77"/>
      <c r="D40" s="77"/>
      <c r="E40" s="77"/>
      <c r="F40" s="77"/>
      <c r="G40" s="77"/>
      <c r="H40" s="869">
        <f t="shared" ref="H40:I40" si="76">B40+D40+F40</f>
        <v>0</v>
      </c>
      <c r="I40" s="883">
        <f t="shared" si="76"/>
        <v>0</v>
      </c>
      <c r="J40" s="870" t="str">
        <f t="shared" si="70"/>
        <v>#DIV/0!</v>
      </c>
      <c r="K40" s="77">
        <v>0.0</v>
      </c>
      <c r="L40" s="77">
        <v>0.0</v>
      </c>
      <c r="M40" s="870" t="str">
        <f t="shared" si="71"/>
        <v>#DIV/0!</v>
      </c>
      <c r="N40" s="201">
        <f t="shared" ref="N40:O40" si="77">H40+K40</f>
        <v>0</v>
      </c>
      <c r="O40" s="201">
        <f t="shared" si="77"/>
        <v>0</v>
      </c>
      <c r="P40" s="867" t="str">
        <f t="shared" si="73"/>
        <v>N/A</v>
      </c>
    </row>
    <row r="41" ht="15.75" customHeight="1">
      <c r="A41" s="331" t="s">
        <v>633</v>
      </c>
      <c r="B41" s="331">
        <v>2.0</v>
      </c>
      <c r="C41" s="331">
        <v>0.0</v>
      </c>
      <c r="D41" s="331">
        <v>0.0</v>
      </c>
      <c r="E41" s="331">
        <v>1.0</v>
      </c>
      <c r="F41" s="331">
        <v>1.0</v>
      </c>
      <c r="G41" s="331">
        <v>0.0</v>
      </c>
      <c r="H41" s="865">
        <f t="shared" ref="H41:I41" si="78">B41+D41+F41</f>
        <v>3</v>
      </c>
      <c r="I41" s="884">
        <f t="shared" si="78"/>
        <v>1</v>
      </c>
      <c r="J41" s="873">
        <f t="shared" si="70"/>
        <v>0.75</v>
      </c>
      <c r="K41" s="866">
        <v>1.0</v>
      </c>
      <c r="L41" s="866">
        <v>2.0</v>
      </c>
      <c r="M41" s="334">
        <f t="shared" si="71"/>
        <v>0.5714285714</v>
      </c>
      <c r="N41" s="585">
        <f t="shared" ref="N41:O41" si="79">H41+K41</f>
        <v>4</v>
      </c>
      <c r="O41" s="585">
        <f t="shared" si="79"/>
        <v>3</v>
      </c>
      <c r="P41" s="867">
        <f t="shared" si="73"/>
        <v>0.5714285714</v>
      </c>
    </row>
    <row r="42" ht="15.75" customHeight="1">
      <c r="A42" s="331" t="s">
        <v>634</v>
      </c>
      <c r="B42" s="331">
        <v>1.0</v>
      </c>
      <c r="C42" s="331">
        <v>0.0</v>
      </c>
      <c r="D42" s="331">
        <v>0.0</v>
      </c>
      <c r="E42" s="331">
        <v>2.0</v>
      </c>
      <c r="F42" s="331">
        <v>1.0</v>
      </c>
      <c r="G42" s="331">
        <v>1.0</v>
      </c>
      <c r="H42" s="865">
        <f t="shared" ref="H42:I42" si="80">B42+D42+F42</f>
        <v>2</v>
      </c>
      <c r="I42" s="884">
        <f t="shared" si="80"/>
        <v>3</v>
      </c>
      <c r="J42" s="331">
        <f t="shared" si="70"/>
        <v>0.4</v>
      </c>
      <c r="K42" s="871">
        <v>1.0</v>
      </c>
      <c r="L42" s="871">
        <v>1.0</v>
      </c>
      <c r="M42" s="334">
        <f t="shared" si="71"/>
        <v>0.4285714286</v>
      </c>
      <c r="N42" s="585">
        <f t="shared" ref="N42:O42" si="81">H42+K42</f>
        <v>3</v>
      </c>
      <c r="O42" s="585">
        <f t="shared" si="81"/>
        <v>4</v>
      </c>
      <c r="P42" s="867">
        <f t="shared" si="73"/>
        <v>0.4285714286</v>
      </c>
    </row>
    <row r="43" ht="15.75" customHeight="1">
      <c r="A43" s="331" t="s">
        <v>635</v>
      </c>
      <c r="B43" s="77"/>
      <c r="C43" s="77"/>
      <c r="D43" s="77"/>
      <c r="E43" s="77"/>
      <c r="F43" s="331">
        <v>1.0</v>
      </c>
      <c r="G43" s="331">
        <v>1.0</v>
      </c>
      <c r="H43" s="865">
        <f t="shared" ref="H43:I43" si="82">B43+D43+F43</f>
        <v>1</v>
      </c>
      <c r="I43" s="884">
        <f t="shared" si="82"/>
        <v>1</v>
      </c>
      <c r="J43" s="331">
        <f t="shared" si="70"/>
        <v>0.5</v>
      </c>
      <c r="K43" s="866">
        <v>1.0</v>
      </c>
      <c r="L43" s="866">
        <v>0.0</v>
      </c>
      <c r="M43" s="334">
        <f t="shared" si="71"/>
        <v>0.6666666667</v>
      </c>
      <c r="N43" s="585">
        <f t="shared" ref="N43:O43" si="83">H43+K43</f>
        <v>2</v>
      </c>
      <c r="O43" s="585">
        <f t="shared" si="83"/>
        <v>1</v>
      </c>
      <c r="P43" s="867">
        <f t="shared" si="73"/>
        <v>0.6666666667</v>
      </c>
    </row>
    <row r="44" ht="15.75" customHeight="1">
      <c r="A44" s="331" t="s">
        <v>636</v>
      </c>
      <c r="B44" s="331">
        <v>1.0</v>
      </c>
      <c r="C44" s="331">
        <v>0.0</v>
      </c>
      <c r="D44" s="331">
        <v>0.0</v>
      </c>
      <c r="E44" s="331">
        <v>1.0</v>
      </c>
      <c r="F44" s="331">
        <v>1.0</v>
      </c>
      <c r="G44" s="331">
        <v>0.0</v>
      </c>
      <c r="H44" s="865">
        <f t="shared" ref="H44:I44" si="84">B44+D44+F44</f>
        <v>2</v>
      </c>
      <c r="I44" s="884">
        <f t="shared" si="84"/>
        <v>1</v>
      </c>
      <c r="J44" s="334">
        <f t="shared" si="70"/>
        <v>0.6666666667</v>
      </c>
      <c r="K44" s="871">
        <v>0.0</v>
      </c>
      <c r="L44" s="871">
        <v>1.0</v>
      </c>
      <c r="M44" s="334">
        <f t="shared" si="71"/>
        <v>0.5</v>
      </c>
      <c r="N44" s="585">
        <f t="shared" ref="N44:O44" si="85">H44+K44</f>
        <v>2</v>
      </c>
      <c r="O44" s="585">
        <f t="shared" si="85"/>
        <v>2</v>
      </c>
      <c r="P44" s="867">
        <f t="shared" si="73"/>
        <v>0.5</v>
      </c>
    </row>
    <row r="45" ht="15.75" customHeight="1">
      <c r="B45" s="874">
        <v>11.0</v>
      </c>
      <c r="C45" s="874">
        <v>4.0</v>
      </c>
      <c r="D45" s="874">
        <v>6.0</v>
      </c>
      <c r="E45" s="874">
        <v>10.0</v>
      </c>
      <c r="F45" s="874">
        <v>8.0</v>
      </c>
      <c r="G45" s="874">
        <v>8.0</v>
      </c>
      <c r="H45" s="882">
        <f t="shared" ref="H45:I45" si="86">B45+D45+F45</f>
        <v>25</v>
      </c>
      <c r="I45" s="882">
        <f t="shared" si="86"/>
        <v>22</v>
      </c>
      <c r="J45" s="876">
        <f t="shared" si="70"/>
        <v>0.5319148936</v>
      </c>
      <c r="K45" s="877">
        <f t="shared" ref="K45:L45" si="87">SUM(K37:K44)</f>
        <v>6</v>
      </c>
      <c r="L45" s="877">
        <f t="shared" si="87"/>
        <v>10</v>
      </c>
      <c r="M45" s="876">
        <f>K45/(K45+L45)</f>
        <v>0.375</v>
      </c>
      <c r="N45" s="878">
        <f t="shared" ref="N45:O45" si="88">H45+SUM(K37:K44)</f>
        <v>31</v>
      </c>
      <c r="O45" s="878">
        <f t="shared" si="88"/>
        <v>32</v>
      </c>
      <c r="P45" s="879">
        <f>N45/(N45+O45)</f>
        <v>0.4920634921</v>
      </c>
    </row>
    <row r="46" ht="15.75" customHeight="1">
      <c r="H46" s="314"/>
      <c r="I46" s="314"/>
    </row>
    <row r="47" ht="15.75" customHeight="1">
      <c r="A47" s="861" t="s">
        <v>578</v>
      </c>
      <c r="B47" s="862">
        <v>2019.0</v>
      </c>
      <c r="C47" s="24"/>
      <c r="D47" s="862">
        <v>2020.0</v>
      </c>
      <c r="E47" s="24"/>
      <c r="F47" s="862">
        <v>2021.0</v>
      </c>
      <c r="G47" s="24"/>
      <c r="H47" s="880" t="s">
        <v>625</v>
      </c>
      <c r="I47" s="21"/>
      <c r="J47" s="24"/>
      <c r="K47" s="862">
        <v>2022.0</v>
      </c>
      <c r="L47" s="21"/>
      <c r="M47" s="24"/>
      <c r="N47" s="864" t="s">
        <v>628</v>
      </c>
      <c r="O47" s="515"/>
    </row>
    <row r="48" ht="15.75" customHeight="1">
      <c r="A48" s="331" t="s">
        <v>629</v>
      </c>
      <c r="B48" s="331">
        <v>0.0</v>
      </c>
      <c r="C48" s="331">
        <v>1.0</v>
      </c>
      <c r="D48" s="331">
        <v>1.0</v>
      </c>
      <c r="E48" s="331">
        <v>0.0</v>
      </c>
      <c r="F48" s="331">
        <v>0.0</v>
      </c>
      <c r="G48" s="331">
        <v>1.0</v>
      </c>
      <c r="H48" s="865">
        <f t="shared" ref="H48:I48" si="89">B48+D48+F48</f>
        <v>1</v>
      </c>
      <c r="I48" s="884">
        <f t="shared" si="89"/>
        <v>2</v>
      </c>
      <c r="J48" s="334">
        <f t="shared" ref="J48:J56" si="92">H48/(H48+I48)</f>
        <v>0.3333333333</v>
      </c>
      <c r="K48" s="866">
        <v>1.0</v>
      </c>
      <c r="L48" s="866">
        <v>0.0</v>
      </c>
      <c r="M48" s="334">
        <f t="shared" ref="M48:M55" si="93">(K48+H48)/(K48+H48+I48+L48)</f>
        <v>0.5</v>
      </c>
      <c r="N48" s="585">
        <f t="shared" ref="N48:O48" si="90">H48+K48</f>
        <v>2</v>
      </c>
      <c r="O48" s="585">
        <f t="shared" si="90"/>
        <v>2</v>
      </c>
      <c r="P48" s="867">
        <f t="shared" ref="P48:P55" si="95">IFERROR(N48/(N48+O48),"N/A")</f>
        <v>0.5</v>
      </c>
    </row>
    <row r="49" ht="15.75" customHeight="1">
      <c r="A49" s="331" t="s">
        <v>630</v>
      </c>
      <c r="B49" s="331">
        <v>1.0</v>
      </c>
      <c r="C49" s="331">
        <v>0.0</v>
      </c>
      <c r="D49" s="331">
        <v>0.0</v>
      </c>
      <c r="E49" s="331">
        <v>2.0</v>
      </c>
      <c r="F49" s="331">
        <v>1.0</v>
      </c>
      <c r="G49" s="331">
        <v>1.0</v>
      </c>
      <c r="H49" s="865">
        <f t="shared" ref="H49:I49" si="91">B49+D49+F49</f>
        <v>2</v>
      </c>
      <c r="I49" s="884">
        <f t="shared" si="91"/>
        <v>3</v>
      </c>
      <c r="J49" s="334">
        <f t="shared" si="92"/>
        <v>0.4</v>
      </c>
      <c r="K49" s="871">
        <v>1.0</v>
      </c>
      <c r="L49" s="871">
        <v>1.0</v>
      </c>
      <c r="M49" s="334">
        <f t="shared" si="93"/>
        <v>0.4285714286</v>
      </c>
      <c r="N49" s="585">
        <f t="shared" ref="N49:O49" si="94">H49+K49</f>
        <v>3</v>
      </c>
      <c r="O49" s="585">
        <f t="shared" si="94"/>
        <v>4</v>
      </c>
      <c r="P49" s="867">
        <f t="shared" si="95"/>
        <v>0.4285714286</v>
      </c>
    </row>
    <row r="50" ht="15.75" customHeight="1">
      <c r="A50" s="331" t="s">
        <v>631</v>
      </c>
      <c r="B50" s="331">
        <v>0.0</v>
      </c>
      <c r="C50" s="331">
        <v>1.0</v>
      </c>
      <c r="D50" s="331">
        <v>1.0</v>
      </c>
      <c r="E50" s="331">
        <v>0.0</v>
      </c>
      <c r="F50" s="331">
        <v>0.0</v>
      </c>
      <c r="G50" s="331">
        <v>1.0</v>
      </c>
      <c r="H50" s="865">
        <f t="shared" ref="H50:I50" si="96">B50+D50+F50</f>
        <v>1</v>
      </c>
      <c r="I50" s="884">
        <f t="shared" si="96"/>
        <v>2</v>
      </c>
      <c r="J50" s="334">
        <f t="shared" si="92"/>
        <v>0.3333333333</v>
      </c>
      <c r="K50" s="866">
        <v>0.0</v>
      </c>
      <c r="L50" s="866">
        <v>1.0</v>
      </c>
      <c r="M50" s="334">
        <f t="shared" si="93"/>
        <v>0.25</v>
      </c>
      <c r="N50" s="585">
        <f t="shared" ref="N50:O50" si="97">H50+K50</f>
        <v>1</v>
      </c>
      <c r="O50" s="585">
        <f t="shared" si="97"/>
        <v>3</v>
      </c>
      <c r="P50" s="867">
        <f t="shared" si="95"/>
        <v>0.25</v>
      </c>
    </row>
    <row r="51" ht="15.75" customHeight="1">
      <c r="A51" s="331" t="s">
        <v>632</v>
      </c>
      <c r="B51" s="331">
        <v>0.0</v>
      </c>
      <c r="C51" s="331">
        <v>2.0</v>
      </c>
      <c r="D51" s="331">
        <v>1.0</v>
      </c>
      <c r="E51" s="331">
        <v>0.0</v>
      </c>
      <c r="F51" s="331">
        <v>0.0</v>
      </c>
      <c r="G51" s="331">
        <v>1.0</v>
      </c>
      <c r="H51" s="865">
        <f t="shared" ref="H51:I51" si="98">B51+D51+F51</f>
        <v>1</v>
      </c>
      <c r="I51" s="884">
        <f t="shared" si="98"/>
        <v>3</v>
      </c>
      <c r="J51" s="872">
        <f t="shared" si="92"/>
        <v>0.25</v>
      </c>
      <c r="K51" s="871">
        <v>2.0</v>
      </c>
      <c r="L51" s="871">
        <v>2.0</v>
      </c>
      <c r="M51" s="334">
        <f t="shared" si="93"/>
        <v>0.375</v>
      </c>
      <c r="N51" s="585">
        <f t="shared" ref="N51:O51" si="99">H51+K51</f>
        <v>3</v>
      </c>
      <c r="O51" s="585">
        <f t="shared" si="99"/>
        <v>5</v>
      </c>
      <c r="P51" s="867">
        <f t="shared" si="95"/>
        <v>0.375</v>
      </c>
    </row>
    <row r="52" ht="15.75" customHeight="1">
      <c r="A52" s="331" t="s">
        <v>633</v>
      </c>
      <c r="B52" s="77"/>
      <c r="C52" s="77"/>
      <c r="D52" s="77"/>
      <c r="E52" s="77"/>
      <c r="F52" s="77"/>
      <c r="G52" s="77"/>
      <c r="H52" s="869">
        <f t="shared" ref="H52:I52" si="100">B52+D52+F52</f>
        <v>0</v>
      </c>
      <c r="I52" s="883">
        <f t="shared" si="100"/>
        <v>0</v>
      </c>
      <c r="J52" s="870" t="str">
        <f t="shared" si="92"/>
        <v>#DIV/0!</v>
      </c>
      <c r="K52" s="77">
        <v>0.0</v>
      </c>
      <c r="L52" s="77">
        <v>0.0</v>
      </c>
      <c r="M52" s="870" t="str">
        <f t="shared" si="93"/>
        <v>#DIV/0!</v>
      </c>
      <c r="N52" s="201">
        <f t="shared" ref="N52:O52" si="101">H52+K52</f>
        <v>0</v>
      </c>
      <c r="O52" s="201">
        <f t="shared" si="101"/>
        <v>0</v>
      </c>
      <c r="P52" s="867" t="str">
        <f t="shared" si="95"/>
        <v>N/A</v>
      </c>
    </row>
    <row r="53" ht="15.75" customHeight="1">
      <c r="A53" s="331" t="s">
        <v>634</v>
      </c>
      <c r="B53" s="331">
        <v>2.0</v>
      </c>
      <c r="C53" s="331">
        <v>1.0</v>
      </c>
      <c r="D53" s="331">
        <v>4.0</v>
      </c>
      <c r="E53" s="331">
        <v>0.0</v>
      </c>
      <c r="F53" s="331">
        <v>1.0</v>
      </c>
      <c r="G53" s="331">
        <v>2.0</v>
      </c>
      <c r="H53" s="865">
        <f t="shared" ref="H53:I53" si="102">B53+D53+F53</f>
        <v>7</v>
      </c>
      <c r="I53" s="884">
        <f t="shared" si="102"/>
        <v>3</v>
      </c>
      <c r="J53" s="881">
        <f t="shared" si="92"/>
        <v>0.7</v>
      </c>
      <c r="K53" s="871">
        <v>1.0</v>
      </c>
      <c r="L53" s="871">
        <v>2.0</v>
      </c>
      <c r="M53" s="334">
        <f t="shared" si="93"/>
        <v>0.6153846154</v>
      </c>
      <c r="N53" s="585">
        <f t="shared" ref="N53:O53" si="103">H53+K53</f>
        <v>8</v>
      </c>
      <c r="O53" s="585">
        <f t="shared" si="103"/>
        <v>5</v>
      </c>
      <c r="P53" s="867">
        <f t="shared" si="95"/>
        <v>0.6153846154</v>
      </c>
    </row>
    <row r="54" ht="15.75" customHeight="1">
      <c r="A54" s="331" t="s">
        <v>635</v>
      </c>
      <c r="B54" s="77"/>
      <c r="C54" s="77"/>
      <c r="D54" s="77"/>
      <c r="E54" s="77"/>
      <c r="F54" s="331">
        <v>1.0</v>
      </c>
      <c r="G54" s="331">
        <v>1.0</v>
      </c>
      <c r="H54" s="865">
        <f t="shared" ref="H54:I54" si="104">B54+D54+F54</f>
        <v>1</v>
      </c>
      <c r="I54" s="884">
        <f t="shared" si="104"/>
        <v>1</v>
      </c>
      <c r="J54" s="331">
        <f t="shared" si="92"/>
        <v>0.5</v>
      </c>
      <c r="K54" s="866">
        <v>1.0</v>
      </c>
      <c r="L54" s="866">
        <v>2.0</v>
      </c>
      <c r="M54" s="334">
        <f t="shared" si="93"/>
        <v>0.4</v>
      </c>
      <c r="N54" s="585">
        <f t="shared" ref="N54:O54" si="105">H54+K54</f>
        <v>2</v>
      </c>
      <c r="O54" s="585">
        <f t="shared" si="105"/>
        <v>3</v>
      </c>
      <c r="P54" s="867">
        <f t="shared" si="95"/>
        <v>0.4</v>
      </c>
    </row>
    <row r="55" ht="15.75" customHeight="1">
      <c r="A55" s="331" t="s">
        <v>636</v>
      </c>
      <c r="B55" s="331">
        <v>3.0</v>
      </c>
      <c r="C55" s="331">
        <v>0.0</v>
      </c>
      <c r="D55" s="331">
        <v>2.0</v>
      </c>
      <c r="E55" s="331">
        <v>1.0</v>
      </c>
      <c r="F55" s="331">
        <v>0.0</v>
      </c>
      <c r="G55" s="331">
        <v>2.0</v>
      </c>
      <c r="H55" s="865">
        <f t="shared" ref="H55:I55" si="106">B55+D55+F55</f>
        <v>5</v>
      </c>
      <c r="I55" s="884">
        <f t="shared" si="106"/>
        <v>3</v>
      </c>
      <c r="J55" s="334">
        <f t="shared" si="92"/>
        <v>0.625</v>
      </c>
      <c r="K55" s="871">
        <v>0.0</v>
      </c>
      <c r="L55" s="871">
        <v>3.0</v>
      </c>
      <c r="M55" s="334">
        <f t="shared" si="93"/>
        <v>0.4545454545</v>
      </c>
      <c r="N55" s="585">
        <f t="shared" ref="N55:O55" si="107">H55+K55</f>
        <v>5</v>
      </c>
      <c r="O55" s="585">
        <f t="shared" si="107"/>
        <v>6</v>
      </c>
      <c r="P55" s="867">
        <f t="shared" si="95"/>
        <v>0.4545454545</v>
      </c>
    </row>
    <row r="56" ht="15.75" customHeight="1">
      <c r="B56" s="874">
        <v>9.0</v>
      </c>
      <c r="C56" s="874">
        <v>6.0</v>
      </c>
      <c r="D56" s="874">
        <v>11.0</v>
      </c>
      <c r="E56" s="874">
        <v>4.0</v>
      </c>
      <c r="F56" s="874">
        <v>5.0</v>
      </c>
      <c r="G56" s="874">
        <v>11.0</v>
      </c>
      <c r="H56" s="882">
        <f t="shared" ref="H56:I56" si="108">B56+D56+F56</f>
        <v>25</v>
      </c>
      <c r="I56" s="882">
        <f t="shared" si="108"/>
        <v>21</v>
      </c>
      <c r="J56" s="876">
        <f t="shared" si="92"/>
        <v>0.5434782609</v>
      </c>
      <c r="K56" s="877">
        <f t="shared" ref="K56:L56" si="109">SUM(K48:K55)</f>
        <v>6</v>
      </c>
      <c r="L56" s="877">
        <f t="shared" si="109"/>
        <v>11</v>
      </c>
      <c r="M56" s="876">
        <f>K56/(K56+L56)</f>
        <v>0.3529411765</v>
      </c>
      <c r="N56" s="878">
        <f t="shared" ref="N56:O56" si="110">H56+SUM(K48:K55)</f>
        <v>31</v>
      </c>
      <c r="O56" s="878">
        <f t="shared" si="110"/>
        <v>32</v>
      </c>
      <c r="P56" s="879">
        <f>N56/(N56+O56)</f>
        <v>0.4920634921</v>
      </c>
    </row>
    <row r="57" ht="15.75" customHeight="1">
      <c r="H57" s="314"/>
      <c r="I57" s="314"/>
    </row>
    <row r="58" ht="15.75" customHeight="1">
      <c r="A58" s="861" t="s">
        <v>537</v>
      </c>
      <c r="B58" s="862">
        <v>2019.0</v>
      </c>
      <c r="C58" s="24"/>
      <c r="D58" s="862">
        <v>2020.0</v>
      </c>
      <c r="E58" s="24"/>
      <c r="F58" s="862">
        <v>2021.0</v>
      </c>
      <c r="G58" s="24"/>
      <c r="H58" s="880" t="s">
        <v>625</v>
      </c>
      <c r="I58" s="21"/>
      <c r="J58" s="24"/>
      <c r="K58" s="862">
        <v>2022.0</v>
      </c>
      <c r="L58" s="21"/>
      <c r="M58" s="24"/>
      <c r="N58" s="864" t="s">
        <v>628</v>
      </c>
      <c r="O58" s="515"/>
    </row>
    <row r="59" ht="15.75" customHeight="1">
      <c r="A59" s="331" t="s">
        <v>629</v>
      </c>
      <c r="B59" s="331">
        <v>0.0</v>
      </c>
      <c r="C59" s="331">
        <v>1.0</v>
      </c>
      <c r="D59" s="331">
        <v>1.0</v>
      </c>
      <c r="E59" s="331">
        <v>0.0</v>
      </c>
      <c r="F59" s="331">
        <v>1.0</v>
      </c>
      <c r="G59" s="331">
        <v>0.0</v>
      </c>
      <c r="H59" s="865">
        <f t="shared" ref="H59:I59" si="111">B59+D59+F59</f>
        <v>2</v>
      </c>
      <c r="I59" s="884">
        <f t="shared" si="111"/>
        <v>1</v>
      </c>
      <c r="J59" s="873">
        <f t="shared" ref="J59:J67" si="114">H59/(H59+I59)</f>
        <v>0.6666666667</v>
      </c>
      <c r="K59" s="866">
        <v>1.0</v>
      </c>
      <c r="L59" s="866">
        <v>0.0</v>
      </c>
      <c r="M59" s="334">
        <f t="shared" ref="M59:M65" si="115">(K59+H59)/(K59+H59+I59+L59)</f>
        <v>0.75</v>
      </c>
      <c r="N59" s="585">
        <f t="shared" ref="N59:O59" si="112">H59+K59</f>
        <v>3</v>
      </c>
      <c r="O59" s="585">
        <f t="shared" si="112"/>
        <v>1</v>
      </c>
      <c r="P59" s="867">
        <f t="shared" ref="P59:P66" si="117">IFERROR(N59/(N59+O59),"N/A")</f>
        <v>0.75</v>
      </c>
    </row>
    <row r="60" ht="15.75" customHeight="1">
      <c r="A60" s="331" t="s">
        <v>630</v>
      </c>
      <c r="B60" s="331">
        <v>2.0</v>
      </c>
      <c r="C60" s="331">
        <v>2.0</v>
      </c>
      <c r="D60" s="331">
        <v>0.0</v>
      </c>
      <c r="E60" s="331">
        <v>1.0</v>
      </c>
      <c r="F60" s="331">
        <v>0.0</v>
      </c>
      <c r="G60" s="331">
        <v>1.0</v>
      </c>
      <c r="H60" s="865">
        <f t="shared" ref="H60:I60" si="113">B60+D60+F60</f>
        <v>2</v>
      </c>
      <c r="I60" s="884">
        <f t="shared" si="113"/>
        <v>4</v>
      </c>
      <c r="J60" s="872">
        <f t="shared" si="114"/>
        <v>0.3333333333</v>
      </c>
      <c r="K60" s="871">
        <v>2.0</v>
      </c>
      <c r="L60" s="871">
        <v>0.0</v>
      </c>
      <c r="M60" s="334">
        <f t="shared" si="115"/>
        <v>0.5</v>
      </c>
      <c r="N60" s="585">
        <f t="shared" ref="N60:O60" si="116">H60+K60</f>
        <v>4</v>
      </c>
      <c r="O60" s="585">
        <f t="shared" si="116"/>
        <v>4</v>
      </c>
      <c r="P60" s="867">
        <f t="shared" si="117"/>
        <v>0.5</v>
      </c>
    </row>
    <row r="61" ht="15.75" customHeight="1">
      <c r="A61" s="331" t="s">
        <v>631</v>
      </c>
      <c r="B61" s="331">
        <v>1.0</v>
      </c>
      <c r="C61" s="331">
        <v>0.0</v>
      </c>
      <c r="D61" s="331">
        <v>2.0</v>
      </c>
      <c r="E61" s="331">
        <v>2.0</v>
      </c>
      <c r="F61" s="331">
        <v>1.0</v>
      </c>
      <c r="G61" s="331">
        <v>1.0</v>
      </c>
      <c r="H61" s="865">
        <f t="shared" ref="H61:I61" si="118">B61+D61+F61</f>
        <v>4</v>
      </c>
      <c r="I61" s="884">
        <f t="shared" si="118"/>
        <v>3</v>
      </c>
      <c r="J61" s="334">
        <f t="shared" si="114"/>
        <v>0.5714285714</v>
      </c>
      <c r="K61" s="866">
        <v>1.0</v>
      </c>
      <c r="L61" s="866">
        <v>1.0</v>
      </c>
      <c r="M61" s="334">
        <f t="shared" si="115"/>
        <v>0.5555555556</v>
      </c>
      <c r="N61" s="585">
        <f t="shared" ref="N61:O61" si="119">H61+K61</f>
        <v>5</v>
      </c>
      <c r="O61" s="585">
        <f t="shared" si="119"/>
        <v>4</v>
      </c>
      <c r="P61" s="867">
        <f t="shared" si="117"/>
        <v>0.5555555556</v>
      </c>
    </row>
    <row r="62" ht="15.75" customHeight="1">
      <c r="A62" s="331" t="s">
        <v>632</v>
      </c>
      <c r="B62" s="331">
        <v>0.0</v>
      </c>
      <c r="C62" s="331">
        <v>1.0</v>
      </c>
      <c r="D62" s="331">
        <v>1.0</v>
      </c>
      <c r="E62" s="331">
        <v>0.0</v>
      </c>
      <c r="F62" s="331">
        <v>0.0</v>
      </c>
      <c r="G62" s="331">
        <v>1.0</v>
      </c>
      <c r="H62" s="865">
        <f t="shared" ref="H62:I62" si="120">B62+D62+F62</f>
        <v>1</v>
      </c>
      <c r="I62" s="884">
        <f t="shared" si="120"/>
        <v>2</v>
      </c>
      <c r="J62" s="872">
        <f t="shared" si="114"/>
        <v>0.3333333333</v>
      </c>
      <c r="K62" s="871">
        <v>1.0</v>
      </c>
      <c r="L62" s="871">
        <v>0.0</v>
      </c>
      <c r="M62" s="334">
        <f t="shared" si="115"/>
        <v>0.5</v>
      </c>
      <c r="N62" s="585">
        <f t="shared" ref="N62:O62" si="121">H62+K62</f>
        <v>2</v>
      </c>
      <c r="O62" s="585">
        <f t="shared" si="121"/>
        <v>2</v>
      </c>
      <c r="P62" s="867">
        <f t="shared" si="117"/>
        <v>0.5</v>
      </c>
    </row>
    <row r="63" ht="15.75" customHeight="1">
      <c r="A63" s="331" t="s">
        <v>633</v>
      </c>
      <c r="B63" s="331">
        <v>0.0</v>
      </c>
      <c r="C63" s="331">
        <v>3.0</v>
      </c>
      <c r="D63" s="331">
        <v>1.0</v>
      </c>
      <c r="E63" s="331">
        <v>2.0</v>
      </c>
      <c r="F63" s="331">
        <v>2.0</v>
      </c>
      <c r="G63" s="331">
        <v>0.0</v>
      </c>
      <c r="H63" s="865">
        <f t="shared" ref="H63:I63" si="122">B63+D63+F63</f>
        <v>3</v>
      </c>
      <c r="I63" s="884">
        <f t="shared" si="122"/>
        <v>5</v>
      </c>
      <c r="J63" s="334">
        <f t="shared" si="114"/>
        <v>0.375</v>
      </c>
      <c r="K63" s="866">
        <v>3.0</v>
      </c>
      <c r="L63" s="866">
        <v>0.0</v>
      </c>
      <c r="M63" s="334">
        <f t="shared" si="115"/>
        <v>0.5454545455</v>
      </c>
      <c r="N63" s="585">
        <f t="shared" ref="N63:O63" si="123">H63+K63</f>
        <v>6</v>
      </c>
      <c r="O63" s="585">
        <f t="shared" si="123"/>
        <v>5</v>
      </c>
      <c r="P63" s="867">
        <f t="shared" si="117"/>
        <v>0.5454545455</v>
      </c>
    </row>
    <row r="64" ht="15.75" customHeight="1">
      <c r="A64" s="331" t="s">
        <v>634</v>
      </c>
      <c r="B64" s="331">
        <v>1.0</v>
      </c>
      <c r="C64" s="331">
        <v>2.0</v>
      </c>
      <c r="D64" s="331">
        <v>1.0</v>
      </c>
      <c r="E64" s="331">
        <v>2.0</v>
      </c>
      <c r="F64" s="331">
        <v>1.0</v>
      </c>
      <c r="G64" s="331">
        <v>2.0</v>
      </c>
      <c r="H64" s="865">
        <f t="shared" ref="H64:I64" si="124">B64+D64+F64</f>
        <v>3</v>
      </c>
      <c r="I64" s="884">
        <f t="shared" si="124"/>
        <v>6</v>
      </c>
      <c r="J64" s="872">
        <f t="shared" si="114"/>
        <v>0.3333333333</v>
      </c>
      <c r="K64" s="871">
        <v>2.0</v>
      </c>
      <c r="L64" s="871">
        <v>2.0</v>
      </c>
      <c r="M64" s="334">
        <f t="shared" si="115"/>
        <v>0.3846153846</v>
      </c>
      <c r="N64" s="585">
        <f t="shared" ref="N64:O64" si="125">H64+K64</f>
        <v>5</v>
      </c>
      <c r="O64" s="585">
        <f t="shared" si="125"/>
        <v>8</v>
      </c>
      <c r="P64" s="867">
        <f t="shared" si="117"/>
        <v>0.3846153846</v>
      </c>
    </row>
    <row r="65" ht="15.75" customHeight="1">
      <c r="A65" s="331" t="s">
        <v>635</v>
      </c>
      <c r="B65" s="77"/>
      <c r="C65" s="77"/>
      <c r="D65" s="77"/>
      <c r="E65" s="77"/>
      <c r="F65" s="331">
        <v>1.0</v>
      </c>
      <c r="G65" s="331">
        <v>1.0</v>
      </c>
      <c r="H65" s="865">
        <f t="shared" ref="H65:I65" si="126">B65+D65+F65</f>
        <v>1</v>
      </c>
      <c r="I65" s="884">
        <f t="shared" si="126"/>
        <v>1</v>
      </c>
      <c r="J65" s="334">
        <f t="shared" si="114"/>
        <v>0.5</v>
      </c>
      <c r="K65" s="866">
        <v>2.0</v>
      </c>
      <c r="L65" s="866">
        <v>1.0</v>
      </c>
      <c r="M65" s="334">
        <f t="shared" si="115"/>
        <v>0.6</v>
      </c>
      <c r="N65" s="585">
        <f t="shared" ref="N65:O65" si="127">H65+K65</f>
        <v>3</v>
      </c>
      <c r="O65" s="585">
        <f t="shared" si="127"/>
        <v>2</v>
      </c>
      <c r="P65" s="867">
        <f t="shared" si="117"/>
        <v>0.6</v>
      </c>
    </row>
    <row r="66" ht="15.75" customHeight="1">
      <c r="A66" s="331" t="s">
        <v>636</v>
      </c>
      <c r="B66" s="77"/>
      <c r="C66" s="77"/>
      <c r="D66" s="77"/>
      <c r="E66" s="77"/>
      <c r="F66" s="77"/>
      <c r="G66" s="77"/>
      <c r="H66" s="869">
        <f t="shared" ref="H66:I66" si="128">B66+D66+F66</f>
        <v>0</v>
      </c>
      <c r="I66" s="883">
        <f t="shared" si="128"/>
        <v>0</v>
      </c>
      <c r="J66" s="870" t="str">
        <f t="shared" si="114"/>
        <v>#DIV/0!</v>
      </c>
      <c r="K66" s="77">
        <v>0.0</v>
      </c>
      <c r="L66" s="77">
        <v>0.0</v>
      </c>
      <c r="M66" s="870" t="str">
        <f t="shared" ref="M66:M67" si="132">K66/(K66+L66)</f>
        <v>#DIV/0!</v>
      </c>
      <c r="N66" s="201">
        <f t="shared" ref="N66:O66" si="129">H66+K66</f>
        <v>0</v>
      </c>
      <c r="O66" s="201">
        <f t="shared" si="129"/>
        <v>0</v>
      </c>
      <c r="P66" s="867" t="str">
        <f t="shared" si="117"/>
        <v>N/A</v>
      </c>
    </row>
    <row r="67" ht="15.75" customHeight="1">
      <c r="B67" s="874">
        <v>6.0</v>
      </c>
      <c r="C67" s="874">
        <v>10.0</v>
      </c>
      <c r="D67" s="874">
        <v>5.0</v>
      </c>
      <c r="E67" s="874">
        <v>11.0</v>
      </c>
      <c r="F67" s="874">
        <v>8.0</v>
      </c>
      <c r="G67" s="874">
        <v>8.0</v>
      </c>
      <c r="H67" s="882">
        <f t="shared" ref="H67:I67" si="130">B67+D67+F67</f>
        <v>19</v>
      </c>
      <c r="I67" s="882">
        <f t="shared" si="130"/>
        <v>29</v>
      </c>
      <c r="J67" s="876">
        <f t="shared" si="114"/>
        <v>0.3958333333</v>
      </c>
      <c r="K67" s="877">
        <f t="shared" ref="K67:L67" si="131">SUM(K59:K66)</f>
        <v>12</v>
      </c>
      <c r="L67" s="877">
        <f t="shared" si="131"/>
        <v>4</v>
      </c>
      <c r="M67" s="876">
        <f t="shared" si="132"/>
        <v>0.75</v>
      </c>
      <c r="N67" s="878">
        <f t="shared" ref="N67:O67" si="133">H67+SUM(K59:K66)</f>
        <v>31</v>
      </c>
      <c r="O67" s="878">
        <f t="shared" si="133"/>
        <v>33</v>
      </c>
      <c r="P67" s="879">
        <f>N67/(N67+O67)</f>
        <v>0.484375</v>
      </c>
    </row>
    <row r="68" ht="15.75" customHeight="1">
      <c r="H68" s="314"/>
      <c r="I68" s="314"/>
    </row>
    <row r="69" ht="15.75" customHeight="1">
      <c r="A69" s="861" t="s">
        <v>495</v>
      </c>
      <c r="B69" s="862">
        <v>2019.0</v>
      </c>
      <c r="C69" s="24"/>
      <c r="D69" s="862">
        <v>2020.0</v>
      </c>
      <c r="E69" s="24"/>
      <c r="F69" s="862">
        <v>2021.0</v>
      </c>
      <c r="G69" s="24"/>
      <c r="H69" s="880" t="s">
        <v>625</v>
      </c>
      <c r="I69" s="21"/>
      <c r="J69" s="24"/>
      <c r="K69" s="862">
        <v>2022.0</v>
      </c>
      <c r="L69" s="21"/>
      <c r="M69" s="24"/>
      <c r="N69" s="864" t="s">
        <v>628</v>
      </c>
      <c r="O69" s="515"/>
    </row>
    <row r="70" ht="15.75" customHeight="1">
      <c r="A70" s="331" t="s">
        <v>629</v>
      </c>
      <c r="B70" s="331">
        <v>1.0</v>
      </c>
      <c r="C70" s="331">
        <v>2.0</v>
      </c>
      <c r="D70" s="331">
        <v>0.0</v>
      </c>
      <c r="E70" s="331">
        <v>3.0</v>
      </c>
      <c r="F70" s="331">
        <v>1.0</v>
      </c>
      <c r="G70" s="331">
        <v>2.0</v>
      </c>
      <c r="H70" s="865">
        <f t="shared" ref="H70:I70" si="134">B70+D70+F70</f>
        <v>2</v>
      </c>
      <c r="I70" s="884">
        <f t="shared" si="134"/>
        <v>7</v>
      </c>
      <c r="J70" s="334">
        <f t="shared" ref="J70:J78" si="137">H70/(H70+I70)</f>
        <v>0.2222222222</v>
      </c>
      <c r="K70" s="866">
        <v>2.0</v>
      </c>
      <c r="L70" s="866">
        <v>1.0</v>
      </c>
      <c r="M70" s="334">
        <f t="shared" ref="M70:M77" si="138">(K70+H70)/(K70+H70+I70+L70)</f>
        <v>0.3333333333</v>
      </c>
      <c r="N70" s="585">
        <f t="shared" ref="N70:O70" si="135">H70+K70</f>
        <v>4</v>
      </c>
      <c r="O70" s="585">
        <f t="shared" si="135"/>
        <v>8</v>
      </c>
      <c r="P70" s="867">
        <f t="shared" ref="P70:P77" si="140">IFERROR(N70/(N70+O70),"N/A")</f>
        <v>0.3333333333</v>
      </c>
    </row>
    <row r="71" ht="15.75" customHeight="1">
      <c r="A71" s="331" t="s">
        <v>630</v>
      </c>
      <c r="B71" s="331">
        <v>2.0</v>
      </c>
      <c r="C71" s="331">
        <v>1.0</v>
      </c>
      <c r="D71" s="331">
        <v>0.0</v>
      </c>
      <c r="E71" s="331">
        <v>3.0</v>
      </c>
      <c r="F71" s="331">
        <v>2.0</v>
      </c>
      <c r="G71" s="331">
        <v>0.0</v>
      </c>
      <c r="H71" s="865">
        <f t="shared" ref="H71:I71" si="136">B71+D71+F71</f>
        <v>4</v>
      </c>
      <c r="I71" s="884">
        <f t="shared" si="136"/>
        <v>4</v>
      </c>
      <c r="J71" s="334">
        <f t="shared" si="137"/>
        <v>0.5</v>
      </c>
      <c r="K71" s="871">
        <v>4.0</v>
      </c>
      <c r="L71" s="871">
        <v>0.0</v>
      </c>
      <c r="M71" s="334">
        <f t="shared" si="138"/>
        <v>0.6666666667</v>
      </c>
      <c r="N71" s="585">
        <f t="shared" ref="N71:O71" si="139">H71+K71</f>
        <v>8</v>
      </c>
      <c r="O71" s="585">
        <f t="shared" si="139"/>
        <v>4</v>
      </c>
      <c r="P71" s="867">
        <f t="shared" si="140"/>
        <v>0.6666666667</v>
      </c>
    </row>
    <row r="72" ht="15.75" customHeight="1">
      <c r="A72" s="331" t="s">
        <v>631</v>
      </c>
      <c r="B72" s="77"/>
      <c r="C72" s="77"/>
      <c r="D72" s="77"/>
      <c r="E72" s="77"/>
      <c r="F72" s="77"/>
      <c r="G72" s="77"/>
      <c r="H72" s="869">
        <f t="shared" ref="H72:I72" si="141">B72+D72+F72</f>
        <v>0</v>
      </c>
      <c r="I72" s="883">
        <f t="shared" si="141"/>
        <v>0</v>
      </c>
      <c r="J72" s="870" t="str">
        <f t="shared" si="137"/>
        <v>#DIV/0!</v>
      </c>
      <c r="K72" s="77">
        <v>0.0</v>
      </c>
      <c r="L72" s="77">
        <v>0.0</v>
      </c>
      <c r="M72" s="870" t="str">
        <f t="shared" si="138"/>
        <v>#DIV/0!</v>
      </c>
      <c r="N72" s="201">
        <f t="shared" ref="N72:O72" si="142">H72+K72</f>
        <v>0</v>
      </c>
      <c r="O72" s="201">
        <f t="shared" si="142"/>
        <v>0</v>
      </c>
      <c r="P72" s="867" t="str">
        <f t="shared" si="140"/>
        <v>N/A</v>
      </c>
    </row>
    <row r="73" ht="15.75" customHeight="1">
      <c r="A73" s="331" t="s">
        <v>632</v>
      </c>
      <c r="B73" s="331">
        <v>1.0</v>
      </c>
      <c r="C73" s="331">
        <v>2.0</v>
      </c>
      <c r="D73" s="331">
        <v>0.0</v>
      </c>
      <c r="E73" s="331">
        <v>3.0</v>
      </c>
      <c r="F73" s="331">
        <v>2.0</v>
      </c>
      <c r="G73" s="331">
        <v>1.0</v>
      </c>
      <c r="H73" s="865">
        <f t="shared" ref="H73:I73" si="143">B73+D73+F73</f>
        <v>3</v>
      </c>
      <c r="I73" s="884">
        <f t="shared" si="143"/>
        <v>6</v>
      </c>
      <c r="J73" s="334">
        <f t="shared" si="137"/>
        <v>0.3333333333</v>
      </c>
      <c r="K73" s="871">
        <v>3.0</v>
      </c>
      <c r="L73" s="871">
        <v>0.0</v>
      </c>
      <c r="M73" s="334">
        <f t="shared" si="138"/>
        <v>0.5</v>
      </c>
      <c r="N73" s="585">
        <f t="shared" ref="N73:O73" si="144">H73+K73</f>
        <v>6</v>
      </c>
      <c r="O73" s="585">
        <f t="shared" si="144"/>
        <v>6</v>
      </c>
      <c r="P73" s="867">
        <f t="shared" si="140"/>
        <v>0.5</v>
      </c>
    </row>
    <row r="74" ht="15.75" customHeight="1">
      <c r="A74" s="331" t="s">
        <v>633</v>
      </c>
      <c r="B74" s="331">
        <v>1.0</v>
      </c>
      <c r="C74" s="331">
        <v>0.0</v>
      </c>
      <c r="D74" s="331">
        <v>0.0</v>
      </c>
      <c r="E74" s="331">
        <v>1.0</v>
      </c>
      <c r="F74" s="331">
        <v>1.0</v>
      </c>
      <c r="G74" s="331">
        <v>0.0</v>
      </c>
      <c r="H74" s="865">
        <f t="shared" ref="H74:I74" si="145">B74+D74+F74</f>
        <v>2</v>
      </c>
      <c r="I74" s="884">
        <f t="shared" si="145"/>
        <v>1</v>
      </c>
      <c r="J74" s="873">
        <f t="shared" si="137"/>
        <v>0.6666666667</v>
      </c>
      <c r="K74" s="866">
        <v>1.0</v>
      </c>
      <c r="L74" s="866">
        <v>0.0</v>
      </c>
      <c r="M74" s="334">
        <f t="shared" si="138"/>
        <v>0.75</v>
      </c>
      <c r="N74" s="585">
        <f t="shared" ref="N74:O74" si="146">H74+K74</f>
        <v>3</v>
      </c>
      <c r="O74" s="585">
        <f t="shared" si="146"/>
        <v>1</v>
      </c>
      <c r="P74" s="867">
        <f t="shared" si="140"/>
        <v>0.75</v>
      </c>
    </row>
    <row r="75" ht="15.75" customHeight="1">
      <c r="A75" s="331" t="s">
        <v>634</v>
      </c>
      <c r="B75" s="331">
        <v>1.0</v>
      </c>
      <c r="C75" s="331">
        <v>2.0</v>
      </c>
      <c r="D75" s="331">
        <v>0.0</v>
      </c>
      <c r="E75" s="331">
        <v>1.0</v>
      </c>
      <c r="F75" s="331">
        <v>0.0</v>
      </c>
      <c r="G75" s="331">
        <v>1.0</v>
      </c>
      <c r="H75" s="865">
        <f t="shared" ref="H75:I75" si="147">B75+D75+F75</f>
        <v>1</v>
      </c>
      <c r="I75" s="884">
        <f t="shared" si="147"/>
        <v>4</v>
      </c>
      <c r="J75" s="334">
        <f t="shared" si="137"/>
        <v>0.2</v>
      </c>
      <c r="K75" s="871">
        <v>1.0</v>
      </c>
      <c r="L75" s="871">
        <v>1.0</v>
      </c>
      <c r="M75" s="334">
        <f t="shared" si="138"/>
        <v>0.2857142857</v>
      </c>
      <c r="N75" s="585">
        <f t="shared" ref="N75:O75" si="148">H75+K75</f>
        <v>2</v>
      </c>
      <c r="O75" s="585">
        <f t="shared" si="148"/>
        <v>5</v>
      </c>
      <c r="P75" s="867">
        <f t="shared" si="140"/>
        <v>0.2857142857</v>
      </c>
    </row>
    <row r="76" ht="15.75" customHeight="1">
      <c r="A76" s="331" t="s">
        <v>635</v>
      </c>
      <c r="B76" s="77"/>
      <c r="C76" s="77"/>
      <c r="D76" s="77"/>
      <c r="E76" s="77"/>
      <c r="F76" s="331">
        <v>0.0</v>
      </c>
      <c r="G76" s="331">
        <v>2.0</v>
      </c>
      <c r="H76" s="865">
        <f t="shared" ref="H76:I76" si="149">B76+D76+F76</f>
        <v>0</v>
      </c>
      <c r="I76" s="884">
        <f t="shared" si="149"/>
        <v>2</v>
      </c>
      <c r="J76" s="872">
        <f t="shared" si="137"/>
        <v>0</v>
      </c>
      <c r="K76" s="866">
        <v>0.0</v>
      </c>
      <c r="L76" s="866">
        <v>1.0</v>
      </c>
      <c r="M76" s="334">
        <f t="shared" si="138"/>
        <v>0</v>
      </c>
      <c r="N76" s="585">
        <f t="shared" ref="N76:O76" si="150">H76+K76</f>
        <v>0</v>
      </c>
      <c r="O76" s="585">
        <f t="shared" si="150"/>
        <v>3</v>
      </c>
      <c r="P76" s="867">
        <f t="shared" si="140"/>
        <v>0</v>
      </c>
    </row>
    <row r="77" ht="15.75" customHeight="1">
      <c r="A77" s="331" t="s">
        <v>636</v>
      </c>
      <c r="B77" s="331">
        <v>0.0</v>
      </c>
      <c r="C77" s="331">
        <v>1.0</v>
      </c>
      <c r="D77" s="331">
        <v>2.0</v>
      </c>
      <c r="E77" s="331">
        <v>2.0</v>
      </c>
      <c r="F77" s="331">
        <v>1.0</v>
      </c>
      <c r="G77" s="331">
        <v>1.0</v>
      </c>
      <c r="H77" s="865">
        <f t="shared" ref="H77:I77" si="151">B77+D77+F77</f>
        <v>3</v>
      </c>
      <c r="I77" s="884">
        <f t="shared" si="151"/>
        <v>4</v>
      </c>
      <c r="J77" s="334">
        <f t="shared" si="137"/>
        <v>0.4285714286</v>
      </c>
      <c r="K77" s="871">
        <v>1.0</v>
      </c>
      <c r="L77" s="871">
        <v>1.0</v>
      </c>
      <c r="M77" s="334">
        <f t="shared" si="138"/>
        <v>0.4444444444</v>
      </c>
      <c r="N77" s="585">
        <f t="shared" ref="N77:O77" si="152">H77+K77</f>
        <v>4</v>
      </c>
      <c r="O77" s="585">
        <f t="shared" si="152"/>
        <v>5</v>
      </c>
      <c r="P77" s="867">
        <f t="shared" si="140"/>
        <v>0.4444444444</v>
      </c>
    </row>
    <row r="78" ht="15.75" customHeight="1">
      <c r="B78" s="874">
        <v>7.0</v>
      </c>
      <c r="C78" s="874">
        <v>9.0</v>
      </c>
      <c r="D78" s="874">
        <v>3.0</v>
      </c>
      <c r="E78" s="874">
        <v>13.0</v>
      </c>
      <c r="F78" s="874">
        <v>8.0</v>
      </c>
      <c r="G78" s="874">
        <v>8.0</v>
      </c>
      <c r="H78" s="882">
        <f t="shared" ref="H78:I78" si="153">B78+D78+F78</f>
        <v>18</v>
      </c>
      <c r="I78" s="882">
        <f t="shared" si="153"/>
        <v>30</v>
      </c>
      <c r="J78" s="876">
        <f t="shared" si="137"/>
        <v>0.375</v>
      </c>
      <c r="K78" s="877">
        <f t="shared" ref="K78:L78" si="154">SUM(K70:K77)</f>
        <v>12</v>
      </c>
      <c r="L78" s="877">
        <f t="shared" si="154"/>
        <v>4</v>
      </c>
      <c r="M78" s="876">
        <f>K78/(K78+L78)</f>
        <v>0.75</v>
      </c>
      <c r="N78" s="878">
        <f t="shared" ref="N78:O78" si="155">H78+SUM(K70:K77)</f>
        <v>30</v>
      </c>
      <c r="O78" s="878">
        <f t="shared" si="155"/>
        <v>34</v>
      </c>
      <c r="P78" s="879">
        <f>N78/(N78+O78)</f>
        <v>0.46875</v>
      </c>
    </row>
    <row r="79" ht="15.75" customHeight="1">
      <c r="H79" s="314"/>
      <c r="I79" s="314"/>
    </row>
    <row r="80" ht="15.75" customHeight="1">
      <c r="A80" s="861" t="s">
        <v>536</v>
      </c>
      <c r="B80" s="862">
        <v>2019.0</v>
      </c>
      <c r="C80" s="24"/>
      <c r="D80" s="862">
        <v>2020.0</v>
      </c>
      <c r="E80" s="24"/>
      <c r="F80" s="862">
        <v>2021.0</v>
      </c>
      <c r="G80" s="24"/>
      <c r="H80" s="880" t="s">
        <v>625</v>
      </c>
      <c r="I80" s="21"/>
      <c r="J80" s="24"/>
      <c r="K80" s="862">
        <v>2022.0</v>
      </c>
      <c r="L80" s="21"/>
      <c r="M80" s="24"/>
      <c r="N80" s="864" t="s">
        <v>628</v>
      </c>
      <c r="O80" s="515"/>
    </row>
    <row r="81" ht="15.75" customHeight="1">
      <c r="A81" s="331" t="s">
        <v>629</v>
      </c>
      <c r="B81" s="77"/>
      <c r="C81" s="77"/>
      <c r="D81" s="77"/>
      <c r="E81" s="77"/>
      <c r="F81" s="331">
        <v>0.0</v>
      </c>
      <c r="G81" s="331">
        <v>3.0</v>
      </c>
      <c r="H81" s="865">
        <f t="shared" ref="H81:I81" si="156">B81+D81+F81</f>
        <v>0</v>
      </c>
      <c r="I81" s="884">
        <f t="shared" si="156"/>
        <v>3</v>
      </c>
      <c r="J81" s="872">
        <f t="shared" ref="J81:J89" si="159">H81/(H81+I81)</f>
        <v>0</v>
      </c>
      <c r="K81" s="866">
        <v>2.0</v>
      </c>
      <c r="L81" s="866">
        <v>2.0</v>
      </c>
      <c r="M81" s="334">
        <f t="shared" ref="M81:M88" si="160">(K81+H81)/(K81+H81+I81+L81)</f>
        <v>0.2857142857</v>
      </c>
      <c r="N81" s="585">
        <f t="shared" ref="N81:O81" si="157">H81+K81</f>
        <v>2</v>
      </c>
      <c r="O81" s="585">
        <f t="shared" si="157"/>
        <v>5</v>
      </c>
      <c r="P81" s="867">
        <f t="shared" ref="P81:P88" si="162">IFERROR(N81/(N81+O81),"N/A")</f>
        <v>0.2857142857</v>
      </c>
    </row>
    <row r="82" ht="15.75" customHeight="1">
      <c r="A82" s="331" t="s">
        <v>630</v>
      </c>
      <c r="B82" s="77"/>
      <c r="C82" s="77"/>
      <c r="D82" s="77"/>
      <c r="E82" s="77"/>
      <c r="F82" s="331">
        <v>0.0</v>
      </c>
      <c r="G82" s="331">
        <v>2.0</v>
      </c>
      <c r="H82" s="865">
        <f t="shared" ref="H82:I82" si="158">B82+D82+F82</f>
        <v>0</v>
      </c>
      <c r="I82" s="884">
        <f t="shared" si="158"/>
        <v>2</v>
      </c>
      <c r="J82" s="872">
        <f t="shared" si="159"/>
        <v>0</v>
      </c>
      <c r="K82" s="871">
        <v>1.0</v>
      </c>
      <c r="L82" s="871">
        <v>0.0</v>
      </c>
      <c r="M82" s="334">
        <f t="shared" si="160"/>
        <v>0.3333333333</v>
      </c>
      <c r="N82" s="585">
        <f t="shared" ref="N82:O82" si="161">H82+K82</f>
        <v>1</v>
      </c>
      <c r="O82" s="585">
        <f t="shared" si="161"/>
        <v>2</v>
      </c>
      <c r="P82" s="867">
        <f t="shared" si="162"/>
        <v>0.3333333333</v>
      </c>
    </row>
    <row r="83" ht="15.75" customHeight="1">
      <c r="A83" s="331" t="s">
        <v>631</v>
      </c>
      <c r="B83" s="77"/>
      <c r="C83" s="77"/>
      <c r="D83" s="77"/>
      <c r="E83" s="77"/>
      <c r="F83" s="331">
        <v>2.0</v>
      </c>
      <c r="G83" s="331">
        <v>0.0</v>
      </c>
      <c r="H83" s="865">
        <f t="shared" ref="H83:I83" si="163">B83+D83+F83</f>
        <v>2</v>
      </c>
      <c r="I83" s="884">
        <f t="shared" si="163"/>
        <v>0</v>
      </c>
      <c r="J83" s="873">
        <f t="shared" si="159"/>
        <v>1</v>
      </c>
      <c r="K83" s="866">
        <v>1.0</v>
      </c>
      <c r="L83" s="866">
        <v>0.0</v>
      </c>
      <c r="M83" s="334">
        <f t="shared" si="160"/>
        <v>1</v>
      </c>
      <c r="N83" s="585">
        <f t="shared" ref="N83:O83" si="164">H83+K83</f>
        <v>3</v>
      </c>
      <c r="O83" s="585">
        <f t="shared" si="164"/>
        <v>0</v>
      </c>
      <c r="P83" s="867">
        <f t="shared" si="162"/>
        <v>1</v>
      </c>
    </row>
    <row r="84" ht="15.75" customHeight="1">
      <c r="A84" s="331" t="s">
        <v>632</v>
      </c>
      <c r="B84" s="77"/>
      <c r="C84" s="77"/>
      <c r="D84" s="77"/>
      <c r="E84" s="77"/>
      <c r="F84" s="331">
        <v>1.0</v>
      </c>
      <c r="G84" s="331">
        <v>1.0</v>
      </c>
      <c r="H84" s="865">
        <f t="shared" ref="H84:I84" si="165">B84+D84+F84</f>
        <v>1</v>
      </c>
      <c r="I84" s="884">
        <f t="shared" si="165"/>
        <v>1</v>
      </c>
      <c r="J84" s="334">
        <f t="shared" si="159"/>
        <v>0.5</v>
      </c>
      <c r="K84" s="871">
        <v>0.0</v>
      </c>
      <c r="L84" s="871">
        <v>1.0</v>
      </c>
      <c r="M84" s="334">
        <f t="shared" si="160"/>
        <v>0.3333333333</v>
      </c>
      <c r="N84" s="585">
        <f t="shared" ref="N84:O84" si="166">H84+K84</f>
        <v>1</v>
      </c>
      <c r="O84" s="585">
        <f t="shared" si="166"/>
        <v>2</v>
      </c>
      <c r="P84" s="867">
        <f t="shared" si="162"/>
        <v>0.3333333333</v>
      </c>
    </row>
    <row r="85" ht="15.75" customHeight="1">
      <c r="A85" s="331" t="s">
        <v>633</v>
      </c>
      <c r="B85" s="77"/>
      <c r="C85" s="77"/>
      <c r="D85" s="77"/>
      <c r="E85" s="77"/>
      <c r="F85" s="331">
        <v>1.0</v>
      </c>
      <c r="G85" s="331">
        <v>1.0</v>
      </c>
      <c r="H85" s="865">
        <f t="shared" ref="H85:I85" si="167">B85+D85+F85</f>
        <v>1</v>
      </c>
      <c r="I85" s="884">
        <f t="shared" si="167"/>
        <v>1</v>
      </c>
      <c r="J85" s="334">
        <f t="shared" si="159"/>
        <v>0.5</v>
      </c>
      <c r="K85" s="866">
        <v>2.0</v>
      </c>
      <c r="L85" s="866">
        <v>1.0</v>
      </c>
      <c r="M85" s="334">
        <f t="shared" si="160"/>
        <v>0.6</v>
      </c>
      <c r="N85" s="585">
        <f t="shared" ref="N85:O85" si="168">H85+K85</f>
        <v>3</v>
      </c>
      <c r="O85" s="585">
        <f t="shared" si="168"/>
        <v>2</v>
      </c>
      <c r="P85" s="867">
        <f t="shared" si="162"/>
        <v>0.6</v>
      </c>
    </row>
    <row r="86" ht="15.75" customHeight="1">
      <c r="A86" s="331" t="s">
        <v>634</v>
      </c>
      <c r="B86" s="77"/>
      <c r="C86" s="77"/>
      <c r="D86" s="77"/>
      <c r="E86" s="77"/>
      <c r="F86" s="331">
        <v>0.0</v>
      </c>
      <c r="G86" s="331">
        <v>1.0</v>
      </c>
      <c r="H86" s="865">
        <f t="shared" ref="H86:I86" si="169">B86+D86+F86</f>
        <v>0</v>
      </c>
      <c r="I86" s="884">
        <f t="shared" si="169"/>
        <v>1</v>
      </c>
      <c r="J86" s="872">
        <f t="shared" si="159"/>
        <v>0</v>
      </c>
      <c r="K86" s="871">
        <v>0.0</v>
      </c>
      <c r="L86" s="871">
        <v>4.0</v>
      </c>
      <c r="M86" s="334">
        <f t="shared" si="160"/>
        <v>0</v>
      </c>
      <c r="N86" s="585">
        <f t="shared" ref="N86:O86" si="170">H86+K86</f>
        <v>0</v>
      </c>
      <c r="O86" s="585">
        <f t="shared" si="170"/>
        <v>5</v>
      </c>
      <c r="P86" s="867">
        <f t="shared" si="162"/>
        <v>0</v>
      </c>
    </row>
    <row r="87" ht="15.75" customHeight="1">
      <c r="A87" s="331" t="s">
        <v>635</v>
      </c>
      <c r="B87" s="77"/>
      <c r="C87" s="77"/>
      <c r="D87" s="77"/>
      <c r="E87" s="77"/>
      <c r="F87" s="77"/>
      <c r="G87" s="77"/>
      <c r="H87" s="869">
        <f t="shared" ref="H87:I87" si="171">B87+D87+F87</f>
        <v>0</v>
      </c>
      <c r="I87" s="883">
        <f t="shared" si="171"/>
        <v>0</v>
      </c>
      <c r="J87" s="77" t="str">
        <f t="shared" si="159"/>
        <v>#DIV/0!</v>
      </c>
      <c r="K87" s="77">
        <v>0.0</v>
      </c>
      <c r="L87" s="77">
        <v>0.0</v>
      </c>
      <c r="M87" s="870" t="str">
        <f t="shared" si="160"/>
        <v>#DIV/0!</v>
      </c>
      <c r="N87" s="201">
        <f t="shared" ref="N87:O87" si="172">H87+K87</f>
        <v>0</v>
      </c>
      <c r="O87" s="201">
        <f t="shared" si="172"/>
        <v>0</v>
      </c>
      <c r="P87" s="867" t="str">
        <f t="shared" si="162"/>
        <v>N/A</v>
      </c>
    </row>
    <row r="88" ht="15.75" customHeight="1">
      <c r="A88" s="331" t="s">
        <v>636</v>
      </c>
      <c r="B88" s="77"/>
      <c r="C88" s="77"/>
      <c r="D88" s="77"/>
      <c r="E88" s="77"/>
      <c r="F88" s="331">
        <v>1.0</v>
      </c>
      <c r="G88" s="331">
        <v>1.0</v>
      </c>
      <c r="H88" s="865">
        <f t="shared" ref="H88:I88" si="173">B88+D88+F88</f>
        <v>1</v>
      </c>
      <c r="I88" s="884">
        <f t="shared" si="173"/>
        <v>1</v>
      </c>
      <c r="J88" s="334">
        <f t="shared" si="159"/>
        <v>0.5</v>
      </c>
      <c r="K88" s="871">
        <v>1.0</v>
      </c>
      <c r="L88" s="871">
        <v>2.0</v>
      </c>
      <c r="M88" s="334">
        <f t="shared" si="160"/>
        <v>0.4</v>
      </c>
      <c r="N88" s="585">
        <f t="shared" ref="N88:O88" si="174">H88+K88</f>
        <v>2</v>
      </c>
      <c r="O88" s="585">
        <f t="shared" si="174"/>
        <v>3</v>
      </c>
      <c r="P88" s="867">
        <f t="shared" si="162"/>
        <v>0.4</v>
      </c>
    </row>
    <row r="89" ht="15.75" customHeight="1">
      <c r="B89" s="882"/>
      <c r="C89" s="882"/>
      <c r="D89" s="882"/>
      <c r="E89" s="882"/>
      <c r="F89" s="874">
        <v>7.0</v>
      </c>
      <c r="G89" s="874">
        <v>9.0</v>
      </c>
      <c r="H89" s="882">
        <f t="shared" ref="H89:I89" si="175">B89+D89+F89</f>
        <v>7</v>
      </c>
      <c r="I89" s="882">
        <f t="shared" si="175"/>
        <v>9</v>
      </c>
      <c r="J89" s="876">
        <f t="shared" si="159"/>
        <v>0.4375</v>
      </c>
      <c r="K89" s="877">
        <f t="shared" ref="K89:L89" si="176">SUM(K81:K88)</f>
        <v>7</v>
      </c>
      <c r="L89" s="877">
        <f t="shared" si="176"/>
        <v>10</v>
      </c>
      <c r="M89" s="876">
        <f>K89/(K89+L89)</f>
        <v>0.4117647059</v>
      </c>
      <c r="N89" s="878">
        <f t="shared" ref="N89:O89" si="177">H89+SUM(K81:K88)</f>
        <v>14</v>
      </c>
      <c r="O89" s="878">
        <f t="shared" si="177"/>
        <v>19</v>
      </c>
      <c r="P89" s="879">
        <f>N89/(N89+O89)</f>
        <v>0.4242424242</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G1"/>
    <mergeCell ref="B2:C2"/>
    <mergeCell ref="D2:E2"/>
    <mergeCell ref="F2:G2"/>
    <mergeCell ref="H2:J2"/>
    <mergeCell ref="K2:M2"/>
    <mergeCell ref="N2:O2"/>
    <mergeCell ref="H25:J25"/>
    <mergeCell ref="K25:M25"/>
    <mergeCell ref="B14:C14"/>
    <mergeCell ref="D14:E14"/>
    <mergeCell ref="F14:G14"/>
    <mergeCell ref="H14:J14"/>
    <mergeCell ref="K14:M14"/>
    <mergeCell ref="N14:O14"/>
    <mergeCell ref="B25:C25"/>
    <mergeCell ref="N25:O25"/>
    <mergeCell ref="D25:E25"/>
    <mergeCell ref="F25:G25"/>
    <mergeCell ref="D36:E36"/>
    <mergeCell ref="F36:G36"/>
    <mergeCell ref="H36:J36"/>
    <mergeCell ref="K36:M36"/>
    <mergeCell ref="N36:O36"/>
    <mergeCell ref="B36:C36"/>
    <mergeCell ref="B47:C47"/>
    <mergeCell ref="D47:E47"/>
    <mergeCell ref="F47:G47"/>
    <mergeCell ref="H47:J47"/>
    <mergeCell ref="K47:M47"/>
    <mergeCell ref="N47:O47"/>
    <mergeCell ref="D69:E69"/>
    <mergeCell ref="F69:G69"/>
    <mergeCell ref="B80:C80"/>
    <mergeCell ref="D80:E80"/>
    <mergeCell ref="F80:G80"/>
    <mergeCell ref="H80:J80"/>
    <mergeCell ref="K80:M80"/>
    <mergeCell ref="N80:O80"/>
    <mergeCell ref="H69:J69"/>
    <mergeCell ref="K69:M69"/>
    <mergeCell ref="B58:C58"/>
    <mergeCell ref="D58:E58"/>
    <mergeCell ref="F58:G58"/>
    <mergeCell ref="H58:J58"/>
    <mergeCell ref="K58:M58"/>
    <mergeCell ref="N58:O58"/>
    <mergeCell ref="B69:C69"/>
    <mergeCell ref="N69:O69"/>
  </mergeCells>
  <conditionalFormatting sqref="P3:P10">
    <cfRule type="colorScale" priority="1">
      <colorScale>
        <cfvo type="min"/>
        <cfvo type="percentile" val="50"/>
        <cfvo type="max"/>
        <color rgb="FFF8696B"/>
        <color rgb="FFFCFCFF"/>
        <color rgb="FF63BE7B"/>
      </colorScale>
    </cfRule>
  </conditionalFormatting>
  <conditionalFormatting sqref="P15:P22">
    <cfRule type="colorScale" priority="2">
      <colorScale>
        <cfvo type="min"/>
        <cfvo type="percentile" val="50"/>
        <cfvo type="max"/>
        <color rgb="FFF8696B"/>
        <color rgb="FFFCFCFF"/>
        <color rgb="FF63BE7B"/>
      </colorScale>
    </cfRule>
  </conditionalFormatting>
  <conditionalFormatting sqref="P26:P33">
    <cfRule type="colorScale" priority="3">
      <colorScale>
        <cfvo type="min"/>
        <cfvo type="percentile" val="50"/>
        <cfvo type="max"/>
        <color rgb="FFF8696B"/>
        <color rgb="FFFCFCFF"/>
        <color rgb="FF63BE7B"/>
      </colorScale>
    </cfRule>
  </conditionalFormatting>
  <conditionalFormatting sqref="P37:P44">
    <cfRule type="colorScale" priority="4">
      <colorScale>
        <cfvo type="min"/>
        <cfvo type="percentile" val="50"/>
        <cfvo type="max"/>
        <color rgb="FFF8696B"/>
        <color rgb="FFFCFCFF"/>
        <color rgb="FF63BE7B"/>
      </colorScale>
    </cfRule>
  </conditionalFormatting>
  <conditionalFormatting sqref="P48:P55">
    <cfRule type="colorScale" priority="5">
      <colorScale>
        <cfvo type="min"/>
        <cfvo type="percentile" val="50"/>
        <cfvo type="max"/>
        <color rgb="FFF8696B"/>
        <color rgb="FFFCFCFF"/>
        <color rgb="FF63BE7B"/>
      </colorScale>
    </cfRule>
  </conditionalFormatting>
  <conditionalFormatting sqref="P59:P66">
    <cfRule type="colorScale" priority="6">
      <colorScale>
        <cfvo type="min"/>
        <cfvo type="percentile" val="50"/>
        <cfvo type="max"/>
        <color rgb="FFF8696B"/>
        <color rgb="FFFCFCFF"/>
        <color rgb="FF63BE7B"/>
      </colorScale>
    </cfRule>
  </conditionalFormatting>
  <conditionalFormatting sqref="P70:P77">
    <cfRule type="colorScale" priority="7">
      <colorScale>
        <cfvo type="min"/>
        <cfvo type="percentile" val="50"/>
        <cfvo type="max"/>
        <color rgb="FFF8696B"/>
        <color rgb="FFFCFCFF"/>
        <color rgb="FF63BE7B"/>
      </colorScale>
    </cfRule>
  </conditionalFormatting>
  <conditionalFormatting sqref="P81:P88">
    <cfRule type="colorScale" priority="8">
      <colorScale>
        <cfvo type="min"/>
        <cfvo type="percentile" val="50"/>
        <cfvo type="max"/>
        <color rgb="FFF8696B"/>
        <color rgb="FFFCFCFF"/>
        <color rgb="FF63BE7B"/>
      </colorScale>
    </cfRule>
  </conditionalFormatting>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hidden="1" min="1" max="1" width="10.78"/>
    <col customWidth="1" min="2" max="2" width="5.44"/>
    <col customWidth="1" min="3" max="5" width="11.78"/>
    <col customWidth="1" min="6" max="6" width="11.67"/>
    <col customWidth="1" min="7" max="7" width="11.78"/>
    <col customWidth="1" min="8" max="8" width="11.67"/>
    <col customWidth="1" min="9" max="9" width="11.78"/>
    <col customWidth="1" min="10" max="10" width="11.67"/>
    <col customWidth="1" min="11" max="11" width="11.78"/>
    <col customWidth="1" min="12" max="12" width="10.56"/>
    <col customWidth="1" min="13" max="14" width="10.78"/>
    <col customWidth="1" min="15" max="15" width="7.44"/>
    <col customWidth="1" min="16" max="16" width="10.78"/>
    <col customWidth="1" min="17" max="17" width="5.78"/>
    <col customWidth="1" min="18" max="26" width="10.78"/>
  </cols>
  <sheetData>
    <row r="1" ht="18.0" hidden="1" customHeight="1">
      <c r="C1" s="886" t="s">
        <v>493</v>
      </c>
      <c r="D1" s="886" t="s">
        <v>495</v>
      </c>
      <c r="E1" s="886" t="s">
        <v>477</v>
      </c>
      <c r="F1" s="886" t="s">
        <v>494</v>
      </c>
      <c r="G1" s="886" t="s">
        <v>497</v>
      </c>
      <c r="H1" s="886" t="s">
        <v>478</v>
      </c>
      <c r="I1" s="886" t="s">
        <v>305</v>
      </c>
      <c r="J1" s="886" t="s">
        <v>538</v>
      </c>
      <c r="K1" s="887" t="s">
        <v>537</v>
      </c>
      <c r="L1" s="888"/>
      <c r="N1" s="886" t="s">
        <v>493</v>
      </c>
      <c r="O1" s="889" t="s">
        <v>495</v>
      </c>
      <c r="P1" s="886" t="s">
        <v>477</v>
      </c>
      <c r="Q1" s="886" t="s">
        <v>494</v>
      </c>
      <c r="R1" s="886" t="s">
        <v>497</v>
      </c>
      <c r="S1" s="886" t="s">
        <v>478</v>
      </c>
      <c r="T1" s="886" t="s">
        <v>305</v>
      </c>
      <c r="U1" s="886" t="s">
        <v>538</v>
      </c>
      <c r="V1" s="887" t="s">
        <v>537</v>
      </c>
    </row>
    <row r="2" ht="16.5" customHeight="1">
      <c r="C2" s="890" t="str">
        <f>ARRAY_CONSTRAIN(ARRAYFORMULA(TRANSPOSE([1]STANDINGS!$I$4:$I$12)), 1, 9)</f>
        <v>#ERROR!</v>
      </c>
      <c r="D2" s="890"/>
      <c r="E2" s="890"/>
      <c r="F2" s="890"/>
      <c r="G2" s="890"/>
      <c r="H2" s="890"/>
      <c r="I2" s="890"/>
      <c r="J2" s="890"/>
      <c r="K2" s="890"/>
      <c r="L2" s="891"/>
      <c r="O2" s="337"/>
    </row>
    <row r="3" ht="18.0" hidden="1" customHeight="1">
      <c r="B3" s="13" t="s">
        <v>616</v>
      </c>
      <c r="C3" s="314" t="str">
        <f t="shared" ref="C3:K3" si="1">IFERROR(INDEX($A$41:$A$50, (MATCH($B3, C$41:C$50, 0))),"0")</f>
        <v>0</v>
      </c>
      <c r="D3" s="314" t="str">
        <f t="shared" si="1"/>
        <v>0</v>
      </c>
      <c r="E3" s="314" t="str">
        <f t="shared" si="1"/>
        <v>0</v>
      </c>
      <c r="F3" s="314" t="str">
        <f t="shared" si="1"/>
        <v>0</v>
      </c>
      <c r="G3" s="314" t="str">
        <f t="shared" si="1"/>
        <v>0</v>
      </c>
      <c r="H3" s="314" t="str">
        <f t="shared" si="1"/>
        <v>0</v>
      </c>
      <c r="I3" s="314" t="str">
        <f t="shared" si="1"/>
        <v>0</v>
      </c>
      <c r="J3" s="314" t="str">
        <f t="shared" si="1"/>
        <v>0</v>
      </c>
      <c r="K3" s="314" t="str">
        <f t="shared" si="1"/>
        <v>0</v>
      </c>
      <c r="N3" s="314" t="str">
        <f t="shared" ref="N3:V3" si="2">IFERROR(C3*C$2,"-")</f>
        <v>-</v>
      </c>
      <c r="O3" s="892">
        <f t="shared" si="2"/>
        <v>0</v>
      </c>
      <c r="P3" s="314">
        <f t="shared" si="2"/>
        <v>0</v>
      </c>
      <c r="Q3" s="314">
        <f t="shared" si="2"/>
        <v>0</v>
      </c>
      <c r="R3" s="314">
        <f t="shared" si="2"/>
        <v>0</v>
      </c>
      <c r="S3" s="314">
        <f t="shared" si="2"/>
        <v>0</v>
      </c>
      <c r="T3" s="314">
        <f t="shared" si="2"/>
        <v>0</v>
      </c>
      <c r="U3" s="314">
        <f t="shared" si="2"/>
        <v>0</v>
      </c>
      <c r="V3" s="314">
        <f t="shared" si="2"/>
        <v>0</v>
      </c>
      <c r="Y3" s="13">
        <f t="shared" ref="Y3:Y34" si="6">IFERROR(AVERAGE(N3:V3),"-")</f>
        <v>0</v>
      </c>
      <c r="Z3" s="13" t="str">
        <f t="shared" ref="Z3:Z34" si="7">IFERROR(IF(Y3=0,"-",RANK(Y3, $Y$3:$Y$34, 0)),"-")</f>
        <v>-</v>
      </c>
    </row>
    <row r="4" ht="18.0" hidden="1" customHeight="1">
      <c r="B4" s="13" t="s">
        <v>620</v>
      </c>
      <c r="C4" s="314" t="str">
        <f t="shared" ref="C4:G4" si="3">IFERROR(INDEX($A$41:$A$50, (MATCH($B4, C$41:C$50, 0))),"0")</f>
        <v>0</v>
      </c>
      <c r="D4" s="314" t="str">
        <f t="shared" si="3"/>
        <v>0</v>
      </c>
      <c r="E4" s="314" t="str">
        <f t="shared" si="3"/>
        <v>0</v>
      </c>
      <c r="F4" s="314" t="str">
        <f t="shared" si="3"/>
        <v>0</v>
      </c>
      <c r="G4" s="314" t="str">
        <f t="shared" si="3"/>
        <v>0</v>
      </c>
      <c r="H4" s="314" t="str">
        <f t="shared" ref="H4:H12" si="9">IFERROR(INDEX($A$41:$A$50, (MATCH($B4, H$42:H$50, 0))),"0")</f>
        <v>0</v>
      </c>
      <c r="I4" s="314" t="str">
        <f t="shared" ref="I4:K4" si="4">IFERROR(INDEX($A$41:$A$50, (MATCH($B4, I$41:I$50, 0))),"0")</f>
        <v>0</v>
      </c>
      <c r="J4" s="314" t="str">
        <f t="shared" si="4"/>
        <v>0</v>
      </c>
      <c r="K4" s="314" t="str">
        <f t="shared" si="4"/>
        <v>0</v>
      </c>
      <c r="N4" s="314" t="str">
        <f t="shared" ref="N4:V4" si="5">IFERROR(C4*C$2,"-")</f>
        <v>-</v>
      </c>
      <c r="O4" s="892">
        <f t="shared" si="5"/>
        <v>0</v>
      </c>
      <c r="P4" s="314">
        <f t="shared" si="5"/>
        <v>0</v>
      </c>
      <c r="Q4" s="314">
        <f t="shared" si="5"/>
        <v>0</v>
      </c>
      <c r="R4" s="314">
        <f t="shared" si="5"/>
        <v>0</v>
      </c>
      <c r="S4" s="314">
        <f t="shared" si="5"/>
        <v>0</v>
      </c>
      <c r="T4" s="314">
        <f t="shared" si="5"/>
        <v>0</v>
      </c>
      <c r="U4" s="314">
        <f t="shared" si="5"/>
        <v>0</v>
      </c>
      <c r="V4" s="314">
        <f t="shared" si="5"/>
        <v>0</v>
      </c>
      <c r="Y4" s="13">
        <f t="shared" si="6"/>
        <v>0</v>
      </c>
      <c r="Z4" s="13" t="str">
        <f t="shared" si="7"/>
        <v>-</v>
      </c>
    </row>
    <row r="5" ht="18.0" hidden="1" customHeight="1">
      <c r="B5" s="13" t="s">
        <v>613</v>
      </c>
      <c r="C5" s="314" t="str">
        <f t="shared" ref="C5:G5" si="8">IFERROR(INDEX($A$41:$A$50, (MATCH($B5, C$41:C$50, 0))),"0")</f>
        <v>0</v>
      </c>
      <c r="D5" s="314" t="str">
        <f t="shared" si="8"/>
        <v>0</v>
      </c>
      <c r="E5" s="314" t="str">
        <f t="shared" si="8"/>
        <v>0</v>
      </c>
      <c r="F5" s="314" t="str">
        <f t="shared" si="8"/>
        <v>0</v>
      </c>
      <c r="G5" s="314" t="str">
        <f t="shared" si="8"/>
        <v>0</v>
      </c>
      <c r="H5" s="314" t="str">
        <f t="shared" si="9"/>
        <v>0</v>
      </c>
      <c r="I5" s="314" t="str">
        <f t="shared" ref="I5:K5" si="10">IFERROR(INDEX($A$41:$A$50, (MATCH($B5, I$41:I$50, 0))),"0")</f>
        <v>0</v>
      </c>
      <c r="J5" s="314" t="str">
        <f t="shared" si="10"/>
        <v>0</v>
      </c>
      <c r="K5" s="314" t="str">
        <f t="shared" si="10"/>
        <v>0</v>
      </c>
      <c r="N5" s="314" t="str">
        <f t="shared" ref="N5:V5" si="11">IFERROR(C5*C$2,"-")</f>
        <v>-</v>
      </c>
      <c r="O5" s="892">
        <f t="shared" si="11"/>
        <v>0</v>
      </c>
      <c r="P5" s="314">
        <f t="shared" si="11"/>
        <v>0</v>
      </c>
      <c r="Q5" s="314">
        <f t="shared" si="11"/>
        <v>0</v>
      </c>
      <c r="R5" s="314">
        <f t="shared" si="11"/>
        <v>0</v>
      </c>
      <c r="S5" s="314">
        <f t="shared" si="11"/>
        <v>0</v>
      </c>
      <c r="T5" s="314">
        <f t="shared" si="11"/>
        <v>0</v>
      </c>
      <c r="U5" s="314">
        <f t="shared" si="11"/>
        <v>0</v>
      </c>
      <c r="V5" s="314">
        <f t="shared" si="11"/>
        <v>0</v>
      </c>
      <c r="Y5" s="13">
        <f t="shared" si="6"/>
        <v>0</v>
      </c>
      <c r="Z5" s="13" t="str">
        <f t="shared" si="7"/>
        <v>-</v>
      </c>
    </row>
    <row r="6" ht="18.0" hidden="1" customHeight="1">
      <c r="B6" s="13" t="s">
        <v>622</v>
      </c>
      <c r="C6" s="314" t="str">
        <f t="shared" ref="C6:G6" si="12">IFERROR(INDEX($A$41:$A$50, (MATCH($B6, C$41:C$50, 0))),"0")</f>
        <v>0</v>
      </c>
      <c r="D6" s="314" t="str">
        <f t="shared" si="12"/>
        <v>0</v>
      </c>
      <c r="E6" s="314" t="str">
        <f t="shared" si="12"/>
        <v>0</v>
      </c>
      <c r="F6" s="314" t="str">
        <f t="shared" si="12"/>
        <v>0</v>
      </c>
      <c r="G6" s="314" t="str">
        <f t="shared" si="12"/>
        <v>0</v>
      </c>
      <c r="H6" s="314" t="str">
        <f t="shared" si="9"/>
        <v>0</v>
      </c>
      <c r="I6" s="314" t="str">
        <f t="shared" ref="I6:K6" si="13">IFERROR(INDEX($A$41:$A$50, (MATCH($B6, I$41:I$50, 0))),"0")</f>
        <v>0</v>
      </c>
      <c r="J6" s="314" t="str">
        <f t="shared" si="13"/>
        <v>0</v>
      </c>
      <c r="K6" s="314" t="str">
        <f t="shared" si="13"/>
        <v>0</v>
      </c>
      <c r="N6" s="314" t="str">
        <f t="shared" ref="N6:V6" si="14">IFERROR(C6*C$2,"-")</f>
        <v>-</v>
      </c>
      <c r="O6" s="892">
        <f t="shared" si="14"/>
        <v>0</v>
      </c>
      <c r="P6" s="314">
        <f t="shared" si="14"/>
        <v>0</v>
      </c>
      <c r="Q6" s="314">
        <f t="shared" si="14"/>
        <v>0</v>
      </c>
      <c r="R6" s="314">
        <f t="shared" si="14"/>
        <v>0</v>
      </c>
      <c r="S6" s="314">
        <f t="shared" si="14"/>
        <v>0</v>
      </c>
      <c r="T6" s="314">
        <f t="shared" si="14"/>
        <v>0</v>
      </c>
      <c r="U6" s="314">
        <f t="shared" si="14"/>
        <v>0</v>
      </c>
      <c r="V6" s="314">
        <f t="shared" si="14"/>
        <v>0</v>
      </c>
      <c r="Y6" s="13">
        <f t="shared" si="6"/>
        <v>0</v>
      </c>
      <c r="Z6" s="13" t="str">
        <f t="shared" si="7"/>
        <v>-</v>
      </c>
    </row>
    <row r="7" ht="18.0" hidden="1" customHeight="1">
      <c r="B7" s="13" t="s">
        <v>609</v>
      </c>
      <c r="C7" s="314" t="str">
        <f t="shared" ref="C7:G7" si="15">IFERROR(INDEX($A$41:$A$50, (MATCH($B7, C$41:C$50, 0))),"0")</f>
        <v>0</v>
      </c>
      <c r="D7" s="314" t="str">
        <f t="shared" si="15"/>
        <v>0</v>
      </c>
      <c r="E7" s="314" t="str">
        <f t="shared" si="15"/>
        <v>0</v>
      </c>
      <c r="F7" s="314" t="str">
        <f t="shared" si="15"/>
        <v>0</v>
      </c>
      <c r="G7" s="314" t="str">
        <f t="shared" si="15"/>
        <v>0</v>
      </c>
      <c r="H7" s="314" t="str">
        <f t="shared" si="9"/>
        <v>0</v>
      </c>
      <c r="I7" s="314" t="str">
        <f t="shared" ref="I7:K7" si="16">IFERROR(INDEX($A$41:$A$50, (MATCH($B7, I$41:I$50, 0))),"0")</f>
        <v>0</v>
      </c>
      <c r="J7" s="314" t="str">
        <f t="shared" si="16"/>
        <v>0</v>
      </c>
      <c r="K7" s="314" t="str">
        <f t="shared" si="16"/>
        <v>0</v>
      </c>
      <c r="N7" s="314" t="str">
        <f t="shared" ref="N7:V7" si="17">IFERROR(C7*C$2,"-")</f>
        <v>-</v>
      </c>
      <c r="O7" s="892">
        <f t="shared" si="17"/>
        <v>0</v>
      </c>
      <c r="P7" s="314">
        <f t="shared" si="17"/>
        <v>0</v>
      </c>
      <c r="Q7" s="314">
        <f t="shared" si="17"/>
        <v>0</v>
      </c>
      <c r="R7" s="314">
        <f t="shared" si="17"/>
        <v>0</v>
      </c>
      <c r="S7" s="314">
        <f t="shared" si="17"/>
        <v>0</v>
      </c>
      <c r="T7" s="314">
        <f t="shared" si="17"/>
        <v>0</v>
      </c>
      <c r="U7" s="314">
        <f t="shared" si="17"/>
        <v>0</v>
      </c>
      <c r="V7" s="314">
        <f t="shared" si="17"/>
        <v>0</v>
      </c>
      <c r="Y7" s="13">
        <f t="shared" si="6"/>
        <v>0</v>
      </c>
      <c r="Z7" s="13" t="str">
        <f t="shared" si="7"/>
        <v>-</v>
      </c>
    </row>
    <row r="8" ht="18.0" hidden="1" customHeight="1">
      <c r="B8" s="13" t="s">
        <v>607</v>
      </c>
      <c r="C8" s="314" t="str">
        <f t="shared" ref="C8:G8" si="18">IFERROR(INDEX($A$41:$A$50, (MATCH($B8, C$41:C$50, 0))),"0")</f>
        <v>0</v>
      </c>
      <c r="D8" s="314" t="str">
        <f t="shared" si="18"/>
        <v>0</v>
      </c>
      <c r="E8" s="314" t="str">
        <f t="shared" si="18"/>
        <v>0</v>
      </c>
      <c r="F8" s="314" t="str">
        <f t="shared" si="18"/>
        <v>0</v>
      </c>
      <c r="G8" s="314" t="str">
        <f t="shared" si="18"/>
        <v>0</v>
      </c>
      <c r="H8" s="314" t="str">
        <f t="shared" si="9"/>
        <v>0</v>
      </c>
      <c r="I8" s="314" t="str">
        <f t="shared" ref="I8:K8" si="19">IFERROR(INDEX($A$41:$A$50, (MATCH($B8, I$41:I$50, 0))),"0")</f>
        <v>0</v>
      </c>
      <c r="J8" s="314" t="str">
        <f t="shared" si="19"/>
        <v>0</v>
      </c>
      <c r="K8" s="314" t="str">
        <f t="shared" si="19"/>
        <v>0</v>
      </c>
      <c r="N8" s="314" t="str">
        <f t="shared" ref="N8:V8" si="20">IFERROR(C8*C$2,"-")</f>
        <v>-</v>
      </c>
      <c r="O8" s="892">
        <f t="shared" si="20"/>
        <v>0</v>
      </c>
      <c r="P8" s="314">
        <f t="shared" si="20"/>
        <v>0</v>
      </c>
      <c r="Q8" s="314">
        <f t="shared" si="20"/>
        <v>0</v>
      </c>
      <c r="R8" s="314">
        <f t="shared" si="20"/>
        <v>0</v>
      </c>
      <c r="S8" s="314">
        <f t="shared" si="20"/>
        <v>0</v>
      </c>
      <c r="T8" s="314">
        <f t="shared" si="20"/>
        <v>0</v>
      </c>
      <c r="U8" s="314">
        <f t="shared" si="20"/>
        <v>0</v>
      </c>
      <c r="V8" s="314">
        <f t="shared" si="20"/>
        <v>0</v>
      </c>
      <c r="Y8" s="13">
        <f t="shared" si="6"/>
        <v>0</v>
      </c>
      <c r="Z8" s="13" t="str">
        <f t="shared" si="7"/>
        <v>-</v>
      </c>
    </row>
    <row r="9" ht="18.0" hidden="1" customHeight="1">
      <c r="B9" s="13" t="s">
        <v>624</v>
      </c>
      <c r="C9" s="314" t="str">
        <f t="shared" ref="C9:G9" si="21">IFERROR(INDEX($A$41:$A$50, (MATCH($B9, C$41:C$50, 0))),"0")</f>
        <v>0</v>
      </c>
      <c r="D9" s="314" t="str">
        <f t="shared" si="21"/>
        <v>0</v>
      </c>
      <c r="E9" s="314" t="str">
        <f t="shared" si="21"/>
        <v>0</v>
      </c>
      <c r="F9" s="314" t="str">
        <f t="shared" si="21"/>
        <v>0</v>
      </c>
      <c r="G9" s="314" t="str">
        <f t="shared" si="21"/>
        <v>0</v>
      </c>
      <c r="H9" s="314" t="str">
        <f t="shared" si="9"/>
        <v>0</v>
      </c>
      <c r="I9" s="314" t="str">
        <f t="shared" ref="I9:K9" si="22">IFERROR(INDEX($A$41:$A$50, (MATCH($B9, I$41:I$50, 0))),"0")</f>
        <v>0</v>
      </c>
      <c r="J9" s="314" t="str">
        <f t="shared" si="22"/>
        <v>0</v>
      </c>
      <c r="K9" s="314" t="str">
        <f t="shared" si="22"/>
        <v>0</v>
      </c>
      <c r="N9" s="314" t="str">
        <f t="shared" ref="N9:V9" si="23">IFERROR(C9*C$2,"-")</f>
        <v>-</v>
      </c>
      <c r="O9" s="892">
        <f t="shared" si="23"/>
        <v>0</v>
      </c>
      <c r="P9" s="314">
        <f t="shared" si="23"/>
        <v>0</v>
      </c>
      <c r="Q9" s="314">
        <f t="shared" si="23"/>
        <v>0</v>
      </c>
      <c r="R9" s="314">
        <f t="shared" si="23"/>
        <v>0</v>
      </c>
      <c r="S9" s="314">
        <f t="shared" si="23"/>
        <v>0</v>
      </c>
      <c r="T9" s="314">
        <f t="shared" si="23"/>
        <v>0</v>
      </c>
      <c r="U9" s="314">
        <f t="shared" si="23"/>
        <v>0</v>
      </c>
      <c r="V9" s="314">
        <f t="shared" si="23"/>
        <v>0</v>
      </c>
      <c r="Y9" s="13">
        <f t="shared" si="6"/>
        <v>0</v>
      </c>
      <c r="Z9" s="13" t="str">
        <f t="shared" si="7"/>
        <v>-</v>
      </c>
    </row>
    <row r="10" ht="18.0" hidden="1" customHeight="1">
      <c r="B10" s="13" t="s">
        <v>606</v>
      </c>
      <c r="C10" s="314" t="str">
        <f t="shared" ref="C10:G10" si="24">IFERROR(INDEX($A$41:$A$50, (MATCH($B10, C$41:C$50, 0))),"0")</f>
        <v>0</v>
      </c>
      <c r="D10" s="314" t="str">
        <f t="shared" si="24"/>
        <v>0</v>
      </c>
      <c r="E10" s="314" t="str">
        <f t="shared" si="24"/>
        <v>0</v>
      </c>
      <c r="F10" s="314" t="str">
        <f t="shared" si="24"/>
        <v>0</v>
      </c>
      <c r="G10" s="314" t="str">
        <f t="shared" si="24"/>
        <v>0</v>
      </c>
      <c r="H10" s="314" t="str">
        <f t="shared" si="9"/>
        <v>0</v>
      </c>
      <c r="I10" s="314" t="str">
        <f t="shared" ref="I10:K10" si="25">IFERROR(INDEX($A$41:$A$50, (MATCH($B10, I$41:I$50, 0))),"0")</f>
        <v>0</v>
      </c>
      <c r="J10" s="314" t="str">
        <f t="shared" si="25"/>
        <v>0</v>
      </c>
      <c r="K10" s="314" t="str">
        <f t="shared" si="25"/>
        <v>0</v>
      </c>
      <c r="N10" s="314" t="str">
        <f t="shared" ref="N10:V10" si="26">IFERROR(C10*C$2,"-")</f>
        <v>-</v>
      </c>
      <c r="O10" s="892">
        <f t="shared" si="26"/>
        <v>0</v>
      </c>
      <c r="P10" s="314">
        <f t="shared" si="26"/>
        <v>0</v>
      </c>
      <c r="Q10" s="314">
        <f t="shared" si="26"/>
        <v>0</v>
      </c>
      <c r="R10" s="314">
        <f t="shared" si="26"/>
        <v>0</v>
      </c>
      <c r="S10" s="314">
        <f t="shared" si="26"/>
        <v>0</v>
      </c>
      <c r="T10" s="314">
        <f t="shared" si="26"/>
        <v>0</v>
      </c>
      <c r="U10" s="314">
        <f t="shared" si="26"/>
        <v>0</v>
      </c>
      <c r="V10" s="314">
        <f t="shared" si="26"/>
        <v>0</v>
      </c>
      <c r="Y10" s="13">
        <f t="shared" si="6"/>
        <v>0</v>
      </c>
      <c r="Z10" s="13" t="str">
        <f t="shared" si="7"/>
        <v>-</v>
      </c>
    </row>
    <row r="11" ht="18.0" hidden="1" customHeight="1">
      <c r="B11" s="13" t="s">
        <v>614</v>
      </c>
      <c r="C11" s="314" t="str">
        <f t="shared" ref="C11:G11" si="27">IFERROR(INDEX($A$41:$A$50, (MATCH($B11, C$41:C$50, 0))),"0")</f>
        <v>0</v>
      </c>
      <c r="D11" s="314" t="str">
        <f t="shared" si="27"/>
        <v>0</v>
      </c>
      <c r="E11" s="314" t="str">
        <f t="shared" si="27"/>
        <v>0</v>
      </c>
      <c r="F11" s="314" t="str">
        <f t="shared" si="27"/>
        <v>0</v>
      </c>
      <c r="G11" s="314" t="str">
        <f t="shared" si="27"/>
        <v>0</v>
      </c>
      <c r="H11" s="314" t="str">
        <f t="shared" si="9"/>
        <v>0</v>
      </c>
      <c r="I11" s="314" t="str">
        <f t="shared" ref="I11:K11" si="28">IFERROR(INDEX($A$41:$A$50, (MATCH($B11, I$41:I$50, 0))),"0")</f>
        <v>0</v>
      </c>
      <c r="J11" s="314" t="str">
        <f t="shared" si="28"/>
        <v>0</v>
      </c>
      <c r="K11" s="314" t="str">
        <f t="shared" si="28"/>
        <v>0</v>
      </c>
      <c r="N11" s="314" t="str">
        <f t="shared" ref="N11:V11" si="29">IFERROR(C11*C$2,"-")</f>
        <v>-</v>
      </c>
      <c r="O11" s="892">
        <f t="shared" si="29"/>
        <v>0</v>
      </c>
      <c r="P11" s="314">
        <f t="shared" si="29"/>
        <v>0</v>
      </c>
      <c r="Q11" s="314">
        <f t="shared" si="29"/>
        <v>0</v>
      </c>
      <c r="R11" s="314">
        <f t="shared" si="29"/>
        <v>0</v>
      </c>
      <c r="S11" s="314">
        <f t="shared" si="29"/>
        <v>0</v>
      </c>
      <c r="T11" s="314">
        <f t="shared" si="29"/>
        <v>0</v>
      </c>
      <c r="U11" s="314">
        <f t="shared" si="29"/>
        <v>0</v>
      </c>
      <c r="V11" s="314">
        <f t="shared" si="29"/>
        <v>0</v>
      </c>
      <c r="Y11" s="13">
        <f t="shared" si="6"/>
        <v>0</v>
      </c>
      <c r="Z11" s="13" t="str">
        <f t="shared" si="7"/>
        <v>-</v>
      </c>
    </row>
    <row r="12" ht="18.0" hidden="1" customHeight="1">
      <c r="B12" s="13" t="s">
        <v>601</v>
      </c>
      <c r="C12" s="314" t="str">
        <f t="shared" ref="C12:G12" si="30">IFERROR(INDEX($A$41:$A$50, (MATCH($B12, C$41:C$50, 0))),"0")</f>
        <v>0</v>
      </c>
      <c r="D12" s="314" t="str">
        <f t="shared" si="30"/>
        <v>0</v>
      </c>
      <c r="E12" s="314" t="str">
        <f t="shared" si="30"/>
        <v>0</v>
      </c>
      <c r="F12" s="314" t="str">
        <f t="shared" si="30"/>
        <v>0</v>
      </c>
      <c r="G12" s="314" t="str">
        <f t="shared" si="30"/>
        <v>0</v>
      </c>
      <c r="H12" s="314" t="str">
        <f t="shared" si="9"/>
        <v>0</v>
      </c>
      <c r="I12" s="314" t="str">
        <f t="shared" ref="I12:K12" si="31">IFERROR(INDEX($A$41:$A$50, (MATCH($B12, I$41:I$50, 0))),"0")</f>
        <v>0</v>
      </c>
      <c r="J12" s="314" t="str">
        <f t="shared" si="31"/>
        <v>0</v>
      </c>
      <c r="K12" s="314" t="str">
        <f t="shared" si="31"/>
        <v>0</v>
      </c>
      <c r="N12" s="314" t="str">
        <f t="shared" ref="N12:V12" si="32">IFERROR(C12*C$2,"-")</f>
        <v>-</v>
      </c>
      <c r="O12" s="892">
        <f t="shared" si="32"/>
        <v>0</v>
      </c>
      <c r="P12" s="314">
        <f t="shared" si="32"/>
        <v>0</v>
      </c>
      <c r="Q12" s="314">
        <f t="shared" si="32"/>
        <v>0</v>
      </c>
      <c r="R12" s="314">
        <f t="shared" si="32"/>
        <v>0</v>
      </c>
      <c r="S12" s="314">
        <f t="shared" si="32"/>
        <v>0</v>
      </c>
      <c r="T12" s="314">
        <f t="shared" si="32"/>
        <v>0</v>
      </c>
      <c r="U12" s="314">
        <f t="shared" si="32"/>
        <v>0</v>
      </c>
      <c r="V12" s="314">
        <f t="shared" si="32"/>
        <v>0</v>
      </c>
      <c r="Y12" s="13">
        <f t="shared" si="6"/>
        <v>0</v>
      </c>
      <c r="Z12" s="13" t="str">
        <f t="shared" si="7"/>
        <v>-</v>
      </c>
    </row>
    <row r="13" ht="18.0" hidden="1" customHeight="1">
      <c r="B13" s="13" t="s">
        <v>615</v>
      </c>
      <c r="C13" s="314" t="str">
        <f t="shared" ref="C13:K13" si="33">IFERROR(INDEX($A$41:$A$50, (MATCH($B13, C$41:C$50, 0))),"0")</f>
        <v>0</v>
      </c>
      <c r="D13" s="314" t="str">
        <f t="shared" si="33"/>
        <v>0</v>
      </c>
      <c r="E13" s="314" t="str">
        <f t="shared" si="33"/>
        <v>0</v>
      </c>
      <c r="F13" s="314" t="str">
        <f t="shared" si="33"/>
        <v>0</v>
      </c>
      <c r="G13" s="314" t="str">
        <f t="shared" si="33"/>
        <v>0</v>
      </c>
      <c r="H13" s="314" t="str">
        <f t="shared" si="33"/>
        <v>0</v>
      </c>
      <c r="I13" s="314" t="str">
        <f t="shared" si="33"/>
        <v>0</v>
      </c>
      <c r="J13" s="314" t="str">
        <f t="shared" si="33"/>
        <v>0</v>
      </c>
      <c r="K13" s="314" t="str">
        <f t="shared" si="33"/>
        <v>0</v>
      </c>
      <c r="N13" s="314" t="str">
        <f t="shared" ref="N13:V13" si="34">IFERROR(C13*C$2,"-")</f>
        <v>-</v>
      </c>
      <c r="O13" s="892">
        <f t="shared" si="34"/>
        <v>0</v>
      </c>
      <c r="P13" s="314">
        <f t="shared" si="34"/>
        <v>0</v>
      </c>
      <c r="Q13" s="314">
        <f t="shared" si="34"/>
        <v>0</v>
      </c>
      <c r="R13" s="314">
        <f t="shared" si="34"/>
        <v>0</v>
      </c>
      <c r="S13" s="314">
        <f t="shared" si="34"/>
        <v>0</v>
      </c>
      <c r="T13" s="314">
        <f t="shared" si="34"/>
        <v>0</v>
      </c>
      <c r="U13" s="314">
        <f t="shared" si="34"/>
        <v>0</v>
      </c>
      <c r="V13" s="314">
        <f t="shared" si="34"/>
        <v>0</v>
      </c>
      <c r="Y13" s="13">
        <f t="shared" si="6"/>
        <v>0</v>
      </c>
      <c r="Z13" s="13" t="str">
        <f t="shared" si="7"/>
        <v>-</v>
      </c>
    </row>
    <row r="14" ht="18.0" hidden="1" customHeight="1">
      <c r="B14" s="13" t="s">
        <v>603</v>
      </c>
      <c r="C14" s="314" t="str">
        <f t="shared" ref="C14:G14" si="35">IFERROR(INDEX($A$41:$A$50, (MATCH($B14, C$41:C$50, 0))),"0")</f>
        <v>0</v>
      </c>
      <c r="D14" s="314" t="str">
        <f t="shared" si="35"/>
        <v>0</v>
      </c>
      <c r="E14" s="314" t="str">
        <f t="shared" si="35"/>
        <v>0</v>
      </c>
      <c r="F14" s="314" t="str">
        <f t="shared" si="35"/>
        <v>0</v>
      </c>
      <c r="G14" s="314" t="str">
        <f t="shared" si="35"/>
        <v>0</v>
      </c>
      <c r="H14" s="314" t="str">
        <f t="shared" ref="H14:H34" si="39">IFERROR(INDEX($A$41:$A$50, (MATCH($B14, H$42:H$50, 0))),"0")</f>
        <v>0</v>
      </c>
      <c r="I14" s="314" t="str">
        <f t="shared" ref="I14:K14" si="36">IFERROR(INDEX($A$41:$A$50, (MATCH($B14, I$41:I$50, 0))),"0")</f>
        <v>0</v>
      </c>
      <c r="J14" s="314" t="str">
        <f t="shared" si="36"/>
        <v>0</v>
      </c>
      <c r="K14" s="314" t="str">
        <f t="shared" si="36"/>
        <v>0</v>
      </c>
      <c r="N14" s="314" t="str">
        <f t="shared" ref="N14:V14" si="37">IFERROR(C14*C$2,"-")</f>
        <v>-</v>
      </c>
      <c r="O14" s="892">
        <f t="shared" si="37"/>
        <v>0</v>
      </c>
      <c r="P14" s="314">
        <f t="shared" si="37"/>
        <v>0</v>
      </c>
      <c r="Q14" s="314">
        <f t="shared" si="37"/>
        <v>0</v>
      </c>
      <c r="R14" s="314">
        <f t="shared" si="37"/>
        <v>0</v>
      </c>
      <c r="S14" s="314">
        <f t="shared" si="37"/>
        <v>0</v>
      </c>
      <c r="T14" s="314">
        <f t="shared" si="37"/>
        <v>0</v>
      </c>
      <c r="U14" s="314">
        <f t="shared" si="37"/>
        <v>0</v>
      </c>
      <c r="V14" s="314">
        <f t="shared" si="37"/>
        <v>0</v>
      </c>
      <c r="Y14" s="13">
        <f t="shared" si="6"/>
        <v>0</v>
      </c>
      <c r="Z14" s="13" t="str">
        <f t="shared" si="7"/>
        <v>-</v>
      </c>
    </row>
    <row r="15" ht="18.0" hidden="1" customHeight="1">
      <c r="B15" s="13" t="s">
        <v>597</v>
      </c>
      <c r="C15" s="314" t="str">
        <f t="shared" ref="C15:G15" si="38">IFERROR(INDEX($A$41:$A$50, (MATCH($B15, C$41:C$50, 0))),"0")</f>
        <v>0</v>
      </c>
      <c r="D15" s="314" t="str">
        <f t="shared" si="38"/>
        <v>0</v>
      </c>
      <c r="E15" s="314" t="str">
        <f t="shared" si="38"/>
        <v>0</v>
      </c>
      <c r="F15" s="314" t="str">
        <f t="shared" si="38"/>
        <v>0</v>
      </c>
      <c r="G15" s="314" t="str">
        <f t="shared" si="38"/>
        <v>0</v>
      </c>
      <c r="H15" s="314" t="str">
        <f t="shared" si="39"/>
        <v>0</v>
      </c>
      <c r="I15" s="314" t="str">
        <f t="shared" ref="I15:K15" si="40">IFERROR(INDEX($A$41:$A$50, (MATCH($B15, I$41:I$50, 0))),"0")</f>
        <v>0</v>
      </c>
      <c r="J15" s="314" t="str">
        <f t="shared" si="40"/>
        <v>0</v>
      </c>
      <c r="K15" s="314" t="str">
        <f t="shared" si="40"/>
        <v>0</v>
      </c>
      <c r="N15" s="314" t="str">
        <f t="shared" ref="N15:V15" si="41">IFERROR(C15*C$2,"-")</f>
        <v>-</v>
      </c>
      <c r="O15" s="892">
        <f t="shared" si="41"/>
        <v>0</v>
      </c>
      <c r="P15" s="314">
        <f t="shared" si="41"/>
        <v>0</v>
      </c>
      <c r="Q15" s="314">
        <f t="shared" si="41"/>
        <v>0</v>
      </c>
      <c r="R15" s="314">
        <f t="shared" si="41"/>
        <v>0</v>
      </c>
      <c r="S15" s="314">
        <f t="shared" si="41"/>
        <v>0</v>
      </c>
      <c r="T15" s="314">
        <f t="shared" si="41"/>
        <v>0</v>
      </c>
      <c r="U15" s="314">
        <f t="shared" si="41"/>
        <v>0</v>
      </c>
      <c r="V15" s="314">
        <f t="shared" si="41"/>
        <v>0</v>
      </c>
      <c r="Y15" s="13">
        <f t="shared" si="6"/>
        <v>0</v>
      </c>
      <c r="Z15" s="13" t="str">
        <f t="shared" si="7"/>
        <v>-</v>
      </c>
    </row>
    <row r="16" ht="18.0" hidden="1" customHeight="1">
      <c r="B16" s="13" t="s">
        <v>608</v>
      </c>
      <c r="C16" s="314" t="str">
        <f t="shared" ref="C16:G16" si="42">IFERROR(INDEX($A$41:$A$50, (MATCH($B16, C$41:C$50, 0))),"0")</f>
        <v>0</v>
      </c>
      <c r="D16" s="314" t="str">
        <f t="shared" si="42"/>
        <v>0</v>
      </c>
      <c r="E16" s="314" t="str">
        <f t="shared" si="42"/>
        <v>0</v>
      </c>
      <c r="F16" s="314" t="str">
        <f t="shared" si="42"/>
        <v>0</v>
      </c>
      <c r="G16" s="314" t="str">
        <f t="shared" si="42"/>
        <v>0</v>
      </c>
      <c r="H16" s="314" t="str">
        <f t="shared" si="39"/>
        <v>0</v>
      </c>
      <c r="I16" s="314" t="str">
        <f t="shared" ref="I16:K16" si="43">IFERROR(INDEX($A$41:$A$50, (MATCH($B16, I$41:I$50, 0))),"0")</f>
        <v>0</v>
      </c>
      <c r="J16" s="314" t="str">
        <f t="shared" si="43"/>
        <v>0</v>
      </c>
      <c r="K16" s="314" t="str">
        <f t="shared" si="43"/>
        <v>0</v>
      </c>
      <c r="N16" s="314" t="str">
        <f t="shared" ref="N16:V16" si="44">IFERROR(C16*C$2,"-")</f>
        <v>-</v>
      </c>
      <c r="O16" s="892">
        <f t="shared" si="44"/>
        <v>0</v>
      </c>
      <c r="P16" s="314">
        <f t="shared" si="44"/>
        <v>0</v>
      </c>
      <c r="Q16" s="314">
        <f t="shared" si="44"/>
        <v>0</v>
      </c>
      <c r="R16" s="314">
        <f t="shared" si="44"/>
        <v>0</v>
      </c>
      <c r="S16" s="314">
        <f t="shared" si="44"/>
        <v>0</v>
      </c>
      <c r="T16" s="314">
        <f t="shared" si="44"/>
        <v>0</v>
      </c>
      <c r="U16" s="314">
        <f t="shared" si="44"/>
        <v>0</v>
      </c>
      <c r="V16" s="314">
        <f t="shared" si="44"/>
        <v>0</v>
      </c>
      <c r="Y16" s="13">
        <f t="shared" si="6"/>
        <v>0</v>
      </c>
      <c r="Z16" s="13" t="str">
        <f t="shared" si="7"/>
        <v>-</v>
      </c>
    </row>
    <row r="17" ht="18.0" hidden="1" customHeight="1">
      <c r="B17" s="13" t="s">
        <v>621</v>
      </c>
      <c r="C17" s="314" t="str">
        <f t="shared" ref="C17:G17" si="45">IFERROR(INDEX($A$41:$A$50, (MATCH($B17, C$41:C$50, 0))),"0")</f>
        <v>0</v>
      </c>
      <c r="D17" s="314" t="str">
        <f t="shared" si="45"/>
        <v>0</v>
      </c>
      <c r="E17" s="314" t="str">
        <f t="shared" si="45"/>
        <v>0</v>
      </c>
      <c r="F17" s="314" t="str">
        <f t="shared" si="45"/>
        <v>0</v>
      </c>
      <c r="G17" s="314" t="str">
        <f t="shared" si="45"/>
        <v>0</v>
      </c>
      <c r="H17" s="314" t="str">
        <f t="shared" si="39"/>
        <v>0</v>
      </c>
      <c r="I17" s="314" t="str">
        <f t="shared" ref="I17:K17" si="46">IFERROR(INDEX($A$41:$A$50, (MATCH($B17, I$41:I$50, 0))),"0")</f>
        <v>0</v>
      </c>
      <c r="J17" s="314" t="str">
        <f t="shared" si="46"/>
        <v>0</v>
      </c>
      <c r="K17" s="314" t="str">
        <f t="shared" si="46"/>
        <v>0</v>
      </c>
      <c r="N17" s="314" t="str">
        <f t="shared" ref="N17:V17" si="47">IFERROR(C17*C$2,"-")</f>
        <v>-</v>
      </c>
      <c r="O17" s="892">
        <f t="shared" si="47"/>
        <v>0</v>
      </c>
      <c r="P17" s="314">
        <f t="shared" si="47"/>
        <v>0</v>
      </c>
      <c r="Q17" s="314">
        <f t="shared" si="47"/>
        <v>0</v>
      </c>
      <c r="R17" s="314">
        <f t="shared" si="47"/>
        <v>0</v>
      </c>
      <c r="S17" s="314">
        <f t="shared" si="47"/>
        <v>0</v>
      </c>
      <c r="T17" s="314">
        <f t="shared" si="47"/>
        <v>0</v>
      </c>
      <c r="U17" s="314">
        <f t="shared" si="47"/>
        <v>0</v>
      </c>
      <c r="V17" s="314">
        <f t="shared" si="47"/>
        <v>0</v>
      </c>
      <c r="Y17" s="13">
        <f t="shared" si="6"/>
        <v>0</v>
      </c>
      <c r="Z17" s="13" t="str">
        <f t="shared" si="7"/>
        <v>-</v>
      </c>
    </row>
    <row r="18" ht="18.0" hidden="1" customHeight="1">
      <c r="B18" s="13" t="s">
        <v>619</v>
      </c>
      <c r="C18" s="314" t="str">
        <f t="shared" ref="C18:G18" si="48">IFERROR(INDEX($A$41:$A$50, (MATCH($B18, C$41:C$50, 0))),"0")</f>
        <v>0</v>
      </c>
      <c r="D18" s="314" t="str">
        <f t="shared" si="48"/>
        <v>0</v>
      </c>
      <c r="E18" s="314" t="str">
        <f t="shared" si="48"/>
        <v>0</v>
      </c>
      <c r="F18" s="314" t="str">
        <f t="shared" si="48"/>
        <v>0</v>
      </c>
      <c r="G18" s="314" t="str">
        <f t="shared" si="48"/>
        <v>0</v>
      </c>
      <c r="H18" s="314" t="str">
        <f t="shared" si="39"/>
        <v>0</v>
      </c>
      <c r="I18" s="314" t="str">
        <f t="shared" ref="I18:K18" si="49">IFERROR(INDEX($A$41:$A$50, (MATCH($B18, I$41:I$50, 0))),"0")</f>
        <v>0</v>
      </c>
      <c r="J18" s="314" t="str">
        <f t="shared" si="49"/>
        <v>0</v>
      </c>
      <c r="K18" s="314" t="str">
        <f t="shared" si="49"/>
        <v>0</v>
      </c>
      <c r="N18" s="314" t="str">
        <f t="shared" ref="N18:V18" si="50">IFERROR(C18*C$2,"-")</f>
        <v>-</v>
      </c>
      <c r="O18" s="892">
        <f t="shared" si="50"/>
        <v>0</v>
      </c>
      <c r="P18" s="314">
        <f t="shared" si="50"/>
        <v>0</v>
      </c>
      <c r="Q18" s="314">
        <f t="shared" si="50"/>
        <v>0</v>
      </c>
      <c r="R18" s="314">
        <f t="shared" si="50"/>
        <v>0</v>
      </c>
      <c r="S18" s="314">
        <f t="shared" si="50"/>
        <v>0</v>
      </c>
      <c r="T18" s="314">
        <f t="shared" si="50"/>
        <v>0</v>
      </c>
      <c r="U18" s="314">
        <f t="shared" si="50"/>
        <v>0</v>
      </c>
      <c r="V18" s="314">
        <f t="shared" si="50"/>
        <v>0</v>
      </c>
      <c r="Y18" s="13">
        <f t="shared" si="6"/>
        <v>0</v>
      </c>
      <c r="Z18" s="13" t="str">
        <f t="shared" si="7"/>
        <v>-</v>
      </c>
    </row>
    <row r="19" ht="18.0" hidden="1" customHeight="1">
      <c r="B19" s="13" t="s">
        <v>595</v>
      </c>
      <c r="C19" s="314" t="str">
        <f t="shared" ref="C19:G19" si="51">IFERROR(INDEX($A$41:$A$50, (MATCH($B19, C$41:C$50, 0))),"0")</f>
        <v>0</v>
      </c>
      <c r="D19" s="314" t="str">
        <f t="shared" si="51"/>
        <v>0</v>
      </c>
      <c r="E19" s="314" t="str">
        <f t="shared" si="51"/>
        <v>0</v>
      </c>
      <c r="F19" s="314" t="str">
        <f t="shared" si="51"/>
        <v>0</v>
      </c>
      <c r="G19" s="314" t="str">
        <f t="shared" si="51"/>
        <v>0</v>
      </c>
      <c r="H19" s="314" t="str">
        <f t="shared" si="39"/>
        <v>0</v>
      </c>
      <c r="I19" s="314" t="str">
        <f t="shared" ref="I19:K19" si="52">IFERROR(INDEX($A$41:$A$50, (MATCH($B19, I$41:I$50, 0))),"0")</f>
        <v>0</v>
      </c>
      <c r="J19" s="314" t="str">
        <f t="shared" si="52"/>
        <v>0</v>
      </c>
      <c r="K19" s="314" t="str">
        <f t="shared" si="52"/>
        <v>0</v>
      </c>
      <c r="N19" s="314" t="str">
        <f t="shared" ref="N19:V19" si="53">IFERROR(C19*C$2,"-")</f>
        <v>-</v>
      </c>
      <c r="O19" s="892">
        <f t="shared" si="53"/>
        <v>0</v>
      </c>
      <c r="P19" s="314">
        <f t="shared" si="53"/>
        <v>0</v>
      </c>
      <c r="Q19" s="314">
        <f t="shared" si="53"/>
        <v>0</v>
      </c>
      <c r="R19" s="314">
        <f t="shared" si="53"/>
        <v>0</v>
      </c>
      <c r="S19" s="314">
        <f t="shared" si="53"/>
        <v>0</v>
      </c>
      <c r="T19" s="314">
        <f t="shared" si="53"/>
        <v>0</v>
      </c>
      <c r="U19" s="314">
        <f t="shared" si="53"/>
        <v>0</v>
      </c>
      <c r="V19" s="314">
        <f t="shared" si="53"/>
        <v>0</v>
      </c>
      <c r="Y19" s="13">
        <f t="shared" si="6"/>
        <v>0</v>
      </c>
      <c r="Z19" s="13" t="str">
        <f t="shared" si="7"/>
        <v>-</v>
      </c>
    </row>
    <row r="20" ht="18.0" hidden="1" customHeight="1">
      <c r="B20" s="13" t="s">
        <v>618</v>
      </c>
      <c r="C20" s="314" t="str">
        <f t="shared" ref="C20:G20" si="54">IFERROR(INDEX($A$41:$A$50, (MATCH($B20, C$41:C$50, 0))),"0")</f>
        <v>0</v>
      </c>
      <c r="D20" s="314" t="str">
        <f t="shared" si="54"/>
        <v>0</v>
      </c>
      <c r="E20" s="314" t="str">
        <f t="shared" si="54"/>
        <v>0</v>
      </c>
      <c r="F20" s="314" t="str">
        <f t="shared" si="54"/>
        <v>0</v>
      </c>
      <c r="G20" s="314" t="str">
        <f t="shared" si="54"/>
        <v>0</v>
      </c>
      <c r="H20" s="314" t="str">
        <f t="shared" si="39"/>
        <v>0</v>
      </c>
      <c r="I20" s="314" t="str">
        <f t="shared" ref="I20:K20" si="55">IFERROR(INDEX($A$41:$A$50, (MATCH($B20, I$41:I$50, 0))),"0")</f>
        <v>0</v>
      </c>
      <c r="J20" s="314" t="str">
        <f t="shared" si="55"/>
        <v>0</v>
      </c>
      <c r="K20" s="314" t="str">
        <f t="shared" si="55"/>
        <v>0</v>
      </c>
      <c r="N20" s="314" t="str">
        <f t="shared" ref="N20:V20" si="56">IFERROR(C20*C$2,"-")</f>
        <v>-</v>
      </c>
      <c r="O20" s="892">
        <f t="shared" si="56"/>
        <v>0</v>
      </c>
      <c r="P20" s="314">
        <f t="shared" si="56"/>
        <v>0</v>
      </c>
      <c r="Q20" s="314">
        <f t="shared" si="56"/>
        <v>0</v>
      </c>
      <c r="R20" s="314">
        <f t="shared" si="56"/>
        <v>0</v>
      </c>
      <c r="S20" s="314">
        <f t="shared" si="56"/>
        <v>0</v>
      </c>
      <c r="T20" s="314">
        <f t="shared" si="56"/>
        <v>0</v>
      </c>
      <c r="U20" s="314">
        <f t="shared" si="56"/>
        <v>0</v>
      </c>
      <c r="V20" s="314">
        <f t="shared" si="56"/>
        <v>0</v>
      </c>
      <c r="Y20" s="13">
        <f t="shared" si="6"/>
        <v>0</v>
      </c>
      <c r="Z20" s="13" t="str">
        <f t="shared" si="7"/>
        <v>-</v>
      </c>
    </row>
    <row r="21" ht="18.0" hidden="1" customHeight="1">
      <c r="B21" s="13" t="s">
        <v>610</v>
      </c>
      <c r="C21" s="314" t="str">
        <f t="shared" ref="C21:G21" si="57">IFERROR(INDEX($A$41:$A$50, (MATCH($B21, C$41:C$50, 0))),"0")</f>
        <v>0</v>
      </c>
      <c r="D21" s="314" t="str">
        <f t="shared" si="57"/>
        <v>0</v>
      </c>
      <c r="E21" s="314" t="str">
        <f t="shared" si="57"/>
        <v>0</v>
      </c>
      <c r="F21" s="314" t="str">
        <f t="shared" si="57"/>
        <v>0</v>
      </c>
      <c r="G21" s="314" t="str">
        <f t="shared" si="57"/>
        <v>0</v>
      </c>
      <c r="H21" s="314" t="str">
        <f t="shared" si="39"/>
        <v>0</v>
      </c>
      <c r="I21" s="314" t="str">
        <f t="shared" ref="I21:K21" si="58">IFERROR(INDEX($A$41:$A$50, (MATCH($B21, I$41:I$50, 0))),"0")</f>
        <v>0</v>
      </c>
      <c r="J21" s="314" t="str">
        <f t="shared" si="58"/>
        <v>0</v>
      </c>
      <c r="K21" s="314" t="str">
        <f t="shared" si="58"/>
        <v>0</v>
      </c>
      <c r="N21" s="314" t="str">
        <f t="shared" ref="N21:V21" si="59">IFERROR(C21*C$2,"-")</f>
        <v>-</v>
      </c>
      <c r="O21" s="892">
        <f t="shared" si="59"/>
        <v>0</v>
      </c>
      <c r="P21" s="314">
        <f t="shared" si="59"/>
        <v>0</v>
      </c>
      <c r="Q21" s="314">
        <f t="shared" si="59"/>
        <v>0</v>
      </c>
      <c r="R21" s="314">
        <f t="shared" si="59"/>
        <v>0</v>
      </c>
      <c r="S21" s="314">
        <f t="shared" si="59"/>
        <v>0</v>
      </c>
      <c r="T21" s="314">
        <f t="shared" si="59"/>
        <v>0</v>
      </c>
      <c r="U21" s="314">
        <f t="shared" si="59"/>
        <v>0</v>
      </c>
      <c r="V21" s="314">
        <f t="shared" si="59"/>
        <v>0</v>
      </c>
      <c r="Y21" s="13">
        <f t="shared" si="6"/>
        <v>0</v>
      </c>
      <c r="Z21" s="13" t="str">
        <f t="shared" si="7"/>
        <v>-</v>
      </c>
    </row>
    <row r="22" ht="18.0" hidden="1" customHeight="1">
      <c r="B22" s="13" t="s">
        <v>611</v>
      </c>
      <c r="C22" s="314" t="str">
        <f t="shared" ref="C22:G22" si="60">IFERROR(INDEX($A$41:$A$50, (MATCH($B22, C$41:C$50, 0))),"0")</f>
        <v>0</v>
      </c>
      <c r="D22" s="314" t="str">
        <f t="shared" si="60"/>
        <v>0</v>
      </c>
      <c r="E22" s="314" t="str">
        <f t="shared" si="60"/>
        <v>0</v>
      </c>
      <c r="F22" s="314" t="str">
        <f t="shared" si="60"/>
        <v>0</v>
      </c>
      <c r="G22" s="314" t="str">
        <f t="shared" si="60"/>
        <v>0</v>
      </c>
      <c r="H22" s="314" t="str">
        <f t="shared" si="39"/>
        <v>0</v>
      </c>
      <c r="I22" s="314" t="str">
        <f t="shared" ref="I22:K22" si="61">IFERROR(INDEX($A$41:$A$50, (MATCH($B22, I$41:I$50, 0))),"0")</f>
        <v>0</v>
      </c>
      <c r="J22" s="314" t="str">
        <f t="shared" si="61"/>
        <v>0</v>
      </c>
      <c r="K22" s="314" t="str">
        <f t="shared" si="61"/>
        <v>0</v>
      </c>
      <c r="N22" s="314" t="str">
        <f t="shared" ref="N22:V22" si="62">IFERROR(C22*C$2,"-")</f>
        <v>-</v>
      </c>
      <c r="O22" s="892">
        <f t="shared" si="62"/>
        <v>0</v>
      </c>
      <c r="P22" s="314">
        <f t="shared" si="62"/>
        <v>0</v>
      </c>
      <c r="Q22" s="314">
        <f t="shared" si="62"/>
        <v>0</v>
      </c>
      <c r="R22" s="314">
        <f t="shared" si="62"/>
        <v>0</v>
      </c>
      <c r="S22" s="314">
        <f t="shared" si="62"/>
        <v>0</v>
      </c>
      <c r="T22" s="314">
        <f t="shared" si="62"/>
        <v>0</v>
      </c>
      <c r="U22" s="314">
        <f t="shared" si="62"/>
        <v>0</v>
      </c>
      <c r="V22" s="314">
        <f t="shared" si="62"/>
        <v>0</v>
      </c>
      <c r="Y22" s="13">
        <f t="shared" si="6"/>
        <v>0</v>
      </c>
      <c r="Z22" s="13" t="str">
        <f t="shared" si="7"/>
        <v>-</v>
      </c>
    </row>
    <row r="23" ht="18.0" hidden="1" customHeight="1">
      <c r="B23" s="13" t="s">
        <v>598</v>
      </c>
      <c r="C23" s="314" t="str">
        <f t="shared" ref="C23:G23" si="63">IFERROR(INDEX($A$41:$A$50, (MATCH($B23, C$41:C$50, 0))),"0")</f>
        <v>0</v>
      </c>
      <c r="D23" s="314" t="str">
        <f t="shared" si="63"/>
        <v>0</v>
      </c>
      <c r="E23" s="314" t="str">
        <f t="shared" si="63"/>
        <v>0</v>
      </c>
      <c r="F23" s="314" t="str">
        <f t="shared" si="63"/>
        <v>0</v>
      </c>
      <c r="G23" s="314" t="str">
        <f t="shared" si="63"/>
        <v>0</v>
      </c>
      <c r="H23" s="314" t="str">
        <f t="shared" si="39"/>
        <v>0</v>
      </c>
      <c r="I23" s="314" t="str">
        <f t="shared" ref="I23:K23" si="64">IFERROR(INDEX($A$41:$A$50, (MATCH($B23, I$41:I$50, 0))),"0")</f>
        <v>0</v>
      </c>
      <c r="J23" s="314" t="str">
        <f t="shared" si="64"/>
        <v>0</v>
      </c>
      <c r="K23" s="314" t="str">
        <f t="shared" si="64"/>
        <v>0</v>
      </c>
      <c r="N23" s="314" t="str">
        <f t="shared" ref="N23:V23" si="65">IFERROR(C23*C$2,"-")</f>
        <v>-</v>
      </c>
      <c r="O23" s="892">
        <f t="shared" si="65"/>
        <v>0</v>
      </c>
      <c r="P23" s="314">
        <f t="shared" si="65"/>
        <v>0</v>
      </c>
      <c r="Q23" s="314">
        <f t="shared" si="65"/>
        <v>0</v>
      </c>
      <c r="R23" s="314">
        <f t="shared" si="65"/>
        <v>0</v>
      </c>
      <c r="S23" s="314">
        <f t="shared" si="65"/>
        <v>0</v>
      </c>
      <c r="T23" s="314">
        <f t="shared" si="65"/>
        <v>0</v>
      </c>
      <c r="U23" s="314">
        <f t="shared" si="65"/>
        <v>0</v>
      </c>
      <c r="V23" s="314">
        <f t="shared" si="65"/>
        <v>0</v>
      </c>
      <c r="Y23" s="13">
        <f t="shared" si="6"/>
        <v>0</v>
      </c>
      <c r="Z23" s="13" t="str">
        <f t="shared" si="7"/>
        <v>-</v>
      </c>
    </row>
    <row r="24" ht="18.0" hidden="1" customHeight="1">
      <c r="B24" s="13" t="s">
        <v>593</v>
      </c>
      <c r="C24" s="314" t="str">
        <f t="shared" ref="C24:G24" si="66">IFERROR(INDEX($A$41:$A$50, (MATCH($B24, C$41:C$50, 0))),"0")</f>
        <v>0</v>
      </c>
      <c r="D24" s="314" t="str">
        <f t="shared" si="66"/>
        <v>0</v>
      </c>
      <c r="E24" s="314" t="str">
        <f t="shared" si="66"/>
        <v>0</v>
      </c>
      <c r="F24" s="314" t="str">
        <f t="shared" si="66"/>
        <v>0</v>
      </c>
      <c r="G24" s="314" t="str">
        <f t="shared" si="66"/>
        <v>0</v>
      </c>
      <c r="H24" s="314" t="str">
        <f t="shared" si="39"/>
        <v>0</v>
      </c>
      <c r="I24" s="314" t="str">
        <f t="shared" ref="I24:K24" si="67">IFERROR(INDEX($A$41:$A$50, (MATCH($B24, I$41:I$50, 0))),"0")</f>
        <v>0</v>
      </c>
      <c r="J24" s="314" t="str">
        <f t="shared" si="67"/>
        <v>0</v>
      </c>
      <c r="K24" s="314" t="str">
        <f t="shared" si="67"/>
        <v>0</v>
      </c>
      <c r="N24" s="314" t="str">
        <f t="shared" ref="N24:V24" si="68">IFERROR(C24*C$2,"-")</f>
        <v>-</v>
      </c>
      <c r="O24" s="892">
        <f t="shared" si="68"/>
        <v>0</v>
      </c>
      <c r="P24" s="314">
        <f t="shared" si="68"/>
        <v>0</v>
      </c>
      <c r="Q24" s="314">
        <f t="shared" si="68"/>
        <v>0</v>
      </c>
      <c r="R24" s="314">
        <f t="shared" si="68"/>
        <v>0</v>
      </c>
      <c r="S24" s="314">
        <f t="shared" si="68"/>
        <v>0</v>
      </c>
      <c r="T24" s="314">
        <f t="shared" si="68"/>
        <v>0</v>
      </c>
      <c r="U24" s="314">
        <f t="shared" si="68"/>
        <v>0</v>
      </c>
      <c r="V24" s="314">
        <f t="shared" si="68"/>
        <v>0</v>
      </c>
      <c r="Y24" s="13">
        <f t="shared" si="6"/>
        <v>0</v>
      </c>
      <c r="Z24" s="13" t="str">
        <f t="shared" si="7"/>
        <v>-</v>
      </c>
    </row>
    <row r="25" ht="18.0" hidden="1" customHeight="1">
      <c r="B25" s="13" t="s">
        <v>600</v>
      </c>
      <c r="C25" s="314" t="str">
        <f t="shared" ref="C25:G25" si="69">IFERROR(INDEX($A$41:$A$50, (MATCH($B25, C$41:C$50, 0))),"0")</f>
        <v>0</v>
      </c>
      <c r="D25" s="314" t="str">
        <f t="shared" si="69"/>
        <v>0</v>
      </c>
      <c r="E25" s="314" t="str">
        <f t="shared" si="69"/>
        <v>0</v>
      </c>
      <c r="F25" s="314" t="str">
        <f t="shared" si="69"/>
        <v>0</v>
      </c>
      <c r="G25" s="314" t="str">
        <f t="shared" si="69"/>
        <v>0</v>
      </c>
      <c r="H25" s="314" t="str">
        <f t="shared" si="39"/>
        <v>0</v>
      </c>
      <c r="I25" s="314" t="str">
        <f t="shared" ref="I25:K25" si="70">IFERROR(INDEX($A$41:$A$50, (MATCH($B25, I$41:I$50, 0))),"0")</f>
        <v>0</v>
      </c>
      <c r="J25" s="314" t="str">
        <f t="shared" si="70"/>
        <v>0</v>
      </c>
      <c r="K25" s="314" t="str">
        <f t="shared" si="70"/>
        <v>0</v>
      </c>
      <c r="N25" s="314" t="str">
        <f t="shared" ref="N25:V25" si="71">IFERROR(C25*C$2,"-")</f>
        <v>-</v>
      </c>
      <c r="O25" s="892">
        <f t="shared" si="71"/>
        <v>0</v>
      </c>
      <c r="P25" s="314">
        <f t="shared" si="71"/>
        <v>0</v>
      </c>
      <c r="Q25" s="314">
        <f t="shared" si="71"/>
        <v>0</v>
      </c>
      <c r="R25" s="314">
        <f t="shared" si="71"/>
        <v>0</v>
      </c>
      <c r="S25" s="314">
        <f t="shared" si="71"/>
        <v>0</v>
      </c>
      <c r="T25" s="314">
        <f t="shared" si="71"/>
        <v>0</v>
      </c>
      <c r="U25" s="314">
        <f t="shared" si="71"/>
        <v>0</v>
      </c>
      <c r="V25" s="314">
        <f t="shared" si="71"/>
        <v>0</v>
      </c>
      <c r="Y25" s="13">
        <f t="shared" si="6"/>
        <v>0</v>
      </c>
      <c r="Z25" s="13" t="str">
        <f t="shared" si="7"/>
        <v>-</v>
      </c>
    </row>
    <row r="26" ht="18.0" hidden="1" customHeight="1">
      <c r="B26" s="13" t="s">
        <v>605</v>
      </c>
      <c r="C26" s="314" t="str">
        <f t="shared" ref="C26:G26" si="72">IFERROR(INDEX($A$41:$A$50, (MATCH($B26, C$41:C$50, 0))),"0")</f>
        <v>0</v>
      </c>
      <c r="D26" s="314" t="str">
        <f t="shared" si="72"/>
        <v>0</v>
      </c>
      <c r="E26" s="314" t="str">
        <f t="shared" si="72"/>
        <v>0</v>
      </c>
      <c r="F26" s="314" t="str">
        <f t="shared" si="72"/>
        <v>0</v>
      </c>
      <c r="G26" s="314" t="str">
        <f t="shared" si="72"/>
        <v>0</v>
      </c>
      <c r="H26" s="314" t="str">
        <f t="shared" si="39"/>
        <v>0</v>
      </c>
      <c r="I26" s="314" t="str">
        <f t="shared" ref="I26:K26" si="73">IFERROR(INDEX($A$41:$A$50, (MATCH($B26, I$41:I$50, 0))),"0")</f>
        <v>0</v>
      </c>
      <c r="J26" s="314" t="str">
        <f t="shared" si="73"/>
        <v>0</v>
      </c>
      <c r="K26" s="314" t="str">
        <f t="shared" si="73"/>
        <v>0</v>
      </c>
      <c r="N26" s="314" t="str">
        <f t="shared" ref="N26:V26" si="74">IFERROR(C26*C$2,"-")</f>
        <v>-</v>
      </c>
      <c r="O26" s="892">
        <f t="shared" si="74"/>
        <v>0</v>
      </c>
      <c r="P26" s="314">
        <f t="shared" si="74"/>
        <v>0</v>
      </c>
      <c r="Q26" s="314">
        <f t="shared" si="74"/>
        <v>0</v>
      </c>
      <c r="R26" s="314">
        <f t="shared" si="74"/>
        <v>0</v>
      </c>
      <c r="S26" s="314">
        <f t="shared" si="74"/>
        <v>0</v>
      </c>
      <c r="T26" s="314">
        <f t="shared" si="74"/>
        <v>0</v>
      </c>
      <c r="U26" s="314">
        <f t="shared" si="74"/>
        <v>0</v>
      </c>
      <c r="V26" s="314">
        <f t="shared" si="74"/>
        <v>0</v>
      </c>
      <c r="Y26" s="13">
        <f t="shared" si="6"/>
        <v>0</v>
      </c>
      <c r="Z26" s="13" t="str">
        <f t="shared" si="7"/>
        <v>-</v>
      </c>
    </row>
    <row r="27" ht="18.0" hidden="1" customHeight="1">
      <c r="B27" s="13" t="s">
        <v>594</v>
      </c>
      <c r="C27" s="314" t="str">
        <f t="shared" ref="C27:G27" si="75">IFERROR(INDEX($A$41:$A$50, (MATCH($B27, C$41:C$50, 0))),"0")</f>
        <v>0</v>
      </c>
      <c r="D27" s="314" t="str">
        <f t="shared" si="75"/>
        <v>0</v>
      </c>
      <c r="E27" s="314" t="str">
        <f t="shared" si="75"/>
        <v>0</v>
      </c>
      <c r="F27" s="314" t="str">
        <f t="shared" si="75"/>
        <v>0</v>
      </c>
      <c r="G27" s="314" t="str">
        <f t="shared" si="75"/>
        <v>0</v>
      </c>
      <c r="H27" s="314" t="str">
        <f t="shared" si="39"/>
        <v>0</v>
      </c>
      <c r="I27" s="314" t="str">
        <f t="shared" ref="I27:K27" si="76">IFERROR(INDEX($A$41:$A$50, (MATCH($B27, I$41:I$50, 0))),"0")</f>
        <v>0</v>
      </c>
      <c r="J27" s="314" t="str">
        <f t="shared" si="76"/>
        <v>0</v>
      </c>
      <c r="K27" s="314" t="str">
        <f t="shared" si="76"/>
        <v>0</v>
      </c>
      <c r="N27" s="314" t="str">
        <f t="shared" ref="N27:V27" si="77">IFERROR(C27*C$2,"-")</f>
        <v>-</v>
      </c>
      <c r="O27" s="892">
        <f t="shared" si="77"/>
        <v>0</v>
      </c>
      <c r="P27" s="314">
        <f t="shared" si="77"/>
        <v>0</v>
      </c>
      <c r="Q27" s="314">
        <f t="shared" si="77"/>
        <v>0</v>
      </c>
      <c r="R27" s="314">
        <f t="shared" si="77"/>
        <v>0</v>
      </c>
      <c r="S27" s="314">
        <f t="shared" si="77"/>
        <v>0</v>
      </c>
      <c r="T27" s="314">
        <f t="shared" si="77"/>
        <v>0</v>
      </c>
      <c r="U27" s="314">
        <f t="shared" si="77"/>
        <v>0</v>
      </c>
      <c r="V27" s="314">
        <f t="shared" si="77"/>
        <v>0</v>
      </c>
      <c r="Y27" s="13">
        <f t="shared" si="6"/>
        <v>0</v>
      </c>
      <c r="Z27" s="13" t="str">
        <f t="shared" si="7"/>
        <v>-</v>
      </c>
    </row>
    <row r="28" ht="18.0" hidden="1" customHeight="1">
      <c r="B28" s="13" t="s">
        <v>599</v>
      </c>
      <c r="C28" s="314" t="str">
        <f t="shared" ref="C28:G28" si="78">IFERROR(INDEX($A$41:$A$50, (MATCH($B28, C$41:C$50, 0))),"0")</f>
        <v>0</v>
      </c>
      <c r="D28" s="314" t="str">
        <f t="shared" si="78"/>
        <v>0</v>
      </c>
      <c r="E28" s="314" t="str">
        <f t="shared" si="78"/>
        <v>0</v>
      </c>
      <c r="F28" s="314" t="str">
        <f t="shared" si="78"/>
        <v>0</v>
      </c>
      <c r="G28" s="314" t="str">
        <f t="shared" si="78"/>
        <v>0</v>
      </c>
      <c r="H28" s="314" t="str">
        <f t="shared" si="39"/>
        <v>0</v>
      </c>
      <c r="I28" s="314" t="str">
        <f t="shared" ref="I28:K28" si="79">IFERROR(INDEX($A$41:$A$50, (MATCH($B28, I$41:I$50, 0))),"0")</f>
        <v>0</v>
      </c>
      <c r="J28" s="314" t="str">
        <f t="shared" si="79"/>
        <v>0</v>
      </c>
      <c r="K28" s="314" t="str">
        <f t="shared" si="79"/>
        <v>0</v>
      </c>
      <c r="N28" s="314" t="str">
        <f t="shared" ref="N28:V28" si="80">IFERROR(C28*C$2,"-")</f>
        <v>-</v>
      </c>
      <c r="O28" s="892">
        <f t="shared" si="80"/>
        <v>0</v>
      </c>
      <c r="P28" s="314">
        <f t="shared" si="80"/>
        <v>0</v>
      </c>
      <c r="Q28" s="314">
        <f t="shared" si="80"/>
        <v>0</v>
      </c>
      <c r="R28" s="314">
        <f t="shared" si="80"/>
        <v>0</v>
      </c>
      <c r="S28" s="314">
        <f t="shared" si="80"/>
        <v>0</v>
      </c>
      <c r="T28" s="314">
        <f t="shared" si="80"/>
        <v>0</v>
      </c>
      <c r="U28" s="314">
        <f t="shared" si="80"/>
        <v>0</v>
      </c>
      <c r="V28" s="314">
        <f t="shared" si="80"/>
        <v>0</v>
      </c>
      <c r="Y28" s="13">
        <f t="shared" si="6"/>
        <v>0</v>
      </c>
      <c r="Z28" s="13" t="str">
        <f t="shared" si="7"/>
        <v>-</v>
      </c>
    </row>
    <row r="29" ht="18.0" hidden="1" customHeight="1">
      <c r="B29" s="13" t="s">
        <v>596</v>
      </c>
      <c r="C29" s="314" t="str">
        <f t="shared" ref="C29:G29" si="81">IFERROR(INDEX($A$41:$A$50, (MATCH($B29, C$41:C$50, 0))),"0")</f>
        <v>0</v>
      </c>
      <c r="D29" s="314" t="str">
        <f t="shared" si="81"/>
        <v>0</v>
      </c>
      <c r="E29" s="314" t="str">
        <f t="shared" si="81"/>
        <v>0</v>
      </c>
      <c r="F29" s="314" t="str">
        <f t="shared" si="81"/>
        <v>0</v>
      </c>
      <c r="G29" s="314" t="str">
        <f t="shared" si="81"/>
        <v>0</v>
      </c>
      <c r="H29" s="314" t="str">
        <f t="shared" si="39"/>
        <v>0</v>
      </c>
      <c r="I29" s="314" t="str">
        <f t="shared" ref="I29:K29" si="82">IFERROR(INDEX($A$41:$A$50, (MATCH($B29, I$41:I$50, 0))),"0")</f>
        <v>0</v>
      </c>
      <c r="J29" s="314" t="str">
        <f t="shared" si="82"/>
        <v>0</v>
      </c>
      <c r="K29" s="314" t="str">
        <f t="shared" si="82"/>
        <v>0</v>
      </c>
      <c r="N29" s="314" t="str">
        <f t="shared" ref="N29:V29" si="83">IFERROR(C29*C$2,"-")</f>
        <v>-</v>
      </c>
      <c r="O29" s="892">
        <f t="shared" si="83"/>
        <v>0</v>
      </c>
      <c r="P29" s="314">
        <f t="shared" si="83"/>
        <v>0</v>
      </c>
      <c r="Q29" s="314">
        <f t="shared" si="83"/>
        <v>0</v>
      </c>
      <c r="R29" s="314">
        <f t="shared" si="83"/>
        <v>0</v>
      </c>
      <c r="S29" s="314">
        <f t="shared" si="83"/>
        <v>0</v>
      </c>
      <c r="T29" s="314">
        <f t="shared" si="83"/>
        <v>0</v>
      </c>
      <c r="U29" s="314">
        <f t="shared" si="83"/>
        <v>0</v>
      </c>
      <c r="V29" s="314">
        <f t="shared" si="83"/>
        <v>0</v>
      </c>
      <c r="Y29" s="13">
        <f t="shared" si="6"/>
        <v>0</v>
      </c>
      <c r="Z29" s="13" t="str">
        <f t="shared" si="7"/>
        <v>-</v>
      </c>
    </row>
    <row r="30" ht="18.0" hidden="1" customHeight="1">
      <c r="B30" s="13" t="s">
        <v>612</v>
      </c>
      <c r="C30" s="314" t="str">
        <f t="shared" ref="C30:G30" si="84">IFERROR(INDEX($A$41:$A$50, (MATCH($B30, C$41:C$50, 0))),"0")</f>
        <v>0</v>
      </c>
      <c r="D30" s="314" t="str">
        <f t="shared" si="84"/>
        <v>0</v>
      </c>
      <c r="E30" s="314" t="str">
        <f t="shared" si="84"/>
        <v>0</v>
      </c>
      <c r="F30" s="314" t="str">
        <f t="shared" si="84"/>
        <v>0</v>
      </c>
      <c r="G30" s="314" t="str">
        <f t="shared" si="84"/>
        <v>0</v>
      </c>
      <c r="H30" s="314" t="str">
        <f t="shared" si="39"/>
        <v>0</v>
      </c>
      <c r="I30" s="314" t="str">
        <f t="shared" ref="I30:K30" si="85">IFERROR(INDEX($A$41:$A$50, (MATCH($B30, I$41:I$50, 0))),"0")</f>
        <v>0</v>
      </c>
      <c r="J30" s="314" t="str">
        <f t="shared" si="85"/>
        <v>0</v>
      </c>
      <c r="K30" s="314" t="str">
        <f t="shared" si="85"/>
        <v>0</v>
      </c>
      <c r="N30" s="314" t="str">
        <f t="shared" ref="N30:V30" si="86">IFERROR(C30*C$2,"-")</f>
        <v>-</v>
      </c>
      <c r="O30" s="892">
        <f t="shared" si="86"/>
        <v>0</v>
      </c>
      <c r="P30" s="314">
        <f t="shared" si="86"/>
        <v>0</v>
      </c>
      <c r="Q30" s="314">
        <f t="shared" si="86"/>
        <v>0</v>
      </c>
      <c r="R30" s="314">
        <f t="shared" si="86"/>
        <v>0</v>
      </c>
      <c r="S30" s="314">
        <f t="shared" si="86"/>
        <v>0</v>
      </c>
      <c r="T30" s="314">
        <f t="shared" si="86"/>
        <v>0</v>
      </c>
      <c r="U30" s="314">
        <f t="shared" si="86"/>
        <v>0</v>
      </c>
      <c r="V30" s="314">
        <f t="shared" si="86"/>
        <v>0</v>
      </c>
      <c r="Y30" s="13">
        <f t="shared" si="6"/>
        <v>0</v>
      </c>
      <c r="Z30" s="13" t="str">
        <f t="shared" si="7"/>
        <v>-</v>
      </c>
    </row>
    <row r="31" ht="18.0" hidden="1" customHeight="1">
      <c r="B31" s="13" t="s">
        <v>617</v>
      </c>
      <c r="C31" s="314" t="str">
        <f t="shared" ref="C31:G31" si="87">IFERROR(INDEX($A$41:$A$50, (MATCH($B31, C$41:C$50, 0))),"0")</f>
        <v>0</v>
      </c>
      <c r="D31" s="314" t="str">
        <f t="shared" si="87"/>
        <v>0</v>
      </c>
      <c r="E31" s="314" t="str">
        <f t="shared" si="87"/>
        <v>0</v>
      </c>
      <c r="F31" s="314" t="str">
        <f t="shared" si="87"/>
        <v>0</v>
      </c>
      <c r="G31" s="314" t="str">
        <f t="shared" si="87"/>
        <v>0</v>
      </c>
      <c r="H31" s="314" t="str">
        <f t="shared" si="39"/>
        <v>0</v>
      </c>
      <c r="I31" s="314" t="str">
        <f t="shared" ref="I31:K31" si="88">IFERROR(INDEX($A$41:$A$50, (MATCH($B31, I$41:I$50, 0))),"0")</f>
        <v>0</v>
      </c>
      <c r="J31" s="314" t="str">
        <f t="shared" si="88"/>
        <v>0</v>
      </c>
      <c r="K31" s="314" t="str">
        <f t="shared" si="88"/>
        <v>0</v>
      </c>
      <c r="N31" s="314" t="str">
        <f t="shared" ref="N31:V31" si="89">IFERROR(C31*C$2,"-")</f>
        <v>-</v>
      </c>
      <c r="O31" s="892">
        <f t="shared" si="89"/>
        <v>0</v>
      </c>
      <c r="P31" s="314">
        <f t="shared" si="89"/>
        <v>0</v>
      </c>
      <c r="Q31" s="314">
        <f t="shared" si="89"/>
        <v>0</v>
      </c>
      <c r="R31" s="314">
        <f t="shared" si="89"/>
        <v>0</v>
      </c>
      <c r="S31" s="314">
        <f t="shared" si="89"/>
        <v>0</v>
      </c>
      <c r="T31" s="314">
        <f t="shared" si="89"/>
        <v>0</v>
      </c>
      <c r="U31" s="314">
        <f t="shared" si="89"/>
        <v>0</v>
      </c>
      <c r="V31" s="314">
        <f t="shared" si="89"/>
        <v>0</v>
      </c>
      <c r="Y31" s="13">
        <f t="shared" si="6"/>
        <v>0</v>
      </c>
      <c r="Z31" s="13" t="str">
        <f t="shared" si="7"/>
        <v>-</v>
      </c>
    </row>
    <row r="32" ht="18.0" hidden="1" customHeight="1">
      <c r="B32" s="13" t="s">
        <v>602</v>
      </c>
      <c r="C32" s="314" t="str">
        <f t="shared" ref="C32:G32" si="90">IFERROR(INDEX($A$41:$A$50, (MATCH($B32, C$41:C$50, 0))),"0")</f>
        <v>0</v>
      </c>
      <c r="D32" s="314" t="str">
        <f t="shared" si="90"/>
        <v>0</v>
      </c>
      <c r="E32" s="314" t="str">
        <f t="shared" si="90"/>
        <v>0</v>
      </c>
      <c r="F32" s="314" t="str">
        <f t="shared" si="90"/>
        <v>0</v>
      </c>
      <c r="G32" s="314" t="str">
        <f t="shared" si="90"/>
        <v>0</v>
      </c>
      <c r="H32" s="314" t="str">
        <f t="shared" si="39"/>
        <v>0</v>
      </c>
      <c r="I32" s="314" t="str">
        <f t="shared" ref="I32:K32" si="91">IFERROR(INDEX($A$41:$A$50, (MATCH($B32, I$41:I$50, 0))),"0")</f>
        <v>0</v>
      </c>
      <c r="J32" s="314" t="str">
        <f t="shared" si="91"/>
        <v>0</v>
      </c>
      <c r="K32" s="314" t="str">
        <f t="shared" si="91"/>
        <v>0</v>
      </c>
      <c r="N32" s="314" t="str">
        <f t="shared" ref="N32:V32" si="92">IFERROR(C32*C$2,"-")</f>
        <v>-</v>
      </c>
      <c r="O32" s="892">
        <f t="shared" si="92"/>
        <v>0</v>
      </c>
      <c r="P32" s="314">
        <f t="shared" si="92"/>
        <v>0</v>
      </c>
      <c r="Q32" s="314">
        <f t="shared" si="92"/>
        <v>0</v>
      </c>
      <c r="R32" s="314">
        <f t="shared" si="92"/>
        <v>0</v>
      </c>
      <c r="S32" s="314">
        <f t="shared" si="92"/>
        <v>0</v>
      </c>
      <c r="T32" s="314">
        <f t="shared" si="92"/>
        <v>0</v>
      </c>
      <c r="U32" s="314">
        <f t="shared" si="92"/>
        <v>0</v>
      </c>
      <c r="V32" s="314">
        <f t="shared" si="92"/>
        <v>0</v>
      </c>
      <c r="Y32" s="13">
        <f t="shared" si="6"/>
        <v>0</v>
      </c>
      <c r="Z32" s="13" t="str">
        <f t="shared" si="7"/>
        <v>-</v>
      </c>
    </row>
    <row r="33" ht="18.0" hidden="1" customHeight="1">
      <c r="B33" s="13" t="s">
        <v>604</v>
      </c>
      <c r="C33" s="314" t="str">
        <f t="shared" ref="C33:G33" si="93">IFERROR(INDEX($A$41:$A$50, (MATCH($B33, C$41:C$50, 0))),"0")</f>
        <v>0</v>
      </c>
      <c r="D33" s="314" t="str">
        <f t="shared" si="93"/>
        <v>0</v>
      </c>
      <c r="E33" s="314" t="str">
        <f t="shared" si="93"/>
        <v>0</v>
      </c>
      <c r="F33" s="314" t="str">
        <f t="shared" si="93"/>
        <v>0</v>
      </c>
      <c r="G33" s="314" t="str">
        <f t="shared" si="93"/>
        <v>0</v>
      </c>
      <c r="H33" s="314" t="str">
        <f t="shared" si="39"/>
        <v>0</v>
      </c>
      <c r="I33" s="314" t="str">
        <f t="shared" ref="I33:K33" si="94">IFERROR(INDEX($A$41:$A$50, (MATCH($B33, I$41:I$50, 0))),"0")</f>
        <v>0</v>
      </c>
      <c r="J33" s="314" t="str">
        <f t="shared" si="94"/>
        <v>0</v>
      </c>
      <c r="K33" s="314" t="str">
        <f t="shared" si="94"/>
        <v>0</v>
      </c>
      <c r="N33" s="314" t="str">
        <f t="shared" ref="N33:V33" si="95">IFERROR(C33*C$2,"-")</f>
        <v>-</v>
      </c>
      <c r="O33" s="892">
        <f t="shared" si="95"/>
        <v>0</v>
      </c>
      <c r="P33" s="314">
        <f t="shared" si="95"/>
        <v>0</v>
      </c>
      <c r="Q33" s="314">
        <f t="shared" si="95"/>
        <v>0</v>
      </c>
      <c r="R33" s="314">
        <f t="shared" si="95"/>
        <v>0</v>
      </c>
      <c r="S33" s="314">
        <f t="shared" si="95"/>
        <v>0</v>
      </c>
      <c r="T33" s="314">
        <f t="shared" si="95"/>
        <v>0</v>
      </c>
      <c r="U33" s="314">
        <f t="shared" si="95"/>
        <v>0</v>
      </c>
      <c r="V33" s="314">
        <f t="shared" si="95"/>
        <v>0</v>
      </c>
      <c r="Y33" s="13">
        <f t="shared" si="6"/>
        <v>0</v>
      </c>
      <c r="Z33" s="13" t="str">
        <f t="shared" si="7"/>
        <v>-</v>
      </c>
    </row>
    <row r="34" ht="18.0" hidden="1" customHeight="1">
      <c r="B34" s="13" t="s">
        <v>623</v>
      </c>
      <c r="C34" s="314" t="str">
        <f t="shared" ref="C34:G34" si="96">IFERROR(INDEX($A$41:$A$50, (MATCH($B34, C$41:C$50, 0))),"0")</f>
        <v>0</v>
      </c>
      <c r="D34" s="314" t="str">
        <f t="shared" si="96"/>
        <v>0</v>
      </c>
      <c r="E34" s="314" t="str">
        <f t="shared" si="96"/>
        <v>0</v>
      </c>
      <c r="F34" s="314" t="str">
        <f t="shared" si="96"/>
        <v>0</v>
      </c>
      <c r="G34" s="314" t="str">
        <f t="shared" si="96"/>
        <v>0</v>
      </c>
      <c r="H34" s="314" t="str">
        <f t="shared" si="39"/>
        <v>0</v>
      </c>
      <c r="I34" s="314" t="str">
        <f t="shared" ref="I34:K34" si="97">IFERROR(INDEX($A$41:$A$50, (MATCH($B34, I$41:I$50, 0))),"0")</f>
        <v>0</v>
      </c>
      <c r="J34" s="314" t="str">
        <f t="shared" si="97"/>
        <v>0</v>
      </c>
      <c r="K34" s="314" t="str">
        <f t="shared" si="97"/>
        <v>0</v>
      </c>
      <c r="N34" s="314" t="str">
        <f t="shared" ref="N34:V34" si="98">IFERROR(C34*C$2,"-")</f>
        <v>-</v>
      </c>
      <c r="O34" s="892">
        <f t="shared" si="98"/>
        <v>0</v>
      </c>
      <c r="P34" s="314">
        <f t="shared" si="98"/>
        <v>0</v>
      </c>
      <c r="Q34" s="314">
        <f t="shared" si="98"/>
        <v>0</v>
      </c>
      <c r="R34" s="314">
        <f t="shared" si="98"/>
        <v>0</v>
      </c>
      <c r="S34" s="314">
        <f t="shared" si="98"/>
        <v>0</v>
      </c>
      <c r="T34" s="314">
        <f t="shared" si="98"/>
        <v>0</v>
      </c>
      <c r="U34" s="314">
        <f t="shared" si="98"/>
        <v>0</v>
      </c>
      <c r="V34" s="314">
        <f t="shared" si="98"/>
        <v>0</v>
      </c>
      <c r="Y34" s="13">
        <f t="shared" si="6"/>
        <v>0</v>
      </c>
      <c r="Z34" s="13" t="str">
        <f t="shared" si="7"/>
        <v>-</v>
      </c>
    </row>
    <row r="35" ht="18.0" hidden="1" customHeight="1">
      <c r="O35" s="337"/>
    </row>
    <row r="36" ht="18.0" hidden="1" customHeight="1">
      <c r="O36" s="337"/>
    </row>
    <row r="37" ht="18.0" hidden="1" customHeight="1">
      <c r="O37" s="337"/>
    </row>
    <row r="38" ht="18.0" hidden="1" customHeight="1">
      <c r="O38" s="337"/>
    </row>
    <row r="39" ht="18.0" hidden="1" customHeight="1">
      <c r="O39" s="337"/>
    </row>
    <row r="40" ht="18.0" customHeight="1">
      <c r="C40" s="886" t="s">
        <v>493</v>
      </c>
      <c r="D40" s="886" t="s">
        <v>495</v>
      </c>
      <c r="E40" s="886" t="s">
        <v>477</v>
      </c>
      <c r="F40" s="886" t="s">
        <v>494</v>
      </c>
      <c r="G40" s="886" t="s">
        <v>497</v>
      </c>
      <c r="H40" s="886" t="s">
        <v>478</v>
      </c>
      <c r="I40" s="886" t="s">
        <v>305</v>
      </c>
      <c r="J40" s="886" t="s">
        <v>538</v>
      </c>
      <c r="K40" s="887" t="s">
        <v>537</v>
      </c>
      <c r="M40" s="893" t="s">
        <v>297</v>
      </c>
      <c r="N40" s="894" t="s">
        <v>298</v>
      </c>
      <c r="O40" s="337"/>
    </row>
    <row r="41" ht="18.0" customHeight="1">
      <c r="A41" s="13">
        <v>10.0</v>
      </c>
      <c r="B41" s="13">
        <v>1.0</v>
      </c>
      <c r="M41" s="895">
        <v>1.0</v>
      </c>
      <c r="N41" s="896" t="str">
        <f t="shared" ref="N41:N60" si="99">IFERROR(INDEX($B$3:$B$34, MATCH(M41, $Z$3:$Z$34, 0)),"-")</f>
        <v>-</v>
      </c>
      <c r="O41" s="337" t="str">
        <f t="shared" ref="O41:O60" si="100">IFERROR(INDEX($Y$3:$Y$34, MATCH(M41, $Z$3:$Z$34, 0)),"-")</f>
        <v>-</v>
      </c>
    </row>
    <row r="42" ht="18.0" customHeight="1">
      <c r="A42" s="13">
        <v>9.0</v>
      </c>
      <c r="B42" s="13">
        <v>2.0</v>
      </c>
      <c r="M42" s="897">
        <v>2.0</v>
      </c>
      <c r="N42" s="898" t="str">
        <f t="shared" si="99"/>
        <v>-</v>
      </c>
      <c r="O42" s="337" t="str">
        <f t="shared" si="100"/>
        <v>-</v>
      </c>
    </row>
    <row r="43" ht="18.0" customHeight="1">
      <c r="A43" s="13">
        <v>8.0</v>
      </c>
      <c r="B43" s="13">
        <v>3.0</v>
      </c>
      <c r="M43" s="897">
        <v>3.0</v>
      </c>
      <c r="N43" s="898" t="str">
        <f t="shared" si="99"/>
        <v>-</v>
      </c>
      <c r="O43" s="337" t="str">
        <f t="shared" si="100"/>
        <v>-</v>
      </c>
    </row>
    <row r="44" ht="18.0" customHeight="1">
      <c r="A44" s="13">
        <v>7.0</v>
      </c>
      <c r="B44" s="13">
        <v>4.0</v>
      </c>
      <c r="M44" s="897">
        <v>4.0</v>
      </c>
      <c r="N44" s="898" t="str">
        <f t="shared" si="99"/>
        <v>-</v>
      </c>
      <c r="O44" s="337" t="str">
        <f t="shared" si="100"/>
        <v>-</v>
      </c>
    </row>
    <row r="45" ht="18.0" customHeight="1">
      <c r="A45" s="13">
        <v>6.0</v>
      </c>
      <c r="B45" s="13">
        <v>5.0</v>
      </c>
      <c r="M45" s="897">
        <v>5.0</v>
      </c>
      <c r="N45" s="898" t="str">
        <f t="shared" si="99"/>
        <v>-</v>
      </c>
      <c r="O45" s="337" t="str">
        <f t="shared" si="100"/>
        <v>-</v>
      </c>
    </row>
    <row r="46" ht="18.0" customHeight="1">
      <c r="A46" s="13">
        <v>5.0</v>
      </c>
      <c r="B46" s="13">
        <v>6.0</v>
      </c>
      <c r="M46" s="897">
        <v>6.0</v>
      </c>
      <c r="N46" s="898" t="str">
        <f t="shared" si="99"/>
        <v>-</v>
      </c>
      <c r="O46" s="337" t="str">
        <f t="shared" si="100"/>
        <v>-</v>
      </c>
    </row>
    <row r="47" ht="18.0" customHeight="1">
      <c r="A47" s="13">
        <v>4.0</v>
      </c>
      <c r="B47" s="13">
        <v>7.0</v>
      </c>
      <c r="M47" s="897">
        <v>7.0</v>
      </c>
      <c r="N47" s="898" t="str">
        <f t="shared" si="99"/>
        <v>-</v>
      </c>
      <c r="O47" s="337" t="str">
        <f t="shared" si="100"/>
        <v>-</v>
      </c>
    </row>
    <row r="48" ht="18.0" customHeight="1">
      <c r="A48" s="13">
        <v>3.0</v>
      </c>
      <c r="B48" s="13">
        <v>8.0</v>
      </c>
      <c r="M48" s="897">
        <v>8.0</v>
      </c>
      <c r="N48" s="898" t="str">
        <f t="shared" si="99"/>
        <v>-</v>
      </c>
      <c r="O48" s="337" t="str">
        <f t="shared" si="100"/>
        <v>-</v>
      </c>
    </row>
    <row r="49" ht="18.0" customHeight="1">
      <c r="A49" s="13">
        <v>2.0</v>
      </c>
      <c r="B49" s="13">
        <v>9.0</v>
      </c>
      <c r="M49" s="897">
        <v>9.0</v>
      </c>
      <c r="N49" s="898" t="str">
        <f t="shared" si="99"/>
        <v>-</v>
      </c>
      <c r="O49" s="337" t="str">
        <f t="shared" si="100"/>
        <v>-</v>
      </c>
    </row>
    <row r="50" ht="18.0" customHeight="1">
      <c r="A50" s="13">
        <v>1.0</v>
      </c>
      <c r="B50" s="13">
        <v>10.0</v>
      </c>
      <c r="M50" s="897">
        <v>10.0</v>
      </c>
      <c r="N50" s="898" t="str">
        <f t="shared" si="99"/>
        <v>-</v>
      </c>
      <c r="O50" s="337" t="str">
        <f t="shared" si="100"/>
        <v>-</v>
      </c>
    </row>
    <row r="51" ht="18.0" customHeight="1">
      <c r="M51" s="897">
        <v>11.0</v>
      </c>
      <c r="N51" s="899" t="str">
        <f t="shared" si="99"/>
        <v>-</v>
      </c>
      <c r="O51" s="337" t="str">
        <f t="shared" si="100"/>
        <v>-</v>
      </c>
    </row>
    <row r="52" ht="18.0" customHeight="1">
      <c r="M52" s="897">
        <v>12.0</v>
      </c>
      <c r="N52" s="899" t="str">
        <f t="shared" si="99"/>
        <v>-</v>
      </c>
      <c r="O52" s="337" t="str">
        <f t="shared" si="100"/>
        <v>-</v>
      </c>
    </row>
    <row r="53" ht="18.0" customHeight="1">
      <c r="M53" s="897">
        <v>13.0</v>
      </c>
      <c r="N53" s="899" t="str">
        <f t="shared" si="99"/>
        <v>-</v>
      </c>
      <c r="O53" s="337" t="str">
        <f t="shared" si="100"/>
        <v>-</v>
      </c>
    </row>
    <row r="54" ht="18.0" customHeight="1">
      <c r="M54" s="897">
        <v>14.0</v>
      </c>
      <c r="N54" s="899" t="str">
        <f t="shared" si="99"/>
        <v>-</v>
      </c>
      <c r="O54" s="337" t="str">
        <f t="shared" si="100"/>
        <v>-</v>
      </c>
    </row>
    <row r="55" ht="18.0" customHeight="1">
      <c r="M55" s="897">
        <v>15.0</v>
      </c>
      <c r="N55" s="899" t="str">
        <f t="shared" si="99"/>
        <v>-</v>
      </c>
      <c r="O55" s="337" t="str">
        <f t="shared" si="100"/>
        <v>-</v>
      </c>
    </row>
    <row r="56" ht="18.0" customHeight="1">
      <c r="M56" s="897">
        <v>16.0</v>
      </c>
      <c r="N56" s="900" t="str">
        <f t="shared" si="99"/>
        <v>-</v>
      </c>
      <c r="O56" s="337" t="str">
        <f t="shared" si="100"/>
        <v>-</v>
      </c>
    </row>
    <row r="57" ht="18.0" customHeight="1">
      <c r="M57" s="897">
        <v>17.0</v>
      </c>
      <c r="N57" s="900" t="str">
        <f t="shared" si="99"/>
        <v>-</v>
      </c>
      <c r="O57" s="337" t="str">
        <f t="shared" si="100"/>
        <v>-</v>
      </c>
    </row>
    <row r="58" ht="18.0" customHeight="1">
      <c r="M58" s="897">
        <v>18.0</v>
      </c>
      <c r="N58" s="900" t="str">
        <f t="shared" si="99"/>
        <v>-</v>
      </c>
      <c r="O58" s="337" t="str">
        <f t="shared" si="100"/>
        <v>-</v>
      </c>
    </row>
    <row r="59" ht="18.0" customHeight="1">
      <c r="M59" s="897">
        <v>19.0</v>
      </c>
      <c r="N59" s="900" t="str">
        <f t="shared" si="99"/>
        <v>-</v>
      </c>
      <c r="O59" s="337" t="str">
        <f t="shared" si="100"/>
        <v>-</v>
      </c>
    </row>
    <row r="60" ht="18.0" customHeight="1">
      <c r="M60" s="901">
        <v>20.0</v>
      </c>
      <c r="N60" s="902" t="str">
        <f t="shared" si="99"/>
        <v>-</v>
      </c>
      <c r="O60" s="337" t="str">
        <f t="shared" si="100"/>
        <v>-</v>
      </c>
    </row>
    <row r="61" ht="18.0" customHeight="1">
      <c r="O61" s="337"/>
    </row>
    <row r="62" ht="18.0" customHeight="1">
      <c r="O62" s="337"/>
    </row>
    <row r="63" ht="18.0" customHeight="1">
      <c r="O63" s="337"/>
    </row>
    <row r="64" ht="18.0" customHeight="1">
      <c r="O64" s="337"/>
    </row>
    <row r="65" ht="18.0" customHeight="1">
      <c r="O65" s="337"/>
    </row>
    <row r="66" ht="18.0" customHeight="1">
      <c r="O66" s="337"/>
    </row>
    <row r="67" ht="18.0" customHeight="1">
      <c r="O67" s="337"/>
    </row>
    <row r="68" ht="18.0" customHeight="1">
      <c r="O68" s="337"/>
    </row>
    <row r="69" ht="18.0" customHeight="1">
      <c r="O69" s="337"/>
    </row>
    <row r="70" ht="18.0" customHeight="1">
      <c r="O70" s="337"/>
    </row>
    <row r="71" ht="18.0" customHeight="1">
      <c r="O71" s="337"/>
    </row>
    <row r="72" ht="18.0" customHeight="1">
      <c r="O72" s="337"/>
    </row>
    <row r="73" ht="18.0" customHeight="1">
      <c r="O73" s="337"/>
    </row>
    <row r="74" ht="18.0" customHeight="1">
      <c r="O74" s="337"/>
    </row>
    <row r="75" ht="18.0" customHeight="1">
      <c r="O75" s="337"/>
    </row>
    <row r="76" ht="18.0" customHeight="1">
      <c r="O76" s="337"/>
    </row>
    <row r="77" ht="18.0" customHeight="1">
      <c r="O77" s="337"/>
    </row>
    <row r="78" ht="18.0" customHeight="1">
      <c r="O78" s="337"/>
    </row>
    <row r="79" ht="18.0" customHeight="1">
      <c r="O79" s="337"/>
    </row>
    <row r="80" ht="18.0" customHeight="1">
      <c r="O80" s="337"/>
    </row>
    <row r="81" ht="18.0" customHeight="1">
      <c r="O81" s="337"/>
    </row>
    <row r="82" ht="18.0" customHeight="1">
      <c r="O82" s="337"/>
    </row>
    <row r="83" ht="18.0" customHeight="1">
      <c r="O83" s="337"/>
    </row>
    <row r="84" ht="18.0" customHeight="1">
      <c r="O84" s="337"/>
    </row>
    <row r="85" ht="18.0" customHeight="1">
      <c r="O85" s="337"/>
    </row>
    <row r="86" ht="18.0" customHeight="1">
      <c r="O86" s="337"/>
    </row>
    <row r="87" ht="18.0" customHeight="1">
      <c r="O87" s="337"/>
    </row>
    <row r="88" ht="18.0" customHeight="1">
      <c r="O88" s="337"/>
    </row>
    <row r="89" ht="18.0" customHeight="1">
      <c r="O89" s="337"/>
    </row>
    <row r="90" ht="18.0" customHeight="1">
      <c r="O90" s="337"/>
    </row>
    <row r="91" ht="18.0" customHeight="1">
      <c r="O91" s="337"/>
    </row>
    <row r="92" ht="18.0" customHeight="1">
      <c r="O92" s="337"/>
    </row>
    <row r="93" ht="18.0" customHeight="1">
      <c r="O93" s="337"/>
    </row>
    <row r="94" ht="18.0" customHeight="1">
      <c r="O94" s="337"/>
    </row>
    <row r="95" ht="18.0" customHeight="1">
      <c r="O95" s="337"/>
    </row>
    <row r="96" ht="18.0" customHeight="1">
      <c r="O96" s="337"/>
    </row>
    <row r="97" ht="18.0" customHeight="1">
      <c r="O97" s="337"/>
    </row>
    <row r="98" ht="18.0" customHeight="1">
      <c r="O98" s="337"/>
    </row>
    <row r="99" ht="18.0" customHeight="1">
      <c r="O99" s="337"/>
    </row>
    <row r="100" ht="18.0" customHeight="1">
      <c r="O100" s="337"/>
    </row>
    <row r="101" ht="18.0" customHeight="1">
      <c r="O101" s="337"/>
    </row>
    <row r="102" ht="18.0" customHeight="1">
      <c r="O102" s="337"/>
    </row>
    <row r="103" ht="18.0" customHeight="1">
      <c r="O103" s="337"/>
    </row>
    <row r="104" ht="18.0" customHeight="1">
      <c r="O104" s="337"/>
    </row>
    <row r="105" ht="18.0" customHeight="1">
      <c r="O105" s="337"/>
    </row>
    <row r="106" ht="18.0" customHeight="1">
      <c r="O106" s="337"/>
    </row>
    <row r="107" ht="18.0" customHeight="1">
      <c r="O107" s="337"/>
    </row>
    <row r="108" ht="18.0" customHeight="1">
      <c r="O108" s="337"/>
    </row>
    <row r="109" ht="18.0" customHeight="1">
      <c r="O109" s="337"/>
    </row>
    <row r="110" ht="18.0" customHeight="1">
      <c r="O110" s="337"/>
    </row>
    <row r="111" ht="18.0" customHeight="1">
      <c r="O111" s="337"/>
    </row>
    <row r="112" ht="18.0" customHeight="1">
      <c r="O112" s="337"/>
    </row>
    <row r="113" ht="18.0" customHeight="1">
      <c r="O113" s="337"/>
    </row>
    <row r="114" ht="18.0" customHeight="1">
      <c r="O114" s="337"/>
    </row>
    <row r="115" ht="18.0" customHeight="1">
      <c r="O115" s="337"/>
    </row>
    <row r="116" ht="18.0" customHeight="1">
      <c r="O116" s="337"/>
    </row>
    <row r="117" ht="18.0" customHeight="1">
      <c r="O117" s="337"/>
    </row>
    <row r="118" ht="18.0" customHeight="1">
      <c r="O118" s="337"/>
    </row>
    <row r="119" ht="18.0" customHeight="1">
      <c r="O119" s="337"/>
    </row>
    <row r="120" ht="18.0" customHeight="1">
      <c r="O120" s="337"/>
    </row>
    <row r="121" ht="18.0" customHeight="1">
      <c r="O121" s="337"/>
    </row>
    <row r="122" ht="18.0" customHeight="1">
      <c r="O122" s="337"/>
    </row>
    <row r="123" ht="18.0" customHeight="1">
      <c r="O123" s="337"/>
    </row>
    <row r="124" ht="18.0" customHeight="1">
      <c r="O124" s="337"/>
    </row>
    <row r="125" ht="18.0" customHeight="1">
      <c r="O125" s="337"/>
    </row>
    <row r="126" ht="18.0" customHeight="1">
      <c r="O126" s="337"/>
    </row>
    <row r="127" ht="18.0" customHeight="1">
      <c r="O127" s="337"/>
    </row>
    <row r="128" ht="18.0" customHeight="1">
      <c r="O128" s="337"/>
    </row>
    <row r="129" ht="18.0" customHeight="1">
      <c r="O129" s="337"/>
    </row>
    <row r="130" ht="18.0" customHeight="1">
      <c r="O130" s="337"/>
    </row>
    <row r="131" ht="18.0" customHeight="1">
      <c r="O131" s="337"/>
    </row>
    <row r="132" ht="18.0" customHeight="1">
      <c r="O132" s="337"/>
    </row>
    <row r="133" ht="18.0" customHeight="1">
      <c r="O133" s="337"/>
    </row>
    <row r="134" ht="18.0" customHeight="1">
      <c r="O134" s="337"/>
    </row>
    <row r="135" ht="18.0" customHeight="1">
      <c r="O135" s="337"/>
    </row>
    <row r="136" ht="18.0" customHeight="1">
      <c r="O136" s="337"/>
    </row>
    <row r="137" ht="18.0" customHeight="1">
      <c r="O137" s="337"/>
    </row>
    <row r="138" ht="18.0" customHeight="1">
      <c r="O138" s="337"/>
    </row>
    <row r="139" ht="18.0" customHeight="1">
      <c r="O139" s="337"/>
    </row>
    <row r="140" ht="18.0" customHeight="1">
      <c r="O140" s="337"/>
    </row>
    <row r="141" ht="18.0" customHeight="1">
      <c r="O141" s="337"/>
    </row>
    <row r="142" ht="18.0" customHeight="1">
      <c r="O142" s="337"/>
    </row>
    <row r="143" ht="18.0" customHeight="1">
      <c r="O143" s="337"/>
    </row>
    <row r="144" ht="18.0" customHeight="1">
      <c r="O144" s="337"/>
    </row>
    <row r="145" ht="18.0" customHeight="1">
      <c r="O145" s="337"/>
    </row>
    <row r="146" ht="18.0" customHeight="1">
      <c r="O146" s="337"/>
    </row>
    <row r="147" ht="18.0" customHeight="1">
      <c r="O147" s="337"/>
    </row>
    <row r="148" ht="18.0" customHeight="1">
      <c r="O148" s="337"/>
    </row>
    <row r="149" ht="18.0" customHeight="1">
      <c r="O149" s="337"/>
    </row>
    <row r="150" ht="18.0" customHeight="1">
      <c r="O150" s="337"/>
    </row>
    <row r="151" ht="18.0" customHeight="1">
      <c r="O151" s="337"/>
    </row>
    <row r="152" ht="18.0" customHeight="1">
      <c r="O152" s="337"/>
    </row>
    <row r="153" ht="18.0" customHeight="1">
      <c r="O153" s="337"/>
    </row>
    <row r="154" ht="18.0" customHeight="1">
      <c r="O154" s="337"/>
    </row>
    <row r="155" ht="18.0" customHeight="1">
      <c r="O155" s="337"/>
    </row>
    <row r="156" ht="18.0" customHeight="1">
      <c r="O156" s="337"/>
    </row>
    <row r="157" ht="18.0" customHeight="1">
      <c r="O157" s="337"/>
    </row>
    <row r="158" ht="18.0" customHeight="1">
      <c r="O158" s="337"/>
    </row>
    <row r="159" ht="18.0" customHeight="1">
      <c r="O159" s="337"/>
    </row>
    <row r="160" ht="18.0" customHeight="1">
      <c r="O160" s="337"/>
    </row>
    <row r="161" ht="18.0" customHeight="1">
      <c r="O161" s="337"/>
    </row>
    <row r="162" ht="18.0" customHeight="1">
      <c r="O162" s="337"/>
    </row>
    <row r="163" ht="18.0" customHeight="1">
      <c r="O163" s="337"/>
    </row>
    <row r="164" ht="18.0" customHeight="1">
      <c r="O164" s="337"/>
    </row>
    <row r="165" ht="18.0" customHeight="1">
      <c r="O165" s="337"/>
    </row>
    <row r="166" ht="18.0" customHeight="1">
      <c r="O166" s="337"/>
    </row>
    <row r="167" ht="18.0" customHeight="1">
      <c r="O167" s="337"/>
    </row>
    <row r="168" ht="18.0" customHeight="1">
      <c r="O168" s="337"/>
    </row>
    <row r="169" ht="18.0" customHeight="1">
      <c r="O169" s="337"/>
    </row>
    <row r="170" ht="18.0" customHeight="1">
      <c r="O170" s="337"/>
    </row>
    <row r="171" ht="18.0" customHeight="1">
      <c r="O171" s="337"/>
    </row>
    <row r="172" ht="18.0" customHeight="1">
      <c r="O172" s="337"/>
    </row>
    <row r="173" ht="18.0" customHeight="1">
      <c r="O173" s="337"/>
    </row>
    <row r="174" ht="18.0" customHeight="1">
      <c r="O174" s="337"/>
    </row>
    <row r="175" ht="18.0" customHeight="1">
      <c r="O175" s="337"/>
    </row>
    <row r="176" ht="18.0" customHeight="1">
      <c r="O176" s="337"/>
    </row>
    <row r="177" ht="18.0" customHeight="1">
      <c r="O177" s="337"/>
    </row>
    <row r="178" ht="18.0" customHeight="1">
      <c r="O178" s="337"/>
    </row>
    <row r="179" ht="18.0" customHeight="1">
      <c r="O179" s="337"/>
    </row>
    <row r="180" ht="18.0" customHeight="1">
      <c r="O180" s="337"/>
    </row>
    <row r="181" ht="18.0" customHeight="1">
      <c r="O181" s="337"/>
    </row>
    <row r="182" ht="18.0" customHeight="1">
      <c r="O182" s="337"/>
    </row>
    <row r="183" ht="18.0" customHeight="1">
      <c r="O183" s="337"/>
    </row>
    <row r="184" ht="18.0" customHeight="1">
      <c r="O184" s="337"/>
    </row>
    <row r="185" ht="18.0" customHeight="1">
      <c r="O185" s="337"/>
    </row>
    <row r="186" ht="18.0" customHeight="1">
      <c r="O186" s="337"/>
    </row>
    <row r="187" ht="18.0" customHeight="1">
      <c r="O187" s="337"/>
    </row>
    <row r="188" ht="18.0" customHeight="1">
      <c r="O188" s="337"/>
    </row>
    <row r="189" ht="18.0" customHeight="1">
      <c r="O189" s="337"/>
    </row>
    <row r="190" ht="18.0" customHeight="1">
      <c r="O190" s="337"/>
    </row>
    <row r="191" ht="18.0" customHeight="1">
      <c r="O191" s="337"/>
    </row>
    <row r="192" ht="18.0" customHeight="1">
      <c r="O192" s="337"/>
    </row>
    <row r="193" ht="18.0" customHeight="1">
      <c r="O193" s="337"/>
    </row>
    <row r="194" ht="18.0" customHeight="1">
      <c r="O194" s="337"/>
    </row>
    <row r="195" ht="18.0" customHeight="1">
      <c r="O195" s="337"/>
    </row>
    <row r="196" ht="18.0" customHeight="1">
      <c r="O196" s="337"/>
    </row>
    <row r="197" ht="18.0" customHeight="1">
      <c r="O197" s="337"/>
    </row>
    <row r="198" ht="18.0" customHeight="1">
      <c r="O198" s="337"/>
    </row>
    <row r="199" ht="18.0" customHeight="1">
      <c r="O199" s="337"/>
    </row>
    <row r="200" ht="18.0" customHeight="1">
      <c r="O200" s="337"/>
    </row>
    <row r="201" ht="18.0" customHeight="1">
      <c r="O201" s="337"/>
    </row>
    <row r="202" ht="18.0" customHeight="1">
      <c r="O202" s="337"/>
    </row>
    <row r="203" ht="18.0" customHeight="1">
      <c r="O203" s="337"/>
    </row>
    <row r="204" ht="18.0" customHeight="1">
      <c r="O204" s="337"/>
    </row>
    <row r="205" ht="18.0" customHeight="1">
      <c r="O205" s="337"/>
    </row>
    <row r="206" ht="18.0" customHeight="1">
      <c r="O206" s="337"/>
    </row>
    <row r="207" ht="18.0" customHeight="1">
      <c r="O207" s="337"/>
    </row>
    <row r="208" ht="18.0" customHeight="1">
      <c r="O208" s="337"/>
    </row>
    <row r="209" ht="18.0" customHeight="1">
      <c r="O209" s="337"/>
    </row>
    <row r="210" ht="18.0" customHeight="1">
      <c r="O210" s="337"/>
    </row>
    <row r="211" ht="18.0" customHeight="1">
      <c r="O211" s="337"/>
    </row>
    <row r="212" ht="18.0" customHeight="1">
      <c r="O212" s="337"/>
    </row>
    <row r="213" ht="18.0" customHeight="1">
      <c r="O213" s="337"/>
    </row>
    <row r="214" ht="18.0" customHeight="1">
      <c r="O214" s="337"/>
    </row>
    <row r="215" ht="18.0" customHeight="1">
      <c r="O215" s="337"/>
    </row>
    <row r="216" ht="18.0" customHeight="1">
      <c r="O216" s="337"/>
    </row>
    <row r="217" ht="18.0" customHeight="1">
      <c r="O217" s="337"/>
    </row>
    <row r="218" ht="18.0" customHeight="1">
      <c r="O218" s="337"/>
    </row>
    <row r="219" ht="18.0" customHeight="1">
      <c r="O219" s="337"/>
    </row>
    <row r="220" ht="18.0" customHeight="1">
      <c r="O220" s="337"/>
    </row>
    <row r="221" ht="18.0" customHeight="1">
      <c r="O221" s="337"/>
    </row>
    <row r="222" ht="18.0" customHeight="1">
      <c r="O222" s="337"/>
    </row>
    <row r="223" ht="18.0" customHeight="1">
      <c r="O223" s="337"/>
    </row>
    <row r="224" ht="18.0" customHeight="1">
      <c r="O224" s="337"/>
    </row>
    <row r="225" ht="18.0" customHeight="1">
      <c r="O225" s="337"/>
    </row>
    <row r="226" ht="18.0" customHeight="1">
      <c r="O226" s="337"/>
    </row>
    <row r="227" ht="18.0" customHeight="1">
      <c r="O227" s="337"/>
    </row>
    <row r="228" ht="18.0" customHeight="1">
      <c r="O228" s="337"/>
    </row>
    <row r="229" ht="18.0" customHeight="1">
      <c r="O229" s="337"/>
    </row>
    <row r="230" ht="18.0" customHeight="1">
      <c r="O230" s="337"/>
    </row>
    <row r="231" ht="18.0" customHeight="1">
      <c r="O231" s="337"/>
    </row>
    <row r="232" ht="18.0" customHeight="1">
      <c r="O232" s="337"/>
    </row>
    <row r="233" ht="18.0" customHeight="1">
      <c r="O233" s="337"/>
    </row>
    <row r="234" ht="18.0" customHeight="1">
      <c r="O234" s="337"/>
    </row>
    <row r="235" ht="18.0" customHeight="1">
      <c r="O235" s="337"/>
    </row>
    <row r="236" ht="18.0" customHeight="1">
      <c r="O236" s="337"/>
    </row>
    <row r="237" ht="18.0" customHeight="1">
      <c r="O237" s="337"/>
    </row>
    <row r="238" ht="18.0" customHeight="1">
      <c r="O238" s="337"/>
    </row>
    <row r="239" ht="18.0" customHeight="1">
      <c r="O239" s="337"/>
    </row>
    <row r="240" ht="18.0" customHeight="1">
      <c r="O240" s="337"/>
    </row>
    <row r="241" ht="18.0" customHeight="1">
      <c r="O241" s="337"/>
    </row>
    <row r="242" ht="18.0" customHeight="1">
      <c r="O242" s="337"/>
    </row>
    <row r="243" ht="18.0" customHeight="1">
      <c r="O243" s="337"/>
    </row>
    <row r="244" ht="18.0" customHeight="1">
      <c r="O244" s="337"/>
    </row>
    <row r="245" ht="18.0" customHeight="1">
      <c r="O245" s="337"/>
    </row>
    <row r="246" ht="18.0" customHeight="1">
      <c r="O246" s="337"/>
    </row>
    <row r="247" ht="18.0" customHeight="1">
      <c r="O247" s="337"/>
    </row>
    <row r="248" ht="18.0" customHeight="1">
      <c r="O248" s="337"/>
    </row>
    <row r="249" ht="18.0" customHeight="1">
      <c r="O249" s="337"/>
    </row>
    <row r="250" ht="18.0" customHeight="1">
      <c r="O250" s="337"/>
    </row>
    <row r="251" ht="18.0" customHeight="1">
      <c r="O251" s="337"/>
    </row>
    <row r="252" ht="18.0" customHeight="1">
      <c r="O252" s="337"/>
    </row>
    <row r="253" ht="18.0" customHeight="1">
      <c r="O253" s="337"/>
    </row>
    <row r="254" ht="18.0" customHeight="1">
      <c r="O254" s="337"/>
    </row>
    <row r="255" ht="18.0" customHeight="1">
      <c r="O255" s="337"/>
    </row>
    <row r="256" ht="18.0" customHeight="1">
      <c r="O256" s="337"/>
    </row>
    <row r="257" ht="18.0" customHeight="1">
      <c r="O257" s="337"/>
    </row>
    <row r="258" ht="18.0" customHeight="1">
      <c r="O258" s="337"/>
    </row>
    <row r="259" ht="18.0" customHeight="1">
      <c r="O259" s="337"/>
    </row>
    <row r="260" ht="18.0" customHeight="1">
      <c r="O260" s="337"/>
    </row>
    <row r="261" ht="18.0" customHeight="1">
      <c r="O261" s="337"/>
    </row>
    <row r="262" ht="18.0" customHeight="1">
      <c r="O262" s="337"/>
    </row>
    <row r="263" ht="18.0" customHeight="1">
      <c r="O263" s="337"/>
    </row>
    <row r="264" ht="18.0" customHeight="1">
      <c r="O264" s="337"/>
    </row>
    <row r="265" ht="18.0" customHeight="1">
      <c r="O265" s="337"/>
    </row>
    <row r="266" ht="18.0" customHeight="1">
      <c r="O266" s="337"/>
    </row>
    <row r="267" ht="18.0" customHeight="1">
      <c r="O267" s="337"/>
    </row>
    <row r="268" ht="18.0" customHeight="1">
      <c r="O268" s="337"/>
    </row>
    <row r="269" ht="18.0" customHeight="1">
      <c r="O269" s="337"/>
    </row>
    <row r="270" ht="18.0" customHeight="1">
      <c r="O270" s="337"/>
    </row>
    <row r="271" ht="18.0" customHeight="1">
      <c r="O271" s="337"/>
    </row>
    <row r="272" ht="18.0" customHeight="1">
      <c r="O272" s="337"/>
    </row>
    <row r="273" ht="18.0" customHeight="1">
      <c r="O273" s="337"/>
    </row>
    <row r="274" ht="18.0" customHeight="1">
      <c r="O274" s="337"/>
    </row>
    <row r="275" ht="18.0" customHeight="1">
      <c r="O275" s="337"/>
    </row>
    <row r="276" ht="18.0" customHeight="1">
      <c r="O276" s="337"/>
    </row>
    <row r="277" ht="18.0" customHeight="1">
      <c r="O277" s="337"/>
    </row>
    <row r="278" ht="18.0" customHeight="1">
      <c r="O278" s="337"/>
    </row>
    <row r="279" ht="18.0" customHeight="1">
      <c r="O279" s="337"/>
    </row>
    <row r="280" ht="18.0" customHeight="1">
      <c r="O280" s="337"/>
    </row>
    <row r="281" ht="18.0" customHeight="1">
      <c r="O281" s="337"/>
    </row>
    <row r="282" ht="18.0" customHeight="1">
      <c r="O282" s="337"/>
    </row>
    <row r="283" ht="18.0" customHeight="1">
      <c r="O283" s="337"/>
    </row>
    <row r="284" ht="18.0" customHeight="1">
      <c r="O284" s="337"/>
    </row>
    <row r="285" ht="18.0" customHeight="1">
      <c r="O285" s="337"/>
    </row>
    <row r="286" ht="18.0" customHeight="1">
      <c r="O286" s="337"/>
    </row>
    <row r="287" ht="18.0" customHeight="1">
      <c r="O287" s="337"/>
    </row>
    <row r="288" ht="18.0" customHeight="1">
      <c r="O288" s="337"/>
    </row>
    <row r="289" ht="18.0" customHeight="1">
      <c r="O289" s="337"/>
    </row>
    <row r="290" ht="18.0" customHeight="1">
      <c r="O290" s="337"/>
    </row>
    <row r="291" ht="18.0" customHeight="1">
      <c r="O291" s="337"/>
    </row>
    <row r="292" ht="18.0" customHeight="1">
      <c r="O292" s="337"/>
    </row>
    <row r="293" ht="18.0" customHeight="1">
      <c r="O293" s="337"/>
    </row>
    <row r="294" ht="18.0" customHeight="1">
      <c r="O294" s="337"/>
    </row>
    <row r="295" ht="18.0" customHeight="1">
      <c r="O295" s="337"/>
    </row>
    <row r="296" ht="18.0" customHeight="1">
      <c r="O296" s="337"/>
    </row>
    <row r="297" ht="18.0" customHeight="1">
      <c r="O297" s="337"/>
    </row>
    <row r="298" ht="18.0" customHeight="1">
      <c r="O298" s="337"/>
    </row>
    <row r="299" ht="18.0" customHeight="1">
      <c r="O299" s="337"/>
    </row>
    <row r="300" ht="18.0" customHeight="1">
      <c r="O300" s="337"/>
    </row>
    <row r="301" ht="18.0" customHeight="1">
      <c r="O301" s="337"/>
    </row>
    <row r="302" ht="18.0" customHeight="1">
      <c r="O302" s="337"/>
    </row>
    <row r="303" ht="18.0" customHeight="1">
      <c r="O303" s="337"/>
    </row>
    <row r="304" ht="18.0" customHeight="1">
      <c r="O304" s="337"/>
    </row>
    <row r="305" ht="18.0" customHeight="1">
      <c r="O305" s="337"/>
    </row>
    <row r="306" ht="18.0" customHeight="1">
      <c r="O306" s="337"/>
    </row>
    <row r="307" ht="18.0" customHeight="1">
      <c r="O307" s="337"/>
    </row>
    <row r="308" ht="18.0" customHeight="1">
      <c r="O308" s="337"/>
    </row>
    <row r="309" ht="18.0" customHeight="1">
      <c r="O309" s="337"/>
    </row>
    <row r="310" ht="18.0" customHeight="1">
      <c r="O310" s="337"/>
    </row>
    <row r="311" ht="18.0" customHeight="1">
      <c r="O311" s="337"/>
    </row>
    <row r="312" ht="18.0" customHeight="1">
      <c r="O312" s="337"/>
    </row>
    <row r="313" ht="18.0" customHeight="1">
      <c r="O313" s="337"/>
    </row>
    <row r="314" ht="18.0" customHeight="1">
      <c r="O314" s="337"/>
    </row>
    <row r="315" ht="18.0" customHeight="1">
      <c r="O315" s="337"/>
    </row>
    <row r="316" ht="18.0" customHeight="1">
      <c r="O316" s="337"/>
    </row>
    <row r="317" ht="18.0" customHeight="1">
      <c r="O317" s="337"/>
    </row>
    <row r="318" ht="18.0" customHeight="1">
      <c r="O318" s="337"/>
    </row>
    <row r="319" ht="18.0" customHeight="1">
      <c r="O319" s="337"/>
    </row>
    <row r="320" ht="18.0" customHeight="1">
      <c r="O320" s="337"/>
    </row>
    <row r="321" ht="18.0" customHeight="1">
      <c r="O321" s="337"/>
    </row>
    <row r="322" ht="18.0" customHeight="1">
      <c r="O322" s="337"/>
    </row>
    <row r="323" ht="18.0" customHeight="1">
      <c r="O323" s="337"/>
    </row>
    <row r="324" ht="18.0" customHeight="1">
      <c r="O324" s="337"/>
    </row>
    <row r="325" ht="18.0" customHeight="1">
      <c r="O325" s="337"/>
    </row>
    <row r="326" ht="18.0" customHeight="1">
      <c r="O326" s="337"/>
    </row>
    <row r="327" ht="18.0" customHeight="1">
      <c r="O327" s="337"/>
    </row>
    <row r="328" ht="18.0" customHeight="1">
      <c r="O328" s="337"/>
    </row>
    <row r="329" ht="18.0" customHeight="1">
      <c r="O329" s="337"/>
    </row>
    <row r="330" ht="18.0" customHeight="1">
      <c r="O330" s="337"/>
    </row>
    <row r="331" ht="18.0" customHeight="1">
      <c r="O331" s="337"/>
    </row>
    <row r="332" ht="18.0" customHeight="1">
      <c r="O332" s="337"/>
    </row>
    <row r="333" ht="18.0" customHeight="1">
      <c r="O333" s="337"/>
    </row>
    <row r="334" ht="18.0" customHeight="1">
      <c r="O334" s="337"/>
    </row>
    <row r="335" ht="18.0" customHeight="1">
      <c r="O335" s="337"/>
    </row>
    <row r="336" ht="18.0" customHeight="1">
      <c r="O336" s="337"/>
    </row>
    <row r="337" ht="18.0" customHeight="1">
      <c r="O337" s="337"/>
    </row>
    <row r="338" ht="18.0" customHeight="1">
      <c r="O338" s="337"/>
    </row>
    <row r="339" ht="18.0" customHeight="1">
      <c r="O339" s="337"/>
    </row>
    <row r="340" ht="18.0" customHeight="1">
      <c r="O340" s="337"/>
    </row>
    <row r="341" ht="18.0" customHeight="1">
      <c r="O341" s="337"/>
    </row>
    <row r="342" ht="18.0" customHeight="1">
      <c r="O342" s="337"/>
    </row>
    <row r="343" ht="18.0" customHeight="1">
      <c r="O343" s="337"/>
    </row>
    <row r="344" ht="18.0" customHeight="1">
      <c r="O344" s="337"/>
    </row>
    <row r="345" ht="18.0" customHeight="1">
      <c r="O345" s="337"/>
    </row>
    <row r="346" ht="18.0" customHeight="1">
      <c r="O346" s="337"/>
    </row>
    <row r="347" ht="18.0" customHeight="1">
      <c r="O347" s="337"/>
    </row>
    <row r="348" ht="18.0" customHeight="1">
      <c r="O348" s="337"/>
    </row>
    <row r="349" ht="18.0" customHeight="1">
      <c r="O349" s="337"/>
    </row>
    <row r="350" ht="18.0" customHeight="1">
      <c r="O350" s="337"/>
    </row>
    <row r="351" ht="18.0" customHeight="1">
      <c r="O351" s="337"/>
    </row>
    <row r="352" ht="18.0" customHeight="1">
      <c r="O352" s="337"/>
    </row>
    <row r="353" ht="18.0" customHeight="1">
      <c r="O353" s="337"/>
    </row>
    <row r="354" ht="18.0" customHeight="1">
      <c r="O354" s="337"/>
    </row>
    <row r="355" ht="18.0" customHeight="1">
      <c r="O355" s="337"/>
    </row>
    <row r="356" ht="18.0" customHeight="1">
      <c r="O356" s="337"/>
    </row>
    <row r="357" ht="18.0" customHeight="1">
      <c r="O357" s="337"/>
    </row>
    <row r="358" ht="18.0" customHeight="1">
      <c r="O358" s="337"/>
    </row>
    <row r="359" ht="18.0" customHeight="1">
      <c r="O359" s="337"/>
    </row>
    <row r="360" ht="18.0" customHeight="1">
      <c r="O360" s="337"/>
    </row>
    <row r="361" ht="18.0" customHeight="1">
      <c r="O361" s="337"/>
    </row>
    <row r="362" ht="18.0" customHeight="1">
      <c r="O362" s="337"/>
    </row>
    <row r="363" ht="18.0" customHeight="1">
      <c r="O363" s="337"/>
    </row>
    <row r="364" ht="18.0" customHeight="1">
      <c r="O364" s="337"/>
    </row>
    <row r="365" ht="18.0" customHeight="1">
      <c r="O365" s="337"/>
    </row>
    <row r="366" ht="18.0" customHeight="1">
      <c r="O366" s="337"/>
    </row>
    <row r="367" ht="18.0" customHeight="1">
      <c r="O367" s="337"/>
    </row>
    <row r="368" ht="18.0" customHeight="1">
      <c r="O368" s="337"/>
    </row>
    <row r="369" ht="18.0" customHeight="1">
      <c r="O369" s="337"/>
    </row>
    <row r="370" ht="18.0" customHeight="1">
      <c r="O370" s="337"/>
    </row>
    <row r="371" ht="18.0" customHeight="1">
      <c r="O371" s="337"/>
    </row>
    <row r="372" ht="18.0" customHeight="1">
      <c r="O372" s="337"/>
    </row>
    <row r="373" ht="18.0" customHeight="1">
      <c r="O373" s="337"/>
    </row>
    <row r="374" ht="18.0" customHeight="1">
      <c r="O374" s="337"/>
    </row>
    <row r="375" ht="18.0" customHeight="1">
      <c r="O375" s="337"/>
    </row>
    <row r="376" ht="18.0" customHeight="1">
      <c r="O376" s="337"/>
    </row>
    <row r="377" ht="18.0" customHeight="1">
      <c r="O377" s="337"/>
    </row>
    <row r="378" ht="18.0" customHeight="1">
      <c r="O378" s="337"/>
    </row>
    <row r="379" ht="18.0" customHeight="1">
      <c r="O379" s="337"/>
    </row>
    <row r="380" ht="18.0" customHeight="1">
      <c r="O380" s="337"/>
    </row>
    <row r="381" ht="18.0" customHeight="1">
      <c r="O381" s="337"/>
    </row>
    <row r="382" ht="18.0" customHeight="1">
      <c r="O382" s="337"/>
    </row>
    <row r="383" ht="18.0" customHeight="1">
      <c r="O383" s="337"/>
    </row>
    <row r="384" ht="18.0" customHeight="1">
      <c r="O384" s="337"/>
    </row>
    <row r="385" ht="18.0" customHeight="1">
      <c r="O385" s="337"/>
    </row>
    <row r="386" ht="18.0" customHeight="1">
      <c r="O386" s="337"/>
    </row>
    <row r="387" ht="18.0" customHeight="1">
      <c r="O387" s="337"/>
    </row>
    <row r="388" ht="18.0" customHeight="1">
      <c r="O388" s="337"/>
    </row>
    <row r="389" ht="18.0" customHeight="1">
      <c r="O389" s="337"/>
    </row>
    <row r="390" ht="18.0" customHeight="1">
      <c r="O390" s="337"/>
    </row>
    <row r="391" ht="18.0" customHeight="1">
      <c r="O391" s="337"/>
    </row>
    <row r="392" ht="18.0" customHeight="1">
      <c r="O392" s="337"/>
    </row>
    <row r="393" ht="18.0" customHeight="1">
      <c r="O393" s="337"/>
    </row>
    <row r="394" ht="18.0" customHeight="1">
      <c r="O394" s="337"/>
    </row>
    <row r="395" ht="18.0" customHeight="1">
      <c r="O395" s="337"/>
    </row>
    <row r="396" ht="18.0" customHeight="1">
      <c r="O396" s="337"/>
    </row>
    <row r="397" ht="18.0" customHeight="1">
      <c r="O397" s="337"/>
    </row>
    <row r="398" ht="18.0" customHeight="1">
      <c r="O398" s="337"/>
    </row>
    <row r="399" ht="18.0" customHeight="1">
      <c r="O399" s="337"/>
    </row>
    <row r="400" ht="18.0" customHeight="1">
      <c r="O400" s="337"/>
    </row>
    <row r="401" ht="18.0" customHeight="1">
      <c r="O401" s="337"/>
    </row>
    <row r="402" ht="18.0" customHeight="1">
      <c r="O402" s="337"/>
    </row>
    <row r="403" ht="18.0" customHeight="1">
      <c r="O403" s="337"/>
    </row>
    <row r="404" ht="18.0" customHeight="1">
      <c r="O404" s="337"/>
    </row>
    <row r="405" ht="18.0" customHeight="1">
      <c r="O405" s="337"/>
    </row>
    <row r="406" ht="18.0" customHeight="1">
      <c r="O406" s="337"/>
    </row>
    <row r="407" ht="18.0" customHeight="1">
      <c r="O407" s="337"/>
    </row>
    <row r="408" ht="18.0" customHeight="1">
      <c r="O408" s="337"/>
    </row>
    <row r="409" ht="18.0" customHeight="1">
      <c r="O409" s="337"/>
    </row>
    <row r="410" ht="18.0" customHeight="1">
      <c r="O410" s="337"/>
    </row>
    <row r="411" ht="18.0" customHeight="1">
      <c r="O411" s="337"/>
    </row>
    <row r="412" ht="18.0" customHeight="1">
      <c r="O412" s="337"/>
    </row>
    <row r="413" ht="18.0" customHeight="1">
      <c r="O413" s="337"/>
    </row>
    <row r="414" ht="18.0" customHeight="1">
      <c r="O414" s="337"/>
    </row>
    <row r="415" ht="18.0" customHeight="1">
      <c r="O415" s="337"/>
    </row>
    <row r="416" ht="18.0" customHeight="1">
      <c r="O416" s="337"/>
    </row>
    <row r="417" ht="18.0" customHeight="1">
      <c r="O417" s="337"/>
    </row>
    <row r="418" ht="18.0" customHeight="1">
      <c r="O418" s="337"/>
    </row>
    <row r="419" ht="18.0" customHeight="1">
      <c r="O419" s="337"/>
    </row>
    <row r="420" ht="18.0" customHeight="1">
      <c r="O420" s="337"/>
    </row>
    <row r="421" ht="18.0" customHeight="1">
      <c r="O421" s="337"/>
    </row>
    <row r="422" ht="18.0" customHeight="1">
      <c r="O422" s="337"/>
    </row>
    <row r="423" ht="18.0" customHeight="1">
      <c r="O423" s="337"/>
    </row>
    <row r="424" ht="18.0" customHeight="1">
      <c r="O424" s="337"/>
    </row>
    <row r="425" ht="18.0" customHeight="1">
      <c r="O425" s="337"/>
    </row>
    <row r="426" ht="18.0" customHeight="1">
      <c r="O426" s="337"/>
    </row>
    <row r="427" ht="18.0" customHeight="1">
      <c r="O427" s="337"/>
    </row>
    <row r="428" ht="18.0" customHeight="1">
      <c r="O428" s="337"/>
    </row>
    <row r="429" ht="18.0" customHeight="1">
      <c r="O429" s="337"/>
    </row>
    <row r="430" ht="18.0" customHeight="1">
      <c r="O430" s="337"/>
    </row>
    <row r="431" ht="18.0" customHeight="1">
      <c r="O431" s="337"/>
    </row>
    <row r="432" ht="18.0" customHeight="1">
      <c r="O432" s="337"/>
    </row>
    <row r="433" ht="18.0" customHeight="1">
      <c r="O433" s="337"/>
    </row>
    <row r="434" ht="18.0" customHeight="1">
      <c r="O434" s="337"/>
    </row>
    <row r="435" ht="18.0" customHeight="1">
      <c r="O435" s="337"/>
    </row>
    <row r="436" ht="18.0" customHeight="1">
      <c r="O436" s="337"/>
    </row>
    <row r="437" ht="18.0" customHeight="1">
      <c r="O437" s="337"/>
    </row>
    <row r="438" ht="18.0" customHeight="1">
      <c r="O438" s="337"/>
    </row>
    <row r="439" ht="18.0" customHeight="1">
      <c r="O439" s="337"/>
    </row>
    <row r="440" ht="18.0" customHeight="1">
      <c r="O440" s="337"/>
    </row>
    <row r="441" ht="18.0" customHeight="1">
      <c r="O441" s="337"/>
    </row>
    <row r="442" ht="18.0" customHeight="1">
      <c r="O442" s="337"/>
    </row>
    <row r="443" ht="18.0" customHeight="1">
      <c r="O443" s="337"/>
    </row>
    <row r="444" ht="18.0" customHeight="1">
      <c r="O444" s="337"/>
    </row>
    <row r="445" ht="18.0" customHeight="1">
      <c r="O445" s="337"/>
    </row>
    <row r="446" ht="18.0" customHeight="1">
      <c r="O446" s="337"/>
    </row>
    <row r="447" ht="18.0" customHeight="1">
      <c r="O447" s="337"/>
    </row>
    <row r="448" ht="18.0" customHeight="1">
      <c r="O448" s="337"/>
    </row>
    <row r="449" ht="18.0" customHeight="1">
      <c r="O449" s="337"/>
    </row>
    <row r="450" ht="18.0" customHeight="1">
      <c r="O450" s="337"/>
    </row>
    <row r="451" ht="18.0" customHeight="1">
      <c r="O451" s="337"/>
    </row>
    <row r="452" ht="18.0" customHeight="1">
      <c r="O452" s="337"/>
    </row>
    <row r="453" ht="18.0" customHeight="1">
      <c r="O453" s="337"/>
    </row>
    <row r="454" ht="18.0" customHeight="1">
      <c r="O454" s="337"/>
    </row>
    <row r="455" ht="18.0" customHeight="1">
      <c r="O455" s="337"/>
    </row>
    <row r="456" ht="18.0" customHeight="1">
      <c r="O456" s="337"/>
    </row>
    <row r="457" ht="18.0" customHeight="1">
      <c r="O457" s="337"/>
    </row>
    <row r="458" ht="18.0" customHeight="1">
      <c r="O458" s="337"/>
    </row>
    <row r="459" ht="18.0" customHeight="1">
      <c r="O459" s="337"/>
    </row>
    <row r="460" ht="18.0" customHeight="1">
      <c r="O460" s="337"/>
    </row>
    <row r="461" ht="18.0" customHeight="1">
      <c r="O461" s="337"/>
    </row>
    <row r="462" ht="18.0" customHeight="1">
      <c r="O462" s="337"/>
    </row>
    <row r="463" ht="18.0" customHeight="1">
      <c r="O463" s="337"/>
    </row>
    <row r="464" ht="18.0" customHeight="1">
      <c r="O464" s="337"/>
    </row>
    <row r="465" ht="18.0" customHeight="1">
      <c r="O465" s="337"/>
    </row>
    <row r="466" ht="18.0" customHeight="1">
      <c r="O466" s="337"/>
    </row>
    <row r="467" ht="18.0" customHeight="1">
      <c r="O467" s="337"/>
    </row>
    <row r="468" ht="18.0" customHeight="1">
      <c r="O468" s="337"/>
    </row>
    <row r="469" ht="18.0" customHeight="1">
      <c r="O469" s="337"/>
    </row>
    <row r="470" ht="18.0" customHeight="1">
      <c r="O470" s="337"/>
    </row>
    <row r="471" ht="18.0" customHeight="1">
      <c r="O471" s="337"/>
    </row>
    <row r="472" ht="18.0" customHeight="1">
      <c r="O472" s="337"/>
    </row>
    <row r="473" ht="18.0" customHeight="1">
      <c r="O473" s="337"/>
    </row>
    <row r="474" ht="18.0" customHeight="1">
      <c r="O474" s="337"/>
    </row>
    <row r="475" ht="18.0" customHeight="1">
      <c r="O475" s="337"/>
    </row>
    <row r="476" ht="18.0" customHeight="1">
      <c r="O476" s="337"/>
    </row>
    <row r="477" ht="18.0" customHeight="1">
      <c r="O477" s="337"/>
    </row>
    <row r="478" ht="18.0" customHeight="1">
      <c r="O478" s="337"/>
    </row>
    <row r="479" ht="18.0" customHeight="1">
      <c r="O479" s="337"/>
    </row>
    <row r="480" ht="18.0" customHeight="1">
      <c r="O480" s="337"/>
    </row>
    <row r="481" ht="18.0" customHeight="1">
      <c r="O481" s="337"/>
    </row>
    <row r="482" ht="18.0" customHeight="1">
      <c r="O482" s="337"/>
    </row>
    <row r="483" ht="18.0" customHeight="1">
      <c r="O483" s="337"/>
    </row>
    <row r="484" ht="18.0" customHeight="1">
      <c r="O484" s="337"/>
    </row>
    <row r="485" ht="18.0" customHeight="1">
      <c r="O485" s="337"/>
    </row>
    <row r="486" ht="18.0" customHeight="1">
      <c r="O486" s="337"/>
    </row>
    <row r="487" ht="18.0" customHeight="1">
      <c r="O487" s="337"/>
    </row>
    <row r="488" ht="18.0" customHeight="1">
      <c r="O488" s="337"/>
    </row>
    <row r="489" ht="18.0" customHeight="1">
      <c r="O489" s="337"/>
    </row>
    <row r="490" ht="18.0" customHeight="1">
      <c r="O490" s="337"/>
    </row>
    <row r="491" ht="18.0" customHeight="1">
      <c r="O491" s="337"/>
    </row>
    <row r="492" ht="18.0" customHeight="1">
      <c r="O492" s="337"/>
    </row>
    <row r="493" ht="18.0" customHeight="1">
      <c r="O493" s="337"/>
    </row>
    <row r="494" ht="18.0" customHeight="1">
      <c r="O494" s="337"/>
    </row>
    <row r="495" ht="18.0" customHeight="1">
      <c r="O495" s="337"/>
    </row>
    <row r="496" ht="18.0" customHeight="1">
      <c r="O496" s="337"/>
    </row>
    <row r="497" ht="18.0" customHeight="1">
      <c r="O497" s="337"/>
    </row>
    <row r="498" ht="18.0" customHeight="1">
      <c r="O498" s="337"/>
    </row>
    <row r="499" ht="18.0" customHeight="1">
      <c r="O499" s="337"/>
    </row>
    <row r="500" ht="18.0" customHeight="1">
      <c r="O500" s="337"/>
    </row>
    <row r="501" ht="18.0" customHeight="1">
      <c r="O501" s="337"/>
    </row>
    <row r="502" ht="18.0" customHeight="1">
      <c r="O502" s="337"/>
    </row>
    <row r="503" ht="18.0" customHeight="1">
      <c r="O503" s="337"/>
    </row>
    <row r="504" ht="18.0" customHeight="1">
      <c r="O504" s="337"/>
    </row>
    <row r="505" ht="18.0" customHeight="1">
      <c r="O505" s="337"/>
    </row>
    <row r="506" ht="18.0" customHeight="1">
      <c r="O506" s="337"/>
    </row>
    <row r="507" ht="18.0" customHeight="1">
      <c r="O507" s="337"/>
    </row>
    <row r="508" ht="18.0" customHeight="1">
      <c r="O508" s="337"/>
    </row>
    <row r="509" ht="18.0" customHeight="1">
      <c r="O509" s="337"/>
    </row>
    <row r="510" ht="18.0" customHeight="1">
      <c r="O510" s="337"/>
    </row>
    <row r="511" ht="18.0" customHeight="1">
      <c r="O511" s="337"/>
    </row>
    <row r="512" ht="18.0" customHeight="1">
      <c r="O512" s="337"/>
    </row>
    <row r="513" ht="18.0" customHeight="1">
      <c r="O513" s="337"/>
    </row>
    <row r="514" ht="18.0" customHeight="1">
      <c r="O514" s="337"/>
    </row>
    <row r="515" ht="18.0" customHeight="1">
      <c r="O515" s="337"/>
    </row>
    <row r="516" ht="18.0" customHeight="1">
      <c r="O516" s="337"/>
    </row>
    <row r="517" ht="18.0" customHeight="1">
      <c r="O517" s="337"/>
    </row>
    <row r="518" ht="18.0" customHeight="1">
      <c r="O518" s="337"/>
    </row>
    <row r="519" ht="18.0" customHeight="1">
      <c r="O519" s="337"/>
    </row>
    <row r="520" ht="18.0" customHeight="1">
      <c r="O520" s="337"/>
    </row>
    <row r="521" ht="18.0" customHeight="1">
      <c r="O521" s="337"/>
    </row>
    <row r="522" ht="18.0" customHeight="1">
      <c r="O522" s="337"/>
    </row>
    <row r="523" ht="18.0" customHeight="1">
      <c r="O523" s="337"/>
    </row>
    <row r="524" ht="18.0" customHeight="1">
      <c r="O524" s="337"/>
    </row>
    <row r="525" ht="18.0" customHeight="1">
      <c r="O525" s="337"/>
    </row>
    <row r="526" ht="18.0" customHeight="1">
      <c r="O526" s="337"/>
    </row>
    <row r="527" ht="18.0" customHeight="1">
      <c r="O527" s="337"/>
    </row>
    <row r="528" ht="18.0" customHeight="1">
      <c r="O528" s="337"/>
    </row>
    <row r="529" ht="18.0" customHeight="1">
      <c r="O529" s="337"/>
    </row>
    <row r="530" ht="18.0" customHeight="1">
      <c r="O530" s="337"/>
    </row>
    <row r="531" ht="18.0" customHeight="1">
      <c r="O531" s="337"/>
    </row>
    <row r="532" ht="18.0" customHeight="1">
      <c r="O532" s="337"/>
    </row>
    <row r="533" ht="18.0" customHeight="1">
      <c r="O533" s="337"/>
    </row>
    <row r="534" ht="18.0" customHeight="1">
      <c r="O534" s="337"/>
    </row>
    <row r="535" ht="18.0" customHeight="1">
      <c r="O535" s="337"/>
    </row>
    <row r="536" ht="18.0" customHeight="1">
      <c r="O536" s="337"/>
    </row>
    <row r="537" ht="18.0" customHeight="1">
      <c r="O537" s="337"/>
    </row>
    <row r="538" ht="18.0" customHeight="1">
      <c r="O538" s="337"/>
    </row>
    <row r="539" ht="18.0" customHeight="1">
      <c r="O539" s="337"/>
    </row>
    <row r="540" ht="18.0" customHeight="1">
      <c r="O540" s="337"/>
    </row>
    <row r="541" ht="18.0" customHeight="1">
      <c r="O541" s="337"/>
    </row>
    <row r="542" ht="18.0" customHeight="1">
      <c r="O542" s="337"/>
    </row>
    <row r="543" ht="18.0" customHeight="1">
      <c r="O543" s="337"/>
    </row>
    <row r="544" ht="18.0" customHeight="1">
      <c r="O544" s="337"/>
    </row>
    <row r="545" ht="18.0" customHeight="1">
      <c r="O545" s="337"/>
    </row>
    <row r="546" ht="18.0" customHeight="1">
      <c r="O546" s="337"/>
    </row>
    <row r="547" ht="18.0" customHeight="1">
      <c r="O547" s="337"/>
    </row>
    <row r="548" ht="18.0" customHeight="1">
      <c r="O548" s="337"/>
    </row>
    <row r="549" ht="18.0" customHeight="1">
      <c r="O549" s="337"/>
    </row>
    <row r="550" ht="18.0" customHeight="1">
      <c r="O550" s="337"/>
    </row>
    <row r="551" ht="18.0" customHeight="1">
      <c r="O551" s="337"/>
    </row>
    <row r="552" ht="18.0" customHeight="1">
      <c r="O552" s="337"/>
    </row>
    <row r="553" ht="18.0" customHeight="1">
      <c r="O553" s="337"/>
    </row>
    <row r="554" ht="18.0" customHeight="1">
      <c r="O554" s="337"/>
    </row>
    <row r="555" ht="18.0" customHeight="1">
      <c r="O555" s="337"/>
    </row>
    <row r="556" ht="18.0" customHeight="1">
      <c r="O556" s="337"/>
    </row>
    <row r="557" ht="18.0" customHeight="1">
      <c r="O557" s="337"/>
    </row>
    <row r="558" ht="18.0" customHeight="1">
      <c r="O558" s="337"/>
    </row>
    <row r="559" ht="18.0" customHeight="1">
      <c r="O559" s="337"/>
    </row>
    <row r="560" ht="18.0" customHeight="1">
      <c r="O560" s="337"/>
    </row>
    <row r="561" ht="18.0" customHeight="1">
      <c r="O561" s="337"/>
    </row>
    <row r="562" ht="18.0" customHeight="1">
      <c r="O562" s="337"/>
    </row>
    <row r="563" ht="18.0" customHeight="1">
      <c r="O563" s="337"/>
    </row>
    <row r="564" ht="18.0" customHeight="1">
      <c r="O564" s="337"/>
    </row>
    <row r="565" ht="18.0" customHeight="1">
      <c r="O565" s="337"/>
    </row>
    <row r="566" ht="18.0" customHeight="1">
      <c r="O566" s="337"/>
    </row>
    <row r="567" ht="18.0" customHeight="1">
      <c r="O567" s="337"/>
    </row>
    <row r="568" ht="18.0" customHeight="1">
      <c r="O568" s="337"/>
    </row>
    <row r="569" ht="18.0" customHeight="1">
      <c r="O569" s="337"/>
    </row>
    <row r="570" ht="18.0" customHeight="1">
      <c r="O570" s="337"/>
    </row>
    <row r="571" ht="18.0" customHeight="1">
      <c r="O571" s="337"/>
    </row>
    <row r="572" ht="18.0" customHeight="1">
      <c r="O572" s="337"/>
    </row>
    <row r="573" ht="18.0" customHeight="1">
      <c r="O573" s="337"/>
    </row>
    <row r="574" ht="18.0" customHeight="1">
      <c r="O574" s="337"/>
    </row>
    <row r="575" ht="18.0" customHeight="1">
      <c r="O575" s="337"/>
    </row>
    <row r="576" ht="18.0" customHeight="1">
      <c r="O576" s="337"/>
    </row>
    <row r="577" ht="18.0" customHeight="1">
      <c r="O577" s="337"/>
    </row>
    <row r="578" ht="18.0" customHeight="1">
      <c r="O578" s="337"/>
    </row>
    <row r="579" ht="18.0" customHeight="1">
      <c r="O579" s="337"/>
    </row>
    <row r="580" ht="18.0" customHeight="1">
      <c r="O580" s="337"/>
    </row>
    <row r="581" ht="18.0" customHeight="1">
      <c r="O581" s="337"/>
    </row>
    <row r="582" ht="18.0" customHeight="1">
      <c r="O582" s="337"/>
    </row>
    <row r="583" ht="18.0" customHeight="1">
      <c r="O583" s="337"/>
    </row>
    <row r="584" ht="18.0" customHeight="1">
      <c r="O584" s="337"/>
    </row>
    <row r="585" ht="18.0" customHeight="1">
      <c r="O585" s="337"/>
    </row>
    <row r="586" ht="18.0" customHeight="1">
      <c r="O586" s="337"/>
    </row>
    <row r="587" ht="18.0" customHeight="1">
      <c r="O587" s="337"/>
    </row>
    <row r="588" ht="18.0" customHeight="1">
      <c r="O588" s="337"/>
    </row>
    <row r="589" ht="18.0" customHeight="1">
      <c r="O589" s="337"/>
    </row>
    <row r="590" ht="18.0" customHeight="1">
      <c r="O590" s="337"/>
    </row>
    <row r="591" ht="18.0" customHeight="1">
      <c r="O591" s="337"/>
    </row>
    <row r="592" ht="18.0" customHeight="1">
      <c r="O592" s="337"/>
    </row>
    <row r="593" ht="18.0" customHeight="1">
      <c r="O593" s="337"/>
    </row>
    <row r="594" ht="18.0" customHeight="1">
      <c r="O594" s="337"/>
    </row>
    <row r="595" ht="18.0" customHeight="1">
      <c r="O595" s="337"/>
    </row>
    <row r="596" ht="18.0" customHeight="1">
      <c r="O596" s="337"/>
    </row>
    <row r="597" ht="18.0" customHeight="1">
      <c r="O597" s="337"/>
    </row>
    <row r="598" ht="18.0" customHeight="1">
      <c r="O598" s="337"/>
    </row>
    <row r="599" ht="18.0" customHeight="1">
      <c r="O599" s="337"/>
    </row>
    <row r="600" ht="18.0" customHeight="1">
      <c r="O600" s="337"/>
    </row>
    <row r="601" ht="18.0" customHeight="1">
      <c r="O601" s="337"/>
    </row>
    <row r="602" ht="18.0" customHeight="1">
      <c r="O602" s="337"/>
    </row>
    <row r="603" ht="18.0" customHeight="1">
      <c r="O603" s="337"/>
    </row>
    <row r="604" ht="18.0" customHeight="1">
      <c r="O604" s="337"/>
    </row>
    <row r="605" ht="18.0" customHeight="1">
      <c r="O605" s="337"/>
    </row>
    <row r="606" ht="18.0" customHeight="1">
      <c r="O606" s="337"/>
    </row>
    <row r="607" ht="18.0" customHeight="1">
      <c r="O607" s="337"/>
    </row>
    <row r="608" ht="18.0" customHeight="1">
      <c r="O608" s="337"/>
    </row>
    <row r="609" ht="18.0" customHeight="1">
      <c r="O609" s="337"/>
    </row>
    <row r="610" ht="18.0" customHeight="1">
      <c r="O610" s="337"/>
    </row>
    <row r="611" ht="18.0" customHeight="1">
      <c r="O611" s="337"/>
    </row>
    <row r="612" ht="18.0" customHeight="1">
      <c r="O612" s="337"/>
    </row>
    <row r="613" ht="18.0" customHeight="1">
      <c r="O613" s="337"/>
    </row>
    <row r="614" ht="18.0" customHeight="1">
      <c r="O614" s="337"/>
    </row>
    <row r="615" ht="18.0" customHeight="1">
      <c r="O615" s="337"/>
    </row>
    <row r="616" ht="18.0" customHeight="1">
      <c r="O616" s="337"/>
    </row>
    <row r="617" ht="18.0" customHeight="1">
      <c r="O617" s="337"/>
    </row>
    <row r="618" ht="18.0" customHeight="1">
      <c r="O618" s="337"/>
    </row>
    <row r="619" ht="18.0" customHeight="1">
      <c r="O619" s="337"/>
    </row>
    <row r="620" ht="18.0" customHeight="1">
      <c r="O620" s="337"/>
    </row>
    <row r="621" ht="18.0" customHeight="1">
      <c r="O621" s="337"/>
    </row>
    <row r="622" ht="18.0" customHeight="1">
      <c r="O622" s="337"/>
    </row>
    <row r="623" ht="18.0" customHeight="1">
      <c r="O623" s="337"/>
    </row>
    <row r="624" ht="18.0" customHeight="1">
      <c r="O624" s="337"/>
    </row>
    <row r="625" ht="18.0" customHeight="1">
      <c r="O625" s="337"/>
    </row>
    <row r="626" ht="18.0" customHeight="1">
      <c r="O626" s="337"/>
    </row>
    <row r="627" ht="18.0" customHeight="1">
      <c r="O627" s="337"/>
    </row>
    <row r="628" ht="18.0" customHeight="1">
      <c r="O628" s="337"/>
    </row>
    <row r="629" ht="18.0" customHeight="1">
      <c r="O629" s="337"/>
    </row>
    <row r="630" ht="18.0" customHeight="1">
      <c r="O630" s="337"/>
    </row>
    <row r="631" ht="18.0" customHeight="1">
      <c r="O631" s="337"/>
    </row>
    <row r="632" ht="18.0" customHeight="1">
      <c r="O632" s="337"/>
    </row>
    <row r="633" ht="18.0" customHeight="1">
      <c r="O633" s="337"/>
    </row>
    <row r="634" ht="18.0" customHeight="1">
      <c r="O634" s="337"/>
    </row>
    <row r="635" ht="18.0" customHeight="1">
      <c r="O635" s="337"/>
    </row>
    <row r="636" ht="18.0" customHeight="1">
      <c r="O636" s="337"/>
    </row>
    <row r="637" ht="18.0" customHeight="1">
      <c r="O637" s="337"/>
    </row>
    <row r="638" ht="18.0" customHeight="1">
      <c r="O638" s="337"/>
    </row>
    <row r="639" ht="18.0" customHeight="1">
      <c r="O639" s="337"/>
    </row>
    <row r="640" ht="18.0" customHeight="1">
      <c r="O640" s="337"/>
    </row>
    <row r="641" ht="18.0" customHeight="1">
      <c r="O641" s="337"/>
    </row>
    <row r="642" ht="18.0" customHeight="1">
      <c r="O642" s="337"/>
    </row>
    <row r="643" ht="18.0" customHeight="1">
      <c r="O643" s="337"/>
    </row>
    <row r="644" ht="18.0" customHeight="1">
      <c r="O644" s="337"/>
    </row>
    <row r="645" ht="18.0" customHeight="1">
      <c r="O645" s="337"/>
    </row>
    <row r="646" ht="18.0" customHeight="1">
      <c r="O646" s="337"/>
    </row>
    <row r="647" ht="18.0" customHeight="1">
      <c r="O647" s="337"/>
    </row>
    <row r="648" ht="18.0" customHeight="1">
      <c r="O648" s="337"/>
    </row>
    <row r="649" ht="18.0" customHeight="1">
      <c r="O649" s="337"/>
    </row>
    <row r="650" ht="18.0" customHeight="1">
      <c r="O650" s="337"/>
    </row>
    <row r="651" ht="18.0" customHeight="1">
      <c r="O651" s="337"/>
    </row>
    <row r="652" ht="18.0" customHeight="1">
      <c r="O652" s="337"/>
    </row>
    <row r="653" ht="18.0" customHeight="1">
      <c r="O653" s="337"/>
    </row>
    <row r="654" ht="18.0" customHeight="1">
      <c r="O654" s="337"/>
    </row>
    <row r="655" ht="18.0" customHeight="1">
      <c r="O655" s="337"/>
    </row>
    <row r="656" ht="18.0" customHeight="1">
      <c r="O656" s="337"/>
    </row>
    <row r="657" ht="18.0" customHeight="1">
      <c r="O657" s="337"/>
    </row>
    <row r="658" ht="18.0" customHeight="1">
      <c r="O658" s="337"/>
    </row>
    <row r="659" ht="18.0" customHeight="1">
      <c r="O659" s="337"/>
    </row>
    <row r="660" ht="18.0" customHeight="1">
      <c r="O660" s="337"/>
    </row>
    <row r="661" ht="18.0" customHeight="1">
      <c r="O661" s="337"/>
    </row>
    <row r="662" ht="18.0" customHeight="1">
      <c r="O662" s="337"/>
    </row>
    <row r="663" ht="18.0" customHeight="1">
      <c r="O663" s="337"/>
    </row>
    <row r="664" ht="18.0" customHeight="1">
      <c r="O664" s="337"/>
    </row>
    <row r="665" ht="18.0" customHeight="1">
      <c r="O665" s="337"/>
    </row>
    <row r="666" ht="18.0" customHeight="1">
      <c r="O666" s="337"/>
    </row>
    <row r="667" ht="18.0" customHeight="1">
      <c r="O667" s="337"/>
    </row>
    <row r="668" ht="18.0" customHeight="1">
      <c r="O668" s="337"/>
    </row>
    <row r="669" ht="18.0" customHeight="1">
      <c r="O669" s="337"/>
    </row>
    <row r="670" ht="18.0" customHeight="1">
      <c r="O670" s="337"/>
    </row>
    <row r="671" ht="18.0" customHeight="1">
      <c r="O671" s="337"/>
    </row>
    <row r="672" ht="18.0" customHeight="1">
      <c r="O672" s="337"/>
    </row>
    <row r="673" ht="18.0" customHeight="1">
      <c r="O673" s="337"/>
    </row>
    <row r="674" ht="18.0" customHeight="1">
      <c r="O674" s="337"/>
    </row>
    <row r="675" ht="18.0" customHeight="1">
      <c r="O675" s="337"/>
    </row>
    <row r="676" ht="18.0" customHeight="1">
      <c r="O676" s="337"/>
    </row>
    <row r="677" ht="18.0" customHeight="1">
      <c r="O677" s="337"/>
    </row>
    <row r="678" ht="18.0" customHeight="1">
      <c r="O678" s="337"/>
    </row>
    <row r="679" ht="18.0" customHeight="1">
      <c r="O679" s="337"/>
    </row>
    <row r="680" ht="18.0" customHeight="1">
      <c r="O680" s="337"/>
    </row>
    <row r="681" ht="18.0" customHeight="1">
      <c r="O681" s="337"/>
    </row>
    <row r="682" ht="18.0" customHeight="1">
      <c r="O682" s="337"/>
    </row>
    <row r="683" ht="18.0" customHeight="1">
      <c r="O683" s="337"/>
    </row>
    <row r="684" ht="18.0" customHeight="1">
      <c r="O684" s="337"/>
    </row>
    <row r="685" ht="18.0" customHeight="1">
      <c r="O685" s="337"/>
    </row>
    <row r="686" ht="18.0" customHeight="1">
      <c r="O686" s="337"/>
    </row>
    <row r="687" ht="18.0" customHeight="1">
      <c r="O687" s="337"/>
    </row>
    <row r="688" ht="18.0" customHeight="1">
      <c r="O688" s="337"/>
    </row>
    <row r="689" ht="18.0" customHeight="1">
      <c r="O689" s="337"/>
    </row>
    <row r="690" ht="18.0" customHeight="1">
      <c r="O690" s="337"/>
    </row>
    <row r="691" ht="18.0" customHeight="1">
      <c r="O691" s="337"/>
    </row>
    <row r="692" ht="18.0" customHeight="1">
      <c r="O692" s="337"/>
    </row>
    <row r="693" ht="18.0" customHeight="1">
      <c r="O693" s="337"/>
    </row>
    <row r="694" ht="18.0" customHeight="1">
      <c r="O694" s="337"/>
    </row>
    <row r="695" ht="18.0" customHeight="1">
      <c r="O695" s="337"/>
    </row>
    <row r="696" ht="18.0" customHeight="1">
      <c r="O696" s="337"/>
    </row>
    <row r="697" ht="18.0" customHeight="1">
      <c r="O697" s="337"/>
    </row>
    <row r="698" ht="18.0" customHeight="1">
      <c r="O698" s="337"/>
    </row>
    <row r="699" ht="18.0" customHeight="1">
      <c r="O699" s="337"/>
    </row>
    <row r="700" ht="18.0" customHeight="1">
      <c r="O700" s="337"/>
    </row>
    <row r="701" ht="18.0" customHeight="1">
      <c r="O701" s="337"/>
    </row>
    <row r="702" ht="18.0" customHeight="1">
      <c r="O702" s="337"/>
    </row>
    <row r="703" ht="18.0" customHeight="1">
      <c r="O703" s="337"/>
    </row>
    <row r="704" ht="18.0" customHeight="1">
      <c r="O704" s="337"/>
    </row>
    <row r="705" ht="18.0" customHeight="1">
      <c r="O705" s="337"/>
    </row>
    <row r="706" ht="18.0" customHeight="1">
      <c r="O706" s="337"/>
    </row>
    <row r="707" ht="18.0" customHeight="1">
      <c r="O707" s="337"/>
    </row>
    <row r="708" ht="18.0" customHeight="1">
      <c r="O708" s="337"/>
    </row>
    <row r="709" ht="18.0" customHeight="1">
      <c r="O709" s="337"/>
    </row>
    <row r="710" ht="18.0" customHeight="1">
      <c r="O710" s="337"/>
    </row>
    <row r="711" ht="18.0" customHeight="1">
      <c r="O711" s="337"/>
    </row>
    <row r="712" ht="18.0" customHeight="1">
      <c r="O712" s="337"/>
    </row>
    <row r="713" ht="18.0" customHeight="1">
      <c r="O713" s="337"/>
    </row>
    <row r="714" ht="18.0" customHeight="1">
      <c r="O714" s="337"/>
    </row>
    <row r="715" ht="18.0" customHeight="1">
      <c r="O715" s="337"/>
    </row>
    <row r="716" ht="18.0" customHeight="1">
      <c r="O716" s="337"/>
    </row>
    <row r="717" ht="18.0" customHeight="1">
      <c r="O717" s="337"/>
    </row>
    <row r="718" ht="18.0" customHeight="1">
      <c r="O718" s="337"/>
    </row>
    <row r="719" ht="18.0" customHeight="1">
      <c r="O719" s="337"/>
    </row>
    <row r="720" ht="18.0" customHeight="1">
      <c r="O720" s="337"/>
    </row>
    <row r="721" ht="18.0" customHeight="1">
      <c r="O721" s="337"/>
    </row>
    <row r="722" ht="18.0" customHeight="1">
      <c r="O722" s="337"/>
    </row>
    <row r="723" ht="18.0" customHeight="1">
      <c r="O723" s="337"/>
    </row>
    <row r="724" ht="18.0" customHeight="1">
      <c r="O724" s="337"/>
    </row>
    <row r="725" ht="18.0" customHeight="1">
      <c r="O725" s="337"/>
    </row>
    <row r="726" ht="18.0" customHeight="1">
      <c r="O726" s="337"/>
    </row>
    <row r="727" ht="18.0" customHeight="1">
      <c r="O727" s="337"/>
    </row>
    <row r="728" ht="18.0" customHeight="1">
      <c r="O728" s="337"/>
    </row>
    <row r="729" ht="18.0" customHeight="1">
      <c r="O729" s="337"/>
    </row>
    <row r="730" ht="18.0" customHeight="1">
      <c r="O730" s="337"/>
    </row>
    <row r="731" ht="18.0" customHeight="1">
      <c r="O731" s="337"/>
    </row>
    <row r="732" ht="18.0" customHeight="1">
      <c r="O732" s="337"/>
    </row>
    <row r="733" ht="18.0" customHeight="1">
      <c r="O733" s="337"/>
    </row>
    <row r="734" ht="18.0" customHeight="1">
      <c r="O734" s="337"/>
    </row>
    <row r="735" ht="18.0" customHeight="1">
      <c r="O735" s="337"/>
    </row>
    <row r="736" ht="18.0" customHeight="1">
      <c r="O736" s="337"/>
    </row>
    <row r="737" ht="18.0" customHeight="1">
      <c r="O737" s="337"/>
    </row>
    <row r="738" ht="18.0" customHeight="1">
      <c r="O738" s="337"/>
    </row>
    <row r="739" ht="18.0" customHeight="1">
      <c r="O739" s="337"/>
    </row>
    <row r="740" ht="18.0" customHeight="1">
      <c r="O740" s="337"/>
    </row>
    <row r="741" ht="18.0" customHeight="1">
      <c r="O741" s="337"/>
    </row>
    <row r="742" ht="18.0" customHeight="1">
      <c r="O742" s="337"/>
    </row>
    <row r="743" ht="18.0" customHeight="1">
      <c r="O743" s="337"/>
    </row>
    <row r="744" ht="18.0" customHeight="1">
      <c r="O744" s="337"/>
    </row>
    <row r="745" ht="18.0" customHeight="1">
      <c r="O745" s="337"/>
    </row>
    <row r="746" ht="18.0" customHeight="1">
      <c r="O746" s="337"/>
    </row>
    <row r="747" ht="18.0" customHeight="1">
      <c r="O747" s="337"/>
    </row>
    <row r="748" ht="18.0" customHeight="1">
      <c r="O748" s="337"/>
    </row>
    <row r="749" ht="18.0" customHeight="1">
      <c r="O749" s="337"/>
    </row>
    <row r="750" ht="18.0" customHeight="1">
      <c r="O750" s="337"/>
    </row>
    <row r="751" ht="18.0" customHeight="1">
      <c r="O751" s="337"/>
    </row>
    <row r="752" ht="18.0" customHeight="1">
      <c r="O752" s="337"/>
    </row>
    <row r="753" ht="18.0" customHeight="1">
      <c r="O753" s="337"/>
    </row>
    <row r="754" ht="18.0" customHeight="1">
      <c r="O754" s="337"/>
    </row>
    <row r="755" ht="18.0" customHeight="1">
      <c r="O755" s="337"/>
    </row>
    <row r="756" ht="18.0" customHeight="1">
      <c r="O756" s="337"/>
    </row>
    <row r="757" ht="18.0" customHeight="1">
      <c r="O757" s="337"/>
    </row>
    <row r="758" ht="18.0" customHeight="1">
      <c r="O758" s="337"/>
    </row>
    <row r="759" ht="18.0" customHeight="1">
      <c r="O759" s="337"/>
    </row>
    <row r="760" ht="18.0" customHeight="1">
      <c r="O760" s="337"/>
    </row>
    <row r="761" ht="18.0" customHeight="1">
      <c r="O761" s="337"/>
    </row>
    <row r="762" ht="18.0" customHeight="1">
      <c r="O762" s="337"/>
    </row>
    <row r="763" ht="18.0" customHeight="1">
      <c r="O763" s="337"/>
    </row>
    <row r="764" ht="18.0" customHeight="1">
      <c r="O764" s="337"/>
    </row>
    <row r="765" ht="18.0" customHeight="1">
      <c r="O765" s="337"/>
    </row>
    <row r="766" ht="18.0" customHeight="1">
      <c r="O766" s="337"/>
    </row>
    <row r="767" ht="18.0" customHeight="1">
      <c r="O767" s="337"/>
    </row>
    <row r="768" ht="18.0" customHeight="1">
      <c r="O768" s="337"/>
    </row>
    <row r="769" ht="18.0" customHeight="1">
      <c r="O769" s="337"/>
    </row>
    <row r="770" ht="18.0" customHeight="1">
      <c r="O770" s="337"/>
    </row>
    <row r="771" ht="18.0" customHeight="1">
      <c r="O771" s="337"/>
    </row>
    <row r="772" ht="18.0" customHeight="1">
      <c r="O772" s="337"/>
    </row>
    <row r="773" ht="18.0" customHeight="1">
      <c r="O773" s="337"/>
    </row>
    <row r="774" ht="18.0" customHeight="1">
      <c r="O774" s="337"/>
    </row>
    <row r="775" ht="18.0" customHeight="1">
      <c r="O775" s="337"/>
    </row>
    <row r="776" ht="18.0" customHeight="1">
      <c r="O776" s="337"/>
    </row>
    <row r="777" ht="18.0" customHeight="1">
      <c r="O777" s="337"/>
    </row>
    <row r="778" ht="18.0" customHeight="1">
      <c r="O778" s="337"/>
    </row>
    <row r="779" ht="18.0" customHeight="1">
      <c r="O779" s="337"/>
    </row>
    <row r="780" ht="18.0" customHeight="1">
      <c r="O780" s="337"/>
    </row>
    <row r="781" ht="18.0" customHeight="1">
      <c r="O781" s="337"/>
    </row>
    <row r="782" ht="18.0" customHeight="1">
      <c r="O782" s="337"/>
    </row>
    <row r="783" ht="18.0" customHeight="1">
      <c r="O783" s="337"/>
    </row>
    <row r="784" ht="18.0" customHeight="1">
      <c r="O784" s="337"/>
    </row>
    <row r="785" ht="18.0" customHeight="1">
      <c r="O785" s="337"/>
    </row>
    <row r="786" ht="18.0" customHeight="1">
      <c r="O786" s="337"/>
    </row>
    <row r="787" ht="18.0" customHeight="1">
      <c r="O787" s="337"/>
    </row>
    <row r="788" ht="18.0" customHeight="1">
      <c r="O788" s="337"/>
    </row>
    <row r="789" ht="18.0" customHeight="1">
      <c r="O789" s="337"/>
    </row>
    <row r="790" ht="18.0" customHeight="1">
      <c r="O790" s="337"/>
    </row>
    <row r="791" ht="18.0" customHeight="1">
      <c r="O791" s="337"/>
    </row>
    <row r="792" ht="18.0" customHeight="1">
      <c r="O792" s="337"/>
    </row>
    <row r="793" ht="18.0" customHeight="1">
      <c r="O793" s="337"/>
    </row>
    <row r="794" ht="18.0" customHeight="1">
      <c r="O794" s="337"/>
    </row>
    <row r="795" ht="18.0" customHeight="1">
      <c r="O795" s="337"/>
    </row>
    <row r="796" ht="18.0" customHeight="1">
      <c r="O796" s="337"/>
    </row>
    <row r="797" ht="18.0" customHeight="1">
      <c r="O797" s="337"/>
    </row>
    <row r="798" ht="18.0" customHeight="1">
      <c r="O798" s="337"/>
    </row>
    <row r="799" ht="18.0" customHeight="1">
      <c r="O799" s="337"/>
    </row>
    <row r="800" ht="18.0" customHeight="1">
      <c r="O800" s="337"/>
    </row>
    <row r="801" ht="18.0" customHeight="1">
      <c r="O801" s="337"/>
    </row>
    <row r="802" ht="18.0" customHeight="1">
      <c r="O802" s="337"/>
    </row>
    <row r="803" ht="18.0" customHeight="1">
      <c r="O803" s="337"/>
    </row>
    <row r="804" ht="18.0" customHeight="1">
      <c r="O804" s="337"/>
    </row>
    <row r="805" ht="18.0" customHeight="1">
      <c r="O805" s="337"/>
    </row>
    <row r="806" ht="18.0" customHeight="1">
      <c r="O806" s="337"/>
    </row>
    <row r="807" ht="18.0" customHeight="1">
      <c r="O807" s="337"/>
    </row>
    <row r="808" ht="18.0" customHeight="1">
      <c r="O808" s="337"/>
    </row>
    <row r="809" ht="18.0" customHeight="1">
      <c r="O809" s="337"/>
    </row>
    <row r="810" ht="18.0" customHeight="1">
      <c r="O810" s="337"/>
    </row>
    <row r="811" ht="18.0" customHeight="1">
      <c r="O811" s="337"/>
    </row>
    <row r="812" ht="18.0" customHeight="1">
      <c r="O812" s="337"/>
    </row>
    <row r="813" ht="18.0" customHeight="1">
      <c r="O813" s="337"/>
    </row>
    <row r="814" ht="18.0" customHeight="1">
      <c r="O814" s="337"/>
    </row>
    <row r="815" ht="18.0" customHeight="1">
      <c r="O815" s="337"/>
    </row>
    <row r="816" ht="18.0" customHeight="1">
      <c r="O816" s="337"/>
    </row>
    <row r="817" ht="18.0" customHeight="1">
      <c r="O817" s="337"/>
    </row>
    <row r="818" ht="18.0" customHeight="1">
      <c r="O818" s="337"/>
    </row>
    <row r="819" ht="18.0" customHeight="1">
      <c r="O819" s="337"/>
    </row>
    <row r="820" ht="18.0" customHeight="1">
      <c r="O820" s="337"/>
    </row>
    <row r="821" ht="18.0" customHeight="1">
      <c r="O821" s="337"/>
    </row>
    <row r="822" ht="18.0" customHeight="1">
      <c r="O822" s="337"/>
    </row>
    <row r="823" ht="18.0" customHeight="1">
      <c r="O823" s="337"/>
    </row>
    <row r="824" ht="18.0" customHeight="1">
      <c r="O824" s="337"/>
    </row>
    <row r="825" ht="18.0" customHeight="1">
      <c r="O825" s="337"/>
    </row>
    <row r="826" ht="18.0" customHeight="1">
      <c r="O826" s="337"/>
    </row>
    <row r="827" ht="18.0" customHeight="1">
      <c r="O827" s="337"/>
    </row>
    <row r="828" ht="18.0" customHeight="1">
      <c r="O828" s="337"/>
    </row>
    <row r="829" ht="18.0" customHeight="1">
      <c r="O829" s="337"/>
    </row>
    <row r="830" ht="18.0" customHeight="1">
      <c r="O830" s="337"/>
    </row>
    <row r="831" ht="18.0" customHeight="1">
      <c r="O831" s="337"/>
    </row>
    <row r="832" ht="18.0" customHeight="1">
      <c r="O832" s="337"/>
    </row>
    <row r="833" ht="18.0" customHeight="1">
      <c r="O833" s="337"/>
    </row>
    <row r="834" ht="18.0" customHeight="1">
      <c r="O834" s="337"/>
    </row>
    <row r="835" ht="18.0" customHeight="1">
      <c r="O835" s="337"/>
    </row>
    <row r="836" ht="18.0" customHeight="1">
      <c r="O836" s="337"/>
    </row>
    <row r="837" ht="18.0" customHeight="1">
      <c r="O837" s="337"/>
    </row>
    <row r="838" ht="18.0" customHeight="1">
      <c r="O838" s="337"/>
    </row>
    <row r="839" ht="18.0" customHeight="1">
      <c r="O839" s="337"/>
    </row>
    <row r="840" ht="18.0" customHeight="1">
      <c r="O840" s="337"/>
    </row>
    <row r="841" ht="18.0" customHeight="1">
      <c r="O841" s="337"/>
    </row>
    <row r="842" ht="18.0" customHeight="1">
      <c r="O842" s="337"/>
    </row>
    <row r="843" ht="18.0" customHeight="1">
      <c r="O843" s="337"/>
    </row>
    <row r="844" ht="18.0" customHeight="1">
      <c r="O844" s="337"/>
    </row>
    <row r="845" ht="18.0" customHeight="1">
      <c r="O845" s="337"/>
    </row>
    <row r="846" ht="18.0" customHeight="1">
      <c r="O846" s="337"/>
    </row>
    <row r="847" ht="18.0" customHeight="1">
      <c r="O847" s="337"/>
    </row>
    <row r="848" ht="18.0" customHeight="1">
      <c r="O848" s="337"/>
    </row>
    <row r="849" ht="18.0" customHeight="1">
      <c r="O849" s="337"/>
    </row>
    <row r="850" ht="18.0" customHeight="1">
      <c r="O850" s="337"/>
    </row>
    <row r="851" ht="18.0" customHeight="1">
      <c r="O851" s="337"/>
    </row>
    <row r="852" ht="18.0" customHeight="1">
      <c r="O852" s="337"/>
    </row>
    <row r="853" ht="18.0" customHeight="1">
      <c r="O853" s="337"/>
    </row>
    <row r="854" ht="18.0" customHeight="1">
      <c r="O854" s="337"/>
    </row>
    <row r="855" ht="18.0" customHeight="1">
      <c r="O855" s="337"/>
    </row>
    <row r="856" ht="18.0" customHeight="1">
      <c r="O856" s="337"/>
    </row>
    <row r="857" ht="18.0" customHeight="1">
      <c r="O857" s="337"/>
    </row>
    <row r="858" ht="18.0" customHeight="1">
      <c r="O858" s="337"/>
    </row>
    <row r="859" ht="18.0" customHeight="1">
      <c r="O859" s="337"/>
    </row>
    <row r="860" ht="18.0" customHeight="1">
      <c r="O860" s="337"/>
    </row>
    <row r="861" ht="18.0" customHeight="1">
      <c r="O861" s="337"/>
    </row>
    <row r="862" ht="18.0" customHeight="1">
      <c r="O862" s="337"/>
    </row>
    <row r="863" ht="18.0" customHeight="1">
      <c r="O863" s="337"/>
    </row>
    <row r="864" ht="18.0" customHeight="1">
      <c r="O864" s="337"/>
    </row>
    <row r="865" ht="18.0" customHeight="1">
      <c r="O865" s="337"/>
    </row>
    <row r="866" ht="18.0" customHeight="1">
      <c r="O866" s="337"/>
    </row>
    <row r="867" ht="18.0" customHeight="1">
      <c r="O867" s="337"/>
    </row>
    <row r="868" ht="18.0" customHeight="1">
      <c r="O868" s="337"/>
    </row>
    <row r="869" ht="18.0" customHeight="1">
      <c r="O869" s="337"/>
    </row>
    <row r="870" ht="18.0" customHeight="1">
      <c r="O870" s="337"/>
    </row>
    <row r="871" ht="18.0" customHeight="1">
      <c r="O871" s="337"/>
    </row>
    <row r="872" ht="18.0" customHeight="1">
      <c r="O872" s="337"/>
    </row>
    <row r="873" ht="18.0" customHeight="1">
      <c r="O873" s="337"/>
    </row>
    <row r="874" ht="18.0" customHeight="1">
      <c r="O874" s="337"/>
    </row>
    <row r="875" ht="18.0" customHeight="1">
      <c r="O875" s="337"/>
    </row>
    <row r="876" ht="18.0" customHeight="1">
      <c r="O876" s="337"/>
    </row>
    <row r="877" ht="18.0" customHeight="1">
      <c r="O877" s="337"/>
    </row>
    <row r="878" ht="18.0" customHeight="1">
      <c r="O878" s="337"/>
    </row>
    <row r="879" ht="18.0" customHeight="1">
      <c r="O879" s="337"/>
    </row>
    <row r="880" ht="18.0" customHeight="1">
      <c r="O880" s="337"/>
    </row>
    <row r="881" ht="18.0" customHeight="1">
      <c r="O881" s="337"/>
    </row>
    <row r="882" ht="18.0" customHeight="1">
      <c r="O882" s="337"/>
    </row>
    <row r="883" ht="18.0" customHeight="1">
      <c r="O883" s="337"/>
    </row>
    <row r="884" ht="18.0" customHeight="1">
      <c r="O884" s="337"/>
    </row>
    <row r="885" ht="18.0" customHeight="1">
      <c r="O885" s="337"/>
    </row>
    <row r="886" ht="18.0" customHeight="1">
      <c r="O886" s="337"/>
    </row>
    <row r="887" ht="18.0" customHeight="1">
      <c r="O887" s="337"/>
    </row>
    <row r="888" ht="18.0" customHeight="1">
      <c r="O888" s="337"/>
    </row>
    <row r="889" ht="18.0" customHeight="1">
      <c r="O889" s="337"/>
    </row>
    <row r="890" ht="18.0" customHeight="1">
      <c r="O890" s="337"/>
    </row>
    <row r="891" ht="18.0" customHeight="1">
      <c r="O891" s="337"/>
    </row>
    <row r="892" ht="18.0" customHeight="1">
      <c r="O892" s="337"/>
    </row>
    <row r="893" ht="18.0" customHeight="1">
      <c r="O893" s="337"/>
    </row>
    <row r="894" ht="18.0" customHeight="1">
      <c r="O894" s="337"/>
    </row>
    <row r="895" ht="18.0" customHeight="1">
      <c r="O895" s="337"/>
    </row>
    <row r="896" ht="18.0" customHeight="1">
      <c r="O896" s="337"/>
    </row>
    <row r="897" ht="18.0" customHeight="1">
      <c r="O897" s="337"/>
    </row>
    <row r="898" ht="18.0" customHeight="1">
      <c r="O898" s="337"/>
    </row>
    <row r="899" ht="18.0" customHeight="1">
      <c r="O899" s="337"/>
    </row>
    <row r="900" ht="18.0" customHeight="1">
      <c r="O900" s="337"/>
    </row>
    <row r="901" ht="18.0" customHeight="1">
      <c r="O901" s="337"/>
    </row>
    <row r="902" ht="18.0" customHeight="1">
      <c r="O902" s="337"/>
    </row>
    <row r="903" ht="18.0" customHeight="1">
      <c r="O903" s="337"/>
    </row>
    <row r="904" ht="18.0" customHeight="1">
      <c r="O904" s="337"/>
    </row>
    <row r="905" ht="18.0" customHeight="1">
      <c r="O905" s="337"/>
    </row>
    <row r="906" ht="18.0" customHeight="1">
      <c r="O906" s="337"/>
    </row>
    <row r="907" ht="18.0" customHeight="1">
      <c r="O907" s="337"/>
    </row>
    <row r="908" ht="18.0" customHeight="1">
      <c r="O908" s="337"/>
    </row>
    <row r="909" ht="18.0" customHeight="1">
      <c r="O909" s="337"/>
    </row>
    <row r="910" ht="18.0" customHeight="1">
      <c r="O910" s="337"/>
    </row>
    <row r="911" ht="18.0" customHeight="1">
      <c r="O911" s="337"/>
    </row>
    <row r="912" ht="18.0" customHeight="1">
      <c r="O912" s="337"/>
    </row>
    <row r="913" ht="18.0" customHeight="1">
      <c r="O913" s="337"/>
    </row>
    <row r="914" ht="18.0" customHeight="1">
      <c r="O914" s="337"/>
    </row>
    <row r="915" ht="18.0" customHeight="1">
      <c r="O915" s="337"/>
    </row>
    <row r="916" ht="18.0" customHeight="1">
      <c r="O916" s="337"/>
    </row>
    <row r="917" ht="18.0" customHeight="1">
      <c r="O917" s="337"/>
    </row>
    <row r="918" ht="18.0" customHeight="1">
      <c r="O918" s="337"/>
    </row>
    <row r="919" ht="18.0" customHeight="1">
      <c r="O919" s="337"/>
    </row>
    <row r="920" ht="18.0" customHeight="1">
      <c r="O920" s="337"/>
    </row>
    <row r="921" ht="18.0" customHeight="1">
      <c r="O921" s="337"/>
    </row>
    <row r="922" ht="18.0" customHeight="1">
      <c r="O922" s="337"/>
    </row>
    <row r="923" ht="18.0" customHeight="1">
      <c r="O923" s="337"/>
    </row>
    <row r="924" ht="18.0" customHeight="1">
      <c r="O924" s="337"/>
    </row>
    <row r="925" ht="18.0" customHeight="1">
      <c r="O925" s="337"/>
    </row>
    <row r="926" ht="18.0" customHeight="1">
      <c r="O926" s="337"/>
    </row>
    <row r="927" ht="18.0" customHeight="1">
      <c r="O927" s="337"/>
    </row>
    <row r="928" ht="18.0" customHeight="1">
      <c r="O928" s="337"/>
    </row>
    <row r="929" ht="18.0" customHeight="1">
      <c r="O929" s="337"/>
    </row>
    <row r="930" ht="18.0" customHeight="1">
      <c r="O930" s="337"/>
    </row>
    <row r="931" ht="18.0" customHeight="1">
      <c r="O931" s="337"/>
    </row>
    <row r="932" ht="18.0" customHeight="1">
      <c r="O932" s="337"/>
    </row>
    <row r="933" ht="18.0" customHeight="1">
      <c r="O933" s="337"/>
    </row>
    <row r="934" ht="18.0" customHeight="1">
      <c r="O934" s="337"/>
    </row>
    <row r="935" ht="18.0" customHeight="1">
      <c r="O935" s="337"/>
    </row>
    <row r="936" ht="18.0" customHeight="1">
      <c r="O936" s="337"/>
    </row>
    <row r="937" ht="18.0" customHeight="1">
      <c r="O937" s="337"/>
    </row>
    <row r="938" ht="18.0" customHeight="1">
      <c r="O938" s="337"/>
    </row>
    <row r="939" ht="18.0" customHeight="1">
      <c r="O939" s="337"/>
    </row>
    <row r="940" ht="18.0" customHeight="1">
      <c r="O940" s="337"/>
    </row>
    <row r="941" ht="18.0" customHeight="1">
      <c r="O941" s="337"/>
    </row>
    <row r="942" ht="18.0" customHeight="1">
      <c r="O942" s="337"/>
    </row>
    <row r="943" ht="18.0" customHeight="1">
      <c r="O943" s="337"/>
    </row>
    <row r="944" ht="18.0" customHeight="1">
      <c r="O944" s="337"/>
    </row>
    <row r="945" ht="18.0" customHeight="1">
      <c r="O945" s="337"/>
    </row>
    <row r="946" ht="18.0" customHeight="1">
      <c r="O946" s="337"/>
    </row>
    <row r="947" ht="18.0" customHeight="1">
      <c r="O947" s="337"/>
    </row>
    <row r="948" ht="18.0" customHeight="1">
      <c r="O948" s="337"/>
    </row>
    <row r="949" ht="18.0" customHeight="1">
      <c r="O949" s="337"/>
    </row>
    <row r="950" ht="18.0" customHeight="1">
      <c r="O950" s="337"/>
    </row>
    <row r="951" ht="18.0" customHeight="1">
      <c r="O951" s="337"/>
    </row>
    <row r="952" ht="18.0" customHeight="1">
      <c r="O952" s="337"/>
    </row>
    <row r="953" ht="18.0" customHeight="1">
      <c r="O953" s="337"/>
    </row>
    <row r="954" ht="18.0" customHeight="1">
      <c r="O954" s="337"/>
    </row>
    <row r="955" ht="18.0" customHeight="1">
      <c r="O955" s="337"/>
    </row>
    <row r="956" ht="18.0" customHeight="1">
      <c r="O956" s="337"/>
    </row>
    <row r="957" ht="18.0" customHeight="1">
      <c r="O957" s="337"/>
    </row>
    <row r="958" ht="18.0" customHeight="1">
      <c r="O958" s="337"/>
    </row>
    <row r="959" ht="18.0" customHeight="1">
      <c r="O959" s="337"/>
    </row>
    <row r="960" ht="18.0" customHeight="1">
      <c r="O960" s="337"/>
    </row>
    <row r="961" ht="18.0" customHeight="1">
      <c r="O961" s="337"/>
    </row>
    <row r="962" ht="18.0" customHeight="1">
      <c r="O962" s="337"/>
    </row>
    <row r="963" ht="18.0" customHeight="1">
      <c r="O963" s="337"/>
    </row>
    <row r="964" ht="18.0" customHeight="1">
      <c r="O964" s="337"/>
    </row>
    <row r="965" ht="18.0" customHeight="1">
      <c r="O965" s="337"/>
    </row>
    <row r="966" ht="18.0" customHeight="1">
      <c r="O966" s="337"/>
    </row>
    <row r="967" ht="18.0" customHeight="1">
      <c r="O967" s="337"/>
    </row>
    <row r="968" ht="18.0" customHeight="1">
      <c r="O968" s="337"/>
    </row>
    <row r="969" ht="18.0" customHeight="1">
      <c r="O969" s="337"/>
    </row>
    <row r="970" ht="18.0" customHeight="1">
      <c r="O970" s="337"/>
    </row>
    <row r="971" ht="18.0" customHeight="1">
      <c r="O971" s="337"/>
    </row>
    <row r="972" ht="18.0" customHeight="1">
      <c r="O972" s="337"/>
    </row>
    <row r="973" ht="18.0" customHeight="1">
      <c r="O973" s="337"/>
    </row>
    <row r="974" ht="18.0" customHeight="1">
      <c r="O974" s="337"/>
    </row>
    <row r="975" ht="18.0" customHeight="1">
      <c r="O975" s="337"/>
    </row>
    <row r="976" ht="18.0" customHeight="1">
      <c r="O976" s="337"/>
    </row>
    <row r="977" ht="18.0" customHeight="1">
      <c r="O977" s="337"/>
    </row>
    <row r="978" ht="18.0" customHeight="1">
      <c r="O978" s="337"/>
    </row>
    <row r="979" ht="18.0" customHeight="1">
      <c r="O979" s="337"/>
    </row>
    <row r="980" ht="18.0" customHeight="1">
      <c r="O980" s="337"/>
    </row>
    <row r="981" ht="18.0" customHeight="1">
      <c r="O981" s="337"/>
    </row>
    <row r="982" ht="18.0" customHeight="1">
      <c r="O982" s="337"/>
    </row>
    <row r="983" ht="18.0" customHeight="1">
      <c r="O983" s="337"/>
    </row>
    <row r="984" ht="18.0" customHeight="1">
      <c r="O984" s="337"/>
    </row>
    <row r="985" ht="18.0" customHeight="1">
      <c r="O985" s="337"/>
    </row>
    <row r="986" ht="18.0" customHeight="1">
      <c r="O986" s="337"/>
    </row>
    <row r="987" ht="18.0" customHeight="1">
      <c r="O987" s="337"/>
    </row>
    <row r="988" ht="18.0" customHeight="1">
      <c r="O988" s="337"/>
    </row>
    <row r="989" ht="18.0" customHeight="1">
      <c r="O989" s="337"/>
    </row>
    <row r="990" ht="18.0" customHeight="1">
      <c r="O990" s="337"/>
    </row>
    <row r="991" ht="18.0" customHeight="1">
      <c r="O991" s="337"/>
    </row>
    <row r="992" ht="18.0" customHeight="1">
      <c r="O992" s="337"/>
    </row>
    <row r="993" ht="18.0" customHeight="1">
      <c r="O993" s="337"/>
    </row>
    <row r="994" ht="18.0" customHeight="1">
      <c r="O994" s="337"/>
    </row>
    <row r="995" ht="18.0" customHeight="1">
      <c r="O995" s="337"/>
    </row>
    <row r="996" ht="18.0" customHeight="1">
      <c r="O996" s="337"/>
    </row>
    <row r="997" ht="18.0" customHeight="1">
      <c r="O997" s="337"/>
    </row>
    <row r="998" ht="18.0" customHeight="1">
      <c r="O998" s="337"/>
    </row>
    <row r="999" ht="18.0" customHeight="1">
      <c r="O999" s="337"/>
    </row>
    <row r="1000" ht="18.0" customHeight="1">
      <c r="O1000" s="337"/>
    </row>
  </sheetData>
  <conditionalFormatting sqref="M41:M60">
    <cfRule type="colorScale" priority="1">
      <colorScale>
        <cfvo type="min"/>
        <cfvo type="max"/>
        <color rgb="FF63BE7B"/>
        <color rgb="FFFCFCFF"/>
      </colorScale>
    </cfRule>
  </conditionalFormatting>
  <conditionalFormatting sqref="O41:O60">
    <cfRule type="colorScale" priority="2">
      <colorScale>
        <cfvo type="min"/>
        <cfvo type="max"/>
        <color rgb="FFFCFCFF"/>
        <color rgb="FF63BE7B"/>
      </colorScale>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0"/>
    <col customWidth="1" min="2" max="6" width="10.56"/>
    <col customWidth="1" min="7" max="7" width="18.0"/>
    <col customWidth="1" min="8" max="32" width="10.56"/>
  </cols>
  <sheetData>
    <row r="1" ht="15.75" customHeight="1">
      <c r="A1" s="904" t="s">
        <v>637</v>
      </c>
      <c r="B1" s="905"/>
      <c r="C1" s="905"/>
      <c r="D1" s="905"/>
      <c r="E1" s="906"/>
      <c r="F1" s="907"/>
      <c r="W1" s="908" t="str">
        <f>Settings!A3</f>
        <v>DECOUPES</v>
      </c>
      <c r="X1" s="909" t="str">
        <f>Settings!A4</f>
        <v>POPEYES</v>
      </c>
      <c r="Y1" s="908" t="str">
        <f>Settings!A5</f>
        <v>GREEN</v>
      </c>
      <c r="Z1" s="909" t="str">
        <f>Settings!A6</f>
        <v>SAVAGES</v>
      </c>
      <c r="AA1" s="908" t="str">
        <f>Settings!A12</f>
        <v>KINGS</v>
      </c>
      <c r="AB1" s="909" t="str">
        <f>Settings!A7</f>
        <v>CHAMPS</v>
      </c>
      <c r="AC1" s="908" t="str">
        <f>Settings!A8</f>
        <v>METAMOOKDAWGS</v>
      </c>
      <c r="AD1" s="909" t="str">
        <f>Settings!A9</f>
        <v>YARDIES</v>
      </c>
      <c r="AE1" s="908" t="str">
        <f>Settings!A10</f>
        <v>MUTTS</v>
      </c>
      <c r="AF1" s="910" t="str">
        <f>Settings!A11</f>
        <v>EAGLES</v>
      </c>
    </row>
    <row r="2" ht="15.75" customHeight="1">
      <c r="A2" s="911" t="s">
        <v>169</v>
      </c>
      <c r="B2" s="912" t="s">
        <v>42</v>
      </c>
      <c r="C2" s="912" t="s">
        <v>638</v>
      </c>
      <c r="D2" s="912" t="s">
        <v>639</v>
      </c>
      <c r="E2" s="913" t="s">
        <v>640</v>
      </c>
      <c r="F2" s="914" t="s">
        <v>641</v>
      </c>
      <c r="G2" s="915" t="s">
        <v>642</v>
      </c>
      <c r="V2" s="13" t="s">
        <v>48</v>
      </c>
      <c r="W2" s="18" t="s">
        <v>495</v>
      </c>
      <c r="X2" s="18" t="s">
        <v>497</v>
      </c>
      <c r="Y2" s="18" t="s">
        <v>493</v>
      </c>
      <c r="Z2" s="18" t="s">
        <v>494</v>
      </c>
      <c r="AA2" s="18" t="s">
        <v>537</v>
      </c>
      <c r="AB2" s="18" t="s">
        <v>478</v>
      </c>
      <c r="AC2" s="13" t="s">
        <v>538</v>
      </c>
      <c r="AD2" s="18" t="s">
        <v>477</v>
      </c>
      <c r="AE2" s="13" t="s">
        <v>578</v>
      </c>
      <c r="AF2" s="18" t="s">
        <v>536</v>
      </c>
    </row>
    <row r="3" ht="15.75" customHeight="1">
      <c r="A3" s="908" t="str">
        <f>Settings!A3</f>
        <v>DECOUPES</v>
      </c>
      <c r="B3" s="916">
        <f t="shared" ref="B3:B12" si="1">_xlfn.RANK.EQ(E3,$E$3:$E$12,0)+(COUNTIFS($E$3:$E$12,E3,$F$3:$F$12,"&gt;"&amp;F3))</f>
        <v>2</v>
      </c>
      <c r="C3" s="917">
        <f>'Weekly Scores'!BI2</f>
        <v>9</v>
      </c>
      <c r="D3" s="917">
        <f>'Weekly Scores'!BJ2</f>
        <v>5</v>
      </c>
      <c r="E3" s="918">
        <f t="shared" ref="E3:E12" si="2">(C3/(C3+D3))</f>
        <v>0.6428571429</v>
      </c>
      <c r="F3" s="919">
        <f>'League Stats'!$AN$13</f>
        <v>164.4371429</v>
      </c>
      <c r="G3" s="224">
        <f>AVERAGE('Entry Sheet'!R18:W18)</f>
        <v>153.79</v>
      </c>
      <c r="H3" s="13">
        <f t="shared" ref="H3:H12" si="3">RANK(G3,$G$3:$G$12,0)</f>
        <v>8</v>
      </c>
      <c r="V3" s="13" t="s">
        <v>51</v>
      </c>
      <c r="W3" s="18" t="s">
        <v>477</v>
      </c>
      <c r="X3" s="18" t="s">
        <v>478</v>
      </c>
      <c r="Y3" s="18" t="s">
        <v>497</v>
      </c>
      <c r="Z3" s="18" t="s">
        <v>495</v>
      </c>
      <c r="AA3" s="18" t="s">
        <v>493</v>
      </c>
      <c r="AB3" s="18" t="s">
        <v>538</v>
      </c>
      <c r="AC3" s="18" t="s">
        <v>537</v>
      </c>
      <c r="AD3" s="18" t="s">
        <v>578</v>
      </c>
      <c r="AE3" s="18" t="s">
        <v>536</v>
      </c>
      <c r="AF3" s="18" t="s">
        <v>494</v>
      </c>
    </row>
    <row r="4" ht="15.75" customHeight="1">
      <c r="A4" s="909" t="str">
        <f>Settings!A4</f>
        <v>POPEYES</v>
      </c>
      <c r="B4" s="916">
        <f t="shared" si="1"/>
        <v>5</v>
      </c>
      <c r="C4" s="917">
        <f>'Weekly Scores'!BI3</f>
        <v>7</v>
      </c>
      <c r="D4" s="917">
        <f>'Weekly Scores'!BJ3</f>
        <v>7</v>
      </c>
      <c r="E4" s="920">
        <f t="shared" si="2"/>
        <v>0.5</v>
      </c>
      <c r="F4" s="921">
        <f>'League Stats'!$AP$13</f>
        <v>161.3557143</v>
      </c>
      <c r="G4" s="224">
        <f>AVERAGE('Entry Sheet'!R39:W39)</f>
        <v>178.03</v>
      </c>
      <c r="H4" s="13">
        <f t="shared" si="3"/>
        <v>2</v>
      </c>
      <c r="V4" s="13" t="s">
        <v>55</v>
      </c>
      <c r="W4" s="18" t="s">
        <v>536</v>
      </c>
      <c r="X4" s="18" t="s">
        <v>538</v>
      </c>
      <c r="Y4" s="18" t="s">
        <v>537</v>
      </c>
      <c r="Z4" s="18" t="s">
        <v>478</v>
      </c>
      <c r="AA4" s="18" t="s">
        <v>578</v>
      </c>
      <c r="AB4" s="18" t="s">
        <v>493</v>
      </c>
      <c r="AC4" s="18" t="s">
        <v>477</v>
      </c>
      <c r="AD4" s="18" t="s">
        <v>495</v>
      </c>
      <c r="AE4" s="18" t="s">
        <v>494</v>
      </c>
      <c r="AF4" s="18" t="s">
        <v>497</v>
      </c>
    </row>
    <row r="5" ht="15.75" customHeight="1">
      <c r="A5" s="908" t="str">
        <f>Settings!A5</f>
        <v>GREEN</v>
      </c>
      <c r="B5" s="916">
        <f t="shared" si="1"/>
        <v>1</v>
      </c>
      <c r="C5" s="917">
        <f>'Weekly Scores'!BI4</f>
        <v>12</v>
      </c>
      <c r="D5" s="917">
        <f>'Weekly Scores'!BJ4</f>
        <v>2</v>
      </c>
      <c r="E5" s="918">
        <f t="shared" si="2"/>
        <v>0.8571428571</v>
      </c>
      <c r="F5" s="919">
        <f>'League Stats'!$AR$13</f>
        <v>179.8614286</v>
      </c>
      <c r="G5" s="224">
        <f>AVERAGE('Entry Sheet'!R60:W60)</f>
        <v>181.1</v>
      </c>
      <c r="H5" s="13">
        <f t="shared" si="3"/>
        <v>1</v>
      </c>
      <c r="V5" s="13" t="s">
        <v>58</v>
      </c>
      <c r="W5" s="18" t="s">
        <v>537</v>
      </c>
      <c r="X5" s="18" t="s">
        <v>536</v>
      </c>
      <c r="Y5" s="18" t="s">
        <v>478</v>
      </c>
      <c r="Z5" s="18" t="s">
        <v>578</v>
      </c>
      <c r="AA5" s="18" t="s">
        <v>538</v>
      </c>
      <c r="AB5" s="18" t="s">
        <v>494</v>
      </c>
      <c r="AC5" s="18" t="s">
        <v>497</v>
      </c>
      <c r="AD5" s="18" t="s">
        <v>493</v>
      </c>
      <c r="AE5" s="18" t="s">
        <v>477</v>
      </c>
      <c r="AF5" s="18" t="s">
        <v>495</v>
      </c>
    </row>
    <row r="6" ht="15.75" customHeight="1">
      <c r="A6" s="909" t="str">
        <f>Settings!A6</f>
        <v>SAVAGES</v>
      </c>
      <c r="B6" s="916">
        <f t="shared" si="1"/>
        <v>9</v>
      </c>
      <c r="C6" s="917">
        <f>'Weekly Scores'!BI5</f>
        <v>5</v>
      </c>
      <c r="D6" s="917">
        <f>'Weekly Scores'!BJ5</f>
        <v>9</v>
      </c>
      <c r="E6" s="920">
        <f t="shared" si="2"/>
        <v>0.3571428571</v>
      </c>
      <c r="F6" s="921">
        <f>'League Stats'!$AT$13</f>
        <v>150.6807143</v>
      </c>
      <c r="G6" s="224">
        <f>AVERAGE('Entry Sheet'!R81:W81)</f>
        <v>159.9466667</v>
      </c>
      <c r="H6" s="13">
        <f t="shared" si="3"/>
        <v>5</v>
      </c>
      <c r="V6" s="13" t="s">
        <v>60</v>
      </c>
      <c r="W6" s="13" t="s">
        <v>477</v>
      </c>
      <c r="X6" s="18" t="s">
        <v>497</v>
      </c>
      <c r="Y6" s="18" t="s">
        <v>536</v>
      </c>
      <c r="Z6" s="18" t="s">
        <v>494</v>
      </c>
      <c r="AA6" s="13" t="s">
        <v>493</v>
      </c>
      <c r="AB6" s="18" t="s">
        <v>495</v>
      </c>
      <c r="AC6" s="18" t="s">
        <v>537</v>
      </c>
      <c r="AD6" s="18" t="s">
        <v>578</v>
      </c>
      <c r="AE6" s="18" t="s">
        <v>478</v>
      </c>
      <c r="AF6" s="18" t="s">
        <v>538</v>
      </c>
    </row>
    <row r="7" ht="15.75" customHeight="1">
      <c r="A7" s="908" t="str">
        <f>Settings!A12</f>
        <v>KINGS</v>
      </c>
      <c r="B7" s="916">
        <f t="shared" si="1"/>
        <v>8</v>
      </c>
      <c r="C7" s="917">
        <f>'Weekly Scores'!BI6</f>
        <v>5</v>
      </c>
      <c r="D7" s="917">
        <f>'Weekly Scores'!BJ6</f>
        <v>9</v>
      </c>
      <c r="E7" s="918">
        <f t="shared" si="2"/>
        <v>0.3571428571</v>
      </c>
      <c r="F7" s="919">
        <f>'League Stats'!$AV$13</f>
        <v>151.7435714</v>
      </c>
      <c r="G7" s="224">
        <f>AVERAGE('Entry Sheet'!R207:W207)</f>
        <v>132.78</v>
      </c>
      <c r="H7" s="13">
        <f t="shared" si="3"/>
        <v>10</v>
      </c>
      <c r="V7" s="13" t="s">
        <v>62</v>
      </c>
      <c r="W7" s="18" t="s">
        <v>494</v>
      </c>
      <c r="X7" s="18" t="s">
        <v>493</v>
      </c>
      <c r="Y7" s="18" t="s">
        <v>477</v>
      </c>
      <c r="Z7" s="18" t="s">
        <v>578</v>
      </c>
      <c r="AA7" s="18" t="s">
        <v>495</v>
      </c>
      <c r="AB7" s="18" t="s">
        <v>478</v>
      </c>
      <c r="AC7" s="18" t="s">
        <v>497</v>
      </c>
      <c r="AD7" s="18" t="s">
        <v>538</v>
      </c>
      <c r="AE7" s="18" t="s">
        <v>537</v>
      </c>
      <c r="AF7" s="18" t="s">
        <v>536</v>
      </c>
    </row>
    <row r="8" ht="15.75" customHeight="1">
      <c r="A8" s="909" t="str">
        <f>Settings!A7</f>
        <v>CHAMPS</v>
      </c>
      <c r="B8" s="916">
        <f t="shared" si="1"/>
        <v>6</v>
      </c>
      <c r="C8" s="917">
        <f>'Weekly Scores'!BI7</f>
        <v>6</v>
      </c>
      <c r="D8" s="917">
        <f>'Weekly Scores'!BJ7</f>
        <v>8</v>
      </c>
      <c r="E8" s="920">
        <f t="shared" si="2"/>
        <v>0.4285714286</v>
      </c>
      <c r="F8" s="921">
        <f>'League Stats'!$AN$27</f>
        <v>165.0264286</v>
      </c>
      <c r="G8" s="224">
        <f>AVERAGE('Entry Sheet'!R102:W102)</f>
        <v>163.2633333</v>
      </c>
      <c r="H8" s="13">
        <f t="shared" si="3"/>
        <v>3</v>
      </c>
      <c r="V8" s="13" t="s">
        <v>64</v>
      </c>
      <c r="W8" s="18" t="s">
        <v>538</v>
      </c>
      <c r="X8" s="18" t="s">
        <v>477</v>
      </c>
      <c r="Y8" s="18" t="s">
        <v>497</v>
      </c>
      <c r="Z8" s="18" t="s">
        <v>495</v>
      </c>
      <c r="AA8" s="18" t="s">
        <v>494</v>
      </c>
      <c r="AB8" s="18" t="s">
        <v>578</v>
      </c>
      <c r="AC8" s="18" t="s">
        <v>536</v>
      </c>
      <c r="AD8" s="18" t="s">
        <v>478</v>
      </c>
      <c r="AE8" s="18" t="s">
        <v>493</v>
      </c>
      <c r="AF8" s="18" t="s">
        <v>537</v>
      </c>
    </row>
    <row r="9" ht="15.75" customHeight="1">
      <c r="A9" s="908" t="str">
        <f>Settings!A8</f>
        <v>METAMOOKDAWGS</v>
      </c>
      <c r="B9" s="916">
        <f t="shared" si="1"/>
        <v>10</v>
      </c>
      <c r="C9" s="917">
        <f>'Weekly Scores'!BI8</f>
        <v>4</v>
      </c>
      <c r="D9" s="917">
        <f>'Weekly Scores'!BJ8</f>
        <v>10</v>
      </c>
      <c r="E9" s="918">
        <f t="shared" si="2"/>
        <v>0.2857142857</v>
      </c>
      <c r="F9" s="919">
        <f>'League Stats'!$AP$27</f>
        <v>162.46</v>
      </c>
      <c r="G9" s="224">
        <f>AVERAGE('Entry Sheet'!R123:W123)</f>
        <v>157.0533333</v>
      </c>
      <c r="H9" s="13">
        <f t="shared" si="3"/>
        <v>7</v>
      </c>
      <c r="V9" s="922" t="s">
        <v>66</v>
      </c>
      <c r="W9" s="923" t="s">
        <v>495</v>
      </c>
      <c r="X9" s="923" t="s">
        <v>478</v>
      </c>
      <c r="Y9" s="923" t="s">
        <v>493</v>
      </c>
      <c r="Z9" s="923" t="s">
        <v>477</v>
      </c>
      <c r="AA9" s="923" t="s">
        <v>497</v>
      </c>
      <c r="AB9" s="923" t="s">
        <v>537</v>
      </c>
      <c r="AC9" s="923" t="s">
        <v>538</v>
      </c>
      <c r="AD9" s="923" t="s">
        <v>536</v>
      </c>
      <c r="AE9" s="923" t="s">
        <v>578</v>
      </c>
      <c r="AF9" s="923" t="s">
        <v>494</v>
      </c>
    </row>
    <row r="10" ht="15.75" customHeight="1">
      <c r="A10" s="909" t="str">
        <f>Settings!A9</f>
        <v>YARDIES</v>
      </c>
      <c r="B10" s="916">
        <f t="shared" si="1"/>
        <v>3</v>
      </c>
      <c r="C10" s="917">
        <f>'Weekly Scores'!BI9</f>
        <v>9</v>
      </c>
      <c r="D10" s="917">
        <f>'Weekly Scores'!BJ9</f>
        <v>5</v>
      </c>
      <c r="E10" s="920">
        <f t="shared" si="2"/>
        <v>0.6428571429</v>
      </c>
      <c r="F10" s="921">
        <f>'League Stats'!$AR$27</f>
        <v>159.7657143</v>
      </c>
      <c r="G10" s="224">
        <f>AVERAGE('Entry Sheet'!R144:W144)</f>
        <v>161.3166667</v>
      </c>
      <c r="H10" s="13">
        <f t="shared" si="3"/>
        <v>4</v>
      </c>
      <c r="V10" s="922" t="s">
        <v>68</v>
      </c>
      <c r="W10" s="923" t="s">
        <v>497</v>
      </c>
      <c r="X10" s="923" t="s">
        <v>495</v>
      </c>
      <c r="Y10" s="923" t="s">
        <v>494</v>
      </c>
      <c r="Z10" s="923" t="s">
        <v>493</v>
      </c>
      <c r="AA10" s="923" t="s">
        <v>537</v>
      </c>
      <c r="AB10" s="923" t="s">
        <v>538</v>
      </c>
      <c r="AC10" s="923" t="s">
        <v>478</v>
      </c>
      <c r="AD10" s="923" t="s">
        <v>477</v>
      </c>
      <c r="AE10" s="923" t="s">
        <v>536</v>
      </c>
      <c r="AF10" s="923" t="s">
        <v>578</v>
      </c>
    </row>
    <row r="11" ht="15.75" customHeight="1">
      <c r="A11" s="908" t="str">
        <f>Settings!A10</f>
        <v>MUTTS</v>
      </c>
      <c r="B11" s="916">
        <f t="shared" si="1"/>
        <v>4</v>
      </c>
      <c r="C11" s="917">
        <f>'Weekly Scores'!BI10</f>
        <v>7</v>
      </c>
      <c r="D11" s="917">
        <f>'Weekly Scores'!BJ10</f>
        <v>7</v>
      </c>
      <c r="E11" s="918">
        <f t="shared" si="2"/>
        <v>0.5</v>
      </c>
      <c r="F11" s="919">
        <f>'League Stats'!$AT$27</f>
        <v>164.0414286</v>
      </c>
      <c r="G11" s="224">
        <f>AVERAGE('Entry Sheet'!R165:W165)</f>
        <v>141.13</v>
      </c>
      <c r="H11" s="13">
        <f t="shared" si="3"/>
        <v>9</v>
      </c>
      <c r="V11" s="922" t="s">
        <v>70</v>
      </c>
      <c r="W11" s="923" t="s">
        <v>478</v>
      </c>
      <c r="X11" s="923" t="s">
        <v>537</v>
      </c>
      <c r="Y11" s="923" t="s">
        <v>578</v>
      </c>
      <c r="Z11" s="923" t="s">
        <v>538</v>
      </c>
      <c r="AA11" s="923" t="s">
        <v>536</v>
      </c>
      <c r="AB11" s="923" t="s">
        <v>477</v>
      </c>
      <c r="AC11" s="923" t="s">
        <v>495</v>
      </c>
      <c r="AD11" s="923" t="s">
        <v>494</v>
      </c>
      <c r="AE11" s="923" t="s">
        <v>497</v>
      </c>
      <c r="AF11" s="923" t="s">
        <v>493</v>
      </c>
    </row>
    <row r="12" ht="15.75" customHeight="1">
      <c r="A12" s="910" t="str">
        <f>Settings!A11</f>
        <v>EAGLES</v>
      </c>
      <c r="B12" s="916">
        <f t="shared" si="1"/>
        <v>7</v>
      </c>
      <c r="C12" s="917">
        <f>'Weekly Scores'!BI11</f>
        <v>6</v>
      </c>
      <c r="D12" s="917">
        <f>'Weekly Scores'!BJ11</f>
        <v>8</v>
      </c>
      <c r="E12" s="924">
        <f t="shared" si="2"/>
        <v>0.4285714286</v>
      </c>
      <c r="F12" s="925">
        <f>'League Stats'!$AV$27</f>
        <v>155.3964286</v>
      </c>
      <c r="G12" s="224">
        <f>AVERAGE('Entry Sheet'!R186:W186)</f>
        <v>158.9333333</v>
      </c>
      <c r="H12" s="13">
        <f t="shared" si="3"/>
        <v>6</v>
      </c>
      <c r="V12" s="922" t="s">
        <v>73</v>
      </c>
      <c r="W12" s="923" t="s">
        <v>538</v>
      </c>
      <c r="X12" s="923" t="s">
        <v>578</v>
      </c>
      <c r="Y12" s="923" t="s">
        <v>536</v>
      </c>
      <c r="Z12" s="923" t="s">
        <v>537</v>
      </c>
      <c r="AA12" s="923" t="s">
        <v>478</v>
      </c>
      <c r="AB12" s="923" t="s">
        <v>495</v>
      </c>
      <c r="AC12" s="923" t="s">
        <v>494</v>
      </c>
      <c r="AD12" s="923" t="s">
        <v>497</v>
      </c>
      <c r="AE12" s="923" t="s">
        <v>493</v>
      </c>
      <c r="AF12" s="923" t="s">
        <v>477</v>
      </c>
    </row>
    <row r="13" ht="15.75" customHeight="1">
      <c r="V13" s="926" t="s">
        <v>76</v>
      </c>
      <c r="W13" s="927" t="s">
        <v>578</v>
      </c>
      <c r="X13" s="927" t="s">
        <v>495</v>
      </c>
      <c r="Y13" s="927" t="s">
        <v>494</v>
      </c>
      <c r="Z13" s="927" t="s">
        <v>477</v>
      </c>
      <c r="AA13" s="927" t="s">
        <v>497</v>
      </c>
      <c r="AB13" s="927" t="s">
        <v>537</v>
      </c>
      <c r="AC13" s="927" t="s">
        <v>493</v>
      </c>
      <c r="AD13" s="927" t="s">
        <v>536</v>
      </c>
      <c r="AE13" s="927" t="s">
        <v>478</v>
      </c>
      <c r="AF13" s="927" t="s">
        <v>538</v>
      </c>
    </row>
    <row r="14" ht="15.75" customHeight="1">
      <c r="A14" s="928" t="s">
        <v>643</v>
      </c>
      <c r="B14" s="514"/>
      <c r="C14" s="514"/>
      <c r="D14" s="515"/>
      <c r="G14" s="929" t="s">
        <v>644</v>
      </c>
      <c r="H14" s="905"/>
      <c r="I14" s="905"/>
      <c r="J14" s="905"/>
      <c r="K14" s="905"/>
      <c r="L14" s="905"/>
      <c r="M14" s="905"/>
      <c r="N14" s="905"/>
      <c r="O14" s="554"/>
      <c r="Q14" s="314"/>
      <c r="V14" s="926" t="s">
        <v>78</v>
      </c>
      <c r="W14" s="927" t="s">
        <v>497</v>
      </c>
      <c r="X14" s="927" t="s">
        <v>477</v>
      </c>
      <c r="Y14" s="927" t="s">
        <v>538</v>
      </c>
      <c r="Z14" s="927" t="s">
        <v>493</v>
      </c>
      <c r="AA14" s="927" t="s">
        <v>494</v>
      </c>
      <c r="AB14" s="927" t="s">
        <v>578</v>
      </c>
      <c r="AC14" s="927" t="s">
        <v>536</v>
      </c>
      <c r="AD14" s="927" t="s">
        <v>478</v>
      </c>
      <c r="AE14" s="927" t="s">
        <v>495</v>
      </c>
      <c r="AF14" s="927" t="s">
        <v>537</v>
      </c>
    </row>
    <row r="15" ht="15.75" customHeight="1">
      <c r="A15" s="926" t="s">
        <v>7</v>
      </c>
      <c r="B15" s="926" t="s">
        <v>9</v>
      </c>
      <c r="C15" s="926" t="s">
        <v>645</v>
      </c>
      <c r="D15" s="926" t="s">
        <v>646</v>
      </c>
      <c r="G15" s="930" t="s">
        <v>169</v>
      </c>
      <c r="H15" s="931" t="s">
        <v>647</v>
      </c>
      <c r="I15" s="932"/>
      <c r="J15" s="931" t="s">
        <v>648</v>
      </c>
      <c r="K15" s="932"/>
      <c r="L15" s="931" t="s">
        <v>649</v>
      </c>
      <c r="M15" s="932"/>
      <c r="N15" s="931" t="s">
        <v>650</v>
      </c>
      <c r="O15" s="932"/>
      <c r="Q15" s="933"/>
      <c r="R15" s="933"/>
      <c r="S15" s="933"/>
      <c r="T15" s="933"/>
      <c r="V15" s="926" t="s">
        <v>79</v>
      </c>
      <c r="W15" s="927" t="s">
        <v>494</v>
      </c>
      <c r="X15" s="927" t="s">
        <v>493</v>
      </c>
      <c r="Y15" s="927" t="s">
        <v>477</v>
      </c>
      <c r="Z15" s="927" t="s">
        <v>536</v>
      </c>
      <c r="AA15" s="927" t="s">
        <v>495</v>
      </c>
      <c r="AB15" s="927" t="s">
        <v>497</v>
      </c>
      <c r="AC15" s="927" t="s">
        <v>478</v>
      </c>
      <c r="AD15" s="927" t="s">
        <v>538</v>
      </c>
      <c r="AE15" s="927" t="s">
        <v>537</v>
      </c>
      <c r="AF15" s="927" t="s">
        <v>578</v>
      </c>
    </row>
    <row r="16" ht="15.75" customHeight="1">
      <c r="A16" s="13" t="str">
        <f>Settings!H3</f>
        <v>WEEK 1</v>
      </c>
      <c r="B16" s="13" t="str">
        <f>Settings!I3</f>
        <v>GAME 1</v>
      </c>
      <c r="C16" s="13" t="str">
        <f>Settings!J3</f>
        <v>KINGS</v>
      </c>
      <c r="D16" s="13" t="str">
        <f>Settings!K3</f>
        <v>YARDIES</v>
      </c>
      <c r="G16" s="930"/>
      <c r="H16" s="934" t="s">
        <v>651</v>
      </c>
      <c r="I16" s="935" t="s">
        <v>42</v>
      </c>
      <c r="J16" s="934" t="s">
        <v>651</v>
      </c>
      <c r="K16" s="935" t="s">
        <v>42</v>
      </c>
      <c r="L16" s="934" t="s">
        <v>651</v>
      </c>
      <c r="M16" s="935" t="s">
        <v>42</v>
      </c>
      <c r="N16" s="934" t="s">
        <v>651</v>
      </c>
      <c r="O16" s="935" t="s">
        <v>42</v>
      </c>
      <c r="Q16" s="933"/>
      <c r="R16" s="933"/>
      <c r="S16" s="933"/>
      <c r="T16" s="933"/>
    </row>
    <row r="17" ht="15.75" customHeight="1">
      <c r="A17" s="13" t="str">
        <f>Settings!H4</f>
        <v>WEEK 1</v>
      </c>
      <c r="B17" s="13" t="str">
        <f>Settings!I4</f>
        <v>GAME 2</v>
      </c>
      <c r="C17" s="13" t="str">
        <f>Settings!J4</f>
        <v>MUTTS</v>
      </c>
      <c r="D17" s="13" t="str">
        <f>Settings!K4</f>
        <v>METAMOOKDAWGS</v>
      </c>
      <c r="G17" s="696" t="str">
        <f t="shared" ref="G17:G26" si="4">A3</f>
        <v>DECOUPES</v>
      </c>
      <c r="H17" s="936">
        <f t="array" ref="H17">AVERAGE(VLOOKUP(W2:$W8, $A$3:$F$12, 6, FALSE))</f>
        <v>161.9339796</v>
      </c>
      <c r="I17" s="699">
        <f t="shared" ref="I17:I26" si="5">_xlfn.RANK.EQ(H17,$H$17:$H$26,0)</f>
        <v>6</v>
      </c>
      <c r="J17" s="936">
        <f t="array" ref="J17">AVERAGE(VLOOKUP(W9:$W15, $A$3:$F$12, 6, FALSE))</f>
        <v>160.6394898</v>
      </c>
      <c r="K17" s="699">
        <f t="shared" ref="K17:K26" si="6">_xlfn.RANK.EQ(J17,$J$17:$J$26,0)</f>
        <v>7</v>
      </c>
      <c r="L17" s="936">
        <f t="array" ref="L17">AVERAGE(VLOOKUP(W13:$W15, $A$3:$G$12, 7, FALSE))</f>
        <v>165.01</v>
      </c>
      <c r="M17" s="699">
        <f t="shared" ref="M17:M26" si="7">_xlfn.RANK.EQ(L17,$L$17:$L$26,0)</f>
        <v>3</v>
      </c>
      <c r="N17" s="936">
        <f t="array" ref="N17">AVERAGE(VLOOKUP(W2:$W15, $A$3:$F$12, 6, FALSE))</f>
        <v>161.2867347</v>
      </c>
      <c r="O17" s="699">
        <f t="shared" ref="O17:O26" si="8">_xlfn.RANK.EQ(N17,$N$17:$N$26,0)</f>
        <v>5</v>
      </c>
    </row>
    <row r="18" ht="15.75" customHeight="1">
      <c r="A18" s="13" t="str">
        <f>Settings!H5</f>
        <v>WEEK 1</v>
      </c>
      <c r="B18" s="13" t="str">
        <f>Settings!I5</f>
        <v>GAME 3</v>
      </c>
      <c r="C18" s="13" t="str">
        <f>Settings!J5</f>
        <v>EAGLES</v>
      </c>
      <c r="D18" s="13" t="str">
        <f>Settings!K5</f>
        <v>CHAMPS</v>
      </c>
      <c r="G18" s="696" t="str">
        <f t="shared" si="4"/>
        <v>POPEYES</v>
      </c>
      <c r="H18" s="936">
        <f t="array" ref="H18">AVERAGE(VLOOKUP(X2:$X8, $A$3:$F$12, 6, FALSE))</f>
        <v>157.4294898</v>
      </c>
      <c r="I18" s="699">
        <f t="shared" si="5"/>
        <v>8</v>
      </c>
      <c r="J18" s="936">
        <f t="array" ref="J18">AVERAGE(VLOOKUP(X9:$X15, $A$3:$F$12, 6, FALSE))</f>
        <v>164.7893878</v>
      </c>
      <c r="K18" s="699">
        <f t="shared" si="6"/>
        <v>1</v>
      </c>
      <c r="L18" s="936">
        <f t="array" ref="L18">AVERAGE(VLOOKUP(X13:$X15, $A$3:$G$12, 7, FALSE))</f>
        <v>155.89</v>
      </c>
      <c r="M18" s="699">
        <f t="shared" si="7"/>
        <v>6</v>
      </c>
      <c r="N18" s="936">
        <f t="array" ref="N18">AVERAGE(VLOOKUP(X2:$X15, $A$3:$F$12, 6, FALSE))</f>
        <v>161.1094388</v>
      </c>
      <c r="O18" s="699">
        <f t="shared" si="8"/>
        <v>7</v>
      </c>
    </row>
    <row r="19" ht="15.75" customHeight="1">
      <c r="A19" s="13" t="str">
        <f>Settings!H6</f>
        <v>WEEK 1</v>
      </c>
      <c r="B19" s="13" t="str">
        <f>Settings!I6</f>
        <v>GAME 4</v>
      </c>
      <c r="C19" s="13" t="str">
        <f>Settings!J6</f>
        <v>DECOUPES</v>
      </c>
      <c r="D19" s="13" t="str">
        <f>Settings!K6</f>
        <v>GREEN</v>
      </c>
      <c r="G19" s="696" t="str">
        <f t="shared" si="4"/>
        <v>GREEN</v>
      </c>
      <c r="H19" s="936">
        <f t="array" ref="H19">AVERAGE(VLOOKUP(Y2:$Y8, $A$3:$F$12, 6, FALSE))</f>
        <v>156.8186735</v>
      </c>
      <c r="I19" s="699">
        <f t="shared" si="5"/>
        <v>10</v>
      </c>
      <c r="J19" s="936">
        <f t="array" ref="J19">AVERAGE(VLOOKUP(Y9:$Y15, $A$3:$F$12, 6, FALSE))</f>
        <v>161.4885714</v>
      </c>
      <c r="K19" s="699">
        <f t="shared" si="6"/>
        <v>4</v>
      </c>
      <c r="L19" s="936">
        <f t="array" ref="L19">AVERAGE(VLOOKUP(Y13:$Y15, $A$3:$G$12, 7, FALSE))</f>
        <v>150.6466667</v>
      </c>
      <c r="M19" s="699">
        <f t="shared" si="7"/>
        <v>9</v>
      </c>
      <c r="N19" s="936">
        <f t="array" ref="N19">AVERAGE(VLOOKUP(Y2:$Y15, $A$3:$F$12, 6, FALSE))</f>
        <v>159.1536224</v>
      </c>
      <c r="O19" s="699">
        <f t="shared" si="8"/>
        <v>10</v>
      </c>
    </row>
    <row r="20" ht="15.75" customHeight="1">
      <c r="A20" s="13" t="str">
        <f>Settings!H7</f>
        <v>WEEK 1</v>
      </c>
      <c r="B20" s="13" t="str">
        <f>Settings!I7</f>
        <v>GAME 5</v>
      </c>
      <c r="C20" s="13" t="str">
        <f>Settings!J7</f>
        <v>SAVAGES</v>
      </c>
      <c r="D20" s="13" t="str">
        <f>Settings!K7</f>
        <v>POPEYES</v>
      </c>
      <c r="G20" s="696" t="str">
        <f t="shared" si="4"/>
        <v>SAVAGES</v>
      </c>
      <c r="H20" s="936">
        <f t="array" ref="H20">AVERAGE(VLOOKUP(Z2:$Z8, $A$3:$F$12, 6, FALSE))</f>
        <v>166.1072449</v>
      </c>
      <c r="I20" s="699">
        <f t="shared" si="5"/>
        <v>1</v>
      </c>
      <c r="J20" s="936">
        <f t="array" ref="J20">AVERAGE(VLOOKUP(Z9:$Z15, $A$3:$F$12, 6, FALSE))</f>
        <v>160.1707143</v>
      </c>
      <c r="K20" s="699">
        <f t="shared" si="6"/>
        <v>9</v>
      </c>
      <c r="L20" s="936">
        <f t="array" ref="L20">AVERAGE(VLOOKUP(Z13:$Z15, $A$3:$G$12, 7, FALSE))</f>
        <v>149.9444444</v>
      </c>
      <c r="M20" s="699">
        <f t="shared" si="7"/>
        <v>10</v>
      </c>
      <c r="N20" s="936">
        <f t="array" ref="N20">AVERAGE(VLOOKUP(Z2:$Z15, $A$3:$F$12, 6, FALSE))</f>
        <v>163.1389796</v>
      </c>
      <c r="O20" s="699">
        <f t="shared" si="8"/>
        <v>1</v>
      </c>
    </row>
    <row r="21" ht="15.75" customHeight="1">
      <c r="A21" s="13" t="str">
        <f>Settings!H8</f>
        <v>WEEK 2</v>
      </c>
      <c r="B21" s="13" t="str">
        <f>Settings!I8</f>
        <v>GAME 1</v>
      </c>
      <c r="C21" s="13" t="str">
        <f>Settings!J8</f>
        <v>METAMOOKDAWGS</v>
      </c>
      <c r="D21" s="13" t="str">
        <f>Settings!K8</f>
        <v>YARDIES</v>
      </c>
      <c r="G21" s="696" t="str">
        <f t="shared" si="4"/>
        <v>KINGS</v>
      </c>
      <c r="H21" s="936">
        <f t="array" ref="H21">AVERAGE(VLOOKUP(AA2:$AA8, $A$3:$F$12, 6, FALSE))</f>
        <v>165.1940816</v>
      </c>
      <c r="I21" s="699">
        <f t="shared" si="5"/>
        <v>2</v>
      </c>
      <c r="J21" s="936">
        <f t="array" ref="J21">AVERAGE(VLOOKUP(AA9:$AA15, $A$3:$F$12, 6, FALSE))</f>
        <v>160.3953061</v>
      </c>
      <c r="K21" s="699">
        <f t="shared" si="6"/>
        <v>8</v>
      </c>
      <c r="L21" s="936">
        <f t="array" ref="L21">AVERAGE(VLOOKUP(AA13:$AA15, $A$3:$G$12, 7, FALSE))</f>
        <v>173.0255556</v>
      </c>
      <c r="M21" s="699">
        <f t="shared" si="7"/>
        <v>1</v>
      </c>
      <c r="N21" s="936">
        <f t="array" ref="N21">AVERAGE(VLOOKUP(AA2:$AA15, $A$3:$F$12, 6, FALSE))</f>
        <v>162.7946939</v>
      </c>
      <c r="O21" s="699">
        <f t="shared" si="8"/>
        <v>2</v>
      </c>
    </row>
    <row r="22" ht="15.75" customHeight="1">
      <c r="A22" s="13" t="str">
        <f>Settings!H9</f>
        <v>WEEK 2</v>
      </c>
      <c r="B22" s="13" t="str">
        <f>Settings!I9</f>
        <v>GAME 2</v>
      </c>
      <c r="C22" s="13" t="str">
        <f>Settings!J9</f>
        <v>CHAMPS</v>
      </c>
      <c r="D22" s="13" t="str">
        <f>Settings!K9</f>
        <v>MUTTS</v>
      </c>
      <c r="G22" s="696" t="str">
        <f t="shared" si="4"/>
        <v>CHAMPS</v>
      </c>
      <c r="H22" s="936">
        <f t="array" ref="H22">AVERAGE(VLOOKUP(AB2:$AB8, $A$3:$F$12, 6, FALSE))</f>
        <v>163.2783673</v>
      </c>
      <c r="I22" s="699">
        <f t="shared" si="5"/>
        <v>4</v>
      </c>
      <c r="J22" s="936">
        <f t="array" ref="J22">AVERAGE(VLOOKUP(AB9:$AB15, $A$3:$F$12, 6, FALSE))</f>
        <v>161.1883673</v>
      </c>
      <c r="K22" s="699">
        <f t="shared" si="6"/>
        <v>5</v>
      </c>
      <c r="L22" s="936">
        <f t="array" ref="L22">AVERAGE(VLOOKUP(AB13:$AB15, $A$3:$G$12, 7, FALSE))</f>
        <v>159.4388889</v>
      </c>
      <c r="M22" s="699">
        <f t="shared" si="7"/>
        <v>4</v>
      </c>
      <c r="N22" s="936">
        <f t="array" ref="N22">AVERAGE(VLOOKUP(AB2:$AB15, $A$3:$F$12, 6, FALSE))</f>
        <v>162.2333673</v>
      </c>
      <c r="O22" s="699">
        <f t="shared" si="8"/>
        <v>4</v>
      </c>
    </row>
    <row r="23" ht="15.75" customHeight="1">
      <c r="A23" s="13" t="str">
        <f>Settings!H10</f>
        <v>WEEK 2</v>
      </c>
      <c r="B23" s="13" t="str">
        <f>Settings!I10</f>
        <v>GAME 3</v>
      </c>
      <c r="C23" s="13" t="str">
        <f>Settings!J10</f>
        <v>POPEYES</v>
      </c>
      <c r="D23" s="13" t="str">
        <f>Settings!K10</f>
        <v>EAGLES</v>
      </c>
      <c r="G23" s="696" t="str">
        <f t="shared" si="4"/>
        <v>METAMOOKDAWGS</v>
      </c>
      <c r="H23" s="936">
        <f t="array" ref="H23">AVERAGE(VLOOKUP(AC2:$AC8, $A$3:$F$12, 6, FALSE))</f>
        <v>157.3863265</v>
      </c>
      <c r="I23" s="699">
        <f t="shared" si="5"/>
        <v>9</v>
      </c>
      <c r="J23" s="936">
        <f t="array" ref="J23">AVERAGE(VLOOKUP(AC9:$AC15, $A$3:$F$12, 6, FALSE))</f>
        <v>163.645</v>
      </c>
      <c r="K23" s="699">
        <f t="shared" si="6"/>
        <v>2</v>
      </c>
      <c r="L23" s="936">
        <f t="array" ref="L23">AVERAGE(VLOOKUP(AC13:$AC15, $A$3:$G$12, 7, FALSE))</f>
        <v>158.6622222</v>
      </c>
      <c r="M23" s="699">
        <f t="shared" si="7"/>
        <v>5</v>
      </c>
      <c r="N23" s="936">
        <f t="array" ref="N23">AVERAGE(VLOOKUP(AC2:$AC15, $A$3:$F$12, 6, FALSE))</f>
        <v>160.5156633</v>
      </c>
      <c r="O23" s="699">
        <f t="shared" si="8"/>
        <v>9</v>
      </c>
    </row>
    <row r="24" ht="15.75" customHeight="1">
      <c r="A24" s="13" t="str">
        <f>Settings!H11</f>
        <v>WEEK 2</v>
      </c>
      <c r="B24" s="13" t="str">
        <f>Settings!I11</f>
        <v>GAME 4</v>
      </c>
      <c r="C24" s="13" t="str">
        <f>Settings!J11</f>
        <v>KINGS</v>
      </c>
      <c r="D24" s="13" t="str">
        <f>Settings!K11</f>
        <v>DECOUPES</v>
      </c>
      <c r="G24" s="696" t="str">
        <f t="shared" si="4"/>
        <v>YARDIES</v>
      </c>
      <c r="H24" s="936">
        <f t="array" ref="H24">AVERAGE(VLOOKUP(AD2:$AD8, $A$3:$F$12, 6, FALSE))</f>
        <v>162.9142857</v>
      </c>
      <c r="I24" s="699">
        <f t="shared" si="5"/>
        <v>5</v>
      </c>
      <c r="J24" s="936">
        <f t="array" ref="J24">AVERAGE(VLOOKUP(AD9:$AD15, $A$3:$F$12, 6, FALSE))</f>
        <v>159.0386735</v>
      </c>
      <c r="K24" s="699">
        <f t="shared" si="6"/>
        <v>10</v>
      </c>
      <c r="L24" s="936">
        <f t="array" ref="L24">AVERAGE(VLOOKUP(AD13:$AD15, $A$3:$G$12, 7, FALSE))</f>
        <v>154.4422222</v>
      </c>
      <c r="M24" s="699">
        <f t="shared" si="7"/>
        <v>7</v>
      </c>
      <c r="N24" s="936">
        <f t="array" ref="N24">AVERAGE(VLOOKUP(AD2:$AD15, $A$3:$F$12, 6, FALSE))</f>
        <v>160.9764796</v>
      </c>
      <c r="O24" s="699">
        <f t="shared" si="8"/>
        <v>8</v>
      </c>
    </row>
    <row r="25" ht="15.75" customHeight="1">
      <c r="A25" s="13" t="str">
        <f>Settings!H12</f>
        <v>WEEK 2</v>
      </c>
      <c r="B25" s="13" t="str">
        <f>Settings!I12</f>
        <v>GAME 5</v>
      </c>
      <c r="C25" s="13" t="str">
        <f>Settings!J12</f>
        <v>GREEN</v>
      </c>
      <c r="D25" s="13" t="str">
        <f>Settings!K12</f>
        <v>SAVAGES</v>
      </c>
      <c r="G25" s="696" t="str">
        <f t="shared" si="4"/>
        <v>MUTTS</v>
      </c>
      <c r="H25" s="936">
        <f t="array" ref="H25">AVERAGE(VLOOKUP(AE2:$AE8, $A$3:$F$12, 6, FALSE))</f>
        <v>160.0264286</v>
      </c>
      <c r="I25" s="699">
        <f t="shared" si="5"/>
        <v>7</v>
      </c>
      <c r="J25" s="936">
        <f t="array" ref="J25">AVERAGE(VLOOKUP(AE9:$AE15, $A$3:$F$12, 6, FALSE))</f>
        <v>162.5182653</v>
      </c>
      <c r="K25" s="699">
        <f t="shared" si="6"/>
        <v>3</v>
      </c>
      <c r="L25" s="936">
        <f t="array" ref="L25">AVERAGE(VLOOKUP(AE13:$AE15, $A$3:$G$12, 7, FALSE))</f>
        <v>167.1166667</v>
      </c>
      <c r="M25" s="699">
        <f t="shared" si="7"/>
        <v>2</v>
      </c>
      <c r="N25" s="936">
        <f t="array" ref="N25">AVERAGE(VLOOKUP(AE2:$AE15, $A$3:$F$12, 6, FALSE))</f>
        <v>161.2723469</v>
      </c>
      <c r="O25" s="699">
        <f t="shared" si="8"/>
        <v>6</v>
      </c>
    </row>
    <row r="26" ht="15.75" customHeight="1">
      <c r="A26" s="13" t="str">
        <f>Settings!H13</f>
        <v>WEEK 3</v>
      </c>
      <c r="B26" s="13" t="str">
        <f>Settings!I13</f>
        <v>GAME 1</v>
      </c>
      <c r="C26" s="13" t="str">
        <f>Settings!J13</f>
        <v>METAMOOKDAWGS</v>
      </c>
      <c r="D26" s="13" t="str">
        <f>Settings!K13</f>
        <v>KINGS</v>
      </c>
      <c r="G26" s="720" t="str">
        <f t="shared" si="4"/>
        <v>EAGLES</v>
      </c>
      <c r="H26" s="938">
        <f t="array" ref="H26">AVERAGE(VLOOKUP(AF2:$AF8, $A$3:$F$12, 6, FALSE))</f>
        <v>163.6796939</v>
      </c>
      <c r="I26" s="724">
        <f t="shared" si="5"/>
        <v>3</v>
      </c>
      <c r="J26" s="938">
        <f t="array" ref="J26">AVERAGE(VLOOKUP(AF9:$AF15, $A$3:$F$12, 6, FALSE))</f>
        <v>160.8947959</v>
      </c>
      <c r="K26" s="724">
        <f t="shared" si="6"/>
        <v>6</v>
      </c>
      <c r="L26" s="938">
        <f t="array" ref="L26">AVERAGE(VLOOKUP(AF13:$AF15, $A$3:$G$12, 7, FALSE))</f>
        <v>153.1666667</v>
      </c>
      <c r="M26" s="724">
        <f t="shared" si="7"/>
        <v>8</v>
      </c>
      <c r="N26" s="938">
        <f t="array" ref="N26">AVERAGE(VLOOKUP(AF2:$AF15, $A$3:$F$12, 6, FALSE))</f>
        <v>162.2872449</v>
      </c>
      <c r="O26" s="724">
        <f t="shared" si="8"/>
        <v>3</v>
      </c>
    </row>
    <row r="27" ht="15.75" customHeight="1">
      <c r="A27" s="13" t="str">
        <f>Settings!H14</f>
        <v>WEEK 3</v>
      </c>
      <c r="B27" s="13" t="str">
        <f>Settings!I14</f>
        <v>GAME 2</v>
      </c>
      <c r="C27" s="13" t="str">
        <f>Settings!J14</f>
        <v>MUTTS</v>
      </c>
      <c r="D27" s="13" t="str">
        <f>Settings!K14</f>
        <v>POPEYES</v>
      </c>
    </row>
    <row r="28" ht="15.75" customHeight="1">
      <c r="A28" s="13" t="str">
        <f>Settings!H15</f>
        <v>WEEK 3</v>
      </c>
      <c r="B28" s="13" t="str">
        <f>Settings!I15</f>
        <v>GAME 3</v>
      </c>
      <c r="C28" s="13" t="str">
        <f>Settings!J15</f>
        <v>CHAMPS</v>
      </c>
      <c r="D28" s="13" t="str">
        <f>Settings!K15</f>
        <v>DECOUPES</v>
      </c>
    </row>
    <row r="29" ht="15.75" customHeight="1">
      <c r="A29" s="13" t="str">
        <f>Settings!H16</f>
        <v>WEEK 3</v>
      </c>
      <c r="B29" s="13" t="str">
        <f>Settings!I16</f>
        <v>GAME 4</v>
      </c>
      <c r="C29" s="13" t="str">
        <f>Settings!J16</f>
        <v>GREEN</v>
      </c>
      <c r="D29" s="13" t="str">
        <f>Settings!K16</f>
        <v>YARDIES</v>
      </c>
    </row>
    <row r="30" ht="15.75" customHeight="1">
      <c r="A30" s="13" t="str">
        <f>Settings!H17</f>
        <v>WEEK 3</v>
      </c>
      <c r="B30" s="13" t="str">
        <f>Settings!I17</f>
        <v>GAME 5</v>
      </c>
      <c r="C30" s="13" t="str">
        <f>Settings!J17</f>
        <v>SAVAGES</v>
      </c>
      <c r="D30" s="13" t="str">
        <f>Settings!K17</f>
        <v>EAGLES</v>
      </c>
    </row>
    <row r="31" ht="15.75" customHeight="1">
      <c r="A31" s="13" t="str">
        <f>Settings!H18</f>
        <v>WEEK 4</v>
      </c>
      <c r="B31" s="13" t="str">
        <f>Settings!I18</f>
        <v>GAME 1</v>
      </c>
      <c r="C31" s="13" t="str">
        <f>Settings!J18</f>
        <v>KINGS</v>
      </c>
      <c r="D31" s="13" t="str">
        <f>Settings!K18</f>
        <v>MUTTS</v>
      </c>
    </row>
    <row r="32" ht="15.75" customHeight="1">
      <c r="A32" s="13" t="str">
        <f>Settings!H19</f>
        <v>WEEK 4</v>
      </c>
      <c r="B32" s="13" t="str">
        <f>Settings!I19</f>
        <v>GAME 2</v>
      </c>
      <c r="C32" s="13" t="str">
        <f>Settings!J19</f>
        <v>POPEYES</v>
      </c>
      <c r="D32" s="13" t="str">
        <f>Settings!K19</f>
        <v>CHAMPS</v>
      </c>
    </row>
    <row r="33" ht="15.75" customHeight="1">
      <c r="A33" s="13" t="str">
        <f>Settings!H20</f>
        <v>WEEK 4</v>
      </c>
      <c r="B33" s="13" t="str">
        <f>Settings!I20</f>
        <v>GAME 3</v>
      </c>
      <c r="C33" s="13" t="str">
        <f>Settings!J20</f>
        <v>YARDIES</v>
      </c>
      <c r="D33" s="13" t="str">
        <f>Settings!K20</f>
        <v>DECOUPES</v>
      </c>
    </row>
    <row r="34" ht="15.75" customHeight="1">
      <c r="A34" s="13" t="str">
        <f>Settings!H21</f>
        <v>WEEK 4</v>
      </c>
      <c r="B34" s="13" t="str">
        <f>Settings!I21</f>
        <v>GAME 4</v>
      </c>
      <c r="C34" s="13" t="str">
        <f>Settings!J21</f>
        <v>EAGLES</v>
      </c>
      <c r="D34" s="13" t="str">
        <f>Settings!K21</f>
        <v>GREEN</v>
      </c>
    </row>
    <row r="35" ht="15.75" customHeight="1">
      <c r="A35" s="13" t="str">
        <f>Settings!H22</f>
        <v>WEEK 4</v>
      </c>
      <c r="B35" s="13" t="str">
        <f>Settings!I22</f>
        <v>GAME 5</v>
      </c>
      <c r="C35" s="13" t="str">
        <f>Settings!J22</f>
        <v>METAMOOKDAWGS</v>
      </c>
      <c r="D35" s="13" t="str">
        <f>Settings!K22</f>
        <v>SAVAGES</v>
      </c>
    </row>
    <row r="36" ht="15.75" customHeight="1">
      <c r="A36" s="13" t="str">
        <f>Settings!H23</f>
        <v>WEEK 5</v>
      </c>
      <c r="B36" s="13" t="str">
        <f>Settings!I23</f>
        <v>GAME 1</v>
      </c>
      <c r="C36" s="13" t="str">
        <f>Settings!J23</f>
        <v>YARDIES</v>
      </c>
      <c r="D36" s="13" t="str">
        <f>Settings!K23</f>
        <v>METAMOOKDAWGS</v>
      </c>
    </row>
    <row r="37" ht="15.75" customHeight="1">
      <c r="A37" s="13" t="str">
        <f>Settings!H24</f>
        <v>WEEK 5</v>
      </c>
      <c r="B37" s="13" t="str">
        <f>Settings!I24</f>
        <v>GAME 2</v>
      </c>
      <c r="C37" s="13" t="str">
        <f>Settings!J24</f>
        <v>MUTTS</v>
      </c>
      <c r="D37" s="13" t="str">
        <f>Settings!K24</f>
        <v>EAGLES</v>
      </c>
    </row>
    <row r="38" ht="15.75" customHeight="1">
      <c r="A38" s="13" t="str">
        <f>Settings!H25</f>
        <v>WEEK 5</v>
      </c>
      <c r="B38" s="13" t="str">
        <f>Settings!I25</f>
        <v>GAME 3</v>
      </c>
      <c r="C38" s="13" t="str">
        <f>Settings!J25</f>
        <v>DECOUPES</v>
      </c>
      <c r="D38" s="13" t="str">
        <f>Settings!K25</f>
        <v>KINGS</v>
      </c>
    </row>
    <row r="39" ht="15.75" customHeight="1">
      <c r="A39" s="13" t="str">
        <f>Settings!H26</f>
        <v>WEEK 5</v>
      </c>
      <c r="B39" s="13" t="str">
        <f>Settings!I26</f>
        <v>GAME 4</v>
      </c>
      <c r="C39" s="13" t="str">
        <f>Settings!J26</f>
        <v>POPEYES</v>
      </c>
      <c r="D39" s="13" t="str">
        <f>Settings!K26</f>
        <v>SAVAGES</v>
      </c>
    </row>
    <row r="40" ht="15.75" customHeight="1">
      <c r="A40" s="13" t="str">
        <f>Settings!H27</f>
        <v>WEEK 5</v>
      </c>
      <c r="B40" s="13" t="str">
        <f>Settings!I27</f>
        <v>GAME 5</v>
      </c>
      <c r="C40" s="13" t="str">
        <f>Settings!J27</f>
        <v>GREEN</v>
      </c>
      <c r="D40" s="13" t="str">
        <f>Settings!K27</f>
        <v>CHAMPS</v>
      </c>
    </row>
    <row r="41" ht="15.75" customHeight="1">
      <c r="A41" s="13" t="str">
        <f>Settings!H28</f>
        <v>WEEK 6</v>
      </c>
      <c r="B41" s="13" t="str">
        <f>Settings!I28</f>
        <v>GAME 1</v>
      </c>
      <c r="C41" s="13" t="str">
        <f>Settings!J28</f>
        <v>CHAMPS</v>
      </c>
      <c r="D41" s="13" t="str">
        <f>Settings!K28</f>
        <v>EAGLES</v>
      </c>
    </row>
    <row r="42" ht="15.75" customHeight="1">
      <c r="A42" s="13" t="str">
        <f>Settings!H29</f>
        <v>WEEK 6</v>
      </c>
      <c r="B42" s="13" t="str">
        <f>Settings!I29</f>
        <v>GAME 2</v>
      </c>
      <c r="C42" s="13" t="str">
        <f>Settings!J29</f>
        <v>MUTTS</v>
      </c>
      <c r="D42" s="13" t="str">
        <f>Settings!K29</f>
        <v>YARDIES</v>
      </c>
    </row>
    <row r="43" ht="15.75" customHeight="1">
      <c r="A43" s="13" t="str">
        <f>Settings!H30</f>
        <v>WEEK 6</v>
      </c>
      <c r="B43" s="13" t="str">
        <f>Settings!I30</f>
        <v>GAME 3</v>
      </c>
      <c r="C43" s="13" t="str">
        <f>Settings!J30</f>
        <v>DECOUPES</v>
      </c>
      <c r="D43" s="13" t="str">
        <f>Settings!K30</f>
        <v>POPEYES</v>
      </c>
    </row>
    <row r="44" ht="15.75" customHeight="1">
      <c r="A44" s="13" t="str">
        <f>Settings!H31</f>
        <v>WEEK 6</v>
      </c>
      <c r="B44" s="13" t="str">
        <f>Settings!I31</f>
        <v>GAME 4</v>
      </c>
      <c r="C44" s="13" t="str">
        <f>Settings!J31</f>
        <v>KINGS</v>
      </c>
      <c r="D44" s="13" t="str">
        <f>Settings!K31</f>
        <v>GREEN</v>
      </c>
    </row>
    <row r="45" ht="15.75" customHeight="1">
      <c r="A45" s="13" t="str">
        <f>Settings!H32</f>
        <v>WEEK 6</v>
      </c>
      <c r="B45" s="13" t="str">
        <f>Settings!I32</f>
        <v>GAME 5</v>
      </c>
      <c r="C45" s="13" t="str">
        <f>Settings!J32</f>
        <v>SAVAGES</v>
      </c>
      <c r="D45" s="13" t="str">
        <f>Settings!K32</f>
        <v>METAMOOKDAWGS</v>
      </c>
    </row>
    <row r="46" ht="15.75" customHeight="1">
      <c r="A46" s="13" t="str">
        <f>Settings!H33</f>
        <v>WEEK 7</v>
      </c>
      <c r="B46" s="13" t="str">
        <f>Settings!I33</f>
        <v>GAME 1</v>
      </c>
      <c r="C46" s="13" t="str">
        <f>Settings!J33</f>
        <v>EAGLES</v>
      </c>
      <c r="D46" s="13" t="str">
        <f>Settings!K33</f>
        <v>YARDIES</v>
      </c>
    </row>
    <row r="47" ht="15.75" customHeight="1">
      <c r="A47" s="13" t="str">
        <f>Settings!H34</f>
        <v>WEEK 7</v>
      </c>
      <c r="B47" s="13" t="str">
        <f>Settings!I34</f>
        <v>GAME 2</v>
      </c>
      <c r="C47" s="13" t="str">
        <f>Settings!J34</f>
        <v>CHAMPS</v>
      </c>
      <c r="D47" s="13" t="str">
        <f>Settings!K34</f>
        <v>METAMOOKDAWGS</v>
      </c>
      <c r="H47" s="13" t="str">
        <f t="shared" ref="H47:H49" si="9">IF(OR(C33=$A$3, D33=$A$3), IF(C33=$A$3, D33, C33), IF(OR(C34=$A$3, D34=$A$3), IF(C34=$A$3, D34, C34), ""))</f>
        <v>YARDIES</v>
      </c>
    </row>
    <row r="48" ht="15.75" customHeight="1">
      <c r="A48" s="13" t="str">
        <f>Settings!H35</f>
        <v>WEEK 7</v>
      </c>
      <c r="B48" s="13" t="str">
        <f>Settings!I35</f>
        <v>GAME 3</v>
      </c>
      <c r="C48" s="13" t="str">
        <f>Settings!J35</f>
        <v>KINGS</v>
      </c>
      <c r="D48" s="13" t="str">
        <f>Settings!K35</f>
        <v>POPEYES</v>
      </c>
      <c r="H48" s="13" t="str">
        <f t="shared" si="9"/>
        <v/>
      </c>
    </row>
    <row r="49" ht="15.75" customHeight="1">
      <c r="A49" s="13" t="str">
        <f>Settings!H36</f>
        <v>WEEK 7</v>
      </c>
      <c r="B49" s="13" t="str">
        <f>Settings!I36</f>
        <v>GAME 4</v>
      </c>
      <c r="C49" s="13" t="str">
        <f>Settings!J36</f>
        <v>DECOUPES</v>
      </c>
      <c r="D49" s="13" t="str">
        <f>Settings!K36</f>
        <v>MUTTS</v>
      </c>
      <c r="H49" s="13" t="str">
        <f t="shared" si="9"/>
        <v/>
      </c>
    </row>
    <row r="50" ht="15.75" customHeight="1">
      <c r="A50" s="13" t="str">
        <f>Settings!H37</f>
        <v>WEEK 7</v>
      </c>
      <c r="B50" s="13" t="str">
        <f>Settings!I37</f>
        <v>GAME 5</v>
      </c>
      <c r="C50" s="13" t="str">
        <f>Settings!J37</f>
        <v>SAVAGES</v>
      </c>
      <c r="D50" s="13" t="str">
        <f>Settings!K37</f>
        <v>GREEN</v>
      </c>
    </row>
    <row r="51" ht="15.75" customHeight="1">
      <c r="A51" s="13" t="str">
        <f>Settings!H38</f>
        <v>WEEK 8</v>
      </c>
      <c r="B51" s="13" t="str">
        <f>Settings!I38</f>
        <v>GAME 1</v>
      </c>
      <c r="C51" s="13" t="str">
        <f>Settings!J38</f>
        <v>SAVAGES</v>
      </c>
      <c r="D51" s="13" t="str">
        <f>Settings!K38</f>
        <v>KINGS</v>
      </c>
    </row>
    <row r="52" ht="15.75" customHeight="1">
      <c r="A52" s="13" t="str">
        <f>Settings!H39</f>
        <v>WEEK 8</v>
      </c>
      <c r="B52" s="13" t="str">
        <f>Settings!I39</f>
        <v>GAME 2</v>
      </c>
      <c r="C52" s="13" t="str">
        <f>Settings!J39</f>
        <v>GREEN</v>
      </c>
      <c r="D52" s="13" t="str">
        <f>Settings!K39</f>
        <v>DECOUPES</v>
      </c>
    </row>
    <row r="53" ht="15.75" customHeight="1">
      <c r="A53" s="13" t="str">
        <f>Settings!H40</f>
        <v>WEEK 8</v>
      </c>
      <c r="B53" s="13" t="str">
        <f>Settings!I40</f>
        <v>GAME 3</v>
      </c>
      <c r="C53" s="13" t="str">
        <f>Settings!J40</f>
        <v>YARDIES</v>
      </c>
      <c r="D53" s="13" t="str">
        <f>Settings!K40</f>
        <v>CHAMPS</v>
      </c>
    </row>
    <row r="54" ht="15.75" customHeight="1">
      <c r="A54" s="13" t="str">
        <f>Settings!H41</f>
        <v>WEEK 8</v>
      </c>
      <c r="B54" s="13" t="str">
        <f>Settings!I41</f>
        <v>GAME 4</v>
      </c>
      <c r="C54" s="13" t="str">
        <f>Settings!J41</f>
        <v>METAMOOKDAWGS</v>
      </c>
      <c r="D54" s="13" t="str">
        <f>Settings!K41</f>
        <v>MUTTS</v>
      </c>
    </row>
    <row r="55" ht="15.75" customHeight="1">
      <c r="A55" s="13" t="str">
        <f>Settings!H42</f>
        <v>WEEK 8</v>
      </c>
      <c r="B55" s="13" t="str">
        <f>Settings!I42</f>
        <v>GAME 5</v>
      </c>
      <c r="C55" s="13" t="str">
        <f>Settings!J42</f>
        <v>EAGLES</v>
      </c>
      <c r="D55" s="13" t="str">
        <f>Settings!K42</f>
        <v>POPEYES</v>
      </c>
    </row>
    <row r="56" ht="15.75" customHeight="1">
      <c r="A56" s="13" t="str">
        <f>Settings!H43</f>
        <v>WEEK 9</v>
      </c>
      <c r="B56" s="13" t="str">
        <f>Settings!I43</f>
        <v>GAME 1</v>
      </c>
      <c r="C56" s="13" t="str">
        <f>Settings!J43</f>
        <v>POPEYES</v>
      </c>
      <c r="D56" s="13" t="str">
        <f>Settings!K43</f>
        <v>GREEN</v>
      </c>
    </row>
    <row r="57" ht="15.75" customHeight="1">
      <c r="A57" s="13" t="str">
        <f>Settings!H44</f>
        <v>WEEK 9</v>
      </c>
      <c r="B57" s="13" t="str">
        <f>Settings!I44</f>
        <v>GAME 2</v>
      </c>
      <c r="C57" s="13" t="str">
        <f>Settings!J44</f>
        <v>DECOUPES</v>
      </c>
      <c r="D57" s="13" t="str">
        <f>Settings!K44</f>
        <v>SAVAGES</v>
      </c>
    </row>
    <row r="58" ht="15.75" customHeight="1">
      <c r="A58" s="13" t="str">
        <f>Settings!H45</f>
        <v>WEEK 9</v>
      </c>
      <c r="B58" s="13" t="str">
        <f>Settings!I45</f>
        <v>GAME 3</v>
      </c>
      <c r="C58" s="13" t="str">
        <f>Settings!J45</f>
        <v>EAGLES</v>
      </c>
      <c r="D58" s="13" t="str">
        <f>Settings!K45</f>
        <v>METAMOOKDAWGS</v>
      </c>
    </row>
    <row r="59" ht="15.75" customHeight="1">
      <c r="A59" s="13" t="str">
        <f>Settings!H46</f>
        <v>WEEK 9</v>
      </c>
      <c r="B59" s="13" t="str">
        <f>Settings!I46</f>
        <v>GAME 4</v>
      </c>
      <c r="C59" s="13" t="str">
        <f>Settings!J46</f>
        <v>MUTTS</v>
      </c>
      <c r="D59" s="13" t="str">
        <f>Settings!K46</f>
        <v>CHAMPS</v>
      </c>
    </row>
    <row r="60" ht="15.75" customHeight="1">
      <c r="A60" s="13" t="str">
        <f>Settings!H47</f>
        <v>WEEK 9</v>
      </c>
      <c r="B60" s="13" t="str">
        <f>Settings!I47</f>
        <v>GAME 5</v>
      </c>
      <c r="C60" s="13" t="str">
        <f>Settings!J47</f>
        <v>YARDIES</v>
      </c>
      <c r="D60" s="13" t="str">
        <f>Settings!K47</f>
        <v>KINGS</v>
      </c>
    </row>
    <row r="61" ht="15.75" customHeight="1">
      <c r="A61" s="13" t="str">
        <f>Settings!H48</f>
        <v>WEEK 10</v>
      </c>
      <c r="B61" s="13" t="str">
        <f>Settings!I48</f>
        <v>GAME 1</v>
      </c>
      <c r="C61" s="13" t="str">
        <f>Settings!J48</f>
        <v>KINGS</v>
      </c>
      <c r="D61" s="13" t="str">
        <f>Settings!K48</f>
        <v>CHAMPS</v>
      </c>
    </row>
    <row r="62" ht="15.75" customHeight="1">
      <c r="A62" s="13" t="str">
        <f>Settings!H49</f>
        <v>WEEK 10</v>
      </c>
      <c r="B62" s="13" t="str">
        <f>Settings!I49</f>
        <v>GAME 2</v>
      </c>
      <c r="C62" s="13" t="str">
        <f>Settings!J49</f>
        <v>POPEYES</v>
      </c>
      <c r="D62" s="13" t="str">
        <f>Settings!K49</f>
        <v>YARDIES</v>
      </c>
    </row>
    <row r="63" ht="15.75" customHeight="1">
      <c r="A63" s="13" t="str">
        <f>Settings!H50</f>
        <v>WEEK 10</v>
      </c>
      <c r="B63" s="13" t="str">
        <f>Settings!I50</f>
        <v>GAME 3</v>
      </c>
      <c r="C63" s="13" t="str">
        <f>Settings!J50</f>
        <v>DECOUPES</v>
      </c>
      <c r="D63" s="13" t="str">
        <f>Settings!K50</f>
        <v>EAGLES</v>
      </c>
    </row>
    <row r="64" ht="15.75" customHeight="1">
      <c r="A64" s="13" t="str">
        <f>Settings!H51</f>
        <v>WEEK 10</v>
      </c>
      <c r="B64" s="13" t="str">
        <f>Settings!I51</f>
        <v>GAME 4</v>
      </c>
      <c r="C64" s="13" t="str">
        <f>Settings!J51</f>
        <v>GREEN</v>
      </c>
      <c r="D64" s="13" t="str">
        <f>Settings!K51</f>
        <v>METAMOOKDAWGS</v>
      </c>
    </row>
    <row r="65" ht="15.75" customHeight="1">
      <c r="A65" s="13" t="str">
        <f>Settings!H52</f>
        <v>WEEK 10</v>
      </c>
      <c r="B65" s="13" t="str">
        <f>Settings!I52</f>
        <v>GAME 5</v>
      </c>
      <c r="C65" s="13" t="str">
        <f>Settings!J52</f>
        <v>SAVAGES</v>
      </c>
      <c r="D65" s="13" t="str">
        <f>Settings!K52</f>
        <v>MUTTS</v>
      </c>
    </row>
    <row r="66" ht="15.75" customHeight="1">
      <c r="A66" s="13" t="str">
        <f>Settings!H53</f>
        <v>WEEK 11</v>
      </c>
      <c r="B66" s="13" t="str">
        <f>Settings!I53</f>
        <v>GAME 1</v>
      </c>
      <c r="C66" s="13" t="str">
        <f>Settings!J53</f>
        <v>EAGLES</v>
      </c>
      <c r="D66" s="13" t="str">
        <f>Settings!K53</f>
        <v>KINGS</v>
      </c>
    </row>
    <row r="67" ht="15.75" customHeight="1">
      <c r="A67" s="13" t="str">
        <f>Settings!H54</f>
        <v>WEEK 11</v>
      </c>
      <c r="B67" s="13" t="str">
        <f>Settings!I54</f>
        <v>GAME 2</v>
      </c>
      <c r="C67" s="13" t="str">
        <f>Settings!J54</f>
        <v>METAMOOKDAWGS</v>
      </c>
      <c r="D67" s="13" t="str">
        <f>Settings!K54</f>
        <v>POPEYES</v>
      </c>
    </row>
    <row r="68" ht="15.75" customHeight="1">
      <c r="A68" s="13" t="str">
        <f>Settings!H55</f>
        <v>WEEK 11</v>
      </c>
      <c r="B68" s="13" t="str">
        <f>Settings!I55</f>
        <v>GAME 3</v>
      </c>
      <c r="C68" s="13" t="str">
        <f>Settings!J55</f>
        <v>MUTTS</v>
      </c>
      <c r="D68" s="13" t="str">
        <f>Settings!K55</f>
        <v>DECOUPES</v>
      </c>
    </row>
    <row r="69" ht="15.75" customHeight="1">
      <c r="A69" s="13" t="str">
        <f>Settings!H56</f>
        <v>WEEK 11</v>
      </c>
      <c r="B69" s="13" t="str">
        <f>Settings!I56</f>
        <v>GAME 4</v>
      </c>
      <c r="C69" s="13" t="str">
        <f>Settings!J56</f>
        <v>CHAMPS</v>
      </c>
      <c r="D69" s="13" t="str">
        <f>Settings!K56</f>
        <v>GREEN</v>
      </c>
    </row>
    <row r="70" ht="15.75" customHeight="1">
      <c r="A70" s="13" t="str">
        <f>Settings!H57</f>
        <v>WEEK 11</v>
      </c>
      <c r="B70" s="13" t="str">
        <f>Settings!I57</f>
        <v>GAME 5</v>
      </c>
      <c r="C70" s="13" t="str">
        <f>Settings!J57</f>
        <v>YARDIES</v>
      </c>
      <c r="D70" s="13" t="str">
        <f>Settings!K57</f>
        <v>SAVAGES</v>
      </c>
    </row>
    <row r="71" ht="15.75" customHeight="1">
      <c r="A71" s="13" t="str">
        <f>Settings!H58</f>
        <v>WEEK 12</v>
      </c>
      <c r="B71" s="13" t="str">
        <f>Settings!I58</f>
        <v>GAME 1</v>
      </c>
      <c r="C71" s="13" t="str">
        <f>Settings!J58</f>
        <v>KINGS</v>
      </c>
      <c r="D71" s="13" t="str">
        <f>Settings!K58</f>
        <v>SAVAGES</v>
      </c>
    </row>
    <row r="72" ht="15.75" customHeight="1">
      <c r="A72" s="13" t="str">
        <f>Settings!H59</f>
        <v>WEEK 12</v>
      </c>
      <c r="B72" s="13" t="str">
        <f>Settings!I59</f>
        <v>GAME 2</v>
      </c>
      <c r="C72" s="13" t="str">
        <f>Settings!J59</f>
        <v>GREEN</v>
      </c>
      <c r="D72" s="13" t="str">
        <f>Settings!K59</f>
        <v>POPEYES</v>
      </c>
    </row>
    <row r="73" ht="15.75" customHeight="1">
      <c r="A73" s="13" t="str">
        <f>Settings!H60</f>
        <v>WEEK 12</v>
      </c>
      <c r="B73" s="13" t="str">
        <f>Settings!I60</f>
        <v>GAME 3</v>
      </c>
      <c r="C73" s="13" t="str">
        <f>Settings!J60</f>
        <v>DECOUPES</v>
      </c>
      <c r="D73" s="13" t="str">
        <f>Settings!K60</f>
        <v>METAMOOKDAWGS</v>
      </c>
    </row>
    <row r="74" ht="15.75" customHeight="1">
      <c r="A74" s="13" t="str">
        <f>Settings!H61</f>
        <v>WEEK 12</v>
      </c>
      <c r="B74" s="13" t="str">
        <f>Settings!I61</f>
        <v>GAME 4</v>
      </c>
      <c r="C74" s="13" t="str">
        <f>Settings!J61</f>
        <v>CHAMPS</v>
      </c>
      <c r="D74" s="13" t="str">
        <f>Settings!K61</f>
        <v>YARDIES</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E1"/>
    <mergeCell ref="A14:D14"/>
    <mergeCell ref="G14:O14"/>
    <mergeCell ref="Q14:T14"/>
    <mergeCell ref="H15:I15"/>
    <mergeCell ref="J15:K15"/>
    <mergeCell ref="L15:M15"/>
    <mergeCell ref="N15:O15"/>
  </mergeCells>
  <conditionalFormatting sqref="E3:E12">
    <cfRule type="colorScale" priority="1">
      <colorScale>
        <cfvo type="min"/>
        <cfvo type="percentile" val="50"/>
        <cfvo type="max"/>
        <color rgb="FFF8696B"/>
        <color rgb="FFFCFCFF"/>
        <color rgb="FF63BE7B"/>
      </colorScale>
    </cfRule>
  </conditionalFormatting>
  <conditionalFormatting sqref="F3:F12">
    <cfRule type="colorScale" priority="2">
      <colorScale>
        <cfvo type="min"/>
        <cfvo type="percentile" val="50"/>
        <cfvo type="max"/>
        <color rgb="FFF8696B"/>
        <color rgb="FFFCFCFF"/>
        <color rgb="FF63BE7B"/>
      </colorScale>
    </cfRule>
  </conditionalFormatting>
  <conditionalFormatting sqref="G3:G12">
    <cfRule type="colorScale" priority="3">
      <colorScale>
        <cfvo type="min"/>
        <cfvo type="percentile" val="50"/>
        <cfvo type="max"/>
        <color rgb="FFF8696B"/>
        <color rgb="FFFCFCFF"/>
        <color rgb="FF63BE7B"/>
      </colorScale>
    </cfRule>
  </conditionalFormatting>
  <conditionalFormatting sqref="H17:H26">
    <cfRule type="colorScale" priority="4">
      <colorScale>
        <cfvo type="min"/>
        <cfvo type="percentile" val="50"/>
        <cfvo type="max"/>
        <color rgb="FF63BE7B"/>
        <color rgb="FFFCFCFF"/>
        <color rgb="FFF8696B"/>
      </colorScale>
    </cfRule>
  </conditionalFormatting>
  <conditionalFormatting sqref="J17:J26">
    <cfRule type="colorScale" priority="5">
      <colorScale>
        <cfvo type="min"/>
        <cfvo type="percentile" val="50"/>
        <cfvo type="max"/>
        <color rgb="FF63BE7B"/>
        <color rgb="FFFCFCFF"/>
        <color rgb="FFF8696B"/>
      </colorScale>
    </cfRule>
  </conditionalFormatting>
  <conditionalFormatting sqref="L17:L26">
    <cfRule type="colorScale" priority="6">
      <colorScale>
        <cfvo type="min"/>
        <cfvo type="percentile" val="50"/>
        <cfvo type="max"/>
        <color rgb="FF63BE7B"/>
        <color rgb="FFFCFCFF"/>
        <color rgb="FFF8696B"/>
      </colorScale>
    </cfRule>
  </conditionalFormatting>
  <conditionalFormatting sqref="N17:N26">
    <cfRule type="colorScale" priority="7">
      <colorScale>
        <cfvo type="min"/>
        <cfvo type="percentile" val="50"/>
        <cfvo type="max"/>
        <color rgb="FF63BE7B"/>
        <color rgb="FFFCFCFF"/>
        <color rgb="FFF8696B"/>
      </colorScale>
    </cfRule>
  </conditionalFormatting>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 width="18.44"/>
    <col customWidth="1" min="3" max="3" width="10.56"/>
    <col customWidth="1" min="4" max="5" width="10.78"/>
    <col customWidth="1" min="6" max="6" width="9.67"/>
    <col customWidth="1" min="7" max="7" width="18.44"/>
    <col customWidth="1" min="8" max="8" width="10.11"/>
    <col customWidth="1" min="9" max="9" width="9.67"/>
    <col customWidth="1" min="10" max="12" width="18.0"/>
    <col customWidth="1" min="13" max="13" width="10.11"/>
    <col customWidth="1" min="14" max="14" width="5.11"/>
    <col customWidth="1" min="15" max="15" width="5.33"/>
    <col customWidth="1" min="16" max="16" width="12.67"/>
    <col customWidth="1" min="17" max="17" width="5.33"/>
    <col customWidth="1" min="18" max="18" width="8.11"/>
    <col customWidth="1" min="19" max="19" width="5.33"/>
    <col customWidth="1" min="20" max="23" width="10.56"/>
    <col customWidth="1" min="24" max="24" width="19.44"/>
    <col customWidth="1" min="25" max="25" width="18.67"/>
    <col customWidth="1" min="26" max="27" width="10.56"/>
    <col customWidth="1" min="28" max="28" width="18.11"/>
    <col customWidth="1" min="29" max="29" width="19.0"/>
    <col customWidth="1" min="30" max="30" width="17.67"/>
    <col customWidth="1" min="31" max="31" width="10.56"/>
    <col customWidth="1" min="32" max="32" width="14.33"/>
    <col customWidth="1" min="33" max="33" width="9.0"/>
    <col customWidth="1" min="34" max="35" width="10.11"/>
    <col customWidth="1" min="36" max="36" width="21.78"/>
    <col customWidth="1" min="37" max="37" width="10.44"/>
    <col customWidth="1" min="38" max="39" width="11.67"/>
    <col customWidth="1" min="40" max="40" width="10.67"/>
    <col customWidth="1" min="41" max="41" width="11.33"/>
    <col customWidth="1" min="42" max="42" width="10.89"/>
    <col customWidth="1" min="43" max="43" width="11.67"/>
    <col customWidth="1" min="44" max="44" width="10.0"/>
    <col customWidth="1" min="45" max="45" width="9.44"/>
    <col customWidth="1" min="46" max="46" width="13.78"/>
    <col customWidth="1" min="47" max="47" width="10.78"/>
    <col customWidth="1" min="48" max="48" width="9.11"/>
    <col customWidth="1" min="49" max="49" width="10.0"/>
    <col customWidth="1" min="50" max="51" width="11.33"/>
    <col customWidth="1" min="52" max="52" width="9.44"/>
    <col customWidth="1" min="53" max="53" width="10.78"/>
    <col customWidth="1" min="54" max="54" width="13.0"/>
    <col customWidth="1" min="55" max="55" width="16.0"/>
    <col customWidth="1" min="56" max="56" width="13.0"/>
    <col customWidth="1" min="57" max="57" width="16.0"/>
    <col customWidth="1" min="58" max="58" width="13.33"/>
    <col customWidth="1" min="59" max="59" width="16.0"/>
    <col customWidth="1" min="60" max="64" width="12.0"/>
  </cols>
  <sheetData>
    <row r="1" ht="51.0" customHeight="1">
      <c r="A1" s="313" t="s">
        <v>652</v>
      </c>
      <c r="B1" s="313"/>
      <c r="C1" s="313" t="s">
        <v>157</v>
      </c>
      <c r="D1" s="233" t="s">
        <v>153</v>
      </c>
      <c r="E1" s="939" t="s">
        <v>653</v>
      </c>
      <c r="F1" s="939" t="s">
        <v>654</v>
      </c>
      <c r="G1" s="940" t="s">
        <v>655</v>
      </c>
      <c r="H1" s="941" t="s">
        <v>656</v>
      </c>
      <c r="I1" s="942" t="s">
        <v>657</v>
      </c>
      <c r="J1" s="943" t="s">
        <v>658</v>
      </c>
      <c r="K1" s="944" t="s">
        <v>155</v>
      </c>
      <c r="L1" s="945" t="s">
        <v>659</v>
      </c>
      <c r="M1" s="946" t="s">
        <v>375</v>
      </c>
      <c r="N1" s="947" t="s">
        <v>660</v>
      </c>
      <c r="O1" s="947" t="s">
        <v>661</v>
      </c>
      <c r="P1" s="939" t="s">
        <v>467</v>
      </c>
      <c r="Q1" s="939"/>
      <c r="R1" s="948" t="s">
        <v>662</v>
      </c>
      <c r="S1" s="949"/>
      <c r="T1" s="950" t="s">
        <v>27</v>
      </c>
      <c r="U1" s="313"/>
      <c r="V1" s="313"/>
      <c r="W1" s="313"/>
      <c r="AE1" s="951"/>
      <c r="AF1" s="951"/>
      <c r="AG1" s="951"/>
      <c r="AH1" s="951"/>
      <c r="AI1" s="313"/>
      <c r="AJ1" s="952"/>
      <c r="AK1" s="953">
        <v>2019.0</v>
      </c>
      <c r="AL1" s="954"/>
      <c r="AM1" s="954"/>
      <c r="AN1" s="932"/>
      <c r="AO1" s="955">
        <v>2020.0</v>
      </c>
      <c r="AP1" s="954"/>
      <c r="AQ1" s="954"/>
      <c r="AR1" s="932"/>
      <c r="AS1" s="956">
        <v>2021.0</v>
      </c>
      <c r="AT1" s="954"/>
      <c r="AU1" s="954"/>
      <c r="AV1" s="932"/>
      <c r="AW1" s="955">
        <v>2022.0</v>
      </c>
      <c r="AX1" s="954"/>
      <c r="AY1" s="954"/>
      <c r="AZ1" s="932"/>
      <c r="BA1" s="957">
        <v>2023.0</v>
      </c>
      <c r="BB1" s="954"/>
      <c r="BC1" s="954"/>
      <c r="BD1" s="932"/>
      <c r="BE1" s="957">
        <v>2024.0</v>
      </c>
      <c r="BF1" s="954"/>
      <c r="BG1" s="954"/>
      <c r="BH1" s="932"/>
      <c r="BI1" s="958">
        <v>2025.0</v>
      </c>
    </row>
    <row r="2" ht="15.75" customHeight="1">
      <c r="C2" s="13">
        <v>1.0</v>
      </c>
      <c r="D2" s="959">
        <v>2019.0</v>
      </c>
      <c r="E2" s="217" t="s">
        <v>512</v>
      </c>
      <c r="F2" s="960" t="s">
        <v>663</v>
      </c>
      <c r="G2" s="961" t="str">
        <f>'League History BACKEND 2019'!G20</f>
        <v>MUTTS</v>
      </c>
      <c r="H2" s="962">
        <v>124.21</v>
      </c>
      <c r="I2" s="963">
        <v>103.17</v>
      </c>
      <c r="J2" s="964" t="str">
        <f>'League History BACKEND 2019'!J20</f>
        <v>YARDIES</v>
      </c>
      <c r="K2" s="965" t="str">
        <f t="shared" ref="K2:K282" si="1">IF(H2 &gt; I2, G2, IF(I2 &gt; H2, J2, "Tie"))</f>
        <v>MUTTS</v>
      </c>
      <c r="L2" s="966" t="str">
        <f t="shared" ref="L2:L422" si="2">IF(H2 &lt; I2, G2, IF(I2 &lt; H2, J2, "Tie"))</f>
        <v>YARDIES</v>
      </c>
      <c r="M2" s="967">
        <f t="array" ref="M2">IFERROR(IF(ABS(H2-I2)=0,Tie,ABS(H2-I2)),"UPCOMING")</f>
        <v>21.04</v>
      </c>
      <c r="N2" s="968">
        <f t="shared" ref="N2:N422" si="3">IFERROR(_xlfn.RANK.EQ(M2,$M:$M,1)+(COUNTIFS(M:M, M2, H:H, "&gt;" &amp; H2)),"UPCOMING")</f>
        <v>147</v>
      </c>
      <c r="O2" s="969">
        <f t="shared" ref="O2:O422" si="4">IFERROR(_xlfn.RANK.EQ(M2,$M:$M,0)+(COUNTIFS(M:M, M2, H:H, "&gt;" &amp; H2)),"UPCOMING")</f>
        <v>275</v>
      </c>
      <c r="P2" s="967">
        <f t="shared" ref="P2:P422" si="5">IF(H2+I2=0,"UPCOMING",H2+I2)</f>
        <v>227.38</v>
      </c>
      <c r="Q2" s="968">
        <f t="shared" ref="Q2:Q422" si="6">IFERROR(_xlfn.RANK.EQ(P2,$P:$P,0)+(COUNTIFS(P:P, P2, N:N, "&lt;" &amp; N2)),"UPCOMING")</f>
        <v>412</v>
      </c>
      <c r="R2" s="967">
        <f t="shared" ref="R2:R422" si="7">IFERROR(AVERAGE(N2,Q2),"UPCOMING")</f>
        <v>279.5</v>
      </c>
      <c r="S2" s="970">
        <f t="shared" ref="S2:S422" si="8">IFERROR(_xlfn.RANK.EQ(R2, R:R, 1) + (COUNTIFS(R:R, R2, M:M, "&lt;" &amp; M2)),"UPCOMING")</f>
        <v>331</v>
      </c>
      <c r="U2" s="13" t="str">
        <f>IFERROR(__xludf.DUMMYFUNCTION("IF($T2=""Y"",
  IFERROR(
    RANK.EQ($R2, FILTER($R:$R, $T:$T=""Y""), 1)
    + COUNTIFS($R:$R, $R2, $M:$M, ""&lt;""&amp;$M2, $T:$T, ""Y""),
    ""UPCOMING""
  ),
  ""NO REF""
)
"),"NO REF")</f>
        <v>NO REF</v>
      </c>
      <c r="X2" s="971" t="s">
        <v>664</v>
      </c>
      <c r="Y2" s="23"/>
      <c r="Z2" s="23"/>
      <c r="AA2" s="23"/>
      <c r="AB2" s="23"/>
      <c r="AC2" s="23"/>
      <c r="AD2" s="29"/>
      <c r="AE2" s="972"/>
      <c r="AF2" s="972"/>
      <c r="AG2" s="972"/>
      <c r="AH2" s="972"/>
      <c r="AJ2" s="973"/>
      <c r="AK2" s="974"/>
      <c r="AL2" s="975"/>
      <c r="AM2" s="975"/>
      <c r="AN2" s="976"/>
      <c r="AO2" s="974"/>
      <c r="AP2" s="975"/>
      <c r="AQ2" s="975"/>
      <c r="AR2" s="976"/>
      <c r="AS2" s="974"/>
      <c r="AT2" s="975"/>
      <c r="AU2" s="975"/>
      <c r="AV2" s="976"/>
      <c r="AW2" s="974"/>
      <c r="AX2" s="975"/>
      <c r="AY2" s="975"/>
      <c r="AZ2" s="976"/>
      <c r="BA2" s="977"/>
      <c r="BB2" s="975"/>
      <c r="BC2" s="975"/>
      <c r="BD2" s="976"/>
      <c r="BE2" s="977"/>
      <c r="BF2" s="975"/>
      <c r="BG2" s="975"/>
      <c r="BH2" s="976"/>
      <c r="BI2" s="978"/>
      <c r="BJ2" s="978"/>
      <c r="BK2" s="978"/>
      <c r="BL2" s="979"/>
    </row>
    <row r="3" ht="15.75" customHeight="1">
      <c r="A3" s="13" t="str">
        <f>Settings!A3</f>
        <v>DECOUPES</v>
      </c>
      <c r="C3" s="13">
        <v>2.0</v>
      </c>
      <c r="D3" s="959">
        <v>2019.0</v>
      </c>
      <c r="E3" s="217" t="s">
        <v>512</v>
      </c>
      <c r="F3" s="960" t="s">
        <v>665</v>
      </c>
      <c r="G3" s="961" t="str">
        <f>'League History BACKEND 2019'!G22</f>
        <v>DECOUPES</v>
      </c>
      <c r="H3" s="962">
        <v>144.94</v>
      </c>
      <c r="I3" s="963">
        <v>151.28</v>
      </c>
      <c r="J3" s="964" t="str">
        <f>'League History BACKEND 2019'!J22</f>
        <v>POPEYES</v>
      </c>
      <c r="K3" s="965" t="str">
        <f t="shared" si="1"/>
        <v>POPEYES</v>
      </c>
      <c r="L3" s="966" t="str">
        <f t="shared" si="2"/>
        <v>DECOUPES</v>
      </c>
      <c r="M3" s="967">
        <f t="array" ref="M3">IFERROR(IF(ABS(H3-I3)=0,Tie,ABS(H3-I3)),"UPCOMING")</f>
        <v>6.34</v>
      </c>
      <c r="N3" s="968">
        <f t="shared" si="3"/>
        <v>48</v>
      </c>
      <c r="O3" s="969">
        <f t="shared" si="4"/>
        <v>374</v>
      </c>
      <c r="P3" s="967">
        <f t="shared" si="5"/>
        <v>296.22</v>
      </c>
      <c r="Q3" s="968">
        <f t="shared" si="6"/>
        <v>316</v>
      </c>
      <c r="R3" s="967">
        <f t="shared" si="7"/>
        <v>182</v>
      </c>
      <c r="S3" s="970">
        <f t="shared" si="8"/>
        <v>148</v>
      </c>
      <c r="U3" s="13" t="str">
        <f>IFERROR(__xludf.DUMMYFUNCTION("IF($T3=""Y"",
  IFERROR(
    RANK.EQ($R3, FILTER($R:$R, $T:$T=""Y""), 1)
    + COUNTIFS($R:$R, $R3, $M:$M, ""&lt;""&amp;$M3, $T:$T, ""Y""),
    ""UPCOMING""
  ),
  ""NO REF""
)
"),"NO REF")</f>
        <v>NO REF</v>
      </c>
      <c r="X3" s="980" t="s">
        <v>148</v>
      </c>
      <c r="Y3" s="981" t="s">
        <v>375</v>
      </c>
      <c r="Z3" s="981" t="s">
        <v>153</v>
      </c>
      <c r="AA3" s="981" t="s">
        <v>30</v>
      </c>
      <c r="AB3" s="981" t="s">
        <v>155</v>
      </c>
      <c r="AC3" s="981" t="s">
        <v>156</v>
      </c>
      <c r="AD3" s="982" t="s">
        <v>157</v>
      </c>
      <c r="AE3" s="972"/>
      <c r="AF3" s="972"/>
      <c r="AG3" s="972"/>
      <c r="AH3" s="972"/>
      <c r="AJ3" s="983"/>
      <c r="AK3" s="984" t="s">
        <v>666</v>
      </c>
      <c r="AL3" s="985" t="s">
        <v>667</v>
      </c>
      <c r="AM3" s="985" t="s">
        <v>668</v>
      </c>
      <c r="AN3" s="986" t="s">
        <v>669</v>
      </c>
      <c r="AO3" s="984" t="s">
        <v>666</v>
      </c>
      <c r="AP3" s="985" t="s">
        <v>667</v>
      </c>
      <c r="AQ3" s="985" t="s">
        <v>668</v>
      </c>
      <c r="AR3" s="986" t="s">
        <v>669</v>
      </c>
      <c r="AS3" s="984" t="s">
        <v>666</v>
      </c>
      <c r="AT3" s="985" t="s">
        <v>667</v>
      </c>
      <c r="AU3" s="985" t="s">
        <v>668</v>
      </c>
      <c r="AV3" s="986" t="s">
        <v>669</v>
      </c>
      <c r="AW3" s="984" t="s">
        <v>666</v>
      </c>
      <c r="AX3" s="985" t="s">
        <v>667</v>
      </c>
      <c r="AY3" s="985" t="s">
        <v>668</v>
      </c>
      <c r="AZ3" s="986" t="s">
        <v>669</v>
      </c>
      <c r="BA3" s="987" t="s">
        <v>666</v>
      </c>
      <c r="BB3" s="985" t="s">
        <v>667</v>
      </c>
      <c r="BC3" s="985" t="s">
        <v>668</v>
      </c>
      <c r="BD3" s="986" t="s">
        <v>669</v>
      </c>
      <c r="BE3" s="987" t="s">
        <v>666</v>
      </c>
      <c r="BF3" s="985" t="s">
        <v>667</v>
      </c>
      <c r="BG3" s="985" t="s">
        <v>668</v>
      </c>
      <c r="BH3" s="986" t="s">
        <v>669</v>
      </c>
      <c r="BI3" s="987" t="s">
        <v>666</v>
      </c>
      <c r="BJ3" s="985" t="s">
        <v>667</v>
      </c>
      <c r="BK3" s="985" t="s">
        <v>668</v>
      </c>
      <c r="BL3" s="986" t="s">
        <v>669</v>
      </c>
    </row>
    <row r="4" ht="15.75" customHeight="1">
      <c r="A4" s="13" t="str">
        <f>Settings!A4</f>
        <v>POPEYES</v>
      </c>
      <c r="C4" s="13">
        <v>3.0</v>
      </c>
      <c r="D4" s="959">
        <v>2019.0</v>
      </c>
      <c r="E4" s="217" t="s">
        <v>512</v>
      </c>
      <c r="F4" s="960" t="s">
        <v>670</v>
      </c>
      <c r="G4" s="961" t="str">
        <f>'League History BACKEND 2019'!G24</f>
        <v>SAVAGES</v>
      </c>
      <c r="H4" s="962">
        <v>138.05</v>
      </c>
      <c r="I4" s="963">
        <v>128.41</v>
      </c>
      <c r="J4" s="964" t="str">
        <f>'League History BACKEND 2019'!J24</f>
        <v>GREEN</v>
      </c>
      <c r="K4" s="965" t="str">
        <f t="shared" si="1"/>
        <v>SAVAGES</v>
      </c>
      <c r="L4" s="966" t="str">
        <f t="shared" si="2"/>
        <v>GREEN</v>
      </c>
      <c r="M4" s="967">
        <f t="array" ref="M4">IFERROR(IF(ABS(H4-I4)=0,Tie,ABS(H4-I4)),"UPCOMING")</f>
        <v>9.64</v>
      </c>
      <c r="N4" s="968">
        <f t="shared" si="3"/>
        <v>76</v>
      </c>
      <c r="O4" s="969">
        <f t="shared" si="4"/>
        <v>346</v>
      </c>
      <c r="P4" s="967">
        <f t="shared" si="5"/>
        <v>266.46</v>
      </c>
      <c r="Q4" s="968">
        <f t="shared" si="6"/>
        <v>378</v>
      </c>
      <c r="R4" s="967">
        <f t="shared" si="7"/>
        <v>227</v>
      </c>
      <c r="S4" s="970">
        <f t="shared" si="8"/>
        <v>245</v>
      </c>
      <c r="U4" s="13" t="str">
        <f>IFERROR(__xludf.DUMMYFUNCTION("IF($T4=""Y"",
  IFERROR(
    RANK.EQ($R4, FILTER($R:$R, $T:$T=""Y""), 1)
    + COUNTIFS($R:$R, $R4, $M:$M, ""&lt;""&amp;$M4, $T:$T, ""Y""),
    ""UPCOMING""
  ),
  ""NO REF""
)
"),"NO REF")</f>
        <v>NO REF</v>
      </c>
      <c r="X4" s="988">
        <v>1.0</v>
      </c>
      <c r="Y4" s="989">
        <f t="shared" ref="Y4:Y23" si="9">INDEX($M:$M, MATCH(X4,$N:$N,0))</f>
        <v>0.02</v>
      </c>
      <c r="Z4" s="990">
        <f t="shared" ref="Z4:Z23" si="10">INDEX($D:$D, MATCH(X4,$N:$N,0))</f>
        <v>2021</v>
      </c>
      <c r="AA4" s="990" t="str">
        <f t="shared" ref="AA4:AA23" si="11">INDEX($E:$E, MATCH(X4,$N:$N,0))</f>
        <v>WEEK 7</v>
      </c>
      <c r="AB4" s="991" t="str">
        <f t="shared" ref="AB4:AB23" si="12">INDEX($K:$K, MATCH(X4,$N:$N,0))</f>
        <v>MUTTS</v>
      </c>
      <c r="AC4" s="990" t="str">
        <f t="shared" ref="AC4:AC23" si="13">INDEX($L:$L, MATCH(X4,$N:$N,0))</f>
        <v>YARDIES</v>
      </c>
      <c r="AD4" s="992" t="str">
        <f t="shared" ref="AD4:AD23" si="14">"PVE FFL GAME " &amp; INDEX($C:$C, MATCH(X4,$N:$N,0))</f>
        <v>PVE FFL GAME 136</v>
      </c>
      <c r="AJ4" s="993" t="str">
        <f t="shared" ref="AJ4:AJ7" si="15">A3</f>
        <v>DECOUPES</v>
      </c>
      <c r="AK4" s="994">
        <f t="shared" ref="AK4:AK7" si="16">COUNTIFS($D:$D, $AK$1, $K:$K, $AJ4)</f>
        <v>6</v>
      </c>
      <c r="AL4" s="995">
        <f t="shared" ref="AL4:AL7" si="17">COUNTIFS($D:$D, $AK$1, $L:$L, $AJ4)</f>
        <v>7</v>
      </c>
      <c r="AM4" s="996">
        <f t="shared" ref="AM4:AM7" si="18">IFERROR(AK4/(AK4+AL4),"N/A")</f>
        <v>0.4615384615</v>
      </c>
      <c r="AN4" s="997">
        <f t="shared" ref="AN4:AN7" si="19">IFERROR(_xlfn.RANK.EQ(AM4,$AM$4:$AM$15,0),"N/A")</f>
        <v>4</v>
      </c>
      <c r="AO4" s="994">
        <f t="shared" ref="AO4:AO7" si="20">COUNTIFS($D:$D, $AO$1, $K:$K, $AJ4)</f>
        <v>8</v>
      </c>
      <c r="AP4" s="995">
        <f t="shared" ref="AP4:AP7" si="21">COUNTIFS($D:$D, $AO$1, $L:$L, $AJ4)</f>
        <v>5</v>
      </c>
      <c r="AQ4" s="996">
        <f t="shared" ref="AQ4:AQ7" si="22">IFERROR(AO4/(AO4+AP4),"N/A")</f>
        <v>0.6153846154</v>
      </c>
      <c r="AR4" s="997">
        <f t="shared" ref="AR4:AR7" si="23">IFERROR(_xlfn.RANK.EQ(AQ4,$AQ$4:$AQ$15,0),"N/A")</f>
        <v>3</v>
      </c>
      <c r="AS4" s="994">
        <f t="shared" ref="AS4:AS7" si="24">COUNTIFS($D:$D, $AS$1, $K:$K, $AJ4)</f>
        <v>8</v>
      </c>
      <c r="AT4" s="995">
        <f t="shared" ref="AT4:AT7" si="25">COUNTIFS($D:$D, $AS$1, $L:$L, $AJ4)</f>
        <v>5</v>
      </c>
      <c r="AU4" s="996">
        <f t="shared" ref="AU4:AU7" si="26">IFERROR(AS4/(AS4+AT4),"N/A")</f>
        <v>0.6153846154</v>
      </c>
      <c r="AV4" s="997">
        <f t="shared" ref="AV4:AV7" si="27">IFERROR(_xlfn.RANK.EQ(AU4,$AU$4:$AU$15,0),"N/A")</f>
        <v>2</v>
      </c>
      <c r="AW4" s="994">
        <f t="shared" ref="AW4:AW7" si="28">COUNTIFS($D:$D, $AW$1, $K:$K, $AJ4)</f>
        <v>7</v>
      </c>
      <c r="AX4" s="995">
        <f t="shared" ref="AX4:AX7" si="29">COUNTIFS($D:$D, $AW$1, $L:$L, $AJ4)</f>
        <v>7</v>
      </c>
      <c r="AY4" s="996">
        <f t="shared" ref="AY4:AY7" si="30">IFERROR(AW4/(AW4+AX4),"N/A")</f>
        <v>0.5</v>
      </c>
      <c r="AZ4" s="997">
        <f t="shared" ref="AZ4:AZ7" si="31">IFERROR(_xlfn.RANK.EQ(AY4,$AY$4:$AY$15,0),"N/A")</f>
        <v>4</v>
      </c>
      <c r="BA4" s="998">
        <f t="shared" ref="BA4:BA7" si="32">COUNTIFS($D:$D, BA$1, $K:$K, $AJ4)</f>
        <v>8</v>
      </c>
      <c r="BB4" s="995">
        <f t="shared" ref="BB4:BB7" si="33">COUNTIFS($D:$D, BA$1, $L:$L, $AJ4)</f>
        <v>6</v>
      </c>
      <c r="BC4" s="996">
        <f t="shared" ref="BC4:BC7" si="34">IFERROR(BA4/(BA4+BB4),"N/A")</f>
        <v>0.5714285714</v>
      </c>
      <c r="BD4" s="997">
        <f t="shared" ref="BD4:BD7" si="35">IFERROR(_xlfn.RANK.EQ(BC4,$BC$4:$BC$15,0),"N/A")</f>
        <v>3</v>
      </c>
      <c r="BE4" s="998">
        <f t="shared" ref="BE4:BE13" si="36">COUNTIFS($D:$D, BE$1, $K:$K, $AJ4)</f>
        <v>6</v>
      </c>
      <c r="BF4" s="995">
        <f t="shared" ref="BF4:BF13" si="37">COUNTIFS($D:$D, BE$1, $L:$L, $AJ4)</f>
        <v>8</v>
      </c>
      <c r="BG4" s="996">
        <f t="shared" ref="BG4:BG15" si="38">IFERROR(BE4/(BE4+BF4),"N/A")</f>
        <v>0.4285714286</v>
      </c>
      <c r="BH4" s="997">
        <f t="shared" ref="BH4:BH15" si="39">IFERROR(_xlfn.RANK.EQ(BG4,$BG$4:$BG$15,0),"N/A")</f>
        <v>6</v>
      </c>
      <c r="BI4" s="999">
        <f t="shared" ref="BI4:BI13" si="40">COUNTIFS($D:$D, BI$1, $K:$K, $AJ4)</f>
        <v>9</v>
      </c>
      <c r="BJ4" s="999">
        <f t="shared" ref="BJ4:BJ13" si="41">COUNTIFS($D:$D, BI$1, $L:$L, $AJ4)</f>
        <v>5</v>
      </c>
      <c r="BK4" s="1000">
        <f t="shared" ref="BK4:BK13" si="42">IFERROR(BI4/(BI4+BJ4),"N/A")</f>
        <v>0.6428571429</v>
      </c>
      <c r="BL4" s="999">
        <f t="shared" ref="BL4:BL13" si="43">IFERROR(_xlfn.RANK.EQ(BK4,$BK$4:$BK$15,0),"N/A")</f>
        <v>2</v>
      </c>
    </row>
    <row r="5" ht="15.75" customHeight="1">
      <c r="A5" s="13" t="str">
        <f>Settings!A5</f>
        <v>GREEN</v>
      </c>
      <c r="C5" s="13">
        <v>4.0</v>
      </c>
      <c r="D5" s="959">
        <v>2019.0</v>
      </c>
      <c r="E5" s="217" t="s">
        <v>512</v>
      </c>
      <c r="F5" s="960" t="s">
        <v>671</v>
      </c>
      <c r="G5" s="961" t="str">
        <f>'League History BACKEND 2019'!G26</f>
        <v>METAMOOKDAWGS</v>
      </c>
      <c r="H5" s="962">
        <v>128.0</v>
      </c>
      <c r="I5" s="963">
        <v>168.96</v>
      </c>
      <c r="J5" s="964" t="str">
        <f>'League History BACKEND 2019'!J26</f>
        <v>DEEZ NUTS</v>
      </c>
      <c r="K5" s="965" t="str">
        <f t="shared" si="1"/>
        <v>DEEZ NUTS</v>
      </c>
      <c r="L5" s="966" t="str">
        <f t="shared" si="2"/>
        <v>METAMOOKDAWGS</v>
      </c>
      <c r="M5" s="967">
        <f t="array" ref="M5">IFERROR(IF(ABS(H5-I5)=0,Tie,ABS(H5-I5)),"UPCOMING")</f>
        <v>40.96</v>
      </c>
      <c r="N5" s="968">
        <f t="shared" si="3"/>
        <v>260</v>
      </c>
      <c r="O5" s="969">
        <f t="shared" si="4"/>
        <v>162</v>
      </c>
      <c r="P5" s="967">
        <f t="shared" si="5"/>
        <v>296.96</v>
      </c>
      <c r="Q5" s="968">
        <f t="shared" si="6"/>
        <v>312</v>
      </c>
      <c r="R5" s="967">
        <f t="shared" si="7"/>
        <v>286</v>
      </c>
      <c r="S5" s="970">
        <f t="shared" si="8"/>
        <v>341</v>
      </c>
      <c r="U5" s="13" t="str">
        <f>IFERROR(__xludf.DUMMYFUNCTION("IF($T5=""Y"",
  IFERROR(
    RANK.EQ($R5, FILTER($R:$R, $T:$T=""Y""), 1)
    + COUNTIFS($R:$R, $R5, $M:$M, ""&lt;""&amp;$M5, $T:$T, ""Y""),
    ""UPCOMING""
  ),
  ""NO REF""
)
"),"NO REF")</f>
        <v>NO REF</v>
      </c>
      <c r="X5" s="988">
        <v>2.0</v>
      </c>
      <c r="Y5" s="989">
        <f t="shared" si="9"/>
        <v>0.11</v>
      </c>
      <c r="Z5" s="990">
        <f t="shared" si="10"/>
        <v>2020</v>
      </c>
      <c r="AA5" s="990" t="str">
        <f t="shared" si="11"/>
        <v>WEEK 4</v>
      </c>
      <c r="AB5" s="991" t="str">
        <f t="shared" si="12"/>
        <v>SAVAGES</v>
      </c>
      <c r="AC5" s="990" t="str">
        <f t="shared" si="13"/>
        <v>GIRLS</v>
      </c>
      <c r="AD5" s="992" t="str">
        <f t="shared" si="14"/>
        <v>PVE FFL GAME 68</v>
      </c>
      <c r="AJ5" s="993" t="str">
        <f t="shared" si="15"/>
        <v>POPEYES</v>
      </c>
      <c r="AK5" s="1001">
        <f t="shared" si="16"/>
        <v>5</v>
      </c>
      <c r="AL5" s="869">
        <f t="shared" si="17"/>
        <v>8</v>
      </c>
      <c r="AM5" s="1002">
        <f t="shared" si="18"/>
        <v>0.3846153846</v>
      </c>
      <c r="AN5" s="1003">
        <f t="shared" si="19"/>
        <v>7</v>
      </c>
      <c r="AO5" s="1001">
        <f t="shared" si="20"/>
        <v>11</v>
      </c>
      <c r="AP5" s="869">
        <f t="shared" si="21"/>
        <v>2</v>
      </c>
      <c r="AQ5" s="1002">
        <f t="shared" si="22"/>
        <v>0.8461538462</v>
      </c>
      <c r="AR5" s="1003">
        <f t="shared" si="23"/>
        <v>1</v>
      </c>
      <c r="AS5" s="1001">
        <f t="shared" si="24"/>
        <v>8</v>
      </c>
      <c r="AT5" s="869">
        <f t="shared" si="25"/>
        <v>5</v>
      </c>
      <c r="AU5" s="1002">
        <f t="shared" si="26"/>
        <v>0.6153846154</v>
      </c>
      <c r="AV5" s="1003">
        <f t="shared" si="27"/>
        <v>2</v>
      </c>
      <c r="AW5" s="1001">
        <f t="shared" si="28"/>
        <v>5</v>
      </c>
      <c r="AX5" s="869">
        <f t="shared" si="29"/>
        <v>9</v>
      </c>
      <c r="AY5" s="1002">
        <f t="shared" si="30"/>
        <v>0.3571428571</v>
      </c>
      <c r="AZ5" s="1003">
        <f t="shared" si="31"/>
        <v>5</v>
      </c>
      <c r="BA5" s="998">
        <f t="shared" si="32"/>
        <v>6</v>
      </c>
      <c r="BB5" s="995">
        <f t="shared" si="33"/>
        <v>8</v>
      </c>
      <c r="BC5" s="1002">
        <f t="shared" si="34"/>
        <v>0.4285714286</v>
      </c>
      <c r="BD5" s="1003">
        <f t="shared" si="35"/>
        <v>5</v>
      </c>
      <c r="BE5" s="998">
        <f t="shared" si="36"/>
        <v>11</v>
      </c>
      <c r="BF5" s="995">
        <f t="shared" si="37"/>
        <v>3</v>
      </c>
      <c r="BG5" s="1002">
        <f t="shared" si="38"/>
        <v>0.7857142857</v>
      </c>
      <c r="BH5" s="997">
        <f t="shared" si="39"/>
        <v>1</v>
      </c>
      <c r="BI5" s="999">
        <f t="shared" si="40"/>
        <v>7</v>
      </c>
      <c r="BJ5" s="999">
        <f t="shared" si="41"/>
        <v>7</v>
      </c>
      <c r="BK5" s="1000">
        <f t="shared" si="42"/>
        <v>0.5</v>
      </c>
      <c r="BL5" s="999">
        <f t="shared" si="43"/>
        <v>4</v>
      </c>
    </row>
    <row r="6" ht="15.75" customHeight="1">
      <c r="A6" s="13" t="str">
        <f>Settings!A6</f>
        <v>SAVAGES</v>
      </c>
      <c r="C6" s="13">
        <v>5.0</v>
      </c>
      <c r="D6" s="959">
        <v>2019.0</v>
      </c>
      <c r="E6" s="217" t="s">
        <v>513</v>
      </c>
      <c r="F6" s="960" t="s">
        <v>663</v>
      </c>
      <c r="G6" s="961" t="str">
        <f>'League History BACKEND 2019'!G30</f>
        <v>MUTTS</v>
      </c>
      <c r="H6" s="962">
        <v>144.29</v>
      </c>
      <c r="I6" s="963">
        <v>169.52</v>
      </c>
      <c r="J6" s="964" t="str">
        <f>'League History BACKEND 2019'!J30</f>
        <v>SAVAGES</v>
      </c>
      <c r="K6" s="965" t="str">
        <f t="shared" si="1"/>
        <v>SAVAGES</v>
      </c>
      <c r="L6" s="966" t="str">
        <f t="shared" si="2"/>
        <v>MUTTS</v>
      </c>
      <c r="M6" s="967">
        <f t="array" ref="M6">IFERROR(IF(ABS(H6-I6)=0,Tie,ABS(H6-I6)),"UPCOMING")</f>
        <v>25.23</v>
      </c>
      <c r="N6" s="968">
        <f t="shared" si="3"/>
        <v>173</v>
      </c>
      <c r="O6" s="969">
        <f t="shared" si="4"/>
        <v>249</v>
      </c>
      <c r="P6" s="967">
        <f t="shared" si="5"/>
        <v>313.81</v>
      </c>
      <c r="Q6" s="968">
        <f t="shared" si="6"/>
        <v>265</v>
      </c>
      <c r="R6" s="967">
        <f t="shared" si="7"/>
        <v>219</v>
      </c>
      <c r="S6" s="970">
        <f t="shared" si="8"/>
        <v>228</v>
      </c>
      <c r="U6" s="13" t="str">
        <f>IFERROR(__xludf.DUMMYFUNCTION("IF($T6=""Y"",
  IFERROR(
    RANK.EQ($R6, FILTER($R:$R, $T:$T=""Y""), 1)
    + COUNTIFS($R:$R, $R6, $M:$M, ""&lt;""&amp;$M6, $T:$T, ""Y""),
    ""UPCOMING""
  ),
  ""NO REF""
)
"),"NO REF")</f>
        <v>NO REF</v>
      </c>
      <c r="X6" s="988">
        <v>3.0</v>
      </c>
      <c r="Y6" s="989">
        <f t="shared" si="9"/>
        <v>0.15</v>
      </c>
      <c r="Z6" s="990">
        <f t="shared" si="10"/>
        <v>2024</v>
      </c>
      <c r="AA6" s="990" t="str">
        <f t="shared" si="11"/>
        <v>WEEK 8</v>
      </c>
      <c r="AB6" s="991" t="str">
        <f t="shared" si="12"/>
        <v>METAMOOKDAWGS</v>
      </c>
      <c r="AC6" s="990" t="str">
        <f t="shared" si="13"/>
        <v>MUTTS</v>
      </c>
      <c r="AD6" s="992" t="str">
        <f t="shared" si="14"/>
        <v>PVE FFL GAME 319</v>
      </c>
      <c r="AJ6" s="993" t="str">
        <f t="shared" si="15"/>
        <v>GREEN</v>
      </c>
      <c r="AK6" s="1001">
        <f t="shared" si="16"/>
        <v>6</v>
      </c>
      <c r="AL6" s="869">
        <f t="shared" si="17"/>
        <v>7</v>
      </c>
      <c r="AM6" s="1002">
        <f t="shared" si="18"/>
        <v>0.4615384615</v>
      </c>
      <c r="AN6" s="1003">
        <f t="shared" si="19"/>
        <v>4</v>
      </c>
      <c r="AO6" s="1001">
        <f t="shared" si="20"/>
        <v>1</v>
      </c>
      <c r="AP6" s="869">
        <f t="shared" si="21"/>
        <v>12</v>
      </c>
      <c r="AQ6" s="1002">
        <f t="shared" si="22"/>
        <v>0.07692307692</v>
      </c>
      <c r="AR6" s="1003">
        <f t="shared" si="23"/>
        <v>8</v>
      </c>
      <c r="AS6" s="1001">
        <f t="shared" si="24"/>
        <v>6</v>
      </c>
      <c r="AT6" s="869">
        <f t="shared" si="25"/>
        <v>7</v>
      </c>
      <c r="AU6" s="1002">
        <f t="shared" si="26"/>
        <v>0.4615384615</v>
      </c>
      <c r="AV6" s="1003">
        <f t="shared" si="27"/>
        <v>7</v>
      </c>
      <c r="AW6" s="1001">
        <f t="shared" si="28"/>
        <v>10</v>
      </c>
      <c r="AX6" s="869">
        <f t="shared" si="29"/>
        <v>4</v>
      </c>
      <c r="AY6" s="1002">
        <f t="shared" si="30"/>
        <v>0.7142857143</v>
      </c>
      <c r="AZ6" s="1003">
        <f t="shared" si="31"/>
        <v>2</v>
      </c>
      <c r="BA6" s="998">
        <f t="shared" si="32"/>
        <v>8</v>
      </c>
      <c r="BB6" s="995">
        <f t="shared" si="33"/>
        <v>6</v>
      </c>
      <c r="BC6" s="1002">
        <f t="shared" si="34"/>
        <v>0.5714285714</v>
      </c>
      <c r="BD6" s="1003">
        <f t="shared" si="35"/>
        <v>3</v>
      </c>
      <c r="BE6" s="998">
        <f t="shared" si="36"/>
        <v>6</v>
      </c>
      <c r="BF6" s="995">
        <f t="shared" si="37"/>
        <v>8</v>
      </c>
      <c r="BG6" s="1002">
        <f t="shared" si="38"/>
        <v>0.4285714286</v>
      </c>
      <c r="BH6" s="997">
        <f t="shared" si="39"/>
        <v>6</v>
      </c>
      <c r="BI6" s="999">
        <f t="shared" si="40"/>
        <v>12</v>
      </c>
      <c r="BJ6" s="999">
        <f t="shared" si="41"/>
        <v>2</v>
      </c>
      <c r="BK6" s="1000">
        <f t="shared" si="42"/>
        <v>0.8571428571</v>
      </c>
      <c r="BL6" s="999">
        <f t="shared" si="43"/>
        <v>1</v>
      </c>
    </row>
    <row r="7" ht="15.75" customHeight="1">
      <c r="A7" s="13" t="str">
        <f>Settings!A7</f>
        <v>CHAMPS</v>
      </c>
      <c r="C7" s="13">
        <v>6.0</v>
      </c>
      <c r="D7" s="959">
        <v>2019.0</v>
      </c>
      <c r="E7" s="217" t="s">
        <v>513</v>
      </c>
      <c r="F7" s="960" t="s">
        <v>665</v>
      </c>
      <c r="G7" s="961" t="str">
        <f>'League History BACKEND 2019'!G32</f>
        <v>POPEYES</v>
      </c>
      <c r="H7" s="962">
        <v>136.46</v>
      </c>
      <c r="I7" s="963">
        <v>141.08</v>
      </c>
      <c r="J7" s="964" t="str">
        <f>'League History BACKEND 2019'!J32</f>
        <v>DEEZ NUTS</v>
      </c>
      <c r="K7" s="965" t="str">
        <f t="shared" si="1"/>
        <v>DEEZ NUTS</v>
      </c>
      <c r="L7" s="966" t="str">
        <f t="shared" si="2"/>
        <v>POPEYES</v>
      </c>
      <c r="M7" s="967">
        <f t="array" ref="M7">IFERROR(IF(ABS(H7-I7)=0,Tie,ABS(H7-I7)),"UPCOMING")</f>
        <v>4.62</v>
      </c>
      <c r="N7" s="968">
        <f t="shared" si="3"/>
        <v>36</v>
      </c>
      <c r="O7" s="969">
        <f t="shared" si="4"/>
        <v>386</v>
      </c>
      <c r="P7" s="967">
        <f t="shared" si="5"/>
        <v>277.54</v>
      </c>
      <c r="Q7" s="968">
        <f t="shared" si="6"/>
        <v>361</v>
      </c>
      <c r="R7" s="967">
        <f t="shared" si="7"/>
        <v>198.5</v>
      </c>
      <c r="S7" s="970">
        <f t="shared" si="8"/>
        <v>179</v>
      </c>
      <c r="U7" s="13" t="str">
        <f>IFERROR(__xludf.DUMMYFUNCTION("IF($T7=""Y"",
  IFERROR(
    RANK.EQ($R7, FILTER($R:$R, $T:$T=""Y""), 1)
    + COUNTIFS($R:$R, $R7, $M:$M, ""&lt;""&amp;$M7, $T:$T, ""Y""),
    ""UPCOMING""
  ),
  ""NO REF""
)
"),"NO REF")</f>
        <v>NO REF</v>
      </c>
      <c r="X7" s="988">
        <v>4.0</v>
      </c>
      <c r="Y7" s="989">
        <f t="shared" si="9"/>
        <v>0.2</v>
      </c>
      <c r="Z7" s="990">
        <f t="shared" si="10"/>
        <v>2025</v>
      </c>
      <c r="AA7" s="990" t="str">
        <f t="shared" si="11"/>
        <v>WEEK 10</v>
      </c>
      <c r="AB7" s="991" t="str">
        <f t="shared" si="12"/>
        <v>MUTTS</v>
      </c>
      <c r="AC7" s="990" t="str">
        <f t="shared" si="13"/>
        <v>SAVAGES</v>
      </c>
      <c r="AD7" s="992" t="str">
        <f t="shared" si="14"/>
        <v>PVE FFL GAME 401</v>
      </c>
      <c r="AJ7" s="993" t="str">
        <f t="shared" si="15"/>
        <v>SAVAGES</v>
      </c>
      <c r="AK7" s="1001">
        <f t="shared" si="16"/>
        <v>9</v>
      </c>
      <c r="AL7" s="869">
        <f t="shared" si="17"/>
        <v>4</v>
      </c>
      <c r="AM7" s="1002">
        <f t="shared" si="18"/>
        <v>0.6923076923</v>
      </c>
      <c r="AN7" s="1003">
        <f t="shared" si="19"/>
        <v>1</v>
      </c>
      <c r="AO7" s="1001">
        <f t="shared" si="20"/>
        <v>5</v>
      </c>
      <c r="AP7" s="869">
        <f t="shared" si="21"/>
        <v>8</v>
      </c>
      <c r="AQ7" s="1002">
        <f t="shared" si="22"/>
        <v>0.3846153846</v>
      </c>
      <c r="AR7" s="1003">
        <f t="shared" si="23"/>
        <v>5</v>
      </c>
      <c r="AS7" s="1001">
        <f t="shared" si="24"/>
        <v>7</v>
      </c>
      <c r="AT7" s="869">
        <f t="shared" si="25"/>
        <v>6</v>
      </c>
      <c r="AU7" s="1002">
        <f t="shared" si="26"/>
        <v>0.5384615385</v>
      </c>
      <c r="AV7" s="1003">
        <f t="shared" si="27"/>
        <v>5</v>
      </c>
      <c r="AW7" s="1001">
        <f t="shared" si="28"/>
        <v>5</v>
      </c>
      <c r="AX7" s="869">
        <f t="shared" si="29"/>
        <v>9</v>
      </c>
      <c r="AY7" s="1002">
        <f t="shared" si="30"/>
        <v>0.3571428571</v>
      </c>
      <c r="AZ7" s="1003">
        <f t="shared" si="31"/>
        <v>5</v>
      </c>
      <c r="BA7" s="998">
        <f t="shared" si="32"/>
        <v>5</v>
      </c>
      <c r="BB7" s="995">
        <f t="shared" si="33"/>
        <v>9</v>
      </c>
      <c r="BC7" s="1002">
        <f t="shared" si="34"/>
        <v>0.3571428571</v>
      </c>
      <c r="BD7" s="1003">
        <f t="shared" si="35"/>
        <v>7</v>
      </c>
      <c r="BE7" s="998">
        <f t="shared" si="36"/>
        <v>4</v>
      </c>
      <c r="BF7" s="995">
        <f t="shared" si="37"/>
        <v>10</v>
      </c>
      <c r="BG7" s="1002">
        <f t="shared" si="38"/>
        <v>0.2857142857</v>
      </c>
      <c r="BH7" s="997">
        <f t="shared" si="39"/>
        <v>9</v>
      </c>
      <c r="BI7" s="999">
        <f t="shared" si="40"/>
        <v>5</v>
      </c>
      <c r="BJ7" s="999">
        <f t="shared" si="41"/>
        <v>9</v>
      </c>
      <c r="BK7" s="1000">
        <f t="shared" si="42"/>
        <v>0.3571428571</v>
      </c>
      <c r="BL7" s="999">
        <f t="shared" si="43"/>
        <v>8</v>
      </c>
    </row>
    <row r="8" ht="15.75" customHeight="1">
      <c r="A8" s="13" t="str">
        <f>Settings!A8</f>
        <v>METAMOOKDAWGS</v>
      </c>
      <c r="C8" s="13">
        <v>7.0</v>
      </c>
      <c r="D8" s="959">
        <v>2019.0</v>
      </c>
      <c r="E8" s="217" t="s">
        <v>513</v>
      </c>
      <c r="F8" s="960" t="s">
        <v>670</v>
      </c>
      <c r="G8" s="961" t="str">
        <f>'League History BACKEND 2019'!G34</f>
        <v>METAMOOKDAWGS</v>
      </c>
      <c r="H8" s="962">
        <v>124.15</v>
      </c>
      <c r="I8" s="963">
        <v>132.21</v>
      </c>
      <c r="J8" s="964" t="str">
        <f>'League History BACKEND 2019'!J34</f>
        <v>GREEN</v>
      </c>
      <c r="K8" s="965" t="str">
        <f t="shared" si="1"/>
        <v>GREEN</v>
      </c>
      <c r="L8" s="966" t="str">
        <f t="shared" si="2"/>
        <v>METAMOOKDAWGS</v>
      </c>
      <c r="M8" s="967">
        <f t="array" ref="M8">IFERROR(IF(ABS(H8-I8)=0,Tie,ABS(H8-I8)),"UPCOMING")</f>
        <v>8.06</v>
      </c>
      <c r="N8" s="968">
        <f t="shared" si="3"/>
        <v>62</v>
      </c>
      <c r="O8" s="969">
        <f t="shared" si="4"/>
        <v>360</v>
      </c>
      <c r="P8" s="967">
        <f t="shared" si="5"/>
        <v>256.36</v>
      </c>
      <c r="Q8" s="968">
        <f t="shared" si="6"/>
        <v>389</v>
      </c>
      <c r="R8" s="967">
        <f t="shared" si="7"/>
        <v>225.5</v>
      </c>
      <c r="S8" s="970">
        <f t="shared" si="8"/>
        <v>242</v>
      </c>
      <c r="U8" s="13" t="str">
        <f>IFERROR(__xludf.DUMMYFUNCTION("IF($T8=""Y"",
  IFERROR(
    RANK.EQ($R8, FILTER($R:$R, $T:$T=""Y""), 1)
    + COUNTIFS($R:$R, $R8, $M:$M, ""&lt;""&amp;$M8, $T:$T, ""Y""),
    ""UPCOMING""
  ),
  ""NO REF""
)
"),"NO REF")</f>
        <v>NO REF</v>
      </c>
      <c r="X8" s="988">
        <v>5.0</v>
      </c>
      <c r="Y8" s="989">
        <f t="shared" si="9"/>
        <v>0.2</v>
      </c>
      <c r="Z8" s="990">
        <f t="shared" si="10"/>
        <v>2019</v>
      </c>
      <c r="AA8" s="990" t="str">
        <f t="shared" si="11"/>
        <v>WEEK 12</v>
      </c>
      <c r="AB8" s="991" t="str">
        <f t="shared" si="12"/>
        <v>POPEYES</v>
      </c>
      <c r="AC8" s="990" t="str">
        <f t="shared" si="13"/>
        <v>SAVAGES</v>
      </c>
      <c r="AD8" s="992" t="str">
        <f t="shared" si="14"/>
        <v>PVE FFL GAME 45</v>
      </c>
      <c r="AJ8" s="993" t="s">
        <v>477</v>
      </c>
      <c r="AK8" s="1001"/>
      <c r="AL8" s="869"/>
      <c r="AM8" s="1002"/>
      <c r="AN8" s="1003"/>
      <c r="AO8" s="1001"/>
      <c r="AP8" s="869"/>
      <c r="AQ8" s="1002"/>
      <c r="AR8" s="1003"/>
      <c r="AS8" s="1001"/>
      <c r="AT8" s="869"/>
      <c r="AU8" s="1002"/>
      <c r="AV8" s="1003"/>
      <c r="AW8" s="1001"/>
      <c r="AX8" s="869"/>
      <c r="AY8" s="1002"/>
      <c r="AZ8" s="1003"/>
      <c r="BA8" s="998"/>
      <c r="BB8" s="995"/>
      <c r="BC8" s="1002"/>
      <c r="BD8" s="1003"/>
      <c r="BE8" s="998">
        <f t="shared" si="36"/>
        <v>8</v>
      </c>
      <c r="BF8" s="995">
        <f t="shared" si="37"/>
        <v>6</v>
      </c>
      <c r="BG8" s="1002">
        <f t="shared" si="38"/>
        <v>0.5714285714</v>
      </c>
      <c r="BH8" s="997">
        <f t="shared" si="39"/>
        <v>4</v>
      </c>
      <c r="BI8" s="999">
        <f t="shared" si="40"/>
        <v>5</v>
      </c>
      <c r="BJ8" s="999">
        <f t="shared" si="41"/>
        <v>9</v>
      </c>
      <c r="BK8" s="1000">
        <f t="shared" si="42"/>
        <v>0.3571428571</v>
      </c>
      <c r="BL8" s="999">
        <f t="shared" si="43"/>
        <v>8</v>
      </c>
    </row>
    <row r="9" ht="15.75" customHeight="1">
      <c r="A9" s="13" t="str">
        <f>Settings!A9</f>
        <v>YARDIES</v>
      </c>
      <c r="C9" s="13">
        <v>8.0</v>
      </c>
      <c r="D9" s="959">
        <v>2019.0</v>
      </c>
      <c r="E9" s="217" t="s">
        <v>513</v>
      </c>
      <c r="F9" s="960" t="s">
        <v>671</v>
      </c>
      <c r="G9" s="961" t="str">
        <f>'League History BACKEND 2019'!G36</f>
        <v>YARDIES</v>
      </c>
      <c r="H9" s="962">
        <v>101.64</v>
      </c>
      <c r="I9" s="963">
        <v>102.0</v>
      </c>
      <c r="J9" s="964" t="str">
        <f>'League History BACKEND 2019'!J36</f>
        <v>DECOUPES</v>
      </c>
      <c r="K9" s="965" t="str">
        <f t="shared" si="1"/>
        <v>DECOUPES</v>
      </c>
      <c r="L9" s="966" t="str">
        <f t="shared" si="2"/>
        <v>YARDIES</v>
      </c>
      <c r="M9" s="967">
        <f t="array" ref="M9">IFERROR(IF(ABS(H9-I9)=0,Tie,ABS(H9-I9)),"UPCOMING")</f>
        <v>0.36</v>
      </c>
      <c r="N9" s="968">
        <f t="shared" si="3"/>
        <v>8</v>
      </c>
      <c r="O9" s="969">
        <f t="shared" si="4"/>
        <v>414</v>
      </c>
      <c r="P9" s="967">
        <f t="shared" si="5"/>
        <v>203.64</v>
      </c>
      <c r="Q9" s="968">
        <f t="shared" si="6"/>
        <v>417</v>
      </c>
      <c r="R9" s="967">
        <f t="shared" si="7"/>
        <v>212.5</v>
      </c>
      <c r="S9" s="970">
        <f t="shared" si="8"/>
        <v>209</v>
      </c>
      <c r="U9" s="13" t="str">
        <f>IFERROR(__xludf.DUMMYFUNCTION("IF($T9=""Y"",
  IFERROR(
    RANK.EQ($R9, FILTER($R:$R, $T:$T=""Y""), 1)
    + COUNTIFS($R:$R, $R9, $M:$M, ""&lt;""&amp;$M9, $T:$T, ""Y""),
    ""UPCOMING""
  ),
  ""NO REF""
)
"),"NO REF")</f>
        <v>NO REF</v>
      </c>
      <c r="X9" s="988">
        <v>6.0</v>
      </c>
      <c r="Y9" s="989">
        <f t="shared" si="9"/>
        <v>0.25</v>
      </c>
      <c r="Z9" s="990">
        <f t="shared" si="10"/>
        <v>2024</v>
      </c>
      <c r="AA9" s="990" t="str">
        <f t="shared" si="11"/>
        <v>WEEK 10</v>
      </c>
      <c r="AB9" s="991" t="str">
        <f t="shared" si="12"/>
        <v>CHAMPS</v>
      </c>
      <c r="AC9" s="990" t="str">
        <f t="shared" si="13"/>
        <v>DECOUPES</v>
      </c>
      <c r="AD9" s="992" t="str">
        <f t="shared" si="14"/>
        <v>PVE FFL GAME 330</v>
      </c>
      <c r="AJ9" s="993" t="str">
        <f t="shared" ref="AJ9:AJ12" si="44">A7</f>
        <v>CHAMPS</v>
      </c>
      <c r="AK9" s="1001"/>
      <c r="AL9" s="869"/>
      <c r="AM9" s="1002" t="str">
        <f t="shared" ref="AM9:AM12" si="45">IFERROR(AK9/(AK9+AL9),"N/A")</f>
        <v>N/A</v>
      </c>
      <c r="AN9" s="1003" t="str">
        <f t="shared" ref="AN9:AN12" si="46">IFERROR(_xlfn.RANK.EQ(AM9,$AM$4:$AM$15,0),"N/A")</f>
        <v>N/A</v>
      </c>
      <c r="AO9" s="1001"/>
      <c r="AP9" s="869"/>
      <c r="AQ9" s="1002" t="str">
        <f t="shared" ref="AQ9:AQ12" si="47">IFERROR(AO9/(AO9+AP9),"N/A")</f>
        <v>N/A</v>
      </c>
      <c r="AR9" s="1003" t="str">
        <f t="shared" ref="AR9:AR12" si="48">IFERROR(_xlfn.RANK.EQ(AQ9,$AQ$4:$AQ$15,0),"N/A")</f>
        <v>N/A</v>
      </c>
      <c r="AS9" s="1001">
        <f t="shared" ref="AS9:AS12" si="49">COUNTIFS($D:$D, $AS$1, $K:$K, $AJ9)</f>
        <v>5</v>
      </c>
      <c r="AT9" s="869">
        <f t="shared" ref="AT9:AT12" si="50">COUNTIFS($D:$D, $AS$1, $L:$L, $AJ9)</f>
        <v>8</v>
      </c>
      <c r="AU9" s="1002">
        <f t="shared" ref="AU9:AU12" si="51">IFERROR(AS9/(AS9+AT9),"N/A")</f>
        <v>0.3846153846</v>
      </c>
      <c r="AV9" s="1003">
        <f t="shared" ref="AV9:AV12" si="52">IFERROR(_xlfn.RANK.EQ(AU9,$AU$4:$AU$15,0),"N/A")</f>
        <v>8</v>
      </c>
      <c r="AW9" s="1001">
        <f t="shared" ref="AW9:AW12" si="53">COUNTIFS($D:$D, $AW$1, $K:$K, $AJ9)</f>
        <v>5</v>
      </c>
      <c r="AX9" s="869">
        <f t="shared" ref="AX9:AX12" si="54">COUNTIFS($D:$D, $AW$1, $L:$L, $AJ9)</f>
        <v>9</v>
      </c>
      <c r="AY9" s="1002">
        <f t="shared" ref="AY9:AY12" si="55">IFERROR(AW9/(AW9+AX9),"N/A")</f>
        <v>0.3571428571</v>
      </c>
      <c r="AZ9" s="1003">
        <f t="shared" ref="AZ9:AZ12" si="56">IFERROR(_xlfn.RANK.EQ(AY9,$AY$4:$AY$15,0),"N/A")</f>
        <v>5</v>
      </c>
      <c r="BA9" s="998">
        <f t="shared" ref="BA9:BA12" si="57">COUNTIFS($D:$D, BA$1, $K:$K, $AJ9)</f>
        <v>6</v>
      </c>
      <c r="BB9" s="995">
        <f t="shared" ref="BB9:BB12" si="58">COUNTIFS($D:$D, BA$1, $L:$L, $AJ9)</f>
        <v>8</v>
      </c>
      <c r="BC9" s="1002">
        <f t="shared" ref="BC9:BC12" si="59">IFERROR(BA9/(BA9+BB9),"N/A")</f>
        <v>0.4285714286</v>
      </c>
      <c r="BD9" s="1003">
        <f t="shared" ref="BD9:BD12" si="60">IFERROR(_xlfn.RANK.EQ(BC9,$BC$4:$BC$15,0),"N/A")</f>
        <v>5</v>
      </c>
      <c r="BE9" s="998">
        <f t="shared" si="36"/>
        <v>6</v>
      </c>
      <c r="BF9" s="995">
        <f t="shared" si="37"/>
        <v>8</v>
      </c>
      <c r="BG9" s="1002">
        <f t="shared" si="38"/>
        <v>0.4285714286</v>
      </c>
      <c r="BH9" s="997">
        <f t="shared" si="39"/>
        <v>6</v>
      </c>
      <c r="BI9" s="999">
        <f t="shared" si="40"/>
        <v>6</v>
      </c>
      <c r="BJ9" s="999">
        <f t="shared" si="41"/>
        <v>8</v>
      </c>
      <c r="BK9" s="1000">
        <f t="shared" si="42"/>
        <v>0.4285714286</v>
      </c>
      <c r="BL9" s="999">
        <f t="shared" si="43"/>
        <v>6</v>
      </c>
    </row>
    <row r="10" ht="15.75" customHeight="1">
      <c r="A10" s="13" t="str">
        <f>Settings!A10</f>
        <v>MUTTS</v>
      </c>
      <c r="C10" s="13">
        <v>9.0</v>
      </c>
      <c r="D10" s="959">
        <v>2019.0</v>
      </c>
      <c r="E10" s="1005" t="s">
        <v>514</v>
      </c>
      <c r="F10" s="960" t="s">
        <v>663</v>
      </c>
      <c r="G10" s="961" t="str">
        <f>'League History BACKEND 2019'!G40</f>
        <v>SAVAGES</v>
      </c>
      <c r="H10" s="962">
        <v>163.6</v>
      </c>
      <c r="I10" s="963">
        <v>116.37</v>
      </c>
      <c r="J10" s="964" t="str">
        <f>'League History BACKEND 2019'!J40</f>
        <v>DECOUPES</v>
      </c>
      <c r="K10" s="965" t="str">
        <f t="shared" si="1"/>
        <v>SAVAGES</v>
      </c>
      <c r="L10" s="966" t="str">
        <f t="shared" si="2"/>
        <v>DECOUPES</v>
      </c>
      <c r="M10" s="967">
        <f t="array" ref="M10">IFERROR(IF(ABS(H10-I10)=0,Tie,ABS(H10-I10)),"UPCOMING")</f>
        <v>47.23</v>
      </c>
      <c r="N10" s="968">
        <f t="shared" si="3"/>
        <v>299</v>
      </c>
      <c r="O10" s="969">
        <f t="shared" si="4"/>
        <v>123</v>
      </c>
      <c r="P10" s="967">
        <f t="shared" si="5"/>
        <v>279.97</v>
      </c>
      <c r="Q10" s="968">
        <f t="shared" si="6"/>
        <v>349</v>
      </c>
      <c r="R10" s="967">
        <f t="shared" si="7"/>
        <v>324</v>
      </c>
      <c r="S10" s="970">
        <f t="shared" si="8"/>
        <v>386</v>
      </c>
      <c r="U10" s="13" t="str">
        <f>IFERROR(__xludf.DUMMYFUNCTION("IF($T10=""Y"",
  IFERROR(
    RANK.EQ($R10, FILTER($R:$R, $T:$T=""Y""), 1)
    + COUNTIFS($R:$R, $R10, $M:$M, ""&lt;""&amp;$M10, $T:$T, ""Y""),
    ""UPCOMING""
  ),
  ""NO REF""
)
"),"NO REF")</f>
        <v>NO REF</v>
      </c>
      <c r="X10" s="988">
        <v>7.0</v>
      </c>
      <c r="Y10" s="989">
        <f t="shared" si="9"/>
        <v>0.27</v>
      </c>
      <c r="Z10" s="990">
        <f t="shared" si="10"/>
        <v>2020</v>
      </c>
      <c r="AA10" s="990" t="str">
        <f t="shared" si="11"/>
        <v>WEEK 3</v>
      </c>
      <c r="AB10" s="991" t="str">
        <f t="shared" si="12"/>
        <v>MUTTS</v>
      </c>
      <c r="AC10" s="990" t="str">
        <f t="shared" si="13"/>
        <v>GIRLS</v>
      </c>
      <c r="AD10" s="992" t="str">
        <f t="shared" si="14"/>
        <v>PVE FFL GAME 62</v>
      </c>
      <c r="AJ10" s="993" t="str">
        <f t="shared" si="44"/>
        <v>METAMOOKDAWGS</v>
      </c>
      <c r="AK10" s="1001">
        <f t="shared" ref="AK10:AK12" si="61">COUNTIFS($D:$D, $AK$1, $K:$K, $AJ10)</f>
        <v>8</v>
      </c>
      <c r="AL10" s="869">
        <f t="shared" ref="AL10:AL12" si="62">COUNTIFS($D:$D, $AK$1, $L:$L, $AJ10)</f>
        <v>5</v>
      </c>
      <c r="AM10" s="1002">
        <f t="shared" si="45"/>
        <v>0.6153846154</v>
      </c>
      <c r="AN10" s="1003">
        <f t="shared" si="46"/>
        <v>2</v>
      </c>
      <c r="AO10" s="1001">
        <f t="shared" ref="AO10:AO12" si="63">COUNTIFS($D:$D, $AO$1, $K:$K, $AJ10)</f>
        <v>10</v>
      </c>
      <c r="AP10" s="869">
        <f t="shared" ref="AP10:AP12" si="64">COUNTIFS($D:$D, $AO$1, $L:$L, $AJ10)</f>
        <v>3</v>
      </c>
      <c r="AQ10" s="1002">
        <f t="shared" si="47"/>
        <v>0.7692307692</v>
      </c>
      <c r="AR10" s="1003">
        <f t="shared" si="48"/>
        <v>2</v>
      </c>
      <c r="AS10" s="1001">
        <f t="shared" si="49"/>
        <v>3</v>
      </c>
      <c r="AT10" s="869">
        <f t="shared" si="50"/>
        <v>10</v>
      </c>
      <c r="AU10" s="1002">
        <f t="shared" si="51"/>
        <v>0.2307692308</v>
      </c>
      <c r="AV10" s="1003">
        <f t="shared" si="52"/>
        <v>10</v>
      </c>
      <c r="AW10" s="1001">
        <f t="shared" si="53"/>
        <v>5</v>
      </c>
      <c r="AX10" s="869">
        <f t="shared" si="54"/>
        <v>9</v>
      </c>
      <c r="AY10" s="1002">
        <f t="shared" si="55"/>
        <v>0.3571428571</v>
      </c>
      <c r="AZ10" s="1003">
        <f t="shared" si="56"/>
        <v>5</v>
      </c>
      <c r="BA10" s="998">
        <f t="shared" si="57"/>
        <v>5</v>
      </c>
      <c r="BB10" s="995">
        <f t="shared" si="58"/>
        <v>9</v>
      </c>
      <c r="BC10" s="1002">
        <f t="shared" si="59"/>
        <v>0.3571428571</v>
      </c>
      <c r="BD10" s="1003">
        <f t="shared" si="60"/>
        <v>7</v>
      </c>
      <c r="BE10" s="998">
        <f t="shared" si="36"/>
        <v>2</v>
      </c>
      <c r="BF10" s="995">
        <f t="shared" si="37"/>
        <v>12</v>
      </c>
      <c r="BG10" s="1002">
        <f t="shared" si="38"/>
        <v>0.1428571429</v>
      </c>
      <c r="BH10" s="997">
        <f t="shared" si="39"/>
        <v>10</v>
      </c>
      <c r="BI10" s="999">
        <f t="shared" si="40"/>
        <v>4</v>
      </c>
      <c r="BJ10" s="999">
        <f t="shared" si="41"/>
        <v>10</v>
      </c>
      <c r="BK10" s="1000">
        <f t="shared" si="42"/>
        <v>0.2857142857</v>
      </c>
      <c r="BL10" s="999">
        <f t="shared" si="43"/>
        <v>10</v>
      </c>
    </row>
    <row r="11" ht="15.75" customHeight="1">
      <c r="A11" s="13" t="s">
        <v>672</v>
      </c>
      <c r="C11" s="13">
        <v>10.0</v>
      </c>
      <c r="D11" s="959">
        <v>2019.0</v>
      </c>
      <c r="E11" s="1005" t="s">
        <v>514</v>
      </c>
      <c r="F11" s="960" t="s">
        <v>665</v>
      </c>
      <c r="G11" s="961" t="str">
        <f>'League History BACKEND 2019'!G42</f>
        <v>DEEZ NUTS</v>
      </c>
      <c r="H11" s="962">
        <v>185.93</v>
      </c>
      <c r="I11" s="963">
        <v>179.2</v>
      </c>
      <c r="J11" s="964" t="str">
        <f>'League History BACKEND 2019'!J42</f>
        <v>MUTTS</v>
      </c>
      <c r="K11" s="965" t="str">
        <f t="shared" si="1"/>
        <v>DEEZ NUTS</v>
      </c>
      <c r="L11" s="966" t="str">
        <f t="shared" si="2"/>
        <v>MUTTS</v>
      </c>
      <c r="M11" s="967">
        <f t="array" ref="M11">IFERROR(IF(ABS(H11-I11)=0,Tie,ABS(H11-I11)),"UPCOMING")</f>
        <v>6.73</v>
      </c>
      <c r="N11" s="968">
        <f t="shared" si="3"/>
        <v>52</v>
      </c>
      <c r="O11" s="969">
        <f t="shared" si="4"/>
        <v>369</v>
      </c>
      <c r="P11" s="967">
        <f t="shared" si="5"/>
        <v>365.13</v>
      </c>
      <c r="Q11" s="968">
        <f t="shared" si="6"/>
        <v>125</v>
      </c>
      <c r="R11" s="967">
        <f t="shared" si="7"/>
        <v>88.5</v>
      </c>
      <c r="S11" s="970">
        <f t="shared" si="8"/>
        <v>28</v>
      </c>
      <c r="U11" s="13" t="str">
        <f>IFERROR(__xludf.DUMMYFUNCTION("IF($T11=""Y"",
  IFERROR(
    RANK.EQ($R11, FILTER($R:$R, $T:$T=""Y""), 1)
    + COUNTIFS($R:$R, $R11, $M:$M, ""&lt;""&amp;$M11, $T:$T, ""Y""),
    ""UPCOMING""
  ),
  ""NO REF""
)
"),"NO REF")</f>
        <v>NO REF</v>
      </c>
      <c r="X11" s="988">
        <v>8.0</v>
      </c>
      <c r="Y11" s="989">
        <f t="shared" si="9"/>
        <v>0.36</v>
      </c>
      <c r="Z11" s="990">
        <f t="shared" si="10"/>
        <v>2019</v>
      </c>
      <c r="AA11" s="990" t="str">
        <f t="shared" si="11"/>
        <v>WEEK 2</v>
      </c>
      <c r="AB11" s="991" t="str">
        <f t="shared" si="12"/>
        <v>DECOUPES</v>
      </c>
      <c r="AC11" s="990" t="str">
        <f t="shared" si="13"/>
        <v>YARDIES</v>
      </c>
      <c r="AD11" s="992" t="str">
        <f t="shared" si="14"/>
        <v>PVE FFL GAME 8</v>
      </c>
      <c r="AJ11" s="993" t="str">
        <f t="shared" si="44"/>
        <v>YARDIES</v>
      </c>
      <c r="AK11" s="1001">
        <f t="shared" si="61"/>
        <v>5</v>
      </c>
      <c r="AL11" s="869">
        <f t="shared" si="62"/>
        <v>8</v>
      </c>
      <c r="AM11" s="1002">
        <f t="shared" si="45"/>
        <v>0.3846153846</v>
      </c>
      <c r="AN11" s="1003">
        <f t="shared" si="46"/>
        <v>7</v>
      </c>
      <c r="AO11" s="1001">
        <f t="shared" si="63"/>
        <v>4</v>
      </c>
      <c r="AP11" s="869">
        <f t="shared" si="64"/>
        <v>9</v>
      </c>
      <c r="AQ11" s="1002">
        <f t="shared" si="47"/>
        <v>0.3076923077</v>
      </c>
      <c r="AR11" s="1003">
        <f t="shared" si="48"/>
        <v>7</v>
      </c>
      <c r="AS11" s="1001">
        <f t="shared" si="49"/>
        <v>7</v>
      </c>
      <c r="AT11" s="869">
        <f t="shared" si="50"/>
        <v>6</v>
      </c>
      <c r="AU11" s="1002">
        <f t="shared" si="51"/>
        <v>0.5384615385</v>
      </c>
      <c r="AV11" s="1003">
        <f t="shared" si="52"/>
        <v>5</v>
      </c>
      <c r="AW11" s="1001">
        <f t="shared" si="53"/>
        <v>11</v>
      </c>
      <c r="AX11" s="869">
        <f t="shared" si="54"/>
        <v>3</v>
      </c>
      <c r="AY11" s="1002">
        <f t="shared" si="55"/>
        <v>0.7857142857</v>
      </c>
      <c r="AZ11" s="1003">
        <f t="shared" si="56"/>
        <v>1</v>
      </c>
      <c r="BA11" s="998">
        <f t="shared" si="57"/>
        <v>9</v>
      </c>
      <c r="BB11" s="995">
        <f t="shared" si="58"/>
        <v>5</v>
      </c>
      <c r="BC11" s="1002">
        <f t="shared" si="59"/>
        <v>0.6428571429</v>
      </c>
      <c r="BD11" s="1003">
        <f t="shared" si="60"/>
        <v>1</v>
      </c>
      <c r="BE11" s="998">
        <f t="shared" si="36"/>
        <v>10</v>
      </c>
      <c r="BF11" s="995">
        <f t="shared" si="37"/>
        <v>4</v>
      </c>
      <c r="BG11" s="1002">
        <f t="shared" si="38"/>
        <v>0.7142857143</v>
      </c>
      <c r="BH11" s="997">
        <f t="shared" si="39"/>
        <v>2</v>
      </c>
      <c r="BI11" s="999">
        <f t="shared" si="40"/>
        <v>9</v>
      </c>
      <c r="BJ11" s="999">
        <f t="shared" si="41"/>
        <v>5</v>
      </c>
      <c r="BK11" s="1000">
        <f t="shared" si="42"/>
        <v>0.6428571429</v>
      </c>
      <c r="BL11" s="999">
        <f t="shared" si="43"/>
        <v>2</v>
      </c>
    </row>
    <row r="12" ht="15.75" customHeight="1">
      <c r="A12" s="13" t="s">
        <v>673</v>
      </c>
      <c r="C12" s="13">
        <v>11.0</v>
      </c>
      <c r="D12" s="959">
        <v>2019.0</v>
      </c>
      <c r="E12" s="1005" t="s">
        <v>514</v>
      </c>
      <c r="F12" s="960" t="s">
        <v>670</v>
      </c>
      <c r="G12" s="961" t="str">
        <f>'League History BACKEND 2019'!G44</f>
        <v>GREEN</v>
      </c>
      <c r="H12" s="962">
        <v>181.49</v>
      </c>
      <c r="I12" s="963">
        <v>119.58</v>
      </c>
      <c r="J12" s="964" t="str">
        <f>'League History BACKEND 2019'!J44</f>
        <v>POPEYES</v>
      </c>
      <c r="K12" s="965" t="str">
        <f t="shared" si="1"/>
        <v>GREEN</v>
      </c>
      <c r="L12" s="966" t="str">
        <f t="shared" si="2"/>
        <v>POPEYES</v>
      </c>
      <c r="M12" s="967">
        <f t="array" ref="M12">IFERROR(IF(ABS(H12-I12)=0,Tie,ABS(H12-I12)),"UPCOMING")</f>
        <v>61.91</v>
      </c>
      <c r="N12" s="968">
        <f t="shared" si="3"/>
        <v>343</v>
      </c>
      <c r="O12" s="969">
        <f t="shared" si="4"/>
        <v>79</v>
      </c>
      <c r="P12" s="967">
        <f t="shared" si="5"/>
        <v>301.07</v>
      </c>
      <c r="Q12" s="968">
        <f t="shared" si="6"/>
        <v>304</v>
      </c>
      <c r="R12" s="967">
        <f t="shared" si="7"/>
        <v>323.5</v>
      </c>
      <c r="S12" s="970">
        <f t="shared" si="8"/>
        <v>385</v>
      </c>
      <c r="U12" s="13" t="str">
        <f>IFERROR(__xludf.DUMMYFUNCTION("IF($T12=""Y"",
  IFERROR(
    RANK.EQ($R12, FILTER($R:$R, $T:$T=""Y""), 1)
    + COUNTIFS($R:$R, $R12, $M:$M, ""&lt;""&amp;$M12, $T:$T, ""Y""),
    ""UPCOMING""
  ),
  ""NO REF""
)
"),"NO REF")</f>
        <v>NO REF</v>
      </c>
      <c r="X12" s="988">
        <v>9.0</v>
      </c>
      <c r="Y12" s="989">
        <f t="shared" si="9"/>
        <v>0.51</v>
      </c>
      <c r="Z12" s="990">
        <f t="shared" si="10"/>
        <v>2021</v>
      </c>
      <c r="AA12" s="990" t="str">
        <f t="shared" si="11"/>
        <v>WEEK 8</v>
      </c>
      <c r="AB12" s="991" t="str">
        <f t="shared" si="12"/>
        <v>SAVAGES</v>
      </c>
      <c r="AC12" s="990" t="str">
        <f t="shared" si="13"/>
        <v>GREEN</v>
      </c>
      <c r="AD12" s="992" t="str">
        <f t="shared" si="14"/>
        <v>PVE FFL GAME 138</v>
      </c>
      <c r="AJ12" s="993" t="str">
        <f t="shared" si="44"/>
        <v>MUTTS</v>
      </c>
      <c r="AK12" s="1001">
        <f t="shared" si="61"/>
        <v>7</v>
      </c>
      <c r="AL12" s="869">
        <f t="shared" si="62"/>
        <v>6</v>
      </c>
      <c r="AM12" s="1002">
        <f t="shared" si="45"/>
        <v>0.5384615385</v>
      </c>
      <c r="AN12" s="1003">
        <f t="shared" si="46"/>
        <v>3</v>
      </c>
      <c r="AO12" s="1001">
        <f t="shared" si="63"/>
        <v>8</v>
      </c>
      <c r="AP12" s="869">
        <f t="shared" si="64"/>
        <v>5</v>
      </c>
      <c r="AQ12" s="1002">
        <f t="shared" si="47"/>
        <v>0.6153846154</v>
      </c>
      <c r="AR12" s="1003">
        <f t="shared" si="48"/>
        <v>3</v>
      </c>
      <c r="AS12" s="1001">
        <f t="shared" si="49"/>
        <v>8</v>
      </c>
      <c r="AT12" s="869">
        <f t="shared" si="50"/>
        <v>5</v>
      </c>
      <c r="AU12" s="1002">
        <f t="shared" si="51"/>
        <v>0.6153846154</v>
      </c>
      <c r="AV12" s="1003">
        <f t="shared" si="52"/>
        <v>2</v>
      </c>
      <c r="AW12" s="1001">
        <f t="shared" si="53"/>
        <v>8</v>
      </c>
      <c r="AX12" s="869">
        <f t="shared" si="54"/>
        <v>6</v>
      </c>
      <c r="AY12" s="1002">
        <f t="shared" si="55"/>
        <v>0.5714285714</v>
      </c>
      <c r="AZ12" s="1003">
        <f t="shared" si="56"/>
        <v>3</v>
      </c>
      <c r="BA12" s="998">
        <f t="shared" si="57"/>
        <v>9</v>
      </c>
      <c r="BB12" s="995">
        <f t="shared" si="58"/>
        <v>5</v>
      </c>
      <c r="BC12" s="1002">
        <f t="shared" si="59"/>
        <v>0.6428571429</v>
      </c>
      <c r="BD12" s="1003">
        <f t="shared" si="60"/>
        <v>1</v>
      </c>
      <c r="BE12" s="998">
        <f t="shared" si="36"/>
        <v>8</v>
      </c>
      <c r="BF12" s="995">
        <f t="shared" si="37"/>
        <v>6</v>
      </c>
      <c r="BG12" s="1002">
        <f t="shared" si="38"/>
        <v>0.5714285714</v>
      </c>
      <c r="BH12" s="997">
        <f t="shared" si="39"/>
        <v>4</v>
      </c>
      <c r="BI12" s="999">
        <f t="shared" si="40"/>
        <v>7</v>
      </c>
      <c r="BJ12" s="999">
        <f t="shared" si="41"/>
        <v>7</v>
      </c>
      <c r="BK12" s="1000">
        <f t="shared" si="42"/>
        <v>0.5</v>
      </c>
      <c r="BL12" s="999">
        <f t="shared" si="43"/>
        <v>4</v>
      </c>
    </row>
    <row r="13" ht="15.75" customHeight="1">
      <c r="A13" s="13" t="s">
        <v>674</v>
      </c>
      <c r="C13" s="13">
        <v>12.0</v>
      </c>
      <c r="D13" s="959">
        <v>2019.0</v>
      </c>
      <c r="E13" s="1005" t="s">
        <v>514</v>
      </c>
      <c r="F13" s="960" t="s">
        <v>671</v>
      </c>
      <c r="G13" s="961" t="str">
        <f>'League History BACKEND 2019'!G46</f>
        <v>YARDIES</v>
      </c>
      <c r="H13" s="962">
        <v>87.71</v>
      </c>
      <c r="I13" s="963">
        <v>110.3</v>
      </c>
      <c r="J13" s="964" t="str">
        <f>'League History BACKEND 2019'!J46</f>
        <v>METAMOOKDAWGS</v>
      </c>
      <c r="K13" s="965" t="str">
        <f t="shared" si="1"/>
        <v>METAMOOKDAWGS</v>
      </c>
      <c r="L13" s="966" t="str">
        <f t="shared" si="2"/>
        <v>YARDIES</v>
      </c>
      <c r="M13" s="967">
        <f t="array" ref="M13">IFERROR(IF(ABS(H13-I13)=0,Tie,ABS(H13-I13)),"UPCOMING")</f>
        <v>22.59</v>
      </c>
      <c r="N13" s="968">
        <f t="shared" si="3"/>
        <v>159</v>
      </c>
      <c r="O13" s="969">
        <f t="shared" si="4"/>
        <v>263</v>
      </c>
      <c r="P13" s="967">
        <f t="shared" si="5"/>
        <v>198.01</v>
      </c>
      <c r="Q13" s="968">
        <f t="shared" si="6"/>
        <v>420</v>
      </c>
      <c r="R13" s="967">
        <f t="shared" si="7"/>
        <v>289.5</v>
      </c>
      <c r="S13" s="970">
        <f t="shared" si="8"/>
        <v>347</v>
      </c>
      <c r="U13" s="13" t="str">
        <f>IFERROR(__xludf.DUMMYFUNCTION("IF($T13=""Y"",
  IFERROR(
    RANK.EQ($R13, FILTER($R:$R, $T:$T=""Y""), 1)
    + COUNTIFS($R:$R, $R13, $M:$M, ""&lt;""&amp;$M13, $T:$T, ""Y""),
    ""UPCOMING""
  ),
  ""NO REF""
)
"),"NO REF")</f>
        <v>NO REF</v>
      </c>
      <c r="X13" s="988">
        <v>10.0</v>
      </c>
      <c r="Y13" s="989">
        <f t="shared" si="9"/>
        <v>0.53</v>
      </c>
      <c r="Z13" s="990">
        <f t="shared" si="10"/>
        <v>2024</v>
      </c>
      <c r="AA13" s="990" t="str">
        <f t="shared" si="11"/>
        <v>WEEK 4</v>
      </c>
      <c r="AB13" s="991" t="str">
        <f t="shared" si="12"/>
        <v>EAGLES</v>
      </c>
      <c r="AC13" s="990" t="str">
        <f t="shared" si="13"/>
        <v>DECOUPES</v>
      </c>
      <c r="AD13" s="992" t="str">
        <f t="shared" si="14"/>
        <v>PVE FFL GAME 298</v>
      </c>
      <c r="AJ13" s="993" t="s">
        <v>478</v>
      </c>
      <c r="AK13" s="1001"/>
      <c r="AL13" s="869"/>
      <c r="AM13" s="1002"/>
      <c r="AN13" s="1003"/>
      <c r="AO13" s="1001"/>
      <c r="AP13" s="869"/>
      <c r="AQ13" s="1002"/>
      <c r="AR13" s="1003"/>
      <c r="AS13" s="1001"/>
      <c r="AT13" s="869"/>
      <c r="AU13" s="1002"/>
      <c r="AV13" s="1003"/>
      <c r="AW13" s="1001"/>
      <c r="AX13" s="869"/>
      <c r="AY13" s="1002"/>
      <c r="AZ13" s="1003"/>
      <c r="BA13" s="998"/>
      <c r="BB13" s="995"/>
      <c r="BC13" s="1002"/>
      <c r="BD13" s="1003"/>
      <c r="BE13" s="998">
        <f t="shared" si="36"/>
        <v>9</v>
      </c>
      <c r="BF13" s="995">
        <f t="shared" si="37"/>
        <v>5</v>
      </c>
      <c r="BG13" s="1002">
        <f t="shared" si="38"/>
        <v>0.6428571429</v>
      </c>
      <c r="BH13" s="997">
        <f t="shared" si="39"/>
        <v>3</v>
      </c>
      <c r="BI13" s="999">
        <f t="shared" si="40"/>
        <v>6</v>
      </c>
      <c r="BJ13" s="999">
        <f t="shared" si="41"/>
        <v>8</v>
      </c>
      <c r="BK13" s="1000">
        <f t="shared" si="42"/>
        <v>0.4285714286</v>
      </c>
      <c r="BL13" s="999">
        <f t="shared" si="43"/>
        <v>6</v>
      </c>
    </row>
    <row r="14" ht="15.75" customHeight="1">
      <c r="A14" s="13" t="s">
        <v>675</v>
      </c>
      <c r="C14" s="13">
        <v>13.0</v>
      </c>
      <c r="D14" s="959">
        <v>2019.0</v>
      </c>
      <c r="E14" s="1005" t="s">
        <v>515</v>
      </c>
      <c r="F14" s="960" t="s">
        <v>663</v>
      </c>
      <c r="G14" s="961" t="str">
        <f>'League History BACKEND 2019'!G50</f>
        <v>METAMOOKDAWGS</v>
      </c>
      <c r="H14" s="962">
        <v>131.05</v>
      </c>
      <c r="I14" s="963">
        <v>148.43</v>
      </c>
      <c r="J14" s="964" t="str">
        <f>'League History BACKEND 2019'!J50</f>
        <v>SAVAGES</v>
      </c>
      <c r="K14" s="965" t="str">
        <f t="shared" si="1"/>
        <v>SAVAGES</v>
      </c>
      <c r="L14" s="966" t="str">
        <f t="shared" si="2"/>
        <v>METAMOOKDAWGS</v>
      </c>
      <c r="M14" s="967">
        <f t="array" ref="M14">IFERROR(IF(ABS(H14-I14)=0,Tie,ABS(H14-I14)),"UPCOMING")</f>
        <v>17.38</v>
      </c>
      <c r="N14" s="968">
        <f t="shared" si="3"/>
        <v>129</v>
      </c>
      <c r="O14" s="969">
        <f t="shared" si="4"/>
        <v>293</v>
      </c>
      <c r="P14" s="967">
        <f t="shared" si="5"/>
        <v>279.48</v>
      </c>
      <c r="Q14" s="968">
        <f t="shared" si="6"/>
        <v>354</v>
      </c>
      <c r="R14" s="967">
        <f t="shared" si="7"/>
        <v>241.5</v>
      </c>
      <c r="S14" s="970">
        <f t="shared" si="8"/>
        <v>271</v>
      </c>
      <c r="U14" s="13" t="str">
        <f>IFERROR(__xludf.DUMMYFUNCTION("IF($T14=""Y"",
  IFERROR(
    RANK.EQ($R14, FILTER($R:$R, $T:$T=""Y""), 1)
    + COUNTIFS($R:$R, $R14, $M:$M, ""&lt;""&amp;$M14, $T:$T, ""Y""),
    ""UPCOMING""
  ),
  ""NO REF""
)
"),"NO REF")</f>
        <v>NO REF</v>
      </c>
      <c r="X14" s="988">
        <v>11.0</v>
      </c>
      <c r="Y14" s="989">
        <f t="shared" si="9"/>
        <v>0.83</v>
      </c>
      <c r="Z14" s="990">
        <f t="shared" si="10"/>
        <v>2024</v>
      </c>
      <c r="AA14" s="990" t="str">
        <f t="shared" si="11"/>
        <v>WEEK 11</v>
      </c>
      <c r="AB14" s="991" t="str">
        <f t="shared" si="12"/>
        <v>DECOUPES</v>
      </c>
      <c r="AC14" s="990" t="str">
        <f t="shared" si="13"/>
        <v>METAMOOKDAWGS</v>
      </c>
      <c r="AD14" s="992" t="str">
        <f t="shared" si="14"/>
        <v>PVE FFL GAME 334</v>
      </c>
      <c r="AJ14" s="993" t="str">
        <f t="shared" ref="AJ14:AJ15" si="65">A11</f>
        <v>DEEZ NUTS</v>
      </c>
      <c r="AK14" s="1001">
        <f>COUNTIFS($D:$D, $AK$1, $K:$K, $AJ14)</f>
        <v>6</v>
      </c>
      <c r="AL14" s="869">
        <f>COUNTIFS($D:$D, $AK$1, $L:$L, $AJ14)</f>
        <v>7</v>
      </c>
      <c r="AM14" s="1002">
        <f t="shared" ref="AM14:AM15" si="66">IFERROR(AK14/(AK14+AL14),"N/A")</f>
        <v>0.4615384615</v>
      </c>
      <c r="AN14" s="1003">
        <f t="shared" ref="AN14:AN15" si="67">IFERROR(_xlfn.RANK.EQ(AM14,$AM$4:$AM$15,0),"N/A")</f>
        <v>4</v>
      </c>
      <c r="AO14" s="1001"/>
      <c r="AP14" s="869"/>
      <c r="AQ14" s="1002" t="str">
        <f t="shared" ref="AQ14:AQ15" si="68">IFERROR(AO14/(AO14+AP14),"N/A")</f>
        <v>N/A</v>
      </c>
      <c r="AR14" s="1003" t="str">
        <f t="shared" ref="AR14:AR15" si="69">IFERROR(_xlfn.RANK.EQ(AQ14,$AQ$4:$AQ$15,0),"N/A")</f>
        <v>N/A</v>
      </c>
      <c r="AS14" s="1001">
        <f t="shared" ref="AS14:AS15" si="70">COUNTIFS($D:$D, $AS$1, $K:$K, $AJ14)</f>
        <v>4</v>
      </c>
      <c r="AT14" s="869">
        <f t="shared" ref="AT14:AT15" si="71">COUNTIFS($D:$D, $AS$1, $L:$L, $AJ14)</f>
        <v>9</v>
      </c>
      <c r="AU14" s="1002">
        <f t="shared" ref="AU14:AU15" si="72">IFERROR(AS14/(AS14+AT14),"N/A")</f>
        <v>0.3076923077</v>
      </c>
      <c r="AV14" s="1003">
        <f t="shared" ref="AV14:AV15" si="73">IFERROR(_xlfn.RANK.EQ(AU14,$AU$4:$AU$15,0),"N/A")</f>
        <v>9</v>
      </c>
      <c r="AW14" s="1001"/>
      <c r="AX14" s="869"/>
      <c r="AY14" s="1002" t="str">
        <f t="shared" ref="AY14:AY15" si="74">IFERROR(AW14/(AW14+AX14),"N/A")</f>
        <v>N/A</v>
      </c>
      <c r="AZ14" s="1003" t="str">
        <f t="shared" ref="AZ14:AZ15" si="75">IFERROR(_xlfn.RANK.EQ(AY14,$AY$4:$AY$15,0),"N/A")</f>
        <v>N/A</v>
      </c>
      <c r="BA14" s="998"/>
      <c r="BB14" s="995"/>
      <c r="BC14" s="1002" t="str">
        <f t="shared" ref="BC14:BC15" si="76">IFERROR(BA14/(BA14+BB14),"N/A")</f>
        <v>N/A</v>
      </c>
      <c r="BD14" s="1003" t="str">
        <f t="shared" ref="BD14:BD15" si="77">IFERROR(_xlfn.RANK.EQ(BC14,$BC$4:$BC$15,0),"N/A")</f>
        <v>N/A</v>
      </c>
      <c r="BE14" s="998"/>
      <c r="BF14" s="995"/>
      <c r="BG14" s="1002" t="str">
        <f t="shared" si="38"/>
        <v>N/A</v>
      </c>
      <c r="BH14" s="997" t="str">
        <f t="shared" si="39"/>
        <v>N/A</v>
      </c>
      <c r="BI14" s="999"/>
      <c r="BJ14" s="999"/>
      <c r="BK14" s="999"/>
      <c r="BL14" s="999"/>
    </row>
    <row r="15" ht="15.75" customHeight="1">
      <c r="A15" s="13" t="s">
        <v>478</v>
      </c>
      <c r="C15" s="13">
        <v>14.0</v>
      </c>
      <c r="D15" s="959">
        <v>2019.0</v>
      </c>
      <c r="E15" s="1005" t="s">
        <v>515</v>
      </c>
      <c r="F15" s="960" t="s">
        <v>665</v>
      </c>
      <c r="G15" s="961" t="str">
        <f>'League History BACKEND 2019'!G52</f>
        <v>MUTTS</v>
      </c>
      <c r="H15" s="962">
        <v>187.4</v>
      </c>
      <c r="I15" s="963">
        <v>110.3</v>
      </c>
      <c r="J15" s="964" t="str">
        <f>'League History BACKEND 2019'!J52</f>
        <v>GREEN</v>
      </c>
      <c r="K15" s="965" t="str">
        <f t="shared" si="1"/>
        <v>MUTTS</v>
      </c>
      <c r="L15" s="966" t="str">
        <f t="shared" si="2"/>
        <v>GREEN</v>
      </c>
      <c r="M15" s="967">
        <f t="array" ref="M15">IFERROR(IF(ABS(H15-I15)=0,Tie,ABS(H15-I15)),"UPCOMING")</f>
        <v>77.1</v>
      </c>
      <c r="N15" s="968">
        <f t="shared" si="3"/>
        <v>385</v>
      </c>
      <c r="O15" s="969">
        <f t="shared" si="4"/>
        <v>37</v>
      </c>
      <c r="P15" s="967">
        <f t="shared" si="5"/>
        <v>297.7</v>
      </c>
      <c r="Q15" s="968">
        <f t="shared" si="6"/>
        <v>311</v>
      </c>
      <c r="R15" s="967">
        <f t="shared" si="7"/>
        <v>348</v>
      </c>
      <c r="S15" s="970">
        <f t="shared" si="8"/>
        <v>407</v>
      </c>
      <c r="U15" s="13" t="str">
        <f>IFERROR(__xludf.DUMMYFUNCTION("IF($T15=""Y"",
  IFERROR(
    RANK.EQ($R15, FILTER($R:$R, $T:$T=""Y""), 1)
    + COUNTIFS($R:$R, $R15, $M:$M, ""&lt;""&amp;$M15, $T:$T, ""Y""),
    ""UPCOMING""
  ),
  ""NO REF""
)
"),"NO REF")</f>
        <v>NO REF</v>
      </c>
      <c r="X15" s="988">
        <v>12.0</v>
      </c>
      <c r="Y15" s="989">
        <f t="shared" si="9"/>
        <v>0.88</v>
      </c>
      <c r="Z15" s="990">
        <f t="shared" si="10"/>
        <v>2019</v>
      </c>
      <c r="AA15" s="990" t="str">
        <f t="shared" si="11"/>
        <v>WEEK 13</v>
      </c>
      <c r="AB15" s="991" t="str">
        <f t="shared" si="12"/>
        <v>YARDIES</v>
      </c>
      <c r="AC15" s="990" t="str">
        <f t="shared" si="13"/>
        <v>MUTTS</v>
      </c>
      <c r="AD15" s="992" t="str">
        <f t="shared" si="14"/>
        <v>PVE FFL GAME 49</v>
      </c>
      <c r="AJ15" s="1006" t="str">
        <f t="shared" si="65"/>
        <v>GIRLS</v>
      </c>
      <c r="AK15" s="816"/>
      <c r="AL15" s="1007"/>
      <c r="AM15" s="1008" t="str">
        <f t="shared" si="66"/>
        <v>N/A</v>
      </c>
      <c r="AN15" s="1009" t="str">
        <f t="shared" si="67"/>
        <v>N/A</v>
      </c>
      <c r="AO15" s="816">
        <f>COUNTIFS($D:$D, $AO$1, $K:$K, $AJ15)</f>
        <v>5</v>
      </c>
      <c r="AP15" s="1007">
        <f>COUNTIFS($D:$D, $AO$1, $L:$L, $AJ15)</f>
        <v>8</v>
      </c>
      <c r="AQ15" s="1008">
        <f t="shared" si="68"/>
        <v>0.3846153846</v>
      </c>
      <c r="AR15" s="1009">
        <f t="shared" si="69"/>
        <v>5</v>
      </c>
      <c r="AS15" s="816">
        <f t="shared" si="70"/>
        <v>9</v>
      </c>
      <c r="AT15" s="1007">
        <f t="shared" si="71"/>
        <v>4</v>
      </c>
      <c r="AU15" s="1008">
        <f t="shared" si="72"/>
        <v>0.6923076923</v>
      </c>
      <c r="AV15" s="1009">
        <f t="shared" si="73"/>
        <v>1</v>
      </c>
      <c r="AW15" s="816"/>
      <c r="AX15" s="1007"/>
      <c r="AY15" s="1008" t="str">
        <f t="shared" si="74"/>
        <v>N/A</v>
      </c>
      <c r="AZ15" s="1010" t="str">
        <f t="shared" si="75"/>
        <v>N/A</v>
      </c>
      <c r="BA15" s="1011"/>
      <c r="BB15" s="1012"/>
      <c r="BC15" s="1008" t="str">
        <f t="shared" si="76"/>
        <v>N/A</v>
      </c>
      <c r="BD15" s="1009" t="str">
        <f t="shared" si="77"/>
        <v>N/A</v>
      </c>
      <c r="BE15" s="998"/>
      <c r="BF15" s="995"/>
      <c r="BG15" s="1008" t="str">
        <f t="shared" si="38"/>
        <v>N/A</v>
      </c>
      <c r="BH15" s="997" t="str">
        <f t="shared" si="39"/>
        <v>N/A</v>
      </c>
      <c r="BI15" s="999"/>
      <c r="BJ15" s="999"/>
      <c r="BK15" s="999"/>
      <c r="BL15" s="999"/>
    </row>
    <row r="16" ht="15.75" customHeight="1">
      <c r="A16" s="13" t="s">
        <v>477</v>
      </c>
      <c r="C16" s="13">
        <v>15.0</v>
      </c>
      <c r="D16" s="959">
        <v>2019.0</v>
      </c>
      <c r="E16" s="1005" t="s">
        <v>515</v>
      </c>
      <c r="F16" s="960" t="s">
        <v>670</v>
      </c>
      <c r="G16" s="961" t="str">
        <f>'League History BACKEND 2019'!G54</f>
        <v>YARDIES</v>
      </c>
      <c r="H16" s="962">
        <v>103.2</v>
      </c>
      <c r="I16" s="1013">
        <v>70.3</v>
      </c>
      <c r="J16" s="964" t="str">
        <f>'League History BACKEND 2019'!J54</f>
        <v>POPEYES</v>
      </c>
      <c r="K16" s="965" t="str">
        <f t="shared" si="1"/>
        <v>YARDIES</v>
      </c>
      <c r="L16" s="966" t="str">
        <f t="shared" si="2"/>
        <v>POPEYES</v>
      </c>
      <c r="M16" s="967">
        <f t="array" ref="M16">IFERROR(IF(ABS(H16-I16)=0,Tie,ABS(H16-I16)),"UPCOMING")</f>
        <v>32.9</v>
      </c>
      <c r="N16" s="968">
        <f t="shared" si="3"/>
        <v>211</v>
      </c>
      <c r="O16" s="969">
        <f t="shared" si="4"/>
        <v>211</v>
      </c>
      <c r="P16" s="967">
        <f t="shared" si="5"/>
        <v>173.5</v>
      </c>
      <c r="Q16" s="968">
        <f t="shared" si="6"/>
        <v>421</v>
      </c>
      <c r="R16" s="967">
        <f t="shared" si="7"/>
        <v>316</v>
      </c>
      <c r="S16" s="970">
        <f t="shared" si="8"/>
        <v>375</v>
      </c>
      <c r="U16" s="13" t="str">
        <f>IFERROR(__xludf.DUMMYFUNCTION("IF($T16=""Y"",
  IFERROR(
    RANK.EQ($R16, FILTER($R:$R, $T:$T=""Y""), 1)
    + COUNTIFS($R:$R, $R16, $M:$M, ""&lt;""&amp;$M16, $T:$T, ""Y""),
    ""UPCOMING""
  ),
  ""NO REF""
)
"),"NO REF")</f>
        <v>NO REF</v>
      </c>
      <c r="X16" s="988">
        <v>13.0</v>
      </c>
      <c r="Y16" s="989">
        <f t="shared" si="9"/>
        <v>1</v>
      </c>
      <c r="Z16" s="990">
        <f t="shared" si="10"/>
        <v>2025</v>
      </c>
      <c r="AA16" s="990" t="str">
        <f t="shared" si="11"/>
        <v>WEEK 6</v>
      </c>
      <c r="AB16" s="991" t="str">
        <f t="shared" si="12"/>
        <v>SAVAGES</v>
      </c>
      <c r="AC16" s="990" t="str">
        <f t="shared" si="13"/>
        <v>METAMOOKDAWGS</v>
      </c>
      <c r="AD16" s="992" t="str">
        <f t="shared" si="14"/>
        <v>PVE FFL GAME 381</v>
      </c>
      <c r="AK16" s="314"/>
      <c r="AL16" s="314"/>
      <c r="AM16" s="1014">
        <f>STDEV(AM4:AM15)</f>
        <v>0.1087856586</v>
      </c>
      <c r="AN16" s="314"/>
      <c r="AO16" s="314"/>
      <c r="AP16" s="314"/>
      <c r="AQ16" s="1014">
        <f>STDEV(AQ4:AQ15)</f>
        <v>0.2567762955</v>
      </c>
      <c r="AR16" s="314"/>
      <c r="AS16" s="314"/>
      <c r="AT16" s="314"/>
      <c r="AU16" s="1014">
        <f>STDEV(AU4:AU15)</f>
        <v>0.1506069247</v>
      </c>
      <c r="AV16" s="314"/>
      <c r="AW16" s="314"/>
      <c r="AX16" s="314"/>
      <c r="AY16" s="1015">
        <f>STDEV(AY4:AY15)</f>
        <v>0.1749635531</v>
      </c>
      <c r="AZ16" s="314"/>
      <c r="BA16" s="314"/>
      <c r="BB16" s="314"/>
      <c r="BC16" s="1016">
        <f>STDEV(BC4:BC15)</f>
        <v>0.1207363221</v>
      </c>
      <c r="BD16" s="314"/>
      <c r="BE16" s="998">
        <f>COUNTIFS($D:$D, BE$1, $K:$K, $AJ16)</f>
        <v>0</v>
      </c>
      <c r="BF16" s="995">
        <f>COUNTIFS($D:$D, BE$1, $L:$L, $AJ16)</f>
        <v>0</v>
      </c>
      <c r="BG16" s="1014">
        <f>STDEV(BG4:BG15)</f>
        <v>0.1963383631</v>
      </c>
      <c r="BH16" s="314"/>
      <c r="BI16" s="314"/>
      <c r="BJ16" s="314"/>
      <c r="BK16" s="1014">
        <f>STDEV(BK4:BK13)</f>
        <v>0.1716929179</v>
      </c>
      <c r="BL16" s="314"/>
    </row>
    <row r="17" ht="15.75" customHeight="1">
      <c r="A17" s="13"/>
      <c r="B17" s="13"/>
      <c r="C17" s="13">
        <v>16.0</v>
      </c>
      <c r="D17" s="959">
        <v>2019.0</v>
      </c>
      <c r="E17" s="1005" t="s">
        <v>515</v>
      </c>
      <c r="F17" s="960" t="s">
        <v>671</v>
      </c>
      <c r="G17" s="961" t="str">
        <f>'League History BACKEND 2019'!G56</f>
        <v>DECOUPES</v>
      </c>
      <c r="H17" s="962">
        <v>137.13</v>
      </c>
      <c r="I17" s="963">
        <v>127.92</v>
      </c>
      <c r="J17" s="964" t="str">
        <f>'League History BACKEND 2019'!J56</f>
        <v>DEEZ NUTS</v>
      </c>
      <c r="K17" s="965" t="str">
        <f t="shared" si="1"/>
        <v>DECOUPES</v>
      </c>
      <c r="L17" s="966" t="str">
        <f t="shared" si="2"/>
        <v>DEEZ NUTS</v>
      </c>
      <c r="M17" s="967">
        <f t="array" ref="M17">IFERROR(IF(ABS(H17-I17)=0,Tie,ABS(H17-I17)),"UPCOMING")</f>
        <v>9.21</v>
      </c>
      <c r="N17" s="968">
        <f t="shared" si="3"/>
        <v>69</v>
      </c>
      <c r="O17" s="969">
        <f t="shared" si="4"/>
        <v>353</v>
      </c>
      <c r="P17" s="967">
        <f t="shared" si="5"/>
        <v>265.05</v>
      </c>
      <c r="Q17" s="968">
        <f t="shared" si="6"/>
        <v>381</v>
      </c>
      <c r="R17" s="967">
        <f t="shared" si="7"/>
        <v>225</v>
      </c>
      <c r="S17" s="970">
        <f t="shared" si="8"/>
        <v>239</v>
      </c>
      <c r="U17" s="13" t="str">
        <f>IFERROR(__xludf.DUMMYFUNCTION("IF($T17=""Y"",
  IFERROR(
    RANK.EQ($R17, FILTER($R:$R, $T:$T=""Y""), 1)
    + COUNTIFS($R:$R, $R17, $M:$M, ""&lt;""&amp;$M17, $T:$T, ""Y""),
    ""UPCOMING""
  ),
  ""NO REF""
)
"),"NO REF")</f>
        <v>NO REF</v>
      </c>
      <c r="X17" s="988">
        <v>14.0</v>
      </c>
      <c r="Y17" s="989">
        <f t="shared" si="9"/>
        <v>1.04</v>
      </c>
      <c r="Z17" s="990">
        <f t="shared" si="10"/>
        <v>2024</v>
      </c>
      <c r="AA17" s="990" t="str">
        <f t="shared" si="11"/>
        <v>WEEK 1</v>
      </c>
      <c r="AB17" s="991" t="str">
        <f t="shared" si="12"/>
        <v>KINGS</v>
      </c>
      <c r="AC17" s="990" t="str">
        <f t="shared" si="13"/>
        <v>DECOUPES</v>
      </c>
      <c r="AD17" s="992" t="str">
        <f t="shared" si="14"/>
        <v>PVE FFL GAME 283</v>
      </c>
      <c r="AK17" s="314"/>
      <c r="AL17" s="314"/>
      <c r="AN17" s="314"/>
      <c r="AO17" s="314"/>
      <c r="AP17" s="314"/>
      <c r="AR17" s="314"/>
      <c r="AS17" s="314"/>
      <c r="AT17" s="314"/>
      <c r="AV17" s="314"/>
      <c r="AW17" s="314"/>
      <c r="AX17" s="314"/>
      <c r="AZ17" s="314"/>
      <c r="BA17" s="314"/>
      <c r="BB17" s="314"/>
      <c r="BC17" s="892"/>
      <c r="BD17" s="314"/>
    </row>
    <row r="18" ht="15.75" customHeight="1">
      <c r="C18" s="13">
        <v>17.0</v>
      </c>
      <c r="D18" s="959">
        <v>2019.0</v>
      </c>
      <c r="E18" s="1005" t="s">
        <v>516</v>
      </c>
      <c r="F18" s="960" t="s">
        <v>663</v>
      </c>
      <c r="G18" s="961" t="str">
        <f>'League History BACKEND 2019'!G60</f>
        <v>POPEYES</v>
      </c>
      <c r="H18" s="962">
        <v>155.99</v>
      </c>
      <c r="I18" s="963">
        <v>203.38</v>
      </c>
      <c r="J18" s="964" t="str">
        <f>'League History BACKEND 2019'!J60</f>
        <v>SAVAGES</v>
      </c>
      <c r="K18" s="965" t="str">
        <f t="shared" si="1"/>
        <v>SAVAGES</v>
      </c>
      <c r="L18" s="966" t="str">
        <f t="shared" si="2"/>
        <v>POPEYES</v>
      </c>
      <c r="M18" s="967">
        <f t="array" ref="M18">IFERROR(IF(ABS(H18-I18)=0,Tie,ABS(H18-I18)),"UPCOMING")</f>
        <v>47.39</v>
      </c>
      <c r="N18" s="968">
        <f t="shared" si="3"/>
        <v>300</v>
      </c>
      <c r="O18" s="969">
        <f t="shared" si="4"/>
        <v>122</v>
      </c>
      <c r="P18" s="967">
        <f t="shared" si="5"/>
        <v>359.37</v>
      </c>
      <c r="Q18" s="968">
        <f t="shared" si="6"/>
        <v>140</v>
      </c>
      <c r="R18" s="967">
        <f t="shared" si="7"/>
        <v>220</v>
      </c>
      <c r="S18" s="970">
        <f t="shared" si="8"/>
        <v>232</v>
      </c>
      <c r="U18" s="13" t="str">
        <f>IFERROR(__xludf.DUMMYFUNCTION("IF($T18=""Y"",
  IFERROR(
    RANK.EQ($R18, FILTER($R:$R, $T:$T=""Y""), 1)
    + COUNTIFS($R:$R, $R18, $M:$M, ""&lt;""&amp;$M18, $T:$T, ""Y""),
    ""UPCOMING""
  ),
  ""NO REF""
)
"),"NO REF")</f>
        <v>NO REF</v>
      </c>
      <c r="X18" s="988">
        <v>15.0</v>
      </c>
      <c r="Y18" s="989">
        <f t="shared" si="9"/>
        <v>1.15</v>
      </c>
      <c r="Z18" s="990">
        <f t="shared" si="10"/>
        <v>2020</v>
      </c>
      <c r="AA18" s="990" t="str">
        <f t="shared" si="11"/>
        <v>WEEK 12</v>
      </c>
      <c r="AB18" s="991" t="str">
        <f t="shared" si="12"/>
        <v>SAVAGES</v>
      </c>
      <c r="AC18" s="990" t="str">
        <f t="shared" si="13"/>
        <v>GREEN</v>
      </c>
      <c r="AD18" s="992" t="str">
        <f t="shared" si="14"/>
        <v>PVE FFL GAME 97</v>
      </c>
      <c r="AK18" s="314"/>
      <c r="AL18" s="314"/>
      <c r="AN18" s="314"/>
      <c r="AO18" s="314"/>
      <c r="AP18" s="314"/>
      <c r="AR18" s="314"/>
      <c r="AS18" s="314"/>
      <c r="AT18" s="314"/>
      <c r="AV18" s="314"/>
      <c r="AW18" s="314"/>
      <c r="AX18" s="314"/>
      <c r="AZ18" s="314"/>
      <c r="BA18" s="314"/>
      <c r="BB18" s="314"/>
      <c r="BC18" s="892"/>
      <c r="BD18" s="314"/>
    </row>
    <row r="19" ht="15.75" customHeight="1">
      <c r="C19" s="13">
        <v>18.0</v>
      </c>
      <c r="D19" s="959">
        <v>2019.0</v>
      </c>
      <c r="E19" s="1005" t="s">
        <v>516</v>
      </c>
      <c r="F19" s="960" t="s">
        <v>665</v>
      </c>
      <c r="G19" s="961" t="str">
        <f>'League History BACKEND 2019'!G62</f>
        <v>GREEN</v>
      </c>
      <c r="H19" s="962">
        <v>97.41</v>
      </c>
      <c r="I19" s="963">
        <v>131.03</v>
      </c>
      <c r="J19" s="964" t="str">
        <f>'League History BACKEND 2019'!J62</f>
        <v>DECOUPES</v>
      </c>
      <c r="K19" s="965" t="str">
        <f t="shared" si="1"/>
        <v>DECOUPES</v>
      </c>
      <c r="L19" s="966" t="str">
        <f t="shared" si="2"/>
        <v>GREEN</v>
      </c>
      <c r="M19" s="967">
        <f t="array" ref="M19">IFERROR(IF(ABS(H19-I19)=0,Tie,ABS(H19-I19)),"UPCOMING")</f>
        <v>33.62</v>
      </c>
      <c r="N19" s="968">
        <f t="shared" si="3"/>
        <v>217</v>
      </c>
      <c r="O19" s="969">
        <f t="shared" si="4"/>
        <v>205</v>
      </c>
      <c r="P19" s="967">
        <f t="shared" si="5"/>
        <v>228.44</v>
      </c>
      <c r="Q19" s="968">
        <f t="shared" si="6"/>
        <v>411</v>
      </c>
      <c r="R19" s="967">
        <f t="shared" si="7"/>
        <v>314</v>
      </c>
      <c r="S19" s="970">
        <f t="shared" si="8"/>
        <v>372</v>
      </c>
      <c r="U19" s="13" t="str">
        <f>IFERROR(__xludf.DUMMYFUNCTION("IF($T19=""Y"",
  IFERROR(
    RANK.EQ($R19, FILTER($R:$R, $T:$T=""Y""), 1)
    + COUNTIFS($R:$R, $R19, $M:$M, ""&lt;""&amp;$M19, $T:$T, ""Y""),
    ""UPCOMING""
  ),
  ""NO REF""
)
"),"NO REF")</f>
        <v>NO REF</v>
      </c>
      <c r="X19" s="988">
        <v>16.0</v>
      </c>
      <c r="Y19" s="989">
        <f t="shared" si="9"/>
        <v>1.39</v>
      </c>
      <c r="Z19" s="990">
        <f t="shared" si="10"/>
        <v>2021</v>
      </c>
      <c r="AA19" s="990" t="str">
        <f t="shared" si="11"/>
        <v>WEEK 3</v>
      </c>
      <c r="AB19" s="991" t="str">
        <f t="shared" si="12"/>
        <v>MUTTS</v>
      </c>
      <c r="AC19" s="990" t="str">
        <f t="shared" si="13"/>
        <v>CHAMPS</v>
      </c>
      <c r="AD19" s="992" t="str">
        <f t="shared" si="14"/>
        <v>PVE FFL GAME 119</v>
      </c>
      <c r="AK19" s="314"/>
      <c r="AL19" s="314"/>
      <c r="AN19" s="314"/>
      <c r="AO19" s="314"/>
      <c r="AP19" s="314"/>
      <c r="AR19" s="314"/>
      <c r="AS19" s="314"/>
      <c r="AT19" s="314"/>
      <c r="AV19" s="314"/>
      <c r="AW19" s="314"/>
      <c r="AX19" s="314"/>
      <c r="AZ19" s="314"/>
      <c r="BA19" s="314"/>
      <c r="BB19" s="314"/>
      <c r="BC19" s="892"/>
      <c r="BD19" s="314"/>
    </row>
    <row r="20" ht="15.75" customHeight="1">
      <c r="C20" s="13">
        <v>19.0</v>
      </c>
      <c r="D20" s="959">
        <v>2019.0</v>
      </c>
      <c r="E20" s="1005" t="s">
        <v>516</v>
      </c>
      <c r="F20" s="960" t="s">
        <v>670</v>
      </c>
      <c r="G20" s="961" t="str">
        <f>'League History BACKEND 2019'!G64</f>
        <v>DEEZ NUTS</v>
      </c>
      <c r="H20" s="962">
        <v>171.28</v>
      </c>
      <c r="I20" s="963">
        <v>106.72</v>
      </c>
      <c r="J20" s="964" t="str">
        <f>'League History BACKEND 2019'!J64</f>
        <v>YARDIES</v>
      </c>
      <c r="K20" s="965" t="str">
        <f t="shared" si="1"/>
        <v>DEEZ NUTS</v>
      </c>
      <c r="L20" s="966" t="str">
        <f t="shared" si="2"/>
        <v>YARDIES</v>
      </c>
      <c r="M20" s="967">
        <f t="array" ref="M20">IFERROR(IF(ABS(H20-I20)=0,Tie,ABS(H20-I20)),"UPCOMING")</f>
        <v>64.56</v>
      </c>
      <c r="N20" s="968">
        <f t="shared" si="3"/>
        <v>352</v>
      </c>
      <c r="O20" s="969">
        <f t="shared" si="4"/>
        <v>70</v>
      </c>
      <c r="P20" s="967">
        <f t="shared" si="5"/>
        <v>278</v>
      </c>
      <c r="Q20" s="968">
        <f t="shared" si="6"/>
        <v>359</v>
      </c>
      <c r="R20" s="967">
        <f t="shared" si="7"/>
        <v>355.5</v>
      </c>
      <c r="S20" s="970">
        <f t="shared" si="8"/>
        <v>410</v>
      </c>
      <c r="U20" s="13" t="str">
        <f>IFERROR(__xludf.DUMMYFUNCTION("IF($T20=""Y"",
  IFERROR(
    RANK.EQ($R20, FILTER($R:$R, $T:$T=""Y""), 1)
    + COUNTIFS($R:$R, $R20, $M:$M, ""&lt;""&amp;$M20, $T:$T, ""Y""),
    ""UPCOMING""
  ),
  ""NO REF""
)
"),"NO REF")</f>
        <v>NO REF</v>
      </c>
      <c r="X20" s="988">
        <v>17.0</v>
      </c>
      <c r="Y20" s="989">
        <f t="shared" si="9"/>
        <v>1.68</v>
      </c>
      <c r="Z20" s="990">
        <f t="shared" si="10"/>
        <v>2021</v>
      </c>
      <c r="AA20" s="990" t="str">
        <f t="shared" si="11"/>
        <v>WEEK 11</v>
      </c>
      <c r="AB20" s="991" t="str">
        <f t="shared" si="12"/>
        <v>METAMOOKDAWGS</v>
      </c>
      <c r="AC20" s="990" t="str">
        <f t="shared" si="13"/>
        <v>CHAMPS</v>
      </c>
      <c r="AD20" s="992" t="str">
        <f t="shared" si="14"/>
        <v>PVE FFL GAME 154</v>
      </c>
      <c r="AK20" s="314"/>
      <c r="AL20" s="314"/>
      <c r="AN20" s="314"/>
      <c r="AO20" s="314"/>
      <c r="AP20" s="314"/>
      <c r="AR20" s="314"/>
      <c r="AS20" s="314"/>
      <c r="AT20" s="314"/>
      <c r="AV20" s="314"/>
      <c r="AW20" s="314"/>
      <c r="AX20" s="314"/>
      <c r="AZ20" s="314"/>
      <c r="BA20" s="314"/>
      <c r="BB20" s="314"/>
      <c r="BC20" s="892"/>
      <c r="BD20" s="314"/>
    </row>
    <row r="21" ht="15.75" customHeight="1">
      <c r="C21" s="13">
        <v>20.0</v>
      </c>
      <c r="D21" s="959">
        <v>2019.0</v>
      </c>
      <c r="E21" s="1005" t="s">
        <v>516</v>
      </c>
      <c r="F21" s="960" t="s">
        <v>671</v>
      </c>
      <c r="G21" s="961" t="str">
        <f>'League History BACKEND 2019'!G66</f>
        <v>METAMOOKDAWGS</v>
      </c>
      <c r="H21" s="962">
        <v>259.34</v>
      </c>
      <c r="I21" s="963">
        <v>123.78</v>
      </c>
      <c r="J21" s="964" t="str">
        <f>'League History BACKEND 2019'!J66</f>
        <v>MUTTS</v>
      </c>
      <c r="K21" s="965" t="str">
        <f t="shared" si="1"/>
        <v>METAMOOKDAWGS</v>
      </c>
      <c r="L21" s="966" t="str">
        <f t="shared" si="2"/>
        <v>MUTTS</v>
      </c>
      <c r="M21" s="967">
        <f t="array" ref="M21">IFERROR(IF(ABS(H21-I21)=0,Tie,ABS(H21-I21)),"UPCOMING")</f>
        <v>135.56</v>
      </c>
      <c r="N21" s="968">
        <f t="shared" si="3"/>
        <v>420</v>
      </c>
      <c r="O21" s="969">
        <f t="shared" si="4"/>
        <v>2</v>
      </c>
      <c r="P21" s="967">
        <f t="shared" si="5"/>
        <v>383.12</v>
      </c>
      <c r="Q21" s="968">
        <f t="shared" si="6"/>
        <v>82</v>
      </c>
      <c r="R21" s="967">
        <f t="shared" si="7"/>
        <v>251</v>
      </c>
      <c r="S21" s="970">
        <f t="shared" si="8"/>
        <v>293</v>
      </c>
      <c r="U21" s="13" t="str">
        <f>IFERROR(__xludf.DUMMYFUNCTION("IF($T21=""Y"",
  IFERROR(
    RANK.EQ($R21, FILTER($R:$R, $T:$T=""Y""), 1)
    + COUNTIFS($R:$R, $R21, $M:$M, ""&lt;""&amp;$M21, $T:$T, ""Y""),
    ""UPCOMING""
  ),
  ""NO REF""
)
"),"NO REF")</f>
        <v>NO REF</v>
      </c>
      <c r="X21" s="988">
        <v>18.0</v>
      </c>
      <c r="Y21" s="989">
        <f t="shared" si="9"/>
        <v>1.71</v>
      </c>
      <c r="Z21" s="990">
        <f t="shared" si="10"/>
        <v>2020</v>
      </c>
      <c r="AA21" s="990" t="str">
        <f t="shared" si="11"/>
        <v>WEEK 11</v>
      </c>
      <c r="AB21" s="991" t="str">
        <f t="shared" si="12"/>
        <v>YARDIES</v>
      </c>
      <c r="AC21" s="990" t="str">
        <f t="shared" si="13"/>
        <v>MUTTS</v>
      </c>
      <c r="AD21" s="992" t="str">
        <f t="shared" si="14"/>
        <v>PVE FFL GAME 96</v>
      </c>
      <c r="AK21" s="314"/>
      <c r="AL21" s="314"/>
      <c r="AN21" s="314"/>
      <c r="AO21" s="314"/>
      <c r="AP21" s="314"/>
      <c r="AR21" s="314"/>
      <c r="AS21" s="314"/>
      <c r="AT21" s="314"/>
      <c r="AV21" s="314"/>
      <c r="AW21" s="314"/>
      <c r="AX21" s="314"/>
      <c r="AZ21" s="314"/>
      <c r="BA21" s="314"/>
      <c r="BB21" s="314"/>
      <c r="BC21" s="892"/>
      <c r="BD21" s="314"/>
    </row>
    <row r="22" ht="15.75" customHeight="1">
      <c r="C22" s="13">
        <v>21.0</v>
      </c>
      <c r="D22" s="959">
        <v>2019.0</v>
      </c>
      <c r="E22" s="1005" t="s">
        <v>517</v>
      </c>
      <c r="F22" s="960" t="s">
        <v>663</v>
      </c>
      <c r="G22" s="961" t="str">
        <f>'League History BACKEND 2019'!G70</f>
        <v>SAVAGES</v>
      </c>
      <c r="H22" s="962">
        <v>146.64</v>
      </c>
      <c r="I22" s="963">
        <v>93.64</v>
      </c>
      <c r="J22" s="964" t="str">
        <f>'League History BACKEND 2019'!J70</f>
        <v>DECOUPES</v>
      </c>
      <c r="K22" s="965" t="str">
        <f t="shared" si="1"/>
        <v>SAVAGES</v>
      </c>
      <c r="L22" s="966" t="str">
        <f t="shared" si="2"/>
        <v>DECOUPES</v>
      </c>
      <c r="M22" s="967">
        <f t="array" ref="M22">IFERROR(IF(ABS(H22-I22)=0,Tie,ABS(H22-I22)),"UPCOMING")</f>
        <v>53</v>
      </c>
      <c r="N22" s="968">
        <f t="shared" si="3"/>
        <v>318</v>
      </c>
      <c r="O22" s="969">
        <f t="shared" si="4"/>
        <v>104</v>
      </c>
      <c r="P22" s="967">
        <f t="shared" si="5"/>
        <v>240.28</v>
      </c>
      <c r="Q22" s="968">
        <f t="shared" si="6"/>
        <v>404</v>
      </c>
      <c r="R22" s="967">
        <f t="shared" si="7"/>
        <v>361</v>
      </c>
      <c r="S22" s="970">
        <f t="shared" si="8"/>
        <v>413</v>
      </c>
      <c r="U22" s="13" t="str">
        <f>IFERROR(__xludf.DUMMYFUNCTION("IF($T22=""Y"",
  IFERROR(
    RANK.EQ($R22, FILTER($R:$R, $T:$T=""Y""), 1)
    + COUNTIFS($R:$R, $R22, $M:$M, ""&lt;""&amp;$M22, $T:$T, ""Y""),
    ""UPCOMING""
  ),
  ""NO REF""
)
"),"NO REF")</f>
        <v>NO REF</v>
      </c>
      <c r="X22" s="988">
        <v>19.0</v>
      </c>
      <c r="Y22" s="989">
        <f t="shared" si="9"/>
        <v>1.74</v>
      </c>
      <c r="Z22" s="990">
        <f t="shared" si="10"/>
        <v>2020</v>
      </c>
      <c r="AA22" s="990" t="str">
        <f t="shared" si="11"/>
        <v>WEEK 10</v>
      </c>
      <c r="AB22" s="991" t="str">
        <f t="shared" si="12"/>
        <v>POPEYES</v>
      </c>
      <c r="AC22" s="990" t="str">
        <f t="shared" si="13"/>
        <v>GIRLS</v>
      </c>
      <c r="AD22" s="992" t="str">
        <f t="shared" si="14"/>
        <v>PVE FFL GAME 91</v>
      </c>
    </row>
    <row r="23" ht="15.75" customHeight="1">
      <c r="C23" s="13">
        <v>22.0</v>
      </c>
      <c r="D23" s="959">
        <v>2019.0</v>
      </c>
      <c r="E23" s="1005" t="s">
        <v>517</v>
      </c>
      <c r="F23" s="960" t="s">
        <v>665</v>
      </c>
      <c r="G23" s="961" t="str">
        <f>'League History BACKEND 2019'!G72</f>
        <v>MUTTS</v>
      </c>
      <c r="H23" s="962">
        <v>158.7</v>
      </c>
      <c r="I23" s="963">
        <v>120.54</v>
      </c>
      <c r="J23" s="964" t="str">
        <f>'League History BACKEND 2019'!J72</f>
        <v>YARDIES</v>
      </c>
      <c r="K23" s="965" t="str">
        <f t="shared" si="1"/>
        <v>MUTTS</v>
      </c>
      <c r="L23" s="966" t="str">
        <f t="shared" si="2"/>
        <v>YARDIES</v>
      </c>
      <c r="M23" s="967">
        <f t="array" ref="M23">IFERROR(IF(ABS(H23-I23)=0,Tie,ABS(H23-I23)),"UPCOMING")</f>
        <v>38.16</v>
      </c>
      <c r="N23" s="968">
        <f t="shared" si="3"/>
        <v>248</v>
      </c>
      <c r="O23" s="969">
        <f t="shared" si="4"/>
        <v>174</v>
      </c>
      <c r="P23" s="967">
        <f t="shared" si="5"/>
        <v>279.24</v>
      </c>
      <c r="Q23" s="968">
        <f t="shared" si="6"/>
        <v>356</v>
      </c>
      <c r="R23" s="967">
        <f t="shared" si="7"/>
        <v>302</v>
      </c>
      <c r="S23" s="970">
        <f t="shared" si="8"/>
        <v>365</v>
      </c>
      <c r="U23" s="13" t="str">
        <f>IFERROR(__xludf.DUMMYFUNCTION("IF($T23=""Y"",
  IFERROR(
    RANK.EQ($R23, FILTER($R:$R, $T:$T=""Y""), 1)
    + COUNTIFS($R:$R, $R23, $M:$M, ""&lt;""&amp;$M23, $T:$T, ""Y""),
    ""UPCOMING""
  ),
  ""NO REF""
)
"),"NO REF")</f>
        <v>NO REF</v>
      </c>
      <c r="X23" s="1018">
        <v>20.0</v>
      </c>
      <c r="Y23" s="1019">
        <f t="shared" si="9"/>
        <v>1.78</v>
      </c>
      <c r="Z23" s="1020">
        <f t="shared" si="10"/>
        <v>2024</v>
      </c>
      <c r="AA23" s="1020" t="str">
        <f t="shared" si="11"/>
        <v>WEEK 10</v>
      </c>
      <c r="AB23" s="1021" t="str">
        <f t="shared" si="12"/>
        <v>YARDIES</v>
      </c>
      <c r="AC23" s="1020" t="str">
        <f t="shared" si="13"/>
        <v>GREEN</v>
      </c>
      <c r="AD23" s="1022" t="str">
        <f t="shared" si="14"/>
        <v>PVE FFL GAME 328</v>
      </c>
      <c r="AK23" s="1023" t="s">
        <v>676</v>
      </c>
      <c r="AL23" s="954"/>
      <c r="AM23" s="954"/>
      <c r="AN23" s="954"/>
      <c r="AO23" s="954"/>
      <c r="AP23" s="954"/>
      <c r="AQ23" s="932"/>
    </row>
    <row r="24" ht="15.75" customHeight="1">
      <c r="C24" s="13">
        <v>23.0</v>
      </c>
      <c r="D24" s="959">
        <v>2019.0</v>
      </c>
      <c r="E24" s="1005" t="s">
        <v>517</v>
      </c>
      <c r="F24" s="960" t="s">
        <v>670</v>
      </c>
      <c r="G24" s="961" t="str">
        <f>'League History BACKEND 2019'!G74</f>
        <v>DEEZ NUTS</v>
      </c>
      <c r="H24" s="962">
        <v>115.76</v>
      </c>
      <c r="I24" s="963">
        <v>151.33</v>
      </c>
      <c r="J24" s="964" t="str">
        <f>'League History BACKEND 2019'!J74</f>
        <v>METAMOOKDAWGS</v>
      </c>
      <c r="K24" s="965" t="str">
        <f t="shared" si="1"/>
        <v>METAMOOKDAWGS</v>
      </c>
      <c r="L24" s="966" t="str">
        <f t="shared" si="2"/>
        <v>DEEZ NUTS</v>
      </c>
      <c r="M24" s="967">
        <f t="array" ref="M24">IFERROR(IF(ABS(H24-I24)=0,Tie,ABS(H24-I24)),"UPCOMING")</f>
        <v>35.57</v>
      </c>
      <c r="N24" s="968">
        <f t="shared" si="3"/>
        <v>229</v>
      </c>
      <c r="O24" s="969">
        <f t="shared" si="4"/>
        <v>193</v>
      </c>
      <c r="P24" s="967">
        <f t="shared" si="5"/>
        <v>267.09</v>
      </c>
      <c r="Q24" s="968">
        <f t="shared" si="6"/>
        <v>377</v>
      </c>
      <c r="R24" s="967">
        <f t="shared" si="7"/>
        <v>303</v>
      </c>
      <c r="S24" s="970">
        <f t="shared" si="8"/>
        <v>367</v>
      </c>
      <c r="U24" s="13" t="str">
        <f>IFERROR(__xludf.DUMMYFUNCTION("IF($T24=""Y"",
  IFERROR(
    RANK.EQ($R24, FILTER($R:$R, $T:$T=""Y""), 1)
    + COUNTIFS($R:$R, $R24, $M:$M, ""&lt;""&amp;$M24, $T:$T, ""Y""),
    ""UPCOMING""
  ),
  ""NO REF""
)
"),"NO REF")</f>
        <v>NO REF</v>
      </c>
      <c r="AK24" s="1024" t="s">
        <v>638</v>
      </c>
      <c r="AL24" s="1025" t="s">
        <v>639</v>
      </c>
      <c r="AM24" s="1026" t="s">
        <v>640</v>
      </c>
      <c r="AN24" s="1027" t="s">
        <v>677</v>
      </c>
      <c r="AO24" s="1027" t="s">
        <v>678</v>
      </c>
      <c r="AP24" s="1028" t="s">
        <v>679</v>
      </c>
      <c r="AQ24" s="1028" t="s">
        <v>680</v>
      </c>
    </row>
    <row r="25" ht="15.75" customHeight="1">
      <c r="C25" s="13">
        <v>24.0</v>
      </c>
      <c r="D25" s="959">
        <v>2019.0</v>
      </c>
      <c r="E25" s="1005" t="s">
        <v>517</v>
      </c>
      <c r="F25" s="960" t="s">
        <v>671</v>
      </c>
      <c r="G25" s="961" t="str">
        <f>'League History BACKEND 2019'!G76</f>
        <v>GREEN</v>
      </c>
      <c r="H25" s="962">
        <v>147.71</v>
      </c>
      <c r="I25" s="963">
        <v>125.57</v>
      </c>
      <c r="J25" s="964" t="str">
        <f>'League History BACKEND 2019'!J76</f>
        <v>POPEYES</v>
      </c>
      <c r="K25" s="965" t="str">
        <f t="shared" si="1"/>
        <v>GREEN</v>
      </c>
      <c r="L25" s="966" t="str">
        <f t="shared" si="2"/>
        <v>POPEYES</v>
      </c>
      <c r="M25" s="967">
        <f t="array" ref="M25">IFERROR(IF(ABS(H25-I25)=0,Tie,ABS(H25-I25)),"UPCOMING")</f>
        <v>22.14</v>
      </c>
      <c r="N25" s="968">
        <f t="shared" si="3"/>
        <v>155</v>
      </c>
      <c r="O25" s="969">
        <f t="shared" si="4"/>
        <v>267</v>
      </c>
      <c r="P25" s="967">
        <f t="shared" si="5"/>
        <v>273.28</v>
      </c>
      <c r="Q25" s="968">
        <f t="shared" si="6"/>
        <v>369</v>
      </c>
      <c r="R25" s="967">
        <f t="shared" si="7"/>
        <v>262</v>
      </c>
      <c r="S25" s="970">
        <f t="shared" si="8"/>
        <v>307</v>
      </c>
      <c r="U25" s="13" t="str">
        <f>IFERROR(__xludf.DUMMYFUNCTION("IF($T25=""Y"",
  IFERROR(
    RANK.EQ($R25, FILTER($R:$R, $T:$T=""Y""), 1)
    + COUNTIFS($R:$R, $R25, $M:$M, ""&lt;""&amp;$M25, $T:$T, ""Y""),
    ""UPCOMING""
  ),
  ""NO REF""
)
"),"NO REF")</f>
        <v>NO REF</v>
      </c>
      <c r="X25" s="971" t="s">
        <v>681</v>
      </c>
      <c r="Y25" s="23"/>
      <c r="Z25" s="23"/>
      <c r="AA25" s="23"/>
      <c r="AB25" s="23"/>
      <c r="AC25" s="23"/>
      <c r="AD25" s="29"/>
      <c r="AE25" s="951"/>
      <c r="AF25" s="951"/>
      <c r="AG25" s="951"/>
      <c r="AH25" s="951"/>
      <c r="AJ25" s="1029" t="str">
        <f t="shared" ref="AJ25:AJ36" si="79">AJ4</f>
        <v>DECOUPES</v>
      </c>
      <c r="AK25" s="1030">
        <f t="shared" ref="AK25:AL25" si="78">AK4+AO4+AS4+AW4+BA4+BE4+BI4</f>
        <v>52</v>
      </c>
      <c r="AL25" s="1031">
        <f t="shared" si="78"/>
        <v>43</v>
      </c>
      <c r="AM25" s="1032">
        <f t="shared" ref="AM25:AM36" si="81">IFERROR(AK25/(AK25+AL25),0)</f>
        <v>0.5473684211</v>
      </c>
      <c r="AN25" s="1033">
        <f t="shared" ref="AN25:AN34" si="82">_xlfn.RANK.EQ(AK25,$AK$25:$AK$34,0)</f>
        <v>4</v>
      </c>
      <c r="AO25" s="1034">
        <f t="shared" ref="AO25:AO36" si="83">_xlfn.RANK.EQ(AM25,$AM$25:$AM$34,0)</f>
        <v>4</v>
      </c>
      <c r="AP25" s="1034">
        <f t="shared" ref="AP25:AP34" si="84">AVERAGE(AN25:AO25)</f>
        <v>4</v>
      </c>
      <c r="AQ25" s="1034">
        <f t="shared" ref="AQ25:AQ34" si="85">Rank(AP25,$AP$25:$AP$34,1)</f>
        <v>4</v>
      </c>
    </row>
    <row r="26" ht="15.75" customHeight="1">
      <c r="C26" s="13">
        <v>25.0</v>
      </c>
      <c r="D26" s="959">
        <v>2019.0</v>
      </c>
      <c r="E26" s="217" t="s">
        <v>518</v>
      </c>
      <c r="F26" s="960" t="s">
        <v>663</v>
      </c>
      <c r="G26" s="961" t="str">
        <f>'League History BACKEND 2019'!G80</f>
        <v>DECOUPES</v>
      </c>
      <c r="H26" s="962">
        <v>101.24</v>
      </c>
      <c r="I26" s="963">
        <v>176.99</v>
      </c>
      <c r="J26" s="964" t="str">
        <f>'League History BACKEND 2019'!J80</f>
        <v>MUTTS</v>
      </c>
      <c r="K26" s="965" t="str">
        <f t="shared" si="1"/>
        <v>MUTTS</v>
      </c>
      <c r="L26" s="966" t="str">
        <f t="shared" si="2"/>
        <v>DECOUPES</v>
      </c>
      <c r="M26" s="967">
        <f t="array" ref="M26">IFERROR(IF(ABS(H26-I26)=0,Tie,ABS(H26-I26)),"UPCOMING")</f>
        <v>75.75</v>
      </c>
      <c r="N26" s="968">
        <f t="shared" si="3"/>
        <v>382</v>
      </c>
      <c r="O26" s="969">
        <f t="shared" si="4"/>
        <v>40</v>
      </c>
      <c r="P26" s="967">
        <f t="shared" si="5"/>
        <v>278.23</v>
      </c>
      <c r="Q26" s="968">
        <f t="shared" si="6"/>
        <v>358</v>
      </c>
      <c r="R26" s="967">
        <f t="shared" si="7"/>
        <v>370</v>
      </c>
      <c r="S26" s="970">
        <f t="shared" si="8"/>
        <v>417</v>
      </c>
      <c r="U26" s="13" t="str">
        <f>IFERROR(__xludf.DUMMYFUNCTION("IF($T26=""Y"",
  IFERROR(
    RANK.EQ($R26, FILTER($R:$R, $T:$T=""Y""), 1)
    + COUNTIFS($R:$R, $R26, $M:$M, ""&lt;""&amp;$M26, $T:$T, ""Y""),
    ""UPCOMING""
  ),
  ""NO REF""
)
"),"NO REF")</f>
        <v>NO REF</v>
      </c>
      <c r="X26" s="1035" t="s">
        <v>148</v>
      </c>
      <c r="Y26" s="1036" t="s">
        <v>375</v>
      </c>
      <c r="Z26" s="1036" t="s">
        <v>153</v>
      </c>
      <c r="AA26" s="1036" t="s">
        <v>30</v>
      </c>
      <c r="AB26" s="1036" t="s">
        <v>155</v>
      </c>
      <c r="AC26" s="1036" t="s">
        <v>156</v>
      </c>
      <c r="AD26" s="1037" t="s">
        <v>157</v>
      </c>
      <c r="AE26" s="972"/>
      <c r="AF26" s="972"/>
      <c r="AG26" s="972"/>
      <c r="AH26" s="972"/>
      <c r="AJ26" s="1038" t="str">
        <f t="shared" si="79"/>
        <v>POPEYES</v>
      </c>
      <c r="AK26" s="1030">
        <f t="shared" ref="AK26:AL26" si="80">AK5+AO5+AS5+AW5+BA5+BE5+BI5</f>
        <v>53</v>
      </c>
      <c r="AL26" s="1031">
        <f t="shared" si="80"/>
        <v>42</v>
      </c>
      <c r="AM26" s="1032">
        <f t="shared" si="81"/>
        <v>0.5578947368</v>
      </c>
      <c r="AN26" s="1033">
        <f t="shared" si="82"/>
        <v>3</v>
      </c>
      <c r="AO26" s="1034">
        <f t="shared" si="83"/>
        <v>3</v>
      </c>
      <c r="AP26" s="1034">
        <f t="shared" si="84"/>
        <v>3</v>
      </c>
      <c r="AQ26" s="1034">
        <f t="shared" si="85"/>
        <v>3</v>
      </c>
    </row>
    <row r="27" ht="15.75" customHeight="1">
      <c r="C27" s="13">
        <v>26.0</v>
      </c>
      <c r="D27" s="959">
        <v>2019.0</v>
      </c>
      <c r="E27" s="217" t="s">
        <v>518</v>
      </c>
      <c r="F27" s="960" t="s">
        <v>665</v>
      </c>
      <c r="G27" s="961" t="str">
        <f>'League History BACKEND 2019'!G82</f>
        <v>POPEYES</v>
      </c>
      <c r="H27" s="962">
        <v>93.41</v>
      </c>
      <c r="I27" s="963">
        <v>104.81</v>
      </c>
      <c r="J27" s="964" t="str">
        <f>'League History BACKEND 2019'!J82</f>
        <v>METAMOOKDAWGS</v>
      </c>
      <c r="K27" s="965" t="str">
        <f t="shared" si="1"/>
        <v>METAMOOKDAWGS</v>
      </c>
      <c r="L27" s="966" t="str">
        <f t="shared" si="2"/>
        <v>POPEYES</v>
      </c>
      <c r="M27" s="967">
        <f t="array" ref="M27">IFERROR(IF(ABS(H27-I27)=0,Tie,ABS(H27-I27)),"UPCOMING")</f>
        <v>11.4</v>
      </c>
      <c r="N27" s="968">
        <f t="shared" si="3"/>
        <v>88</v>
      </c>
      <c r="O27" s="969">
        <f t="shared" si="4"/>
        <v>334</v>
      </c>
      <c r="P27" s="967">
        <f t="shared" si="5"/>
        <v>198.22</v>
      </c>
      <c r="Q27" s="968">
        <f t="shared" si="6"/>
        <v>419</v>
      </c>
      <c r="R27" s="967">
        <f t="shared" si="7"/>
        <v>253.5</v>
      </c>
      <c r="S27" s="970">
        <f t="shared" si="8"/>
        <v>295</v>
      </c>
      <c r="U27" s="13" t="str">
        <f>IFERROR(__xludf.DUMMYFUNCTION("IF($T27=""Y"",
  IFERROR(
    RANK.EQ($R27, FILTER($R:$R, $T:$T=""Y""), 1)
    + COUNTIFS($R:$R, $R27, $M:$M, ""&lt;""&amp;$M27, $T:$T, ""Y""),
    ""UPCOMING""
  ),
  ""NO REF""
)
"),"NO REF")</f>
        <v>NO REF</v>
      </c>
      <c r="X27" s="988">
        <v>1.0</v>
      </c>
      <c r="Y27" s="989">
        <f t="shared" ref="Y27:Y46" si="87">LARGE($M:$M,X27)</f>
        <v>136.87</v>
      </c>
      <c r="Z27" s="990">
        <f t="shared" ref="Z27:Z46" si="88">INDEX($D:$D, MATCH(Y27,$M:$M,0))</f>
        <v>2025</v>
      </c>
      <c r="AA27" s="990" t="str">
        <f t="shared" ref="AA27:AA46" si="89">INDEX($E:$E, MATCH(Y27,$M:$M,0))</f>
        <v>WEEK 3</v>
      </c>
      <c r="AB27" s="991" t="str">
        <f t="shared" ref="AB27:AB46" si="90">INDEX($K:$K, MATCH(Y27,$M:$M,0))</f>
        <v>CHAMPS</v>
      </c>
      <c r="AC27" s="990" t="str">
        <f t="shared" ref="AC27:AC46" si="91">INDEX($L:$L, MATCH(Y27,$M:$M,0))</f>
        <v>DECOUPES</v>
      </c>
      <c r="AD27" s="992" t="str">
        <f t="shared" ref="AD27:AD46" si="92">"PVE FFL GAME " &amp; INDEX($C:$C, MATCH(Y27,$M:$M,0))</f>
        <v>PVE FFL GAME 364</v>
      </c>
      <c r="AI27" s="933"/>
      <c r="AJ27" s="1038" t="str">
        <f t="shared" si="79"/>
        <v>GREEN</v>
      </c>
      <c r="AK27" s="1030">
        <f t="shared" ref="AK27:AL27" si="86">AK6+AO6+AS6+AW6+BA6+BE6+BI6</f>
        <v>49</v>
      </c>
      <c r="AL27" s="1031">
        <f t="shared" si="86"/>
        <v>46</v>
      </c>
      <c r="AM27" s="1032">
        <f t="shared" si="81"/>
        <v>0.5157894737</v>
      </c>
      <c r="AN27" s="1033">
        <f t="shared" si="82"/>
        <v>5</v>
      </c>
      <c r="AO27" s="1034">
        <f t="shared" si="83"/>
        <v>6</v>
      </c>
      <c r="AP27" s="1034">
        <f t="shared" si="84"/>
        <v>5.5</v>
      </c>
      <c r="AQ27" s="1034">
        <f t="shared" si="85"/>
        <v>5</v>
      </c>
    </row>
    <row r="28" ht="15.75" customHeight="1">
      <c r="C28" s="13">
        <v>27.0</v>
      </c>
      <c r="D28" s="959">
        <v>2019.0</v>
      </c>
      <c r="E28" s="217" t="s">
        <v>518</v>
      </c>
      <c r="F28" s="960" t="s">
        <v>670</v>
      </c>
      <c r="G28" s="961" t="str">
        <f>'League History BACKEND 2019'!G84</f>
        <v>SAVAGES</v>
      </c>
      <c r="H28" s="962">
        <v>139.29</v>
      </c>
      <c r="I28" s="963">
        <v>132.57</v>
      </c>
      <c r="J28" s="964" t="str">
        <f>'League History BACKEND 2019'!J84</f>
        <v>YARDIES</v>
      </c>
      <c r="K28" s="965" t="str">
        <f t="shared" si="1"/>
        <v>SAVAGES</v>
      </c>
      <c r="L28" s="966" t="str">
        <f t="shared" si="2"/>
        <v>YARDIES</v>
      </c>
      <c r="M28" s="967">
        <f t="array" ref="M28">IFERROR(IF(ABS(H28-I28)=0,Tie,ABS(H28-I28)),"UPCOMING")</f>
        <v>6.72</v>
      </c>
      <c r="N28" s="968">
        <f t="shared" si="3"/>
        <v>51</v>
      </c>
      <c r="O28" s="969">
        <f t="shared" si="4"/>
        <v>371</v>
      </c>
      <c r="P28" s="967">
        <f t="shared" si="5"/>
        <v>271.86</v>
      </c>
      <c r="Q28" s="968">
        <f t="shared" si="6"/>
        <v>372</v>
      </c>
      <c r="R28" s="967">
        <f t="shared" si="7"/>
        <v>211.5</v>
      </c>
      <c r="S28" s="970">
        <f t="shared" si="8"/>
        <v>208</v>
      </c>
      <c r="U28" s="13" t="str">
        <f>IFERROR(__xludf.DUMMYFUNCTION("IF($T28=""Y"",
  IFERROR(
    RANK.EQ($R28, FILTER($R:$R, $T:$T=""Y""), 1)
    + COUNTIFS($R:$R, $R28, $M:$M, ""&lt;""&amp;$M28, $T:$T, ""Y""),
    ""UPCOMING""
  ),
  ""NO REF""
)
"),"NO REF")</f>
        <v>NO REF</v>
      </c>
      <c r="X28" s="988">
        <v>2.0</v>
      </c>
      <c r="Y28" s="989">
        <f t="shared" si="87"/>
        <v>135.56</v>
      </c>
      <c r="Z28" s="990">
        <f t="shared" si="88"/>
        <v>2019</v>
      </c>
      <c r="AA28" s="990" t="str">
        <f t="shared" si="89"/>
        <v>WEEK 5</v>
      </c>
      <c r="AB28" s="991" t="str">
        <f t="shared" si="90"/>
        <v>METAMOOKDAWGS</v>
      </c>
      <c r="AC28" s="990" t="str">
        <f t="shared" si="91"/>
        <v>MUTTS</v>
      </c>
      <c r="AD28" s="992" t="str">
        <f t="shared" si="92"/>
        <v>PVE FFL GAME 20</v>
      </c>
      <c r="AJ28" s="1038" t="str">
        <f t="shared" si="79"/>
        <v>SAVAGES</v>
      </c>
      <c r="AK28" s="1030">
        <f t="shared" ref="AK28:AL28" si="93">AK7+AO7+AS7+AW7+BA7+BE7+BI7</f>
        <v>40</v>
      </c>
      <c r="AL28" s="1031">
        <f t="shared" si="93"/>
        <v>55</v>
      </c>
      <c r="AM28" s="1032">
        <f t="shared" si="81"/>
        <v>0.4210526316</v>
      </c>
      <c r="AN28" s="1033">
        <f t="shared" si="82"/>
        <v>6</v>
      </c>
      <c r="AO28" s="1034">
        <f t="shared" si="83"/>
        <v>8</v>
      </c>
      <c r="AP28" s="1034">
        <f t="shared" si="84"/>
        <v>7</v>
      </c>
      <c r="AQ28" s="1034">
        <f t="shared" si="85"/>
        <v>6</v>
      </c>
    </row>
    <row r="29" ht="15.75" customHeight="1">
      <c r="C29" s="13">
        <v>28.0</v>
      </c>
      <c r="D29" s="959">
        <v>2019.0</v>
      </c>
      <c r="E29" s="217" t="s">
        <v>518</v>
      </c>
      <c r="F29" s="960" t="s">
        <v>671</v>
      </c>
      <c r="G29" s="961" t="str">
        <f>'League History BACKEND 2019'!G86</f>
        <v>DEEZ NUTS</v>
      </c>
      <c r="H29" s="962">
        <v>97.83</v>
      </c>
      <c r="I29" s="963">
        <v>110.94</v>
      </c>
      <c r="J29" s="964" t="str">
        <f>'League History BACKEND 2019'!J86</f>
        <v>GREEN</v>
      </c>
      <c r="K29" s="965" t="str">
        <f t="shared" si="1"/>
        <v>GREEN</v>
      </c>
      <c r="L29" s="966" t="str">
        <f t="shared" si="2"/>
        <v>DEEZ NUTS</v>
      </c>
      <c r="M29" s="967">
        <f t="array" ref="M29">IFERROR(IF(ABS(H29-I29)=0,Tie,ABS(H29-I29)),"UPCOMING")</f>
        <v>13.11</v>
      </c>
      <c r="N29" s="968">
        <f t="shared" si="3"/>
        <v>101</v>
      </c>
      <c r="O29" s="969">
        <f t="shared" si="4"/>
        <v>323</v>
      </c>
      <c r="P29" s="967">
        <f t="shared" si="5"/>
        <v>208.77</v>
      </c>
      <c r="Q29" s="968">
        <f t="shared" si="6"/>
        <v>415</v>
      </c>
      <c r="R29" s="967">
        <f t="shared" si="7"/>
        <v>258</v>
      </c>
      <c r="S29" s="970">
        <f t="shared" si="8"/>
        <v>301</v>
      </c>
      <c r="U29" s="13" t="str">
        <f>IFERROR(__xludf.DUMMYFUNCTION("IF($T29=""Y"",
  IFERROR(
    RANK.EQ($R29, FILTER($R:$R, $T:$T=""Y""), 1)
    + COUNTIFS($R:$R, $R29, $M:$M, ""&lt;""&amp;$M29, $T:$T, ""Y""),
    ""UPCOMING""
  ),
  ""NO REF""
)
"),"NO REF")</f>
        <v>NO REF</v>
      </c>
      <c r="X29" s="988">
        <v>3.0</v>
      </c>
      <c r="Y29" s="989">
        <f t="shared" si="87"/>
        <v>132.81</v>
      </c>
      <c r="Z29" s="990">
        <f t="shared" si="88"/>
        <v>2022</v>
      </c>
      <c r="AA29" s="990" t="str">
        <f t="shared" si="89"/>
        <v>WEEK 7</v>
      </c>
      <c r="AB29" s="991" t="str">
        <f t="shared" si="90"/>
        <v>DECOUPES</v>
      </c>
      <c r="AC29" s="990" t="str">
        <f t="shared" si="91"/>
        <v>GREEN</v>
      </c>
      <c r="AD29" s="992" t="str">
        <f t="shared" si="92"/>
        <v>PVE FFL GAME 194</v>
      </c>
      <c r="AJ29" s="1038" t="str">
        <f t="shared" si="79"/>
        <v>KINGS</v>
      </c>
      <c r="AK29" s="1030">
        <f t="shared" ref="AK29:AL29" si="94">AK8+AO8+AS8+AW8+BA8+BE8+BI8</f>
        <v>13</v>
      </c>
      <c r="AL29" s="1031">
        <f t="shared" si="94"/>
        <v>15</v>
      </c>
      <c r="AM29" s="1032">
        <f t="shared" si="81"/>
        <v>0.4642857143</v>
      </c>
      <c r="AN29" s="1033">
        <f t="shared" si="82"/>
        <v>10</v>
      </c>
      <c r="AO29" s="1034">
        <f t="shared" si="83"/>
        <v>7</v>
      </c>
      <c r="AP29" s="1034">
        <f t="shared" si="84"/>
        <v>8.5</v>
      </c>
      <c r="AQ29" s="1034">
        <f t="shared" si="85"/>
        <v>8</v>
      </c>
      <c r="BE29" s="1039"/>
      <c r="BF29" s="1039"/>
      <c r="BG29" s="1039"/>
    </row>
    <row r="30" ht="15.75" customHeight="1">
      <c r="C30" s="13">
        <v>29.0</v>
      </c>
      <c r="D30" s="959">
        <v>2019.0</v>
      </c>
      <c r="E30" s="217" t="s">
        <v>519</v>
      </c>
      <c r="F30" s="960" t="s">
        <v>663</v>
      </c>
      <c r="G30" s="961" t="str">
        <f>'League History BACKEND 2019'!G90</f>
        <v>DEEZ NUTS</v>
      </c>
      <c r="H30" s="962">
        <v>131.63</v>
      </c>
      <c r="I30" s="963">
        <v>154.96</v>
      </c>
      <c r="J30" s="964" t="str">
        <f>'League History BACKEND 2019'!J90</f>
        <v>MUTTS</v>
      </c>
      <c r="K30" s="965" t="str">
        <f t="shared" si="1"/>
        <v>MUTTS</v>
      </c>
      <c r="L30" s="966" t="str">
        <f t="shared" si="2"/>
        <v>DEEZ NUTS</v>
      </c>
      <c r="M30" s="967">
        <f t="array" ref="M30">IFERROR(IF(ABS(H30-I30)=0,Tie,ABS(H30-I30)),"UPCOMING")</f>
        <v>23.33</v>
      </c>
      <c r="N30" s="968">
        <f t="shared" si="3"/>
        <v>164</v>
      </c>
      <c r="O30" s="969">
        <f t="shared" si="4"/>
        <v>258</v>
      </c>
      <c r="P30" s="967">
        <f t="shared" si="5"/>
        <v>286.59</v>
      </c>
      <c r="Q30" s="968">
        <f t="shared" si="6"/>
        <v>334</v>
      </c>
      <c r="R30" s="967">
        <f t="shared" si="7"/>
        <v>249</v>
      </c>
      <c r="S30" s="970">
        <f t="shared" si="8"/>
        <v>289</v>
      </c>
      <c r="U30" s="13" t="str">
        <f>IFERROR(__xludf.DUMMYFUNCTION("IF($T30=""Y"",
  IFERROR(
    RANK.EQ($R30, FILTER($R:$R, $T:$T=""Y""), 1)
    + COUNTIFS($R:$R, $R30, $M:$M, ""&lt;""&amp;$M30, $T:$T, ""Y""),
    ""UPCOMING""
  ),
  ""NO REF""
)
"),"NO REF")</f>
        <v>NO REF</v>
      </c>
      <c r="X30" s="988">
        <v>4.0</v>
      </c>
      <c r="Y30" s="989">
        <f t="shared" si="87"/>
        <v>128.52</v>
      </c>
      <c r="Z30" s="990">
        <f t="shared" si="88"/>
        <v>2023</v>
      </c>
      <c r="AA30" s="990" t="str">
        <f t="shared" si="89"/>
        <v>WEEK 3</v>
      </c>
      <c r="AB30" s="991" t="str">
        <f t="shared" si="90"/>
        <v>DECOUPES</v>
      </c>
      <c r="AC30" s="990" t="str">
        <f t="shared" si="91"/>
        <v>YARDIES</v>
      </c>
      <c r="AD30" s="992" t="str">
        <f t="shared" si="92"/>
        <v>PVE FFL GAME 236</v>
      </c>
      <c r="AJ30" s="1038" t="str">
        <f t="shared" si="79"/>
        <v>CHAMPS</v>
      </c>
      <c r="AK30" s="1030">
        <f t="shared" ref="AK30:AL30" si="95">AK9+AO9+AS9+AW9+BA9+BE9+BI9</f>
        <v>28</v>
      </c>
      <c r="AL30" s="1031">
        <f t="shared" si="95"/>
        <v>41</v>
      </c>
      <c r="AM30" s="1032">
        <f t="shared" si="81"/>
        <v>0.4057971014</v>
      </c>
      <c r="AN30" s="1033">
        <f t="shared" si="82"/>
        <v>8</v>
      </c>
      <c r="AO30" s="1034">
        <f t="shared" si="83"/>
        <v>9</v>
      </c>
      <c r="AP30" s="1034">
        <f t="shared" si="84"/>
        <v>8.5</v>
      </c>
      <c r="AQ30" s="1034">
        <f t="shared" si="85"/>
        <v>8</v>
      </c>
    </row>
    <row r="31" ht="15.75" customHeight="1">
      <c r="C31" s="13">
        <v>30.0</v>
      </c>
      <c r="D31" s="959">
        <v>2019.0</v>
      </c>
      <c r="E31" s="217" t="s">
        <v>519</v>
      </c>
      <c r="F31" s="960" t="s">
        <v>665</v>
      </c>
      <c r="G31" s="961" t="str">
        <f>'League History BACKEND 2019'!G92</f>
        <v>POPEYES</v>
      </c>
      <c r="H31" s="962">
        <v>132.62</v>
      </c>
      <c r="I31" s="963">
        <v>189.32</v>
      </c>
      <c r="J31" s="964" t="str">
        <f>'League History BACKEND 2019'!J92</f>
        <v>SAVAGES</v>
      </c>
      <c r="K31" s="965" t="str">
        <f t="shared" si="1"/>
        <v>SAVAGES</v>
      </c>
      <c r="L31" s="966" t="str">
        <f t="shared" si="2"/>
        <v>POPEYES</v>
      </c>
      <c r="M31" s="967">
        <f t="array" ref="M31">IFERROR(IF(ABS(H31-I31)=0,Tie,ABS(H31-I31)),"UPCOMING")</f>
        <v>56.7</v>
      </c>
      <c r="N31" s="968">
        <f t="shared" si="3"/>
        <v>332</v>
      </c>
      <c r="O31" s="969">
        <f t="shared" si="4"/>
        <v>90</v>
      </c>
      <c r="P31" s="967">
        <f t="shared" si="5"/>
        <v>321.94</v>
      </c>
      <c r="Q31" s="968">
        <f t="shared" si="6"/>
        <v>241</v>
      </c>
      <c r="R31" s="967">
        <f t="shared" si="7"/>
        <v>286.5</v>
      </c>
      <c r="S31" s="970">
        <f t="shared" si="8"/>
        <v>343</v>
      </c>
      <c r="U31" s="13" t="str">
        <f>IFERROR(__xludf.DUMMYFUNCTION("IF($T31=""Y"",
  IFERROR(
    RANK.EQ($R31, FILTER($R:$R, $T:$T=""Y""), 1)
    + COUNTIFS($R:$R, $R31, $M:$M, ""&lt;""&amp;$M31, $T:$T, ""Y""),
    ""UPCOMING""
  ),
  ""NO REF""
)
"),"NO REF")</f>
        <v>NO REF</v>
      </c>
      <c r="X31" s="988">
        <v>5.0</v>
      </c>
      <c r="Y31" s="989">
        <f t="shared" si="87"/>
        <v>128.06</v>
      </c>
      <c r="Z31" s="990">
        <f t="shared" si="88"/>
        <v>2022</v>
      </c>
      <c r="AA31" s="990" t="str">
        <f t="shared" si="89"/>
        <v>WEEK 14</v>
      </c>
      <c r="AB31" s="991" t="str">
        <f t="shared" si="90"/>
        <v>MUTTS</v>
      </c>
      <c r="AC31" s="990" t="str">
        <f t="shared" si="91"/>
        <v>YARDIES</v>
      </c>
      <c r="AD31" s="992" t="str">
        <f t="shared" si="92"/>
        <v>PVE FFL GAME 225</v>
      </c>
      <c r="AJ31" s="1038" t="str">
        <f t="shared" si="79"/>
        <v>METAMOOKDAWGS</v>
      </c>
      <c r="AK31" s="1030">
        <f t="shared" ref="AK31:AL31" si="96">AK10+AO10+AS10+AW10+BA10+BE10+BI10</f>
        <v>37</v>
      </c>
      <c r="AL31" s="1031">
        <f t="shared" si="96"/>
        <v>58</v>
      </c>
      <c r="AM31" s="1032">
        <f t="shared" si="81"/>
        <v>0.3894736842</v>
      </c>
      <c r="AN31" s="1033">
        <f t="shared" si="82"/>
        <v>7</v>
      </c>
      <c r="AO31" s="1034">
        <f t="shared" si="83"/>
        <v>10</v>
      </c>
      <c r="AP31" s="1034">
        <f t="shared" si="84"/>
        <v>8.5</v>
      </c>
      <c r="AQ31" s="1034">
        <f t="shared" si="85"/>
        <v>8</v>
      </c>
    </row>
    <row r="32" ht="15.75" customHeight="1">
      <c r="C32" s="13">
        <v>31.0</v>
      </c>
      <c r="D32" s="959">
        <v>2019.0</v>
      </c>
      <c r="E32" s="217" t="s">
        <v>519</v>
      </c>
      <c r="F32" s="960" t="s">
        <v>670</v>
      </c>
      <c r="G32" s="961" t="str">
        <f>'League History BACKEND 2019'!G94</f>
        <v>GREEN</v>
      </c>
      <c r="H32" s="962">
        <v>149.97</v>
      </c>
      <c r="I32" s="963">
        <v>107.71</v>
      </c>
      <c r="J32" s="964" t="str">
        <f>'League History BACKEND 2019'!J94</f>
        <v>DECOUPES</v>
      </c>
      <c r="K32" s="965" t="str">
        <f t="shared" si="1"/>
        <v>GREEN</v>
      </c>
      <c r="L32" s="966" t="str">
        <f t="shared" si="2"/>
        <v>DECOUPES</v>
      </c>
      <c r="M32" s="967">
        <f t="array" ref="M32">IFERROR(IF(ABS(H32-I32)=0,Tie,ABS(H32-I32)),"UPCOMING")</f>
        <v>42.26</v>
      </c>
      <c r="N32" s="968">
        <f t="shared" si="3"/>
        <v>269</v>
      </c>
      <c r="O32" s="969">
        <f t="shared" si="4"/>
        <v>153</v>
      </c>
      <c r="P32" s="967">
        <f t="shared" si="5"/>
        <v>257.68</v>
      </c>
      <c r="Q32" s="968">
        <f t="shared" si="6"/>
        <v>388</v>
      </c>
      <c r="R32" s="967">
        <f t="shared" si="7"/>
        <v>328.5</v>
      </c>
      <c r="S32" s="970">
        <f t="shared" si="8"/>
        <v>390</v>
      </c>
      <c r="U32" s="13" t="str">
        <f>IFERROR(__xludf.DUMMYFUNCTION("IF($T32=""Y"",
  IFERROR(
    RANK.EQ($R32, FILTER($R:$R, $T:$T=""Y""), 1)
    + COUNTIFS($R:$R, $R32, $M:$M, ""&lt;""&amp;$M32, $T:$T, ""Y""),
    ""UPCOMING""
  ),
  ""NO REF""
)
"),"NO REF")</f>
        <v>NO REF</v>
      </c>
      <c r="X32" s="988">
        <v>6.0</v>
      </c>
      <c r="Y32" s="989">
        <f t="shared" si="87"/>
        <v>127.79</v>
      </c>
      <c r="Z32" s="990">
        <f t="shared" si="88"/>
        <v>2021</v>
      </c>
      <c r="AA32" s="990" t="str">
        <f t="shared" si="89"/>
        <v>WEEK 6</v>
      </c>
      <c r="AB32" s="991" t="str">
        <f t="shared" si="90"/>
        <v>DECOUPES</v>
      </c>
      <c r="AC32" s="990" t="str">
        <f t="shared" si="91"/>
        <v>POPEYES</v>
      </c>
      <c r="AD32" s="992" t="str">
        <f t="shared" si="92"/>
        <v>PVE FFL GAME 129</v>
      </c>
      <c r="AJ32" s="1038" t="str">
        <f t="shared" si="79"/>
        <v>YARDIES</v>
      </c>
      <c r="AK32" s="1030">
        <f t="shared" ref="AK32:AL32" si="97">AK11+AO11+AS11+AW11+BA11+BE11+BI11</f>
        <v>55</v>
      </c>
      <c r="AL32" s="1031">
        <f t="shared" si="97"/>
        <v>40</v>
      </c>
      <c r="AM32" s="1032">
        <f t="shared" si="81"/>
        <v>0.5789473684</v>
      </c>
      <c r="AN32" s="1033">
        <f t="shared" si="82"/>
        <v>1</v>
      </c>
      <c r="AO32" s="1034">
        <f t="shared" si="83"/>
        <v>1</v>
      </c>
      <c r="AP32" s="1034">
        <f t="shared" si="84"/>
        <v>1</v>
      </c>
      <c r="AQ32" s="1034">
        <f t="shared" si="85"/>
        <v>1</v>
      </c>
    </row>
    <row r="33" ht="15.75" customHeight="1">
      <c r="C33" s="13">
        <v>32.0</v>
      </c>
      <c r="D33" s="959">
        <v>2019.0</v>
      </c>
      <c r="E33" s="217" t="s">
        <v>519</v>
      </c>
      <c r="F33" s="960" t="s">
        <v>671</v>
      </c>
      <c r="G33" s="961" t="str">
        <f>'League History BACKEND 2019'!G96</f>
        <v>YARDIES</v>
      </c>
      <c r="H33" s="962">
        <v>130.48</v>
      </c>
      <c r="I33" s="963">
        <v>175.84</v>
      </c>
      <c r="J33" s="964" t="str">
        <f>'League History BACKEND 2019'!J96</f>
        <v>METAMOOKDAWGS</v>
      </c>
      <c r="K33" s="965" t="str">
        <f t="shared" si="1"/>
        <v>METAMOOKDAWGS</v>
      </c>
      <c r="L33" s="966" t="str">
        <f t="shared" si="2"/>
        <v>YARDIES</v>
      </c>
      <c r="M33" s="967">
        <f t="array" ref="M33">IFERROR(IF(ABS(H33-I33)=0,Tie,ABS(H33-I33)),"UPCOMING")</f>
        <v>45.36</v>
      </c>
      <c r="N33" s="968">
        <f t="shared" si="3"/>
        <v>287</v>
      </c>
      <c r="O33" s="969">
        <f t="shared" si="4"/>
        <v>135</v>
      </c>
      <c r="P33" s="967">
        <f t="shared" si="5"/>
        <v>306.32</v>
      </c>
      <c r="Q33" s="968">
        <f t="shared" si="6"/>
        <v>289</v>
      </c>
      <c r="R33" s="967">
        <f t="shared" si="7"/>
        <v>288</v>
      </c>
      <c r="S33" s="970">
        <f t="shared" si="8"/>
        <v>345</v>
      </c>
      <c r="U33" s="13" t="str">
        <f>IFERROR(__xludf.DUMMYFUNCTION("IF($T33=""Y"",
  IFERROR(
    RANK.EQ($R33, FILTER($R:$R, $T:$T=""Y""), 1)
    + COUNTIFS($R:$R, $R33, $M:$M, ""&lt;""&amp;$M33, $T:$T, ""Y""),
    ""UPCOMING""
  ),
  ""NO REF""
)
"),"NO REF")</f>
        <v>NO REF</v>
      </c>
      <c r="X33" s="988">
        <v>7.0</v>
      </c>
      <c r="Y33" s="989">
        <f t="shared" si="87"/>
        <v>125.8</v>
      </c>
      <c r="Z33" s="990">
        <f t="shared" si="88"/>
        <v>2023</v>
      </c>
      <c r="AA33" s="990" t="str">
        <f t="shared" si="89"/>
        <v>WEEK 4</v>
      </c>
      <c r="AB33" s="991" t="str">
        <f t="shared" si="90"/>
        <v>YARDIES</v>
      </c>
      <c r="AC33" s="990" t="str">
        <f t="shared" si="91"/>
        <v>METAMOOKDAWGS</v>
      </c>
      <c r="AD33" s="992" t="str">
        <f t="shared" si="92"/>
        <v>PVE FFL GAME 240</v>
      </c>
      <c r="AJ33" s="1038" t="str">
        <f t="shared" si="79"/>
        <v>MUTTS</v>
      </c>
      <c r="AK33" s="1030">
        <f t="shared" ref="AK33:AL33" si="98">AK12+AO12+AS12+AW12+BA12+BE12+BI12</f>
        <v>55</v>
      </c>
      <c r="AL33" s="1031">
        <f t="shared" si="98"/>
        <v>40</v>
      </c>
      <c r="AM33" s="1032">
        <f t="shared" si="81"/>
        <v>0.5789473684</v>
      </c>
      <c r="AN33" s="1033">
        <f t="shared" si="82"/>
        <v>1</v>
      </c>
      <c r="AO33" s="1034">
        <f t="shared" si="83"/>
        <v>1</v>
      </c>
      <c r="AP33" s="1034">
        <f t="shared" si="84"/>
        <v>1</v>
      </c>
      <c r="AQ33" s="1034">
        <f t="shared" si="85"/>
        <v>1</v>
      </c>
    </row>
    <row r="34" ht="15.75" customHeight="1">
      <c r="C34" s="13">
        <v>33.0</v>
      </c>
      <c r="D34" s="959">
        <v>2019.0</v>
      </c>
      <c r="E34" s="217" t="s">
        <v>520</v>
      </c>
      <c r="F34" s="960" t="s">
        <v>663</v>
      </c>
      <c r="G34" s="961" t="str">
        <f>'League History BACKEND 2019'!G100</f>
        <v>SAVAGES</v>
      </c>
      <c r="H34" s="962">
        <v>146.79</v>
      </c>
      <c r="I34" s="963">
        <v>177.91</v>
      </c>
      <c r="J34" s="964" t="str">
        <f>'League History BACKEND 2019'!J100</f>
        <v>GREEN</v>
      </c>
      <c r="K34" s="965" t="str">
        <f t="shared" si="1"/>
        <v>GREEN</v>
      </c>
      <c r="L34" s="966" t="str">
        <f t="shared" si="2"/>
        <v>SAVAGES</v>
      </c>
      <c r="M34" s="967">
        <f t="array" ref="M34">IFERROR(IF(ABS(H34-I34)=0,Tie,ABS(H34-I34)),"UPCOMING")</f>
        <v>31.12</v>
      </c>
      <c r="N34" s="968">
        <f t="shared" si="3"/>
        <v>203</v>
      </c>
      <c r="O34" s="969">
        <f t="shared" si="4"/>
        <v>219</v>
      </c>
      <c r="P34" s="967">
        <f t="shared" si="5"/>
        <v>324.7</v>
      </c>
      <c r="Q34" s="968">
        <f t="shared" si="6"/>
        <v>232</v>
      </c>
      <c r="R34" s="967">
        <f t="shared" si="7"/>
        <v>217.5</v>
      </c>
      <c r="S34" s="970">
        <f t="shared" si="8"/>
        <v>223</v>
      </c>
      <c r="U34" s="13" t="str">
        <f>IFERROR(__xludf.DUMMYFUNCTION("IF($T34=""Y"",
  IFERROR(
    RANK.EQ($R34, FILTER($R:$R, $T:$T=""Y""), 1)
    + COUNTIFS($R:$R, $R34, $M:$M, ""&lt;""&amp;$M34, $T:$T, ""Y""),
    ""UPCOMING""
  ),
  ""NO REF""
)
"),"NO REF")</f>
        <v>NO REF</v>
      </c>
      <c r="X34" s="988">
        <v>8.0</v>
      </c>
      <c r="Y34" s="989">
        <f t="shared" si="87"/>
        <v>116.5</v>
      </c>
      <c r="Z34" s="990">
        <f t="shared" si="88"/>
        <v>2020</v>
      </c>
      <c r="AA34" s="990" t="str">
        <f t="shared" si="89"/>
        <v>WEEK 1</v>
      </c>
      <c r="AB34" s="991" t="str">
        <f t="shared" si="90"/>
        <v>GIRLS</v>
      </c>
      <c r="AC34" s="990" t="str">
        <f t="shared" si="91"/>
        <v>YARDIES</v>
      </c>
      <c r="AD34" s="992" t="str">
        <f t="shared" si="92"/>
        <v>PVE FFL GAME 53</v>
      </c>
      <c r="AJ34" s="1038" t="str">
        <f t="shared" si="79"/>
        <v>EAGLES</v>
      </c>
      <c r="AK34" s="1030">
        <f t="shared" ref="AK34:AL34" si="99">AK13+AO13+AS13+AW13+BA13+BE13+BI13</f>
        <v>15</v>
      </c>
      <c r="AL34" s="1031">
        <f t="shared" si="99"/>
        <v>13</v>
      </c>
      <c r="AM34" s="1032">
        <f t="shared" si="81"/>
        <v>0.5357142857</v>
      </c>
      <c r="AN34" s="1033">
        <f t="shared" si="82"/>
        <v>9</v>
      </c>
      <c r="AO34" s="1034">
        <f t="shared" si="83"/>
        <v>5</v>
      </c>
      <c r="AP34" s="1034">
        <f t="shared" si="84"/>
        <v>7</v>
      </c>
      <c r="AQ34" s="1034">
        <f t="shared" si="85"/>
        <v>6</v>
      </c>
    </row>
    <row r="35" ht="15.75" customHeight="1">
      <c r="C35" s="13">
        <v>34.0</v>
      </c>
      <c r="D35" s="959">
        <v>2019.0</v>
      </c>
      <c r="E35" s="217" t="s">
        <v>520</v>
      </c>
      <c r="F35" s="960" t="s">
        <v>665</v>
      </c>
      <c r="G35" s="961" t="str">
        <f>'League History BACKEND 2019'!G102</f>
        <v>DECOUPES</v>
      </c>
      <c r="H35" s="962">
        <v>124.46</v>
      </c>
      <c r="I35" s="963">
        <v>154.97</v>
      </c>
      <c r="J35" s="964" t="str">
        <f>'League History BACKEND 2019'!J102</f>
        <v>POPEYES</v>
      </c>
      <c r="K35" s="965" t="str">
        <f t="shared" si="1"/>
        <v>POPEYES</v>
      </c>
      <c r="L35" s="966" t="str">
        <f t="shared" si="2"/>
        <v>DECOUPES</v>
      </c>
      <c r="M35" s="967">
        <f t="array" ref="M35">IFERROR(IF(ABS(H35-I35)=0,Tie,ABS(H35-I35)),"UPCOMING")</f>
        <v>30.51</v>
      </c>
      <c r="N35" s="968">
        <f t="shared" si="3"/>
        <v>199</v>
      </c>
      <c r="O35" s="969">
        <f t="shared" si="4"/>
        <v>223</v>
      </c>
      <c r="P35" s="967">
        <f t="shared" si="5"/>
        <v>279.43</v>
      </c>
      <c r="Q35" s="968">
        <f t="shared" si="6"/>
        <v>355</v>
      </c>
      <c r="R35" s="967">
        <f t="shared" si="7"/>
        <v>277</v>
      </c>
      <c r="S35" s="970">
        <f t="shared" si="8"/>
        <v>326</v>
      </c>
      <c r="U35" s="13" t="str">
        <f>IFERROR(__xludf.DUMMYFUNCTION("IF($T35=""Y"",
  IFERROR(
    RANK.EQ($R35, FILTER($R:$R, $T:$T=""Y""), 1)
    + COUNTIFS($R:$R, $R35, $M:$M, ""&lt;""&amp;$M35, $T:$T, ""Y""),
    ""UPCOMING""
  ),
  ""NO REF""
)
"),"NO REF")</f>
        <v>NO REF</v>
      </c>
      <c r="X35" s="988">
        <v>9.0</v>
      </c>
      <c r="Y35" s="989">
        <f t="shared" si="87"/>
        <v>111.99</v>
      </c>
      <c r="Z35" s="990">
        <f t="shared" si="88"/>
        <v>2023</v>
      </c>
      <c r="AA35" s="990" t="str">
        <f t="shared" si="89"/>
        <v>WEEK 14</v>
      </c>
      <c r="AB35" s="991" t="str">
        <f t="shared" si="90"/>
        <v>DECOUPES</v>
      </c>
      <c r="AC35" s="990" t="str">
        <f t="shared" si="91"/>
        <v>SAVAGES</v>
      </c>
      <c r="AD35" s="992" t="str">
        <f t="shared" si="92"/>
        <v>PVE FFL GAME 281</v>
      </c>
      <c r="AJ35" s="1038" t="str">
        <f t="shared" si="79"/>
        <v>DEEZ NUTS</v>
      </c>
      <c r="AK35" s="1030">
        <f t="shared" ref="AK35:AL35" si="100">AK14+AO14+AS14+AW14+BA14+BE14+BI14</f>
        <v>10</v>
      </c>
      <c r="AL35" s="1031">
        <f t="shared" si="100"/>
        <v>16</v>
      </c>
      <c r="AM35" s="1032">
        <f t="shared" si="81"/>
        <v>0.3846153846</v>
      </c>
      <c r="AN35" s="1040"/>
      <c r="AO35" s="1041" t="str">
        <f t="shared" si="83"/>
        <v>#N/A</v>
      </c>
      <c r="AP35" s="1041"/>
      <c r="AQ35" s="1041"/>
    </row>
    <row r="36" ht="15.75" customHeight="1">
      <c r="C36" s="13">
        <v>35.0</v>
      </c>
      <c r="D36" s="959">
        <v>2019.0</v>
      </c>
      <c r="E36" s="217" t="s">
        <v>520</v>
      </c>
      <c r="F36" s="960" t="s">
        <v>670</v>
      </c>
      <c r="G36" s="961" t="str">
        <f>'League History BACKEND 2019'!G104</f>
        <v>MUTTS</v>
      </c>
      <c r="H36" s="962">
        <v>103.72</v>
      </c>
      <c r="I36" s="963">
        <v>113.15</v>
      </c>
      <c r="J36" s="964" t="str">
        <f>'League History BACKEND 2019'!J104</f>
        <v>METAMOOKDAWGS</v>
      </c>
      <c r="K36" s="965" t="str">
        <f t="shared" si="1"/>
        <v>METAMOOKDAWGS</v>
      </c>
      <c r="L36" s="966" t="str">
        <f t="shared" si="2"/>
        <v>MUTTS</v>
      </c>
      <c r="M36" s="967">
        <f t="array" ref="M36">IFERROR(IF(ABS(H36-I36)=0,Tie,ABS(H36-I36)),"UPCOMING")</f>
        <v>9.43</v>
      </c>
      <c r="N36" s="968">
        <f t="shared" si="3"/>
        <v>73</v>
      </c>
      <c r="O36" s="969">
        <f t="shared" si="4"/>
        <v>349</v>
      </c>
      <c r="P36" s="967">
        <f t="shared" si="5"/>
        <v>216.87</v>
      </c>
      <c r="Q36" s="968">
        <f t="shared" si="6"/>
        <v>414</v>
      </c>
      <c r="R36" s="967">
        <f t="shared" si="7"/>
        <v>243.5</v>
      </c>
      <c r="S36" s="970">
        <f t="shared" si="8"/>
        <v>273</v>
      </c>
      <c r="U36" s="13" t="str">
        <f>IFERROR(__xludf.DUMMYFUNCTION("IF($T36=""Y"",
  IFERROR(
    RANK.EQ($R36, FILTER($R:$R, $T:$T=""Y""), 1)
    + COUNTIFS($R:$R, $R36, $M:$M, ""&lt;""&amp;$M36, $T:$T, ""Y""),
    ""UPCOMING""
  ),
  ""NO REF""
)
"),"NO REF")</f>
        <v>NO REF</v>
      </c>
      <c r="X36" s="988">
        <v>10.0</v>
      </c>
      <c r="Y36" s="989">
        <f t="shared" si="87"/>
        <v>111.5</v>
      </c>
      <c r="Z36" s="990">
        <f t="shared" si="88"/>
        <v>2021</v>
      </c>
      <c r="AA36" s="990" t="str">
        <f t="shared" si="89"/>
        <v>WEEK 1</v>
      </c>
      <c r="AB36" s="991" t="str">
        <f t="shared" si="90"/>
        <v>GIRLS</v>
      </c>
      <c r="AC36" s="990" t="str">
        <f t="shared" si="91"/>
        <v>YARDIES</v>
      </c>
      <c r="AD36" s="992" t="str">
        <f t="shared" si="92"/>
        <v>PVE FFL GAME 109</v>
      </c>
      <c r="AJ36" s="1038" t="str">
        <f t="shared" si="79"/>
        <v>GIRLS</v>
      </c>
      <c r="AK36" s="1030">
        <f t="shared" ref="AK36:AL36" si="101">AK15+AO15+AS15+AW15+BA15+BE15+BI15</f>
        <v>14</v>
      </c>
      <c r="AL36" s="1031">
        <f t="shared" si="101"/>
        <v>12</v>
      </c>
      <c r="AM36" s="1042">
        <f t="shared" si="81"/>
        <v>0.5384615385</v>
      </c>
      <c r="AN36" s="1043"/>
      <c r="AO36" s="1041" t="str">
        <f t="shared" si="83"/>
        <v>#N/A</v>
      </c>
      <c r="AP36" s="1041"/>
      <c r="AQ36" s="1041"/>
      <c r="AZ36" s="1039"/>
    </row>
    <row r="37" ht="15.75" customHeight="1">
      <c r="C37" s="13">
        <v>36.0</v>
      </c>
      <c r="D37" s="959">
        <v>2019.0</v>
      </c>
      <c r="E37" s="217" t="s">
        <v>520</v>
      </c>
      <c r="F37" s="960" t="s">
        <v>671</v>
      </c>
      <c r="G37" s="961" t="str">
        <f>'League History BACKEND 2019'!G106</f>
        <v>YARDIES</v>
      </c>
      <c r="H37" s="962">
        <v>149.58</v>
      </c>
      <c r="I37" s="963">
        <v>111.51</v>
      </c>
      <c r="J37" s="964" t="str">
        <f>'League History BACKEND 2019'!J106</f>
        <v>DEEZ NUTS</v>
      </c>
      <c r="K37" s="965" t="str">
        <f t="shared" si="1"/>
        <v>YARDIES</v>
      </c>
      <c r="L37" s="966" t="str">
        <f t="shared" si="2"/>
        <v>DEEZ NUTS</v>
      </c>
      <c r="M37" s="967">
        <f t="array" ref="M37">IFERROR(IF(ABS(H37-I37)=0,Tie,ABS(H37-I37)),"UPCOMING")</f>
        <v>38.07</v>
      </c>
      <c r="N37" s="968">
        <f t="shared" si="3"/>
        <v>247</v>
      </c>
      <c r="O37" s="969">
        <f t="shared" si="4"/>
        <v>175</v>
      </c>
      <c r="P37" s="967">
        <f t="shared" si="5"/>
        <v>261.09</v>
      </c>
      <c r="Q37" s="968">
        <f t="shared" si="6"/>
        <v>386</v>
      </c>
      <c r="R37" s="967">
        <f t="shared" si="7"/>
        <v>316.5</v>
      </c>
      <c r="S37" s="970">
        <f t="shared" si="8"/>
        <v>376</v>
      </c>
      <c r="U37" s="13" t="str">
        <f>IFERROR(__xludf.DUMMYFUNCTION("IF($T37=""Y"",
  IFERROR(
    RANK.EQ($R37, FILTER($R:$R, $T:$T=""Y""), 1)
    + COUNTIFS($R:$R, $R37, $M:$M, ""&lt;""&amp;$M37, $T:$T, ""Y""),
    ""UPCOMING""
  ),
  ""NO REF""
)
"),"NO REF")</f>
        <v>NO REF</v>
      </c>
      <c r="X37" s="988">
        <v>11.0</v>
      </c>
      <c r="Y37" s="989">
        <f t="shared" si="87"/>
        <v>110.12</v>
      </c>
      <c r="Z37" s="990">
        <f t="shared" si="88"/>
        <v>2023</v>
      </c>
      <c r="AA37" s="990" t="str">
        <f t="shared" si="89"/>
        <v>WEEK 11</v>
      </c>
      <c r="AB37" s="991" t="str">
        <f t="shared" si="90"/>
        <v>SAVAGES</v>
      </c>
      <c r="AC37" s="990" t="str">
        <f t="shared" si="91"/>
        <v>METAMOOKDAWGS</v>
      </c>
      <c r="AD37" s="992" t="str">
        <f t="shared" si="92"/>
        <v>PVE FFL GAME 269</v>
      </c>
      <c r="AK37" s="314"/>
      <c r="AL37" s="314"/>
      <c r="AM37" s="892"/>
      <c r="AN37" s="314"/>
    </row>
    <row r="38" ht="15.75" customHeight="1">
      <c r="C38" s="13">
        <v>37.0</v>
      </c>
      <c r="D38" s="959">
        <v>2019.0</v>
      </c>
      <c r="E38" s="217" t="s">
        <v>521</v>
      </c>
      <c r="F38" s="960" t="s">
        <v>663</v>
      </c>
      <c r="G38" s="961" t="str">
        <f>'League History BACKEND 2019'!G110</f>
        <v>SAVAGES</v>
      </c>
      <c r="H38" s="962">
        <v>146.03</v>
      </c>
      <c r="I38" s="963">
        <v>158.28</v>
      </c>
      <c r="J38" s="964" t="str">
        <f>'League History BACKEND 2019'!J110</f>
        <v>DEEZ NUTS</v>
      </c>
      <c r="K38" s="965" t="str">
        <f t="shared" si="1"/>
        <v>DEEZ NUTS</v>
      </c>
      <c r="L38" s="966" t="str">
        <f t="shared" si="2"/>
        <v>SAVAGES</v>
      </c>
      <c r="M38" s="967">
        <f t="array" ref="M38">IFERROR(IF(ABS(H38-I38)=0,Tie,ABS(H38-I38)),"UPCOMING")</f>
        <v>12.25</v>
      </c>
      <c r="N38" s="968">
        <f t="shared" si="3"/>
        <v>96</v>
      </c>
      <c r="O38" s="969">
        <f t="shared" si="4"/>
        <v>326</v>
      </c>
      <c r="P38" s="967">
        <f t="shared" si="5"/>
        <v>304.31</v>
      </c>
      <c r="Q38" s="968">
        <f t="shared" si="6"/>
        <v>295</v>
      </c>
      <c r="R38" s="967">
        <f t="shared" si="7"/>
        <v>195.5</v>
      </c>
      <c r="S38" s="970">
        <f t="shared" si="8"/>
        <v>170</v>
      </c>
      <c r="U38" s="13" t="str">
        <f>IFERROR(__xludf.DUMMYFUNCTION("IF($T38=""Y"",
  IFERROR(
    RANK.EQ($R38, FILTER($R:$R, $T:$T=""Y""), 1)
    + COUNTIFS($R:$R, $R38, $M:$M, ""&lt;""&amp;$M38, $T:$T, ""Y""),
    ""UPCOMING""
  ),
  ""NO REF""
)
"),"NO REF")</f>
        <v>NO REF</v>
      </c>
      <c r="X38" s="988">
        <v>12.0</v>
      </c>
      <c r="Y38" s="989">
        <f t="shared" si="87"/>
        <v>103.26</v>
      </c>
      <c r="Z38" s="990">
        <f t="shared" si="88"/>
        <v>2024</v>
      </c>
      <c r="AA38" s="990" t="str">
        <f t="shared" si="89"/>
        <v>WEEK 2</v>
      </c>
      <c r="AB38" s="991" t="str">
        <f t="shared" si="90"/>
        <v>EAGLES</v>
      </c>
      <c r="AC38" s="990" t="str">
        <f t="shared" si="91"/>
        <v>MUTTS</v>
      </c>
      <c r="AD38" s="992" t="str">
        <f t="shared" si="92"/>
        <v>PVE FFL GAME 289</v>
      </c>
      <c r="AK38" s="314"/>
      <c r="AL38" s="314"/>
      <c r="AM38" s="892"/>
      <c r="AN38" s="314"/>
    </row>
    <row r="39" ht="15.75" customHeight="1">
      <c r="C39" s="13">
        <v>38.0</v>
      </c>
      <c r="D39" s="959">
        <v>2019.0</v>
      </c>
      <c r="E39" s="217" t="s">
        <v>521</v>
      </c>
      <c r="F39" s="960" t="s">
        <v>665</v>
      </c>
      <c r="G39" s="961" t="str">
        <f>'League History BACKEND 2019'!G112</f>
        <v>METAMOOKDAWGS</v>
      </c>
      <c r="H39" s="962">
        <v>141.51</v>
      </c>
      <c r="I39" s="963">
        <v>155.36</v>
      </c>
      <c r="J39" s="964" t="str">
        <f>'League History BACKEND 2019'!J112</f>
        <v>DECOUPES</v>
      </c>
      <c r="K39" s="965" t="str">
        <f t="shared" si="1"/>
        <v>DECOUPES</v>
      </c>
      <c r="L39" s="966" t="str">
        <f t="shared" si="2"/>
        <v>METAMOOKDAWGS</v>
      </c>
      <c r="M39" s="967">
        <f t="array" ref="M39">IFERROR(IF(ABS(H39-I39)=0,Tie,ABS(H39-I39)),"UPCOMING")</f>
        <v>13.85</v>
      </c>
      <c r="N39" s="968">
        <f t="shared" si="3"/>
        <v>106</v>
      </c>
      <c r="O39" s="969">
        <f t="shared" si="4"/>
        <v>316</v>
      </c>
      <c r="P39" s="967">
        <f t="shared" si="5"/>
        <v>296.87</v>
      </c>
      <c r="Q39" s="968">
        <f t="shared" si="6"/>
        <v>314</v>
      </c>
      <c r="R39" s="967">
        <f t="shared" si="7"/>
        <v>210</v>
      </c>
      <c r="S39" s="970">
        <f t="shared" si="8"/>
        <v>206</v>
      </c>
      <c r="U39" s="13" t="str">
        <f>IFERROR(__xludf.DUMMYFUNCTION("IF($T39=""Y"",
  IFERROR(
    RANK.EQ($R39, FILTER($R:$R, $T:$T=""Y""), 1)
    + COUNTIFS($R:$R, $R39, $M:$M, ""&lt;""&amp;$M39, $T:$T, ""Y""),
    ""UPCOMING""
  ),
  ""NO REF""
)
"),"NO REF")</f>
        <v>NO REF</v>
      </c>
      <c r="X39" s="988">
        <v>13.0</v>
      </c>
      <c r="Y39" s="989">
        <f t="shared" si="87"/>
        <v>101.13</v>
      </c>
      <c r="Z39" s="990">
        <f t="shared" si="88"/>
        <v>2024</v>
      </c>
      <c r="AA39" s="990" t="str">
        <f t="shared" si="89"/>
        <v>WEEK 12</v>
      </c>
      <c r="AB39" s="991" t="str">
        <f t="shared" si="90"/>
        <v>EAGLES</v>
      </c>
      <c r="AC39" s="990" t="str">
        <f t="shared" si="91"/>
        <v>CHAMPS</v>
      </c>
      <c r="AD39" s="992" t="str">
        <f t="shared" si="92"/>
        <v>PVE FFL GAME 340</v>
      </c>
      <c r="AK39" s="314"/>
      <c r="AL39" s="314"/>
      <c r="AM39" s="892"/>
      <c r="AN39" s="314"/>
    </row>
    <row r="40" ht="15.75" customHeight="1">
      <c r="C40" s="13">
        <v>39.0</v>
      </c>
      <c r="D40" s="959">
        <v>2019.0</v>
      </c>
      <c r="E40" s="217" t="s">
        <v>521</v>
      </c>
      <c r="F40" s="960" t="s">
        <v>670</v>
      </c>
      <c r="G40" s="961" t="str">
        <f>'League History BACKEND 2019'!G114</f>
        <v>POPEYES</v>
      </c>
      <c r="H40" s="962">
        <v>125.54</v>
      </c>
      <c r="I40" s="963">
        <v>127.39</v>
      </c>
      <c r="J40" s="964" t="str">
        <f>'League History BACKEND 2019'!J114</f>
        <v>MUTTS</v>
      </c>
      <c r="K40" s="965" t="str">
        <f t="shared" si="1"/>
        <v>MUTTS</v>
      </c>
      <c r="L40" s="966" t="str">
        <f t="shared" si="2"/>
        <v>POPEYES</v>
      </c>
      <c r="M40" s="967">
        <f t="array" ref="M40">IFERROR(IF(ABS(H40-I40)=0,Tie,ABS(H40-I40)),"UPCOMING")</f>
        <v>1.85</v>
      </c>
      <c r="N40" s="968">
        <f t="shared" si="3"/>
        <v>21</v>
      </c>
      <c r="O40" s="969">
        <f t="shared" si="4"/>
        <v>401</v>
      </c>
      <c r="P40" s="967">
        <f t="shared" si="5"/>
        <v>252.93</v>
      </c>
      <c r="Q40" s="968">
        <f t="shared" si="6"/>
        <v>395</v>
      </c>
      <c r="R40" s="967">
        <f t="shared" si="7"/>
        <v>208</v>
      </c>
      <c r="S40" s="970">
        <f t="shared" si="8"/>
        <v>200</v>
      </c>
      <c r="U40" s="13" t="str">
        <f>IFERROR(__xludf.DUMMYFUNCTION("IF($T40=""Y"",
  IFERROR(
    RANK.EQ($R40, FILTER($R:$R, $T:$T=""Y""), 1)
    + COUNTIFS($R:$R, $R40, $M:$M, ""&lt;""&amp;$M40, $T:$T, ""Y""),
    ""UPCOMING""
  ),
  ""NO REF""
)
"),"NO REF")</f>
        <v>NO REF</v>
      </c>
      <c r="X40" s="988">
        <v>14.0</v>
      </c>
      <c r="Y40" s="989">
        <f t="shared" si="87"/>
        <v>100.39</v>
      </c>
      <c r="Z40" s="990">
        <f t="shared" si="88"/>
        <v>2022</v>
      </c>
      <c r="AA40" s="990" t="str">
        <f t="shared" si="89"/>
        <v>WEEK 8</v>
      </c>
      <c r="AB40" s="991" t="str">
        <f t="shared" si="90"/>
        <v>YARDIES</v>
      </c>
      <c r="AC40" s="990" t="str">
        <f t="shared" si="91"/>
        <v>METAMOOKDAWGS</v>
      </c>
      <c r="AD40" s="992" t="str">
        <f t="shared" si="92"/>
        <v>PVE FFL GAME 201</v>
      </c>
      <c r="AK40" s="314"/>
      <c r="AL40" s="314"/>
      <c r="AM40" s="892"/>
      <c r="AN40" s="314"/>
    </row>
    <row r="41" ht="15.75" customHeight="1">
      <c r="C41" s="13">
        <v>40.0</v>
      </c>
      <c r="D41" s="959">
        <v>2019.0</v>
      </c>
      <c r="E41" s="217" t="s">
        <v>521</v>
      </c>
      <c r="F41" s="960" t="s">
        <v>671</v>
      </c>
      <c r="G41" s="961" t="str">
        <f>'League History BACKEND 2019'!G116</f>
        <v>GREEN</v>
      </c>
      <c r="H41" s="962">
        <v>94.51</v>
      </c>
      <c r="I41" s="963">
        <v>160.15</v>
      </c>
      <c r="J41" s="964" t="str">
        <f>'League History BACKEND 2019'!J116</f>
        <v>YARDIES</v>
      </c>
      <c r="K41" s="965" t="str">
        <f t="shared" si="1"/>
        <v>YARDIES</v>
      </c>
      <c r="L41" s="966" t="str">
        <f t="shared" si="2"/>
        <v>GREEN</v>
      </c>
      <c r="M41" s="967">
        <f t="array" ref="M41">IFERROR(IF(ABS(H41-I41)=0,Tie,ABS(H41-I41)),"UPCOMING")</f>
        <v>65.64</v>
      </c>
      <c r="N41" s="968">
        <f t="shared" si="3"/>
        <v>355</v>
      </c>
      <c r="O41" s="969">
        <f t="shared" si="4"/>
        <v>67</v>
      </c>
      <c r="P41" s="967">
        <f t="shared" si="5"/>
        <v>254.66</v>
      </c>
      <c r="Q41" s="968">
        <f t="shared" si="6"/>
        <v>393</v>
      </c>
      <c r="R41" s="967">
        <f t="shared" si="7"/>
        <v>374</v>
      </c>
      <c r="S41" s="970">
        <f t="shared" si="8"/>
        <v>418</v>
      </c>
      <c r="U41" s="13" t="str">
        <f>IFERROR(__xludf.DUMMYFUNCTION("IF($T41=""Y"",
  IFERROR(
    RANK.EQ($R41, FILTER($R:$R, $T:$T=""Y""), 1)
    + COUNTIFS($R:$R, $R41, $M:$M, ""&lt;""&amp;$M41, $T:$T, ""Y""),
    ""UPCOMING""
  ),
  ""NO REF""
)
"),"NO REF")</f>
        <v>NO REF</v>
      </c>
      <c r="X41" s="988">
        <v>15.0</v>
      </c>
      <c r="Y41" s="989">
        <f t="shared" si="87"/>
        <v>97.04</v>
      </c>
      <c r="Z41" s="990">
        <f t="shared" si="88"/>
        <v>2025</v>
      </c>
      <c r="AA41" s="990" t="str">
        <f t="shared" si="89"/>
        <v>WEEK 3</v>
      </c>
      <c r="AB41" s="991" t="str">
        <f t="shared" si="90"/>
        <v>GREEN</v>
      </c>
      <c r="AC41" s="990" t="str">
        <f t="shared" si="91"/>
        <v>YARDIES</v>
      </c>
      <c r="AD41" s="992" t="str">
        <f t="shared" si="92"/>
        <v>PVE FFL GAME 365</v>
      </c>
      <c r="AJ41" s="18" t="s">
        <v>682</v>
      </c>
    </row>
    <row r="42" ht="15.75" customHeight="1">
      <c r="C42" s="13">
        <v>41.0</v>
      </c>
      <c r="D42" s="959">
        <v>2019.0</v>
      </c>
      <c r="E42" s="217" t="s">
        <v>522</v>
      </c>
      <c r="F42" s="960" t="s">
        <v>663</v>
      </c>
      <c r="G42" s="961" t="str">
        <f>'League History BACKEND 2019'!G120</f>
        <v>SAVAGES</v>
      </c>
      <c r="H42" s="962">
        <v>188.32</v>
      </c>
      <c r="I42" s="963">
        <v>128.06</v>
      </c>
      <c r="J42" s="964" t="str">
        <f>'League History BACKEND 2019'!J120</f>
        <v>GREEN</v>
      </c>
      <c r="K42" s="965" t="str">
        <f t="shared" si="1"/>
        <v>SAVAGES</v>
      </c>
      <c r="L42" s="966" t="str">
        <f t="shared" si="2"/>
        <v>GREEN</v>
      </c>
      <c r="M42" s="967">
        <f t="array" ref="M42">IFERROR(IF(ABS(H42-I42)=0,Tie,ABS(H42-I42)),"UPCOMING")</f>
        <v>60.26</v>
      </c>
      <c r="N42" s="968">
        <f t="shared" si="3"/>
        <v>339</v>
      </c>
      <c r="O42" s="969">
        <f t="shared" si="4"/>
        <v>83</v>
      </c>
      <c r="P42" s="967">
        <f t="shared" si="5"/>
        <v>316.38</v>
      </c>
      <c r="Q42" s="968">
        <f t="shared" si="6"/>
        <v>258</v>
      </c>
      <c r="R42" s="967">
        <f t="shared" si="7"/>
        <v>298.5</v>
      </c>
      <c r="S42" s="970">
        <f t="shared" si="8"/>
        <v>359</v>
      </c>
      <c r="U42" s="13" t="str">
        <f>IFERROR(__xludf.DUMMYFUNCTION("IF($T42=""Y"",
  IFERROR(
    RANK.EQ($R42, FILTER($R:$R, $T:$T=""Y""), 1)
    + COUNTIFS($R:$R, $R42, $M:$M, ""&lt;""&amp;$M42, $T:$T, ""Y""),
    ""UPCOMING""
  ),
  ""NO REF""
)
"),"NO REF")</f>
        <v>NO REF</v>
      </c>
      <c r="X42" s="988">
        <v>16.0</v>
      </c>
      <c r="Y42" s="989">
        <f t="shared" si="87"/>
        <v>94.85</v>
      </c>
      <c r="Z42" s="990">
        <f t="shared" si="88"/>
        <v>2021</v>
      </c>
      <c r="AA42" s="990" t="str">
        <f t="shared" si="89"/>
        <v>WEEK 10</v>
      </c>
      <c r="AB42" s="991" t="str">
        <f t="shared" si="90"/>
        <v>CHAMPS</v>
      </c>
      <c r="AC42" s="990" t="str">
        <f t="shared" si="91"/>
        <v>GIRLS</v>
      </c>
      <c r="AD42" s="992" t="str">
        <f t="shared" si="92"/>
        <v>PVE FFL GAME 149</v>
      </c>
      <c r="AJ42" s="1045" t="s">
        <v>494</v>
      </c>
      <c r="AK42" s="1046"/>
      <c r="AL42" s="1046"/>
      <c r="AM42" s="1046"/>
      <c r="AN42" s="1046"/>
      <c r="AO42" s="1046"/>
      <c r="AP42" s="1046"/>
      <c r="AQ42" s="1046"/>
      <c r="AR42" s="1046"/>
      <c r="AS42" s="1046"/>
      <c r="AT42" s="1046"/>
      <c r="AU42" s="1046"/>
      <c r="AV42" s="1047"/>
      <c r="AW42" s="1047"/>
      <c r="AX42" s="1047"/>
      <c r="AY42" s="1048"/>
      <c r="AZ42" s="1049"/>
      <c r="BA42" s="1050"/>
      <c r="BB42" s="1050"/>
      <c r="BC42" s="1051"/>
    </row>
    <row r="43" ht="15.75" customHeight="1">
      <c r="C43" s="13">
        <v>42.0</v>
      </c>
      <c r="D43" s="959">
        <v>2019.0</v>
      </c>
      <c r="E43" s="217" t="s">
        <v>522</v>
      </c>
      <c r="F43" s="960" t="s">
        <v>665</v>
      </c>
      <c r="G43" s="961" t="str">
        <f>'League History BACKEND 2019'!G122</f>
        <v>DECOUPES</v>
      </c>
      <c r="H43" s="962">
        <v>104.22</v>
      </c>
      <c r="I43" s="963">
        <v>149.06</v>
      </c>
      <c r="J43" s="964" t="str">
        <f>'League History BACKEND 2019'!J122</f>
        <v>POPEYES</v>
      </c>
      <c r="K43" s="965" t="str">
        <f t="shared" si="1"/>
        <v>POPEYES</v>
      </c>
      <c r="L43" s="966" t="str">
        <f t="shared" si="2"/>
        <v>DECOUPES</v>
      </c>
      <c r="M43" s="967">
        <f t="array" ref="M43">IFERROR(IF(ABS(H43-I43)=0,Tie,ABS(H43-I43)),"UPCOMING")</f>
        <v>44.84</v>
      </c>
      <c r="N43" s="968">
        <f t="shared" si="3"/>
        <v>279</v>
      </c>
      <c r="O43" s="969">
        <f t="shared" si="4"/>
        <v>143</v>
      </c>
      <c r="P43" s="967">
        <f t="shared" si="5"/>
        <v>253.28</v>
      </c>
      <c r="Q43" s="968">
        <f t="shared" si="6"/>
        <v>394</v>
      </c>
      <c r="R43" s="967">
        <f t="shared" si="7"/>
        <v>336.5</v>
      </c>
      <c r="S43" s="970">
        <f t="shared" si="8"/>
        <v>400</v>
      </c>
      <c r="U43" s="13" t="str">
        <f>IFERROR(__xludf.DUMMYFUNCTION("IF($T43=""Y"",
  IFERROR(
    RANK.EQ($R43, FILTER($R:$R, $T:$T=""Y""), 1)
    + COUNTIFS($R:$R, $R43, $M:$M, ""&lt;""&amp;$M43, $T:$T, ""Y""),
    ""UPCOMING""
  ),
  ""NO REF""
)
"),"NO REF")</f>
        <v>NO REF</v>
      </c>
      <c r="X43" s="988">
        <v>17.0</v>
      </c>
      <c r="Y43" s="989">
        <f t="shared" si="87"/>
        <v>94.06</v>
      </c>
      <c r="Z43" s="990">
        <f t="shared" si="88"/>
        <v>2023</v>
      </c>
      <c r="AA43" s="990" t="str">
        <f t="shared" si="89"/>
        <v>WEEK 13</v>
      </c>
      <c r="AB43" s="991" t="str">
        <f t="shared" si="90"/>
        <v>POPEYES</v>
      </c>
      <c r="AC43" s="990" t="str">
        <f t="shared" si="91"/>
        <v>SAVAGES</v>
      </c>
      <c r="AD43" s="992" t="str">
        <f t="shared" si="92"/>
        <v>PVE FFL GAME 277</v>
      </c>
      <c r="AJ43" s="1052" t="s">
        <v>683</v>
      </c>
      <c r="AK43" s="1053" t="s">
        <v>666</v>
      </c>
      <c r="AL43" s="1054" t="s">
        <v>667</v>
      </c>
      <c r="AM43" s="1055" t="s">
        <v>668</v>
      </c>
      <c r="AN43" s="1056" t="s">
        <v>684</v>
      </c>
      <c r="AO43" s="1057" t="s">
        <v>685</v>
      </c>
      <c r="AP43" s="1058" t="s">
        <v>686</v>
      </c>
      <c r="AQ43" s="1058" t="s">
        <v>687</v>
      </c>
      <c r="AR43" s="1059" t="s">
        <v>688</v>
      </c>
      <c r="AS43" s="1053" t="s">
        <v>689</v>
      </c>
      <c r="AT43" s="1054" t="s">
        <v>690</v>
      </c>
      <c r="AU43" s="1060" t="s">
        <v>691</v>
      </c>
      <c r="AV43" s="1061" t="s">
        <v>692</v>
      </c>
      <c r="AW43" s="1062" t="s">
        <v>693</v>
      </c>
      <c r="AX43" s="1063" t="s">
        <v>694</v>
      </c>
      <c r="AY43" s="1064" t="s">
        <v>695</v>
      </c>
      <c r="AZ43" s="1065" t="s">
        <v>696</v>
      </c>
      <c r="BA43" s="1066" t="s">
        <v>697</v>
      </c>
      <c r="BB43" s="1067" t="s">
        <v>698</v>
      </c>
      <c r="BC43" s="1068" t="s">
        <v>699</v>
      </c>
    </row>
    <row r="44" ht="15.75" customHeight="1">
      <c r="C44" s="13">
        <v>43.0</v>
      </c>
      <c r="D44" s="959">
        <v>2019.0</v>
      </c>
      <c r="E44" s="217" t="s">
        <v>522</v>
      </c>
      <c r="F44" s="960" t="s">
        <v>670</v>
      </c>
      <c r="G44" s="961" t="str">
        <f>'League History BACKEND 2019'!G124</f>
        <v>METAMOOKDAWGS</v>
      </c>
      <c r="H44" s="962">
        <v>137.91</v>
      </c>
      <c r="I44" s="963">
        <v>99.14</v>
      </c>
      <c r="J44" s="964" t="str">
        <f>'League History BACKEND 2019'!J124</f>
        <v>YARDIES</v>
      </c>
      <c r="K44" s="965" t="str">
        <f t="shared" si="1"/>
        <v>METAMOOKDAWGS</v>
      </c>
      <c r="L44" s="966" t="str">
        <f t="shared" si="2"/>
        <v>YARDIES</v>
      </c>
      <c r="M44" s="967">
        <f t="array" ref="M44">IFERROR(IF(ABS(H44-I44)=0,Tie,ABS(H44-I44)),"UPCOMING")</f>
        <v>38.77</v>
      </c>
      <c r="N44" s="968">
        <f t="shared" si="3"/>
        <v>250</v>
      </c>
      <c r="O44" s="969">
        <f t="shared" si="4"/>
        <v>172</v>
      </c>
      <c r="P44" s="967">
        <f t="shared" si="5"/>
        <v>237.05</v>
      </c>
      <c r="Q44" s="968">
        <f t="shared" si="6"/>
        <v>405</v>
      </c>
      <c r="R44" s="967">
        <f t="shared" si="7"/>
        <v>327.5</v>
      </c>
      <c r="S44" s="970">
        <f t="shared" si="8"/>
        <v>389</v>
      </c>
      <c r="U44" s="13" t="str">
        <f>IFERROR(__xludf.DUMMYFUNCTION("IF($T44=""Y"",
  IFERROR(
    RANK.EQ($R44, FILTER($R:$R, $T:$T=""Y""), 1)
    + COUNTIFS($R:$R, $R44, $M:$M, ""&lt;""&amp;$M44, $T:$T, ""Y""),
    ""UPCOMING""
  ),
  ""NO REF""
)
"),"NO REF")</f>
        <v>NO REF</v>
      </c>
      <c r="X44" s="988">
        <v>18.0</v>
      </c>
      <c r="Y44" s="989">
        <f t="shared" si="87"/>
        <v>93.92</v>
      </c>
      <c r="Z44" s="990">
        <f t="shared" si="88"/>
        <v>2023</v>
      </c>
      <c r="AA44" s="990" t="str">
        <f t="shared" si="89"/>
        <v>WEEK 9</v>
      </c>
      <c r="AB44" s="991" t="str">
        <f t="shared" si="90"/>
        <v>YARDIES</v>
      </c>
      <c r="AC44" s="990" t="str">
        <f t="shared" si="91"/>
        <v>SAVAGES</v>
      </c>
      <c r="AD44" s="992" t="str">
        <f t="shared" si="92"/>
        <v>PVE FFL GAME 260</v>
      </c>
      <c r="AJ44" s="1069" t="str">
        <f t="shared" ref="AJ44:AJ55" si="103">IF(AJ4=$AJ$42,"N/A",AJ4)</f>
        <v>DECOUPES</v>
      </c>
      <c r="AK44" s="1070">
        <f t="shared" ref="AK44:AK55" si="104">IF(AJ44="N/A","N/A",COUNTIFS($G:$G,AJ44,$L:$L,AJ44,$J:$J,$AJ$42,$H:$H,"&lt;&gt;")+COUNTIFS($J:$J,AJ44,$L:$L,AJ44,$G:$G,$AJ$42,$H:$H,"&lt;&gt;"))</f>
        <v>8</v>
      </c>
      <c r="AL44" s="1071">
        <f t="shared" ref="AL44:AL55" si="105">IF(AJ44="N/A","N/A",COUNTIFS($G:$G,AJ44,$K:$K,AJ44,$J:$J,$AJ$42,$H:$H,"&lt;&gt;")+COUNTIFS($J:$J,AJ44,$K:$K,AJ44,$G:$G,$AJ$42,$H:$H,"&lt;&gt;"))</f>
        <v>10</v>
      </c>
      <c r="AM44" s="1072">
        <f t="shared" ref="AM44:AM55" si="106">IF(AJ44="N/A","N/A",IFERROR(AK44/(AL44+AK44),0))</f>
        <v>0.4444444444</v>
      </c>
      <c r="AN44" s="1073">
        <f t="shared" ref="AN44:AN55" si="107">IFERROR(AL44+AK44,"N/A")</f>
        <v>18</v>
      </c>
      <c r="AO44" s="1074">
        <f t="shared" ref="AO44:AO53" si="108">IF(AJ44="N/A","N/A", COUNTIFS($K:$K, $AJ$42,   $L:$L, AJ44,   $T:$T, "Y")
)</f>
        <v>0</v>
      </c>
      <c r="AP44" s="1075">
        <f t="shared" ref="AP44:AP53" si="109">IF(AJ44="N/A","N/A",COUNTIFS($K:$K, AJ44,   $L:$L, $AJ$42,   $T:$T, "Y"))
</f>
        <v>1</v>
      </c>
      <c r="AQ44" s="1076">
        <f t="shared" ref="AQ44:AQ53" si="110">If(AR44=0,"N/A",IF(AJ44="N/A","N/A",IFERROR(AO44/(AP44+AO44),0)))</f>
        <v>0</v>
      </c>
      <c r="AR44" s="1077">
        <f t="shared" ref="AR44:AR53" si="111">IF(AJ44="N/A","N/A", AO44+AP44)</f>
        <v>1</v>
      </c>
      <c r="AS44" s="1078">
        <f>IFERROR(AVERAGE('League History BACKEND'!A3,'League History BACKEND'!B3),"N/A")</f>
        <v>42.12958333</v>
      </c>
      <c r="AT44" s="1079">
        <f>IFERROR(AVERAGE('League History BACKEND'!C3,'League History BACKEND'!D3),"N/A")</f>
        <v>357.06375</v>
      </c>
      <c r="AU44" s="1080">
        <f>IFERROR(AVERAGE('League History BACKEND'!E3,'League History BACKEND'!F3),"N/A")</f>
        <v>195.7916667</v>
      </c>
      <c r="AV44" s="1081">
        <f>Iferror(IF('League History BACKEND'!G2+'League History BACKEND'!H2=0,"-",'League History BACKEND'!G2),"N/A")</f>
        <v>3</v>
      </c>
      <c r="AW44" s="869">
        <f>iferror(IF('League History BACKEND'!G2+'League History BACKEND'!H2=0,"-",'League History BACKEND'!H2),"N/A")</f>
        <v>1</v>
      </c>
      <c r="AX44" s="1072">
        <f t="array" ref="AX44">IFERROR(IFS(AJ44="N/A","N/A",AV44+AW44=0,"-",AV44+AW44&lt;&gt;0,IFERROR(AV44/(AW44+AV44),0)),"-")</f>
        <v>0.75</v>
      </c>
      <c r="AY44" s="1082">
        <f t="array" ref="AY44">IFERROR(IFS(AJ44="N/A","N/A",AV44+AW44=0,"-",AV44+AW44&lt;&gt;0,AV44+AW44),"-")</f>
        <v>4</v>
      </c>
      <c r="AZ44" s="1083">
        <f t="shared" ref="AZ44:BA44" si="102">IFERROR(AK44+IF(AV44="-",0,AV44),"N/A")</f>
        <v>11</v>
      </c>
      <c r="BA44" s="869">
        <f t="shared" si="102"/>
        <v>11</v>
      </c>
      <c r="BB44" s="1072">
        <f t="shared" ref="BB44:BB55" si="113">IFERROR(AZ44/(AZ44+BA44),"N/A")</f>
        <v>0.5</v>
      </c>
      <c r="BC44" s="1073">
        <f t="shared" ref="BC44:BC55" si="114">IFERROR(AZ44+BA44,"N/A")</f>
        <v>22</v>
      </c>
    </row>
    <row r="45" ht="15.75" customHeight="1">
      <c r="C45" s="13">
        <v>44.0</v>
      </c>
      <c r="D45" s="959">
        <v>2019.0</v>
      </c>
      <c r="E45" s="217" t="s">
        <v>522</v>
      </c>
      <c r="F45" s="960" t="s">
        <v>671</v>
      </c>
      <c r="G45" s="961" t="str">
        <f>'League History BACKEND 2019'!G126</f>
        <v>MUTTS</v>
      </c>
      <c r="H45" s="962">
        <v>115.17</v>
      </c>
      <c r="I45" s="963">
        <v>118.14</v>
      </c>
      <c r="J45" s="964" t="str">
        <f>'League History BACKEND 2019'!J126</f>
        <v>DEEZ NUTS</v>
      </c>
      <c r="K45" s="965" t="str">
        <f t="shared" si="1"/>
        <v>DEEZ NUTS</v>
      </c>
      <c r="L45" s="966" t="str">
        <f t="shared" si="2"/>
        <v>MUTTS</v>
      </c>
      <c r="M45" s="967">
        <f t="array" ref="M45">IFERROR(IF(ABS(H45-I45)=0,Tie,ABS(H45-I45)),"UPCOMING")</f>
        <v>2.97</v>
      </c>
      <c r="N45" s="968">
        <f t="shared" si="3"/>
        <v>28</v>
      </c>
      <c r="O45" s="969">
        <f t="shared" si="4"/>
        <v>394</v>
      </c>
      <c r="P45" s="967">
        <f t="shared" si="5"/>
        <v>233.31</v>
      </c>
      <c r="Q45" s="968">
        <f t="shared" si="6"/>
        <v>408</v>
      </c>
      <c r="R45" s="967">
        <f t="shared" si="7"/>
        <v>218</v>
      </c>
      <c r="S45" s="970">
        <f t="shared" si="8"/>
        <v>224</v>
      </c>
      <c r="U45" s="13" t="str">
        <f>IFERROR(__xludf.DUMMYFUNCTION("IF($T45=""Y"",
  IFERROR(
    RANK.EQ($R45, FILTER($R:$R, $T:$T=""Y""), 1)
    + COUNTIFS($R:$R, $R45, $M:$M, ""&lt;""&amp;$M45, $T:$T, ""Y""),
    ""UPCOMING""
  ),
  ""NO REF""
)
"),"NO REF")</f>
        <v>NO REF</v>
      </c>
      <c r="X45" s="988">
        <v>19.0</v>
      </c>
      <c r="Y45" s="989">
        <f t="shared" si="87"/>
        <v>92.32</v>
      </c>
      <c r="Z45" s="990">
        <f t="shared" si="88"/>
        <v>2022</v>
      </c>
      <c r="AA45" s="990" t="str">
        <f t="shared" si="89"/>
        <v>WEEK 2</v>
      </c>
      <c r="AB45" s="991" t="str">
        <f t="shared" si="90"/>
        <v>YARDIES</v>
      </c>
      <c r="AC45" s="990" t="str">
        <f t="shared" si="91"/>
        <v>MUTTS</v>
      </c>
      <c r="AD45" s="992" t="str">
        <f t="shared" si="92"/>
        <v>PVE FFL GAME 177</v>
      </c>
      <c r="AJ45" s="1069" t="str">
        <f t="shared" si="103"/>
        <v>N/A</v>
      </c>
      <c r="AK45" s="1070" t="str">
        <f t="shared" si="104"/>
        <v>N/A</v>
      </c>
      <c r="AL45" s="1071" t="str">
        <f t="shared" si="105"/>
        <v>N/A</v>
      </c>
      <c r="AM45" s="1072" t="str">
        <f t="shared" si="106"/>
        <v>N/A</v>
      </c>
      <c r="AN45" s="1073" t="str">
        <f t="shared" si="107"/>
        <v>N/A</v>
      </c>
      <c r="AO45" s="1074" t="str">
        <f t="shared" si="108"/>
        <v>N/A</v>
      </c>
      <c r="AP45" s="1075" t="str">
        <f t="shared" si="109"/>
        <v>N/A</v>
      </c>
      <c r="AQ45" s="1076" t="str">
        <f t="shared" si="110"/>
        <v>N/A</v>
      </c>
      <c r="AR45" s="1077" t="str">
        <f t="shared" si="111"/>
        <v>N/A</v>
      </c>
      <c r="AS45" s="1078" t="str">
        <f>IFERROR(AVERAGE('League History BACKEND'!A4,'League History BACKEND'!B4),"N/A")</f>
        <v>N/A</v>
      </c>
      <c r="AT45" s="1079" t="str">
        <f>IFERROR(AVERAGE('League History BACKEND'!C4,'League History BACKEND'!D4),"N/A")</f>
        <v>N/A</v>
      </c>
      <c r="AU45" s="1080" t="str">
        <f>IFERROR(AVERAGE('League History BACKEND'!E4,'League History BACKEND'!F4),"N/A")</f>
        <v>N/A</v>
      </c>
      <c r="AV45" s="1081" t="str">
        <f>Iferror(IF('League History BACKEND'!G3+'League History BACKEND'!H3=0,"-",'League History BACKEND'!G3),"N/A")</f>
        <v>N/A</v>
      </c>
      <c r="AW45" s="869" t="str">
        <f>iferror(IF('League History BACKEND'!G3+'League History BACKEND'!H3=0,"-",'League History BACKEND'!H3),"N/A")</f>
        <v>N/A</v>
      </c>
      <c r="AX45" s="1072" t="str">
        <f t="array" ref="AX45">IFERROR(IFS(AJ45="N/A","N/A",AV45+AW45=0,"-",AV45+AW45&lt;&gt;0,IFERROR(AV45/(AW45+AV45),0)),"-")</f>
        <v>N/A</v>
      </c>
      <c r="AY45" s="1082" t="str">
        <f t="array" ref="AY45">IFERROR(IFS(AJ45="N/A","N/A",AV45+AW45=0,"-",AV45+AW45&lt;&gt;0,AV45+AW45),"-")</f>
        <v>N/A</v>
      </c>
      <c r="AZ45" s="1083" t="str">
        <f t="shared" ref="AZ45:BA45" si="112">IFERROR(AK45+IF(AV45="-",0,AV45),"N/A")</f>
        <v>N/A</v>
      </c>
      <c r="BA45" s="869" t="str">
        <f t="shared" si="112"/>
        <v>N/A</v>
      </c>
      <c r="BB45" s="1072" t="str">
        <f t="shared" si="113"/>
        <v>N/A</v>
      </c>
      <c r="BC45" s="1073" t="str">
        <f t="shared" si="114"/>
        <v>N/A</v>
      </c>
    </row>
    <row r="46" ht="15.75" customHeight="1">
      <c r="C46" s="13">
        <v>45.0</v>
      </c>
      <c r="D46" s="959">
        <v>2019.0</v>
      </c>
      <c r="E46" s="217" t="s">
        <v>523</v>
      </c>
      <c r="F46" s="960" t="s">
        <v>663</v>
      </c>
      <c r="G46" s="961" t="str">
        <f>'League History BACKEND 2019'!G130</f>
        <v>POPEYES</v>
      </c>
      <c r="H46" s="962">
        <v>142.06</v>
      </c>
      <c r="I46" s="963">
        <v>141.86</v>
      </c>
      <c r="J46" s="964" t="str">
        <f>'League History BACKEND 2019'!J130</f>
        <v>SAVAGES</v>
      </c>
      <c r="K46" s="965" t="str">
        <f t="shared" si="1"/>
        <v>POPEYES</v>
      </c>
      <c r="L46" s="966" t="str">
        <f t="shared" si="2"/>
        <v>SAVAGES</v>
      </c>
      <c r="M46" s="967">
        <f t="array" ref="M46">IFERROR(IF(ABS(H46-I46)=0,Tie,ABS(H46-I46)),"UPCOMING")</f>
        <v>0.2</v>
      </c>
      <c r="N46" s="968">
        <f t="shared" si="3"/>
        <v>5</v>
      </c>
      <c r="O46" s="969">
        <f t="shared" si="4"/>
        <v>418</v>
      </c>
      <c r="P46" s="967">
        <f t="shared" si="5"/>
        <v>283.92</v>
      </c>
      <c r="Q46" s="968">
        <f t="shared" si="6"/>
        <v>337</v>
      </c>
      <c r="R46" s="967">
        <f t="shared" si="7"/>
        <v>171</v>
      </c>
      <c r="S46" s="970">
        <f t="shared" si="8"/>
        <v>123</v>
      </c>
      <c r="U46" s="13" t="str">
        <f>IFERROR(__xludf.DUMMYFUNCTION("IF($T46=""Y"",
  IFERROR(
    RANK.EQ($R46, FILTER($R:$R, $T:$T=""Y""), 1)
    + COUNTIFS($R:$R, $R46, $M:$M, ""&lt;""&amp;$M46, $T:$T, ""Y""),
    ""UPCOMING""
  ),
  ""NO REF""
)
"),"NO REF")</f>
        <v>NO REF</v>
      </c>
      <c r="X46" s="1018">
        <v>20.0</v>
      </c>
      <c r="Y46" s="1019">
        <f t="shared" si="87"/>
        <v>90.4</v>
      </c>
      <c r="Z46" s="1020">
        <f t="shared" si="88"/>
        <v>2022</v>
      </c>
      <c r="AA46" s="1020" t="str">
        <f t="shared" si="89"/>
        <v>WEEK 8</v>
      </c>
      <c r="AB46" s="1021" t="str">
        <f t="shared" si="90"/>
        <v>GREEN</v>
      </c>
      <c r="AC46" s="1020" t="str">
        <f t="shared" si="91"/>
        <v>POPEYES</v>
      </c>
      <c r="AD46" s="1022" t="str">
        <f t="shared" si="92"/>
        <v>PVE FFL GAME 200</v>
      </c>
      <c r="AJ46" s="1069" t="str">
        <f t="shared" si="103"/>
        <v>GREEN</v>
      </c>
      <c r="AK46" s="1070">
        <f t="shared" si="104"/>
        <v>7</v>
      </c>
      <c r="AL46" s="1071">
        <f t="shared" si="105"/>
        <v>11</v>
      </c>
      <c r="AM46" s="1072">
        <f t="shared" si="106"/>
        <v>0.3888888889</v>
      </c>
      <c r="AN46" s="1073">
        <f t="shared" si="107"/>
        <v>18</v>
      </c>
      <c r="AO46" s="1074">
        <f t="shared" si="108"/>
        <v>0</v>
      </c>
      <c r="AP46" s="1075">
        <f t="shared" si="109"/>
        <v>2</v>
      </c>
      <c r="AQ46" s="1076">
        <f t="shared" si="110"/>
        <v>0</v>
      </c>
      <c r="AR46" s="1077">
        <f t="shared" si="111"/>
        <v>2</v>
      </c>
      <c r="AS46" s="1078">
        <f>IFERROR(AVERAGE('League History BACKEND'!A5,'League History BACKEND'!B5),"N/A")</f>
        <v>35.899125</v>
      </c>
      <c r="AT46" s="1079">
        <f>IFERROR(AVERAGE('League History BACKEND'!C5,'League History BACKEND'!D5),"N/A")</f>
        <v>347.168625</v>
      </c>
      <c r="AU46" s="1080">
        <f>IFERROR(AVERAGE('League History BACKEND'!E5,'League History BACKEND'!F5),"N/A")</f>
        <v>197.7625</v>
      </c>
      <c r="AV46" s="1081">
        <f>Iferror(IF('League History BACKEND'!G4+'League History BACKEND'!H4=0,"-",'League History BACKEND'!G4),"N/A")</f>
        <v>2</v>
      </c>
      <c r="AW46" s="869">
        <f>iferror(IF('League History BACKEND'!G4+'League History BACKEND'!H4=0,"-",'League History BACKEND'!H4),"N/A")</f>
        <v>1</v>
      </c>
      <c r="AX46" s="1072">
        <f t="array" ref="AX46">IFERROR(IFS(AJ46="N/A","N/A",AV46+AW46=0,"-",AV46+AW46&lt;&gt;0,IFERROR(AV46/(AW46+AV46),0)),"-")</f>
        <v>0.6666666667</v>
      </c>
      <c r="AY46" s="1082">
        <f t="array" ref="AY46">IFERROR(IFS(AJ46="N/A","N/A",AV46+AW46=0,"-",AV46+AW46&lt;&gt;0,AV46+AW46),"-")</f>
        <v>3</v>
      </c>
      <c r="AZ46" s="1083">
        <f t="shared" ref="AZ46:BA46" si="115">IFERROR(AK46+IF(AV46="-",0,AV46),"N/A")</f>
        <v>9</v>
      </c>
      <c r="BA46" s="869">
        <f t="shared" si="115"/>
        <v>12</v>
      </c>
      <c r="BB46" s="1072">
        <f t="shared" si="113"/>
        <v>0.4285714286</v>
      </c>
      <c r="BC46" s="1073">
        <f t="shared" si="114"/>
        <v>21</v>
      </c>
    </row>
    <row r="47" ht="15.75" customHeight="1">
      <c r="C47" s="13">
        <v>46.0</v>
      </c>
      <c r="D47" s="959">
        <v>2019.0</v>
      </c>
      <c r="E47" s="217" t="s">
        <v>523</v>
      </c>
      <c r="F47" s="960" t="s">
        <v>665</v>
      </c>
      <c r="G47" s="961" t="str">
        <f>'League History BACKEND 2019'!G132</f>
        <v>DEEZ NUTS</v>
      </c>
      <c r="H47" s="962">
        <v>118.66</v>
      </c>
      <c r="I47" s="963">
        <v>149.07</v>
      </c>
      <c r="J47" s="964" t="str">
        <f>'League History BACKEND 2019'!J132</f>
        <v>YARDIES</v>
      </c>
      <c r="K47" s="965" t="str">
        <f t="shared" si="1"/>
        <v>YARDIES</v>
      </c>
      <c r="L47" s="966" t="str">
        <f t="shared" si="2"/>
        <v>DEEZ NUTS</v>
      </c>
      <c r="M47" s="967">
        <f t="array" ref="M47">IFERROR(IF(ABS(H47-I47)=0,Tie,ABS(H47-I47)),"UPCOMING")</f>
        <v>30.41</v>
      </c>
      <c r="N47" s="968">
        <f t="shared" si="3"/>
        <v>198</v>
      </c>
      <c r="O47" s="969">
        <f t="shared" si="4"/>
        <v>224</v>
      </c>
      <c r="P47" s="967">
        <f t="shared" si="5"/>
        <v>267.73</v>
      </c>
      <c r="Q47" s="968">
        <f t="shared" si="6"/>
        <v>376</v>
      </c>
      <c r="R47" s="967">
        <f t="shared" si="7"/>
        <v>287</v>
      </c>
      <c r="S47" s="970">
        <f t="shared" si="8"/>
        <v>344</v>
      </c>
      <c r="U47" s="13" t="str">
        <f>IFERROR(__xludf.DUMMYFUNCTION("IF($T47=""Y"",
  IFERROR(
    RANK.EQ($R47, FILTER($R:$R, $T:$T=""Y""), 1)
    + COUNTIFS($R:$R, $R47, $M:$M, ""&lt;""&amp;$M47, $T:$T, ""Y""),
    ""UPCOMING""
  ),
  ""NO REF""
)
"),"NO REF")</f>
        <v>NO REF</v>
      </c>
      <c r="AJ47" s="1069" t="str">
        <f t="shared" si="103"/>
        <v>SAVAGES</v>
      </c>
      <c r="AK47" s="1070">
        <f t="shared" si="104"/>
        <v>13</v>
      </c>
      <c r="AL47" s="1071">
        <f t="shared" si="105"/>
        <v>5</v>
      </c>
      <c r="AM47" s="1072">
        <f t="shared" si="106"/>
        <v>0.7222222222</v>
      </c>
      <c r="AN47" s="1073">
        <f t="shared" si="107"/>
        <v>18</v>
      </c>
      <c r="AO47" s="1074">
        <f t="shared" si="108"/>
        <v>2</v>
      </c>
      <c r="AP47" s="1075">
        <f t="shared" si="109"/>
        <v>0</v>
      </c>
      <c r="AQ47" s="1076">
        <f t="shared" si="110"/>
        <v>1</v>
      </c>
      <c r="AR47" s="1077">
        <f t="shared" si="111"/>
        <v>2</v>
      </c>
      <c r="AS47" s="1078">
        <f>IFERROR(AVERAGE('League History BACKEND'!A6,'League History BACKEND'!B6),"N/A")</f>
        <v>29.43571429</v>
      </c>
      <c r="AT47" s="1079">
        <f>IFERROR(AVERAGE('League History BACKEND'!C6,'League History BACKEND'!D6),"N/A")</f>
        <v>327.2046429</v>
      </c>
      <c r="AU47" s="1080">
        <f>IFERROR(AVERAGE('League History BACKEND'!E6,'League History BACKEND'!F6),"N/A")</f>
        <v>206.6071429</v>
      </c>
      <c r="AV47" s="1081">
        <f>Iferror(IF('League History BACKEND'!G5+'League History BACKEND'!H5=0,"-",'League History BACKEND'!G5),"N/A")</f>
        <v>2</v>
      </c>
      <c r="AW47" s="869">
        <f>iferror(IF('League History BACKEND'!G5+'League History BACKEND'!H5=0,"-",'League History BACKEND'!H5),"N/A")</f>
        <v>0</v>
      </c>
      <c r="AX47" s="1072">
        <f t="array" ref="AX47">IFERROR(IFS(AJ47="N/A","N/A",AV47+AW47=0,"-",AV47+AW47&lt;&gt;0,IFERROR(AV47/(AW47+AV47),0)),"-")</f>
        <v>1</v>
      </c>
      <c r="AY47" s="1082">
        <f t="array" ref="AY47">IFERROR(IFS(AJ47="N/A","N/A",AV47+AW47=0,"-",AV47+AW47&lt;&gt;0,AV47+AW47),"-")</f>
        <v>2</v>
      </c>
      <c r="AZ47" s="1083">
        <f t="shared" ref="AZ47:BA47" si="116">IFERROR(AK47+IF(AV47="-",0,AV47),"N/A")</f>
        <v>15</v>
      </c>
      <c r="BA47" s="869">
        <f t="shared" si="116"/>
        <v>5</v>
      </c>
      <c r="BB47" s="1072">
        <f t="shared" si="113"/>
        <v>0.75</v>
      </c>
      <c r="BC47" s="1073">
        <f t="shared" si="114"/>
        <v>20</v>
      </c>
    </row>
    <row r="48" ht="15.0" customHeight="1">
      <c r="C48" s="13">
        <v>47.0</v>
      </c>
      <c r="D48" s="959">
        <v>2019.0</v>
      </c>
      <c r="E48" s="217" t="s">
        <v>523</v>
      </c>
      <c r="F48" s="960" t="s">
        <v>670</v>
      </c>
      <c r="G48" s="961" t="str">
        <f>'League History BACKEND 2019'!G134</f>
        <v>MUTTS</v>
      </c>
      <c r="H48" s="962">
        <v>126.0</v>
      </c>
      <c r="I48" s="963">
        <v>122.8</v>
      </c>
      <c r="J48" s="964" t="str">
        <f>'League History BACKEND 2019'!J134</f>
        <v>METAMOOKDAWGS</v>
      </c>
      <c r="K48" s="965" t="str">
        <f t="shared" si="1"/>
        <v>MUTTS</v>
      </c>
      <c r="L48" s="966" t="str">
        <f t="shared" si="2"/>
        <v>METAMOOKDAWGS</v>
      </c>
      <c r="M48" s="967">
        <f t="array" ref="M48">IFERROR(IF(ABS(H48-I48)=0,Tie,ABS(H48-I48)),"UPCOMING")</f>
        <v>3.2</v>
      </c>
      <c r="N48" s="968">
        <f t="shared" si="3"/>
        <v>30</v>
      </c>
      <c r="O48" s="969">
        <f t="shared" si="4"/>
        <v>392</v>
      </c>
      <c r="P48" s="967">
        <f t="shared" si="5"/>
        <v>248.8</v>
      </c>
      <c r="Q48" s="968">
        <f t="shared" si="6"/>
        <v>402</v>
      </c>
      <c r="R48" s="967">
        <f t="shared" si="7"/>
        <v>216</v>
      </c>
      <c r="S48" s="970">
        <f t="shared" si="8"/>
        <v>218</v>
      </c>
      <c r="U48" s="13" t="str">
        <f>IFERROR(__xludf.DUMMYFUNCTION("IF($T48=""Y"",
  IFERROR(
    RANK.EQ($R48, FILTER($R:$R, $T:$T=""Y""), 1)
    + COUNTIFS($R:$R, $R48, $M:$M, ""&lt;""&amp;$M48, $T:$T, ""Y""),
    ""UPCOMING""
  ),
  ""NO REF""
)
"),"NO REF")</f>
        <v>NO REF</v>
      </c>
      <c r="X48" s="971" t="s">
        <v>700</v>
      </c>
      <c r="Y48" s="23"/>
      <c r="Z48" s="23"/>
      <c r="AA48" s="23"/>
      <c r="AB48" s="23"/>
      <c r="AC48" s="23"/>
      <c r="AD48" s="29"/>
      <c r="AE48" s="951"/>
      <c r="AF48" s="951"/>
      <c r="AG48" s="951"/>
      <c r="AH48" s="951"/>
      <c r="AJ48" s="1069" t="str">
        <f t="shared" si="103"/>
        <v>KINGS</v>
      </c>
      <c r="AK48" s="1070">
        <f t="shared" si="104"/>
        <v>2</v>
      </c>
      <c r="AL48" s="1071">
        <f t="shared" si="105"/>
        <v>2</v>
      </c>
      <c r="AM48" s="1072">
        <f t="shared" si="106"/>
        <v>0.5</v>
      </c>
      <c r="AN48" s="1073">
        <f t="shared" si="107"/>
        <v>4</v>
      </c>
      <c r="AO48" s="1074">
        <f t="shared" si="108"/>
        <v>0</v>
      </c>
      <c r="AP48" s="1075">
        <f t="shared" si="109"/>
        <v>0</v>
      </c>
      <c r="AQ48" s="1076" t="str">
        <f t="shared" si="110"/>
        <v>N/A</v>
      </c>
      <c r="AR48" s="1077">
        <f t="shared" si="111"/>
        <v>0</v>
      </c>
      <c r="AS48" s="1078">
        <f>IFERROR(AVERAGE('League History BACKEND'!A7,'League History BACKEND'!B7),"N/A")</f>
        <v>31.10333333</v>
      </c>
      <c r="AT48" s="1079">
        <f>IFERROR(AVERAGE('League History BACKEND'!C7,'League History BACKEND'!D7),"N/A")</f>
        <v>298.4033333</v>
      </c>
      <c r="AU48" s="1080">
        <f>IFERROR(AVERAGE('League History BACKEND'!E7,'League History BACKEND'!F7),"N/A")</f>
        <v>243.3333333</v>
      </c>
      <c r="AV48" s="1081">
        <f>Iferror(IF('League History BACKEND'!G6+'League History BACKEND'!H6=0,"-",'League History BACKEND'!G6),"N/A")</f>
        <v>0</v>
      </c>
      <c r="AW48" s="869">
        <f>iferror(IF('League History BACKEND'!G6+'League History BACKEND'!H6=0,"-",'League History BACKEND'!H6),"N/A")</f>
        <v>1</v>
      </c>
      <c r="AX48" s="1072">
        <f t="array" ref="AX48">IFERROR(IFS(AJ48="N/A","N/A",AV48+AW48=0,"-",AV48+AW48&lt;&gt;0,IFERROR(AV48/(AW48+AV48),0)),"-")</f>
        <v>0</v>
      </c>
      <c r="AY48" s="1082">
        <f t="array" ref="AY48">IFERROR(IFS(AJ48="N/A","N/A",AV48+AW48=0,"-",AV48+AW48&lt;&gt;0,AV48+AW48),"-")</f>
        <v>1</v>
      </c>
      <c r="AZ48" s="1083">
        <f t="shared" ref="AZ48:BA48" si="117">IFERROR(AK48+IF(AV48="-",0,AV48),"N/A")</f>
        <v>2</v>
      </c>
      <c r="BA48" s="869">
        <f t="shared" si="117"/>
        <v>3</v>
      </c>
      <c r="BB48" s="1072">
        <f t="shared" si="113"/>
        <v>0.4</v>
      </c>
      <c r="BC48" s="1073">
        <f t="shared" si="114"/>
        <v>5</v>
      </c>
    </row>
    <row r="49" ht="15.75" customHeight="1">
      <c r="C49" s="13">
        <v>48.0</v>
      </c>
      <c r="D49" s="959">
        <v>2019.0</v>
      </c>
      <c r="E49" s="217" t="s">
        <v>523</v>
      </c>
      <c r="F49" s="960" t="s">
        <v>671</v>
      </c>
      <c r="G49" s="961" t="str">
        <f>'League History BACKEND 2019'!G136</f>
        <v>DECOUPES</v>
      </c>
      <c r="H49" s="962">
        <v>152.28</v>
      </c>
      <c r="I49" s="963">
        <v>78.25</v>
      </c>
      <c r="J49" s="964" t="str">
        <f>'League History BACKEND 2019'!J136</f>
        <v>GREEN</v>
      </c>
      <c r="K49" s="965" t="str">
        <f t="shared" si="1"/>
        <v>DECOUPES</v>
      </c>
      <c r="L49" s="966" t="str">
        <f t="shared" si="2"/>
        <v>GREEN</v>
      </c>
      <c r="M49" s="967">
        <f t="array" ref="M49">IFERROR(IF(ABS(H49-I49)=0,Tie,ABS(H49-I49)),"UPCOMING")</f>
        <v>74.03</v>
      </c>
      <c r="N49" s="968">
        <f t="shared" si="3"/>
        <v>376</v>
      </c>
      <c r="O49" s="969">
        <f t="shared" si="4"/>
        <v>46</v>
      </c>
      <c r="P49" s="967">
        <f t="shared" si="5"/>
        <v>230.53</v>
      </c>
      <c r="Q49" s="968">
        <f t="shared" si="6"/>
        <v>410</v>
      </c>
      <c r="R49" s="967">
        <f t="shared" si="7"/>
        <v>393</v>
      </c>
      <c r="S49" s="970">
        <f t="shared" si="8"/>
        <v>421</v>
      </c>
      <c r="U49" s="13" t="str">
        <f>IFERROR(__xludf.DUMMYFUNCTION("IF($T49=""Y"",
  IFERROR(
    RANK.EQ($R49, FILTER($R:$R, $T:$T=""Y""), 1)
    + COUNTIFS($R:$R, $R49, $M:$M, ""&lt;""&amp;$M49, $T:$T, ""Y""),
    ""UPCOMING""
  ),
  ""NO REF""
)
"),"NO REF")</f>
        <v>NO REF</v>
      </c>
      <c r="X49" s="1084" t="s">
        <v>148</v>
      </c>
      <c r="Y49" s="1085" t="s">
        <v>467</v>
      </c>
      <c r="Z49" s="1085" t="s">
        <v>153</v>
      </c>
      <c r="AA49" s="1085" t="s">
        <v>30</v>
      </c>
      <c r="AB49" s="1085" t="s">
        <v>155</v>
      </c>
      <c r="AC49" s="1085" t="s">
        <v>156</v>
      </c>
      <c r="AD49" s="1086" t="s">
        <v>157</v>
      </c>
      <c r="AE49" s="972"/>
      <c r="AF49" s="972"/>
      <c r="AG49" s="972"/>
      <c r="AH49" s="972"/>
      <c r="AJ49" s="1069" t="str">
        <f t="shared" si="103"/>
        <v>CHAMPS</v>
      </c>
      <c r="AK49" s="1070">
        <f t="shared" si="104"/>
        <v>5</v>
      </c>
      <c r="AL49" s="1071">
        <f t="shared" si="105"/>
        <v>2</v>
      </c>
      <c r="AM49" s="1072">
        <f t="shared" si="106"/>
        <v>0.7142857143</v>
      </c>
      <c r="AN49" s="1073">
        <f t="shared" si="107"/>
        <v>7</v>
      </c>
      <c r="AO49" s="1074">
        <f t="shared" si="108"/>
        <v>0</v>
      </c>
      <c r="AP49" s="1075">
        <f t="shared" si="109"/>
        <v>1</v>
      </c>
      <c r="AQ49" s="1076">
        <f t="shared" si="110"/>
        <v>0</v>
      </c>
      <c r="AR49" s="1077">
        <f t="shared" si="111"/>
        <v>1</v>
      </c>
      <c r="AS49" s="1078">
        <f>IFERROR(AVERAGE('League History BACKEND'!A8,'League History BACKEND'!B8),"N/A")</f>
        <v>38.72916667</v>
      </c>
      <c r="AT49" s="1079">
        <f>IFERROR(AVERAGE('League History BACKEND'!C8,'League History BACKEND'!D8),"N/A")</f>
        <v>306.3058333</v>
      </c>
      <c r="AU49" s="1080">
        <f>IFERROR(AVERAGE('League History BACKEND'!E8,'League History BACKEND'!F8),"N/A")</f>
        <v>262.7083333</v>
      </c>
      <c r="AV49" s="1081">
        <f>Iferror(IF('League History BACKEND'!G7+'League History BACKEND'!H7=0,"-",'League History BACKEND'!G7),"N/A")</f>
        <v>1</v>
      </c>
      <c r="AW49" s="869">
        <f>iferror(IF('League History BACKEND'!G7+'League History BACKEND'!H7=0,"-",'League History BACKEND'!H7),"N/A")</f>
        <v>0</v>
      </c>
      <c r="AX49" s="1072">
        <f t="array" ref="AX49">IFERROR(IFS(AJ49="N/A","N/A",AV49+AW49=0,"-",AV49+AW49&lt;&gt;0,IFERROR(AV49/(AW49+AV49),0)),"-")</f>
        <v>1</v>
      </c>
      <c r="AY49" s="1082">
        <f t="array" ref="AY49">IFERROR(IFS(AJ49="N/A","N/A",AV49+AW49=0,"-",AV49+AW49&lt;&gt;0,AV49+AW49),"-")</f>
        <v>1</v>
      </c>
      <c r="AZ49" s="1083">
        <f t="shared" ref="AZ49:BA49" si="118">IFERROR(AK49+IF(AV49="-",0,AV49),"N/A")</f>
        <v>6</v>
      </c>
      <c r="BA49" s="869">
        <f t="shared" si="118"/>
        <v>2</v>
      </c>
      <c r="BB49" s="1072">
        <f t="shared" si="113"/>
        <v>0.75</v>
      </c>
      <c r="BC49" s="1073">
        <f t="shared" si="114"/>
        <v>8</v>
      </c>
    </row>
    <row r="50" ht="15.75" customHeight="1">
      <c r="C50" s="13">
        <v>49.0</v>
      </c>
      <c r="D50" s="959">
        <v>2019.0</v>
      </c>
      <c r="E50" s="217" t="s">
        <v>524</v>
      </c>
      <c r="F50" s="960" t="s">
        <v>663</v>
      </c>
      <c r="G50" s="961" t="str">
        <f>'League History BACKEND 2019'!G140</f>
        <v>YARDIES</v>
      </c>
      <c r="H50" s="962">
        <v>132.9</v>
      </c>
      <c r="I50" s="963">
        <v>132.02</v>
      </c>
      <c r="J50" s="964" t="str">
        <f>'League History BACKEND 2019'!J140</f>
        <v>MUTTS</v>
      </c>
      <c r="K50" s="965" t="str">
        <f t="shared" si="1"/>
        <v>YARDIES</v>
      </c>
      <c r="L50" s="966" t="str">
        <f t="shared" si="2"/>
        <v>MUTTS</v>
      </c>
      <c r="M50" s="967">
        <f t="array" ref="M50">IFERROR(IF(ABS(H50-I50)=0,Tie,ABS(H50-I50)),"UPCOMING")</f>
        <v>0.88</v>
      </c>
      <c r="N50" s="968">
        <f t="shared" si="3"/>
        <v>12</v>
      </c>
      <c r="O50" s="969">
        <f t="shared" si="4"/>
        <v>410</v>
      </c>
      <c r="P50" s="967">
        <f t="shared" si="5"/>
        <v>264.92</v>
      </c>
      <c r="Q50" s="968">
        <f t="shared" si="6"/>
        <v>382</v>
      </c>
      <c r="R50" s="967">
        <f t="shared" si="7"/>
        <v>197</v>
      </c>
      <c r="S50" s="970">
        <f t="shared" si="8"/>
        <v>172</v>
      </c>
      <c r="U50" s="13" t="str">
        <f>IFERROR(__xludf.DUMMYFUNCTION("IF($T50=""Y"",
  IFERROR(
    RANK.EQ($R50, FILTER($R:$R, $T:$T=""Y""), 1)
    + COUNTIFS($R:$R, $R50, $M:$M, ""&lt;""&amp;$M50, $T:$T, ""Y""),
    ""UPCOMING""
  ),
  ""NO REF""
)
"),"NO REF")</f>
        <v>NO REF</v>
      </c>
      <c r="W50" s="1087"/>
      <c r="X50" s="988">
        <v>1.0</v>
      </c>
      <c r="Y50" s="989">
        <f t="shared" ref="Y50:Y69" si="120">LARGE($P:$P,X50)</f>
        <v>510.69</v>
      </c>
      <c r="Z50" s="990">
        <f t="shared" ref="Z50:Z69" si="121">INDEX($D:$D, MATCH(Y50,$P:$P,0))</f>
        <v>2020</v>
      </c>
      <c r="AA50" s="990" t="str">
        <f t="shared" ref="AA50:AA69" si="122">INDEX($E:$E, MATCH(Y50,$P:$P,0))</f>
        <v>WEEK 3</v>
      </c>
      <c r="AB50" s="1088" t="str">
        <f t="shared" ref="AB50:AB69" si="123">INDEX($K:$K, MATCH(Y50,$P:$P,0))</f>
        <v>MUTTS</v>
      </c>
      <c r="AC50" s="990" t="str">
        <f t="shared" ref="AC50:AC69" si="124">INDEX($L:$L, MATCH(Y50,$P:$P,0))</f>
        <v>GIRLS</v>
      </c>
      <c r="AD50" s="992" t="str">
        <f t="shared" ref="AD50:AD69" si="125">"PVE FFL GAME " &amp; INDEX($C:$C, MATCH(Y50,$P:$P,0))</f>
        <v>PVE FFL GAME 62</v>
      </c>
      <c r="AJ50" s="1069" t="str">
        <f t="shared" si="103"/>
        <v>METAMOOKDAWGS</v>
      </c>
      <c r="AK50" s="1070">
        <f t="shared" si="104"/>
        <v>6</v>
      </c>
      <c r="AL50" s="1071">
        <f t="shared" si="105"/>
        <v>2</v>
      </c>
      <c r="AM50" s="1072">
        <f t="shared" si="106"/>
        <v>0.75</v>
      </c>
      <c r="AN50" s="1073">
        <f t="shared" si="107"/>
        <v>8</v>
      </c>
      <c r="AO50" s="1074">
        <f t="shared" si="108"/>
        <v>0</v>
      </c>
      <c r="AP50" s="1075">
        <f t="shared" si="109"/>
        <v>1</v>
      </c>
      <c r="AQ50" s="1076">
        <f t="shared" si="110"/>
        <v>0</v>
      </c>
      <c r="AR50" s="1077">
        <f t="shared" si="111"/>
        <v>1</v>
      </c>
      <c r="AS50" s="1078">
        <f>IFERROR(AVERAGE('League History BACKEND'!A9,'League History BACKEND'!B9),"N/A")</f>
        <v>23.55916667</v>
      </c>
      <c r="AT50" s="1079">
        <f>IFERROR(AVERAGE('League History BACKEND'!C9,'League History BACKEND'!D9),"N/A")</f>
        <v>319.7391667</v>
      </c>
      <c r="AU50" s="1080">
        <f>IFERROR(AVERAGE('League History BACKEND'!E9,'League History BACKEND'!F9),"N/A")</f>
        <v>197.125</v>
      </c>
      <c r="AV50" s="1081">
        <f>Iferror(IF('League History BACKEND'!G8+'League History BACKEND'!H8=0,"-",'League History BACKEND'!G8),"N/A")</f>
        <v>1</v>
      </c>
      <c r="AW50" s="869">
        <f>iferror(IF('League History BACKEND'!G8+'League History BACKEND'!H8=0,"-",'League History BACKEND'!H8),"N/A")</f>
        <v>0</v>
      </c>
      <c r="AX50" s="1072">
        <f t="array" ref="AX50">IFERROR(IFS(AJ50="N/A","N/A",AV50+AW50=0,"-",AV50+AW50&lt;&gt;0,IFERROR(AV50/(AW50+AV50),0)),"-")</f>
        <v>1</v>
      </c>
      <c r="AY50" s="1082">
        <f t="array" ref="AY50">IFERROR(IFS(AJ50="N/A","N/A",AV50+AW50=0,"-",AV50+AW50&lt;&gt;0,AV50+AW50),"-")</f>
        <v>1</v>
      </c>
      <c r="AZ50" s="1083">
        <f t="shared" ref="AZ50:BA50" si="119">IFERROR(AK50+IF(AV50="-",0,AV50),"N/A")</f>
        <v>7</v>
      </c>
      <c r="BA50" s="869">
        <f t="shared" si="119"/>
        <v>2</v>
      </c>
      <c r="BB50" s="1072">
        <f t="shared" si="113"/>
        <v>0.7777777778</v>
      </c>
      <c r="BC50" s="1073">
        <f t="shared" si="114"/>
        <v>9</v>
      </c>
    </row>
    <row r="51" ht="15.75" customHeight="1">
      <c r="C51" s="13">
        <v>50.0</v>
      </c>
      <c r="D51" s="959">
        <v>2019.0</v>
      </c>
      <c r="E51" s="217" t="s">
        <v>524</v>
      </c>
      <c r="F51" s="960" t="s">
        <v>665</v>
      </c>
      <c r="G51" s="961" t="str">
        <f>'League History BACKEND 2019'!G142</f>
        <v>DECOUPES</v>
      </c>
      <c r="H51" s="962">
        <v>106.59</v>
      </c>
      <c r="I51" s="963">
        <v>96.63</v>
      </c>
      <c r="J51" s="964" t="str">
        <f>'League History BACKEND 2019'!J142</f>
        <v>SAVAGES</v>
      </c>
      <c r="K51" s="965" t="str">
        <f t="shared" si="1"/>
        <v>DECOUPES</v>
      </c>
      <c r="L51" s="966" t="str">
        <f t="shared" si="2"/>
        <v>SAVAGES</v>
      </c>
      <c r="M51" s="967">
        <f t="array" ref="M51">IFERROR(IF(ABS(H51-I51)=0,Tie,ABS(H51-I51)),"UPCOMING")</f>
        <v>9.96</v>
      </c>
      <c r="N51" s="968">
        <f t="shared" si="3"/>
        <v>80</v>
      </c>
      <c r="O51" s="969">
        <f t="shared" si="4"/>
        <v>342</v>
      </c>
      <c r="P51" s="967">
        <f t="shared" si="5"/>
        <v>203.22</v>
      </c>
      <c r="Q51" s="968">
        <f t="shared" si="6"/>
        <v>418</v>
      </c>
      <c r="R51" s="967">
        <f t="shared" si="7"/>
        <v>249</v>
      </c>
      <c r="S51" s="970">
        <f t="shared" si="8"/>
        <v>288</v>
      </c>
      <c r="U51" s="13" t="str">
        <f>IFERROR(__xludf.DUMMYFUNCTION("IF($T51=""Y"",
  IFERROR(
    RANK.EQ($R51, FILTER($R:$R, $T:$T=""Y""), 1)
    + COUNTIFS($R:$R, $R51, $M:$M, ""&lt;""&amp;$M51, $T:$T, ""Y""),
    ""UPCOMING""
  ),
  ""NO REF""
)
"),"NO REF")</f>
        <v>NO REF</v>
      </c>
      <c r="W51" s="1087"/>
      <c r="X51" s="988">
        <v>2.0</v>
      </c>
      <c r="Y51" s="989">
        <f t="shared" si="120"/>
        <v>499.43</v>
      </c>
      <c r="Z51" s="990">
        <f t="shared" si="121"/>
        <v>2020</v>
      </c>
      <c r="AA51" s="990" t="str">
        <f t="shared" si="122"/>
        <v>WEEK 2</v>
      </c>
      <c r="AB51" s="1088" t="str">
        <f t="shared" si="123"/>
        <v>DECOUPES</v>
      </c>
      <c r="AC51" s="990" t="str">
        <f t="shared" si="124"/>
        <v>GIRLS</v>
      </c>
      <c r="AD51" s="992" t="str">
        <f t="shared" si="125"/>
        <v>PVE FFL GAME 57</v>
      </c>
      <c r="AJ51" s="1069" t="str">
        <f t="shared" si="103"/>
        <v>YARDIES</v>
      </c>
      <c r="AK51" s="1070">
        <f t="shared" si="104"/>
        <v>4</v>
      </c>
      <c r="AL51" s="1071">
        <f t="shared" si="105"/>
        <v>4</v>
      </c>
      <c r="AM51" s="1072">
        <f t="shared" si="106"/>
        <v>0.5</v>
      </c>
      <c r="AN51" s="1073">
        <f t="shared" si="107"/>
        <v>8</v>
      </c>
      <c r="AO51" s="1074">
        <f t="shared" si="108"/>
        <v>2</v>
      </c>
      <c r="AP51" s="1075">
        <f t="shared" si="109"/>
        <v>0</v>
      </c>
      <c r="AQ51" s="1076">
        <f t="shared" si="110"/>
        <v>1</v>
      </c>
      <c r="AR51" s="1077">
        <f t="shared" si="111"/>
        <v>2</v>
      </c>
      <c r="AS51" s="1078">
        <f>IFERROR(AVERAGE('League History BACKEND'!A10,'League History BACKEND'!B10),"N/A")</f>
        <v>44.349</v>
      </c>
      <c r="AT51" s="1079">
        <f>IFERROR(AVERAGE('League History BACKEND'!C10,'League History BACKEND'!D10),"N/A")</f>
        <v>345.0876667</v>
      </c>
      <c r="AU51" s="1080">
        <f>IFERROR(AVERAGE('League History BACKEND'!E10,'League History BACKEND'!F10),"N/A")</f>
        <v>208.6333333</v>
      </c>
      <c r="AV51" s="1081">
        <f>Iferror(IF('League History BACKEND'!G9+'League History BACKEND'!H9=0,"-",'League History BACKEND'!G9),"N/A")</f>
        <v>0</v>
      </c>
      <c r="AW51" s="869">
        <f>iferror(IF('League History BACKEND'!G9+'League History BACKEND'!H9=0,"-",'League History BACKEND'!H9),"N/A")</f>
        <v>1</v>
      </c>
      <c r="AX51" s="1072">
        <f t="array" ref="AX51">IFERROR(IFS(AJ51="N/A","N/A",AV51+AW51=0,"-",AV51+AW51&lt;&gt;0,IFERROR(AV51/(AW51+AV51),0)),"-")</f>
        <v>0</v>
      </c>
      <c r="AY51" s="1082">
        <f t="array" ref="AY51">IFERROR(IFS(AJ51="N/A","N/A",AV51+AW51=0,"-",AV51+AW51&lt;&gt;0,AV51+AW51),"-")</f>
        <v>1</v>
      </c>
      <c r="AZ51" s="1083">
        <f t="shared" ref="AZ51:BA51" si="126">IFERROR(AK51+IF(AV51="-",0,AV51),"N/A")</f>
        <v>4</v>
      </c>
      <c r="BA51" s="869">
        <f t="shared" si="126"/>
        <v>5</v>
      </c>
      <c r="BB51" s="1072">
        <f t="shared" si="113"/>
        <v>0.4444444444</v>
      </c>
      <c r="BC51" s="1073">
        <f t="shared" si="114"/>
        <v>9</v>
      </c>
    </row>
    <row r="52" ht="15.75" customHeight="1">
      <c r="C52" s="13">
        <v>51.0</v>
      </c>
      <c r="D52" s="959">
        <v>2019.0</v>
      </c>
      <c r="E52" s="217" t="s">
        <v>524</v>
      </c>
      <c r="F52" s="960" t="s">
        <v>670</v>
      </c>
      <c r="G52" s="961" t="str">
        <f>'League History BACKEND 2019'!G144</f>
        <v>METAMOOKDAWGS</v>
      </c>
      <c r="H52" s="962">
        <v>125.94</v>
      </c>
      <c r="I52" s="963">
        <v>107.52</v>
      </c>
      <c r="J52" s="964" t="str">
        <f>'League History BACKEND 2019'!J144</f>
        <v>DEEZ NUTS</v>
      </c>
      <c r="K52" s="965" t="str">
        <f t="shared" si="1"/>
        <v>METAMOOKDAWGS</v>
      </c>
      <c r="L52" s="966" t="str">
        <f t="shared" si="2"/>
        <v>DEEZ NUTS</v>
      </c>
      <c r="M52" s="967">
        <f t="array" ref="M52">IFERROR(IF(ABS(H52-I52)=0,Tie,ABS(H52-I52)),"UPCOMING")</f>
        <v>18.42</v>
      </c>
      <c r="N52" s="968">
        <f t="shared" si="3"/>
        <v>133</v>
      </c>
      <c r="O52" s="969">
        <f t="shared" si="4"/>
        <v>289</v>
      </c>
      <c r="P52" s="967">
        <f t="shared" si="5"/>
        <v>233.46</v>
      </c>
      <c r="Q52" s="968">
        <f t="shared" si="6"/>
        <v>407</v>
      </c>
      <c r="R52" s="967">
        <f t="shared" si="7"/>
        <v>270</v>
      </c>
      <c r="S52" s="970">
        <f t="shared" si="8"/>
        <v>317</v>
      </c>
      <c r="U52" s="13" t="str">
        <f>IFERROR(__xludf.DUMMYFUNCTION("IF($T52=""Y"",
  IFERROR(
    RANK.EQ($R52, FILTER($R:$R, $T:$T=""Y""), 1)
    + COUNTIFS($R:$R, $R52, $M:$M, ""&lt;""&amp;$M52, $T:$T, ""Y""),
    ""UPCOMING""
  ),
  ""NO REF""
)
"),"NO REF")</f>
        <v>NO REF</v>
      </c>
      <c r="W52" s="1087"/>
      <c r="X52" s="988">
        <v>3.0</v>
      </c>
      <c r="Y52" s="989">
        <f t="shared" si="120"/>
        <v>470.04</v>
      </c>
      <c r="Z52" s="990">
        <f t="shared" si="121"/>
        <v>2022</v>
      </c>
      <c r="AA52" s="990" t="str">
        <f t="shared" si="122"/>
        <v>WEEK 8</v>
      </c>
      <c r="AB52" s="1088" t="str">
        <f t="shared" si="123"/>
        <v>GREEN</v>
      </c>
      <c r="AC52" s="990" t="str">
        <f t="shared" si="124"/>
        <v>POPEYES</v>
      </c>
      <c r="AD52" s="992" t="str">
        <f t="shared" si="125"/>
        <v>PVE FFL GAME 200</v>
      </c>
      <c r="AJ52" s="1069" t="str">
        <f t="shared" si="103"/>
        <v>MUTTS</v>
      </c>
      <c r="AK52" s="1070">
        <f t="shared" si="104"/>
        <v>3</v>
      </c>
      <c r="AL52" s="1071">
        <f t="shared" si="105"/>
        <v>4</v>
      </c>
      <c r="AM52" s="1072">
        <f t="shared" si="106"/>
        <v>0.4285714286</v>
      </c>
      <c r="AN52" s="1073">
        <f t="shared" si="107"/>
        <v>7</v>
      </c>
      <c r="AO52" s="1074">
        <f t="shared" si="108"/>
        <v>1</v>
      </c>
      <c r="AP52" s="1075">
        <f t="shared" si="109"/>
        <v>1</v>
      </c>
      <c r="AQ52" s="1076">
        <f t="shared" si="110"/>
        <v>0.5</v>
      </c>
      <c r="AR52" s="1077">
        <f t="shared" si="111"/>
        <v>2</v>
      </c>
      <c r="AS52" s="1078">
        <f>IFERROR(AVERAGE('League History BACKEND'!A11,'League History BACKEND'!B11),"N/A")</f>
        <v>17.6125</v>
      </c>
      <c r="AT52" s="1079">
        <f>IFERROR(AVERAGE('League History BACKEND'!C11,'League History BACKEND'!D11),"N/A")</f>
        <v>329.6666667</v>
      </c>
      <c r="AU52" s="1080">
        <f>IFERROR(AVERAGE('League History BACKEND'!E11,'League History BACKEND'!F11),"N/A")</f>
        <v>172</v>
      </c>
      <c r="AV52" s="1081" t="str">
        <f>Iferror(IF('League History BACKEND'!G10+'League History BACKEND'!H10=0,"-",'League History BACKEND'!G10),"N/A")</f>
        <v>-</v>
      </c>
      <c r="AW52" s="869" t="str">
        <f>iferror(IF('League History BACKEND'!G10+'League History BACKEND'!H10=0,"-",'League History BACKEND'!H10),"N/A")</f>
        <v>-</v>
      </c>
      <c r="AX52" s="1072" t="str">
        <f t="array" ref="AX52">IFERROR(IFS(AJ52="N/A","N/A",AV52+AW52=0,"-",AV52+AW52&lt;&gt;0,IFERROR(AV52/(AW52+AV52),0)),"-")</f>
        <v>-</v>
      </c>
      <c r="AY52" s="1082" t="str">
        <f t="array" ref="AY52">IFERROR(IFS(AJ52="N/A","N/A",AV52+AW52=0,"-",AV52+AW52&lt;&gt;0,AV52+AW52),"-")</f>
        <v>-</v>
      </c>
      <c r="AZ52" s="1083">
        <f t="shared" ref="AZ52:BA52" si="127">IFERROR(AK52+IF(AV52="-",0,AV52),"N/A")</f>
        <v>3</v>
      </c>
      <c r="BA52" s="869">
        <f t="shared" si="127"/>
        <v>4</v>
      </c>
      <c r="BB52" s="1072">
        <f t="shared" si="113"/>
        <v>0.4285714286</v>
      </c>
      <c r="BC52" s="1073">
        <f t="shared" si="114"/>
        <v>7</v>
      </c>
    </row>
    <row r="53" ht="15.75" customHeight="1">
      <c r="C53" s="13">
        <v>52.0</v>
      </c>
      <c r="D53" s="959">
        <v>2019.0</v>
      </c>
      <c r="E53" s="217" t="s">
        <v>524</v>
      </c>
      <c r="F53" s="960" t="s">
        <v>671</v>
      </c>
      <c r="G53" s="961" t="str">
        <f>'League History BACKEND 2019'!G146</f>
        <v>GREEN</v>
      </c>
      <c r="H53" s="962">
        <v>92.4</v>
      </c>
      <c r="I53" s="963">
        <v>112.96</v>
      </c>
      <c r="J53" s="964" t="str">
        <f>'League History BACKEND 2019'!J146</f>
        <v>POPEYES</v>
      </c>
      <c r="K53" s="965" t="str">
        <f t="shared" si="1"/>
        <v>POPEYES</v>
      </c>
      <c r="L53" s="966" t="str">
        <f t="shared" si="2"/>
        <v>GREEN</v>
      </c>
      <c r="M53" s="967">
        <f t="array" ref="M53">IFERROR(IF(ABS(H53-I53)=0,Tie,ABS(H53-I53)),"UPCOMING")</f>
        <v>20.56</v>
      </c>
      <c r="N53" s="968">
        <f t="shared" si="3"/>
        <v>145</v>
      </c>
      <c r="O53" s="969">
        <f t="shared" si="4"/>
        <v>277</v>
      </c>
      <c r="P53" s="967">
        <f t="shared" si="5"/>
        <v>205.36</v>
      </c>
      <c r="Q53" s="968">
        <f t="shared" si="6"/>
        <v>416</v>
      </c>
      <c r="R53" s="967">
        <f t="shared" si="7"/>
        <v>280.5</v>
      </c>
      <c r="S53" s="970">
        <f t="shared" si="8"/>
        <v>332</v>
      </c>
      <c r="U53" s="13" t="str">
        <f>IFERROR(__xludf.DUMMYFUNCTION("IF($T53=""Y"",
  IFERROR(
    RANK.EQ($R53, FILTER($R:$R, $T:$T=""Y""), 1)
    + COUNTIFS($R:$R, $R53, $M:$M, ""&lt;""&amp;$M53, $T:$T, ""Y""),
    ""UPCOMING""
  ),
  ""NO REF""
)
"),"NO REF")</f>
        <v>NO REF</v>
      </c>
      <c r="W53" s="1087"/>
      <c r="X53" s="988">
        <v>4.0</v>
      </c>
      <c r="Y53" s="989">
        <f t="shared" si="120"/>
        <v>469.26</v>
      </c>
      <c r="Z53" s="990">
        <f t="shared" si="121"/>
        <v>2020</v>
      </c>
      <c r="AA53" s="990" t="str">
        <f t="shared" si="122"/>
        <v>WEEK 4</v>
      </c>
      <c r="AB53" s="1088" t="str">
        <f t="shared" si="123"/>
        <v>METAMOOKDAWGS</v>
      </c>
      <c r="AC53" s="990" t="str">
        <f t="shared" si="124"/>
        <v>DECOUPES</v>
      </c>
      <c r="AD53" s="992" t="str">
        <f t="shared" si="125"/>
        <v>PVE FFL GAME 65</v>
      </c>
      <c r="AJ53" s="1069" t="str">
        <f t="shared" si="103"/>
        <v>EAGLES</v>
      </c>
      <c r="AK53" s="1070">
        <f t="shared" si="104"/>
        <v>2</v>
      </c>
      <c r="AL53" s="1071">
        <f t="shared" si="105"/>
        <v>1</v>
      </c>
      <c r="AM53" s="1072">
        <f t="shared" si="106"/>
        <v>0.6666666667</v>
      </c>
      <c r="AN53" s="1073">
        <f t="shared" si="107"/>
        <v>3</v>
      </c>
      <c r="AO53" s="1074">
        <f t="shared" si="108"/>
        <v>1</v>
      </c>
      <c r="AP53" s="1075">
        <f t="shared" si="109"/>
        <v>0</v>
      </c>
      <c r="AQ53" s="1076">
        <f t="shared" si="110"/>
        <v>1</v>
      </c>
      <c r="AR53" s="1077">
        <f t="shared" si="111"/>
        <v>1</v>
      </c>
      <c r="AS53" s="1078">
        <f>IFERROR(AVERAGE('League History BACKEND'!A12,'League History BACKEND'!B12),"N/A")</f>
        <v>34.6075</v>
      </c>
      <c r="AT53" s="1079">
        <f>IFERROR(AVERAGE('League History BACKEND'!C12,'League History BACKEND'!D12),"N/A")</f>
        <v>288.3775</v>
      </c>
      <c r="AU53" s="1080">
        <f>IFERROR(AVERAGE('League History BACKEND'!E12,'League History BACKEND'!F12),"N/A")</f>
        <v>274.875</v>
      </c>
      <c r="AV53" s="1081" t="str">
        <f>Iferror(IF('League History BACKEND'!G11+'League History BACKEND'!H11=0,"-",'League History BACKEND'!G11),"N/A")</f>
        <v>-</v>
      </c>
      <c r="AW53" s="869" t="str">
        <f>iferror(IF('League History BACKEND'!G11+'League History BACKEND'!H11=0,"-",'League History BACKEND'!H11),"N/A")</f>
        <v>-</v>
      </c>
      <c r="AX53" s="1072" t="str">
        <f t="array" ref="AX53">IFERROR(IFS(AJ53="N/A","N/A",AV53+AW53=0,"-",AV53+AW53&lt;&gt;0,IFERROR(AV53/(AW53+AV53),0)),"-")</f>
        <v>-</v>
      </c>
      <c r="AY53" s="1082" t="str">
        <f t="array" ref="AY53">IFERROR(IFS(AJ53="N/A","N/A",AV53+AW53=0,"-",AV53+AW53&lt;&gt;0,AV53+AW53),"-")</f>
        <v>-</v>
      </c>
      <c r="AZ53" s="1083">
        <f t="shared" ref="AZ53:BA53" si="128">IFERROR(AK53+IF(AV53="-",0,AV53),"N/A")</f>
        <v>2</v>
      </c>
      <c r="BA53" s="869">
        <f t="shared" si="128"/>
        <v>1</v>
      </c>
      <c r="BB53" s="1072">
        <f t="shared" si="113"/>
        <v>0.6666666667</v>
      </c>
      <c r="BC53" s="1073">
        <f t="shared" si="114"/>
        <v>3</v>
      </c>
    </row>
    <row r="54" ht="15.75" customHeight="1">
      <c r="C54" s="13">
        <v>53.0</v>
      </c>
      <c r="D54" s="1090">
        <v>2020.0</v>
      </c>
      <c r="E54" s="217" t="s">
        <v>512</v>
      </c>
      <c r="F54" s="960" t="s">
        <v>663</v>
      </c>
      <c r="G54" s="961" t="str">
        <f>'League History BACKEND 2020'!G20</f>
        <v>GIRLS</v>
      </c>
      <c r="H54" s="962">
        <v>250.84</v>
      </c>
      <c r="I54" s="963">
        <v>134.34</v>
      </c>
      <c r="J54" s="964" t="str">
        <f>'League History BACKEND 2020'!J20</f>
        <v>YARDIES</v>
      </c>
      <c r="K54" s="965" t="str">
        <f t="shared" si="1"/>
        <v>GIRLS</v>
      </c>
      <c r="L54" s="966" t="str">
        <f t="shared" si="2"/>
        <v>YARDIES</v>
      </c>
      <c r="M54" s="967">
        <f t="array" ref="M54">IFERROR(IF(ABS(H54-I54)=0,Tie,ABS(H54-I54)),"UPCOMING")</f>
        <v>116.5</v>
      </c>
      <c r="N54" s="968">
        <f t="shared" si="3"/>
        <v>414</v>
      </c>
      <c r="O54" s="969">
        <f t="shared" si="4"/>
        <v>8</v>
      </c>
      <c r="P54" s="967">
        <f t="shared" si="5"/>
        <v>385.18</v>
      </c>
      <c r="Q54" s="968">
        <f t="shared" si="6"/>
        <v>77</v>
      </c>
      <c r="R54" s="967">
        <f t="shared" si="7"/>
        <v>245.5</v>
      </c>
      <c r="S54" s="970">
        <f t="shared" si="8"/>
        <v>282</v>
      </c>
      <c r="U54" s="13" t="str">
        <f>IFERROR(__xludf.DUMMYFUNCTION("IF($T54=""Y"",
  IFERROR(
    RANK.EQ($R54, FILTER($R:$R, $T:$T=""Y""), 1)
    + COUNTIFS($R:$R, $R54, $M:$M, ""&lt;""&amp;$M54, $T:$T, ""Y""),
    ""UPCOMING""
  ),
  ""NO REF""
)
"),"NO REF")</f>
        <v>NO REF</v>
      </c>
      <c r="W54" s="1087"/>
      <c r="X54" s="988">
        <v>5.0</v>
      </c>
      <c r="Y54" s="989">
        <f t="shared" si="120"/>
        <v>465.25</v>
      </c>
      <c r="Z54" s="990">
        <f t="shared" si="121"/>
        <v>2020</v>
      </c>
      <c r="AA54" s="990" t="str">
        <f t="shared" si="122"/>
        <v>WEEK 12</v>
      </c>
      <c r="AB54" s="1088" t="str">
        <f t="shared" si="123"/>
        <v>SAVAGES</v>
      </c>
      <c r="AC54" s="990" t="str">
        <f t="shared" si="124"/>
        <v>GREEN</v>
      </c>
      <c r="AD54" s="992" t="str">
        <f t="shared" si="125"/>
        <v>PVE FFL GAME 97</v>
      </c>
      <c r="AJ54" s="1091" t="str">
        <f t="shared" si="103"/>
        <v>DEEZ NUTS</v>
      </c>
      <c r="AK54" s="1070">
        <f t="shared" si="104"/>
        <v>1</v>
      </c>
      <c r="AL54" s="1071">
        <f t="shared" si="105"/>
        <v>1</v>
      </c>
      <c r="AM54" s="1072">
        <f t="shared" si="106"/>
        <v>0.5</v>
      </c>
      <c r="AN54" s="1073">
        <f t="shared" si="107"/>
        <v>2</v>
      </c>
      <c r="AO54" s="1074">
        <f t="shared" ref="AO54:AO55" si="130">COUNTIFS($K:$K, $AJ$42,   $L:$L, AJ54,   $T:$T, "Y")
</f>
        <v>0</v>
      </c>
      <c r="AP54" s="1075">
        <f t="shared" ref="AP54:AP55" si="131">COUNTIFS($K:$K, AJ54,   $L:$L, $AJ$42,   $T:$T, "Y")
</f>
        <v>0</v>
      </c>
      <c r="AQ54" s="1092">
        <f>IF(AJ55="N/A","N/A",IFERROR(AO55/(AP55+AO55),0))</f>
        <v>0</v>
      </c>
      <c r="AR54" s="1093"/>
      <c r="AS54" s="1078" t="str">
        <f>IFERROR(AVERAGE('League History BACKEND'!A15,'League History BACKEND'!B15),"N/A")</f>
        <v>N/A</v>
      </c>
      <c r="AT54" s="1079" t="str">
        <f>IFERROR(AVERAGE('League History BACKEND'!C15,'League History BACKEND'!D15),"N/A")</f>
        <v>N/A</v>
      </c>
      <c r="AU54" s="1080" t="str">
        <f>IFERROR(AVERAGE('League History BACKEND'!E15,'League History BACKEND'!F15),"N/A")</f>
        <v>N/A</v>
      </c>
      <c r="AV54" s="1081" t="str">
        <f>Iferror(IF('League History BACKEND'!G12+'League History BACKEND'!H12=0,"-",'League History BACKEND'!G12),"N/A")</f>
        <v>-</v>
      </c>
      <c r="AW54" s="869" t="str">
        <f>iferror(IF('League History BACKEND'!G12+'League History BACKEND'!H12=0,"-",'League History BACKEND'!H12),"N/A")</f>
        <v>-</v>
      </c>
      <c r="AX54" s="1072" t="str">
        <f t="array" ref="AX54">IFERROR(IFS(AJ54="N/A","N/A",AV54+AW54=0,"-",AV54+AW54&lt;&gt;0,IFERROR(AV54/(AW54+AV54),0)),"-")</f>
        <v>-</v>
      </c>
      <c r="AY54" s="1082" t="str">
        <f t="array" ref="AY54">IFERROR(IFS(AJ54="N/A","N/A",AV54+AW54=0,"-",AV54+AW54&lt;&gt;0,AV54+AW54),"-")</f>
        <v>-</v>
      </c>
      <c r="AZ54" s="1083">
        <f t="shared" ref="AZ54:BA54" si="129">IFERROR(AK54+IF(AV54="-",0,AV54),"N/A")</f>
        <v>1</v>
      </c>
      <c r="BA54" s="869">
        <f t="shared" si="129"/>
        <v>1</v>
      </c>
      <c r="BB54" s="1072">
        <f t="shared" si="113"/>
        <v>0.5</v>
      </c>
      <c r="BC54" s="1073">
        <f t="shared" si="114"/>
        <v>2</v>
      </c>
    </row>
    <row r="55" ht="15.75" customHeight="1">
      <c r="C55" s="13">
        <v>54.0</v>
      </c>
      <c r="D55" s="1090">
        <v>2020.0</v>
      </c>
      <c r="E55" s="217" t="s">
        <v>512</v>
      </c>
      <c r="F55" s="960" t="s">
        <v>665</v>
      </c>
      <c r="G55" s="961" t="str">
        <f>'League History BACKEND 2020'!G22</f>
        <v>DECOUPES</v>
      </c>
      <c r="H55" s="962">
        <v>211.0</v>
      </c>
      <c r="I55" s="963">
        <v>165.94</v>
      </c>
      <c r="J55" s="964" t="str">
        <f>'League History BACKEND 2020'!J22</f>
        <v>SAVAGES</v>
      </c>
      <c r="K55" s="965" t="str">
        <f t="shared" si="1"/>
        <v>DECOUPES</v>
      </c>
      <c r="L55" s="966" t="str">
        <f t="shared" si="2"/>
        <v>SAVAGES</v>
      </c>
      <c r="M55" s="967">
        <f t="array" ref="M55">IFERROR(IF(ABS(H55-I55)=0,Tie,ABS(H55-I55)),"UPCOMING")</f>
        <v>45.06</v>
      </c>
      <c r="N55" s="968">
        <f t="shared" si="3"/>
        <v>283</v>
      </c>
      <c r="O55" s="969">
        <f t="shared" si="4"/>
        <v>139</v>
      </c>
      <c r="P55" s="967">
        <f t="shared" si="5"/>
        <v>376.94</v>
      </c>
      <c r="Q55" s="968">
        <f t="shared" si="6"/>
        <v>103</v>
      </c>
      <c r="R55" s="967">
        <f t="shared" si="7"/>
        <v>193</v>
      </c>
      <c r="S55" s="970">
        <f t="shared" si="8"/>
        <v>167</v>
      </c>
      <c r="U55" s="13" t="str">
        <f>IFERROR(__xludf.DUMMYFUNCTION("IF($T55=""Y"",
  IFERROR(
    RANK.EQ($R55, FILTER($R:$R, $T:$T=""Y""), 1)
    + COUNTIFS($R:$R, $R55, $M:$M, ""&lt;""&amp;$M55, $T:$T, ""Y""),
    ""UPCOMING""
  ),
  ""NO REF""
)
"),"NO REF")</f>
        <v>NO REF</v>
      </c>
      <c r="W55" s="1087"/>
      <c r="X55" s="988">
        <v>6.0</v>
      </c>
      <c r="Y55" s="989">
        <f t="shared" si="120"/>
        <v>463.73</v>
      </c>
      <c r="Z55" s="990">
        <f t="shared" si="121"/>
        <v>2020</v>
      </c>
      <c r="AA55" s="990" t="str">
        <f t="shared" si="122"/>
        <v>WEEK 7</v>
      </c>
      <c r="AB55" s="1088" t="str">
        <f t="shared" si="123"/>
        <v>YARDIES</v>
      </c>
      <c r="AC55" s="990" t="str">
        <f t="shared" si="124"/>
        <v>SAVAGES</v>
      </c>
      <c r="AD55" s="992" t="str">
        <f t="shared" si="125"/>
        <v>PVE FFL GAME 79</v>
      </c>
      <c r="AJ55" s="1094" t="str">
        <f t="shared" si="103"/>
        <v>GIRLS</v>
      </c>
      <c r="AK55" s="1070">
        <f t="shared" si="104"/>
        <v>2</v>
      </c>
      <c r="AL55" s="1071">
        <f t="shared" si="105"/>
        <v>0</v>
      </c>
      <c r="AM55" s="1072">
        <f t="shared" si="106"/>
        <v>1</v>
      </c>
      <c r="AN55" s="1073">
        <f t="shared" si="107"/>
        <v>2</v>
      </c>
      <c r="AO55" s="1074">
        <f t="shared" si="130"/>
        <v>0</v>
      </c>
      <c r="AP55" s="1075">
        <f t="shared" si="131"/>
        <v>0</v>
      </c>
      <c r="AQ55" s="1092">
        <f>IF(AJ57="N/A","N/A",IFERROR(AO56/(AP56+AO56),0))</f>
        <v>0.5</v>
      </c>
      <c r="AR55" s="1093"/>
      <c r="AS55" s="1078" t="str">
        <f>IFERROR(AVERAGE('League History BACKEND'!A16,'League History BACKEND'!B16),"N/A")</f>
        <v>N/A</v>
      </c>
      <c r="AT55" s="1079" t="str">
        <f>IFERROR(AVERAGE('League History BACKEND'!C16,'League History BACKEND'!D16),"N/A")</f>
        <v>N/A</v>
      </c>
      <c r="AU55" s="1080" t="str">
        <f>IFERROR(AVERAGE('League History BACKEND'!E16,'League History BACKEND'!F16),"N/A")</f>
        <v>N/A</v>
      </c>
      <c r="AV55" s="1095" t="str">
        <f>Iferror(IF('League History BACKEND'!G13+'League History BACKEND'!H13=0,"-",'League History BACKEND'!G13),"N/A")</f>
        <v>-</v>
      </c>
      <c r="AW55" s="1096" t="str">
        <f>iferror(IF('League History BACKEND'!G13+'League History BACKEND'!H13=0,"-",'League History BACKEND'!H13),"N/A")</f>
        <v>-</v>
      </c>
      <c r="AX55" s="1098" t="str">
        <f t="array" ref="AX55">IFERROR(IFS(AJ55="N/A","N/A",AV55+AW55=0,"-",AV55+AW55&lt;&gt;0,IFERROR(AV55/(AW55+AV55),0)),"-")</f>
        <v>-</v>
      </c>
      <c r="AY55" s="1099" t="str">
        <f t="array" ref="AY55">IFERROR(IFS(AJ55="N/A","N/A",AV55+AW55=0,"-",AV55+AW55&lt;&gt;0,AV55+AW55),"-")</f>
        <v>-</v>
      </c>
      <c r="AZ55" s="1083">
        <f t="shared" ref="AZ55:BA55" si="132">IFERROR(AK55+IF(AV55="-",0,AV55),"N/A")</f>
        <v>2</v>
      </c>
      <c r="BA55" s="869">
        <f t="shared" si="132"/>
        <v>0</v>
      </c>
      <c r="BB55" s="1072">
        <f t="shared" si="113"/>
        <v>1</v>
      </c>
      <c r="BC55" s="1073">
        <f t="shared" si="114"/>
        <v>2</v>
      </c>
    </row>
    <row r="56" ht="15.75" customHeight="1">
      <c r="C56" s="13">
        <v>55.0</v>
      </c>
      <c r="D56" s="1090">
        <v>2020.0</v>
      </c>
      <c r="E56" s="217" t="s">
        <v>512</v>
      </c>
      <c r="F56" s="960" t="s">
        <v>670</v>
      </c>
      <c r="G56" s="961" t="str">
        <f>'League History BACKEND 2020'!G24</f>
        <v>POPEYES</v>
      </c>
      <c r="H56" s="962">
        <v>239.89</v>
      </c>
      <c r="I56" s="963">
        <v>159.8</v>
      </c>
      <c r="J56" s="964" t="str">
        <f>'League History BACKEND 2020'!J24</f>
        <v>GREEN</v>
      </c>
      <c r="K56" s="965" t="str">
        <f t="shared" si="1"/>
        <v>POPEYES</v>
      </c>
      <c r="L56" s="966" t="str">
        <f t="shared" si="2"/>
        <v>GREEN</v>
      </c>
      <c r="M56" s="967">
        <f t="array" ref="M56">IFERROR(IF(ABS(H56-I56)=0,Tie,ABS(H56-I56)),"UPCOMING")</f>
        <v>80.09</v>
      </c>
      <c r="N56" s="968">
        <f t="shared" si="3"/>
        <v>390</v>
      </c>
      <c r="O56" s="969">
        <f t="shared" si="4"/>
        <v>32</v>
      </c>
      <c r="P56" s="967">
        <f t="shared" si="5"/>
        <v>399.69</v>
      </c>
      <c r="Q56" s="968">
        <f t="shared" si="6"/>
        <v>53</v>
      </c>
      <c r="R56" s="967">
        <f t="shared" si="7"/>
        <v>221.5</v>
      </c>
      <c r="S56" s="970">
        <f t="shared" si="8"/>
        <v>234</v>
      </c>
      <c r="U56" s="13" t="str">
        <f>IFERROR(__xludf.DUMMYFUNCTION("IF($T56=""Y"",
  IFERROR(
    RANK.EQ($R56, FILTER($R:$R, $T:$T=""Y""), 1)
    + COUNTIFS($R:$R, $R56, $M:$M, ""&lt;""&amp;$M56, $T:$T, ""Y""),
    ""UPCOMING""
  ),
  ""NO REF""
)
"),"NO REF")</f>
        <v>NO REF</v>
      </c>
      <c r="W56" s="1087"/>
      <c r="X56" s="988">
        <v>7.0</v>
      </c>
      <c r="Y56" s="989">
        <f t="shared" si="120"/>
        <v>455.48</v>
      </c>
      <c r="Z56" s="990">
        <f t="shared" si="121"/>
        <v>2023</v>
      </c>
      <c r="AA56" s="990" t="str">
        <f t="shared" si="122"/>
        <v>WEEK 12</v>
      </c>
      <c r="AB56" s="1088" t="str">
        <f t="shared" si="123"/>
        <v>METAMOOKDAWGS</v>
      </c>
      <c r="AC56" s="990" t="str">
        <f t="shared" si="124"/>
        <v>MUTTS</v>
      </c>
      <c r="AD56" s="992" t="str">
        <f t="shared" si="125"/>
        <v>PVE FFL GAME 271</v>
      </c>
      <c r="AJ56" s="1115" t="s">
        <v>650</v>
      </c>
      <c r="AK56" s="1117">
        <f t="shared" ref="AK56:AL56" si="133">SUM(AK44:AK55)</f>
        <v>53</v>
      </c>
      <c r="AL56" s="1118">
        <f t="shared" si="133"/>
        <v>42</v>
      </c>
      <c r="AM56" s="1121">
        <f>AVERAGE(AM44:AM55)</f>
        <v>0.6013708514</v>
      </c>
      <c r="AN56" s="1124">
        <f t="shared" ref="AN56:AP56" si="134">SUM(AN44:AN55)</f>
        <v>95</v>
      </c>
      <c r="AO56" s="1117">
        <f t="shared" si="134"/>
        <v>6</v>
      </c>
      <c r="AP56" s="1118">
        <f t="shared" si="134"/>
        <v>6</v>
      </c>
      <c r="AQ56" s="1121">
        <f>Average(AQ44:AQ55)</f>
        <v>0.4</v>
      </c>
      <c r="AR56" s="1124">
        <f>SUM(AR44:AR55)</f>
        <v>12</v>
      </c>
      <c r="AS56" s="1126">
        <f t="shared" ref="AS56:AU56" si="135">AVERAGE(AS44:AS55)</f>
        <v>33.04723214</v>
      </c>
      <c r="AT56" s="1128">
        <f t="shared" si="135"/>
        <v>324.3352427</v>
      </c>
      <c r="AU56" s="1130">
        <f t="shared" si="135"/>
        <v>217.6484788</v>
      </c>
      <c r="AV56" s="1131">
        <f t="shared" ref="AV56:AW56" si="136">SUM(AV44:AV55)</f>
        <v>9</v>
      </c>
      <c r="AW56" s="1133">
        <f t="shared" si="136"/>
        <v>4</v>
      </c>
      <c r="AX56" s="1134">
        <f>average(AX44:AX55)</f>
        <v>0.630952381</v>
      </c>
      <c r="AY56" s="1136">
        <f t="shared" ref="AY56:BA56" si="137">SUM(AY44:AY55)</f>
        <v>13</v>
      </c>
      <c r="AZ56" s="1117">
        <f t="shared" si="137"/>
        <v>62</v>
      </c>
      <c r="BA56" s="1137">
        <f t="shared" si="137"/>
        <v>46</v>
      </c>
      <c r="BB56" s="1121">
        <f>AVERAGE(BB44:BB55)</f>
        <v>0.6041847042</v>
      </c>
      <c r="BC56" s="1124">
        <f>SUM(BC44:BC55)</f>
        <v>108</v>
      </c>
    </row>
    <row r="57" ht="15.75" customHeight="1">
      <c r="C57" s="13">
        <v>56.0</v>
      </c>
      <c r="D57" s="1090">
        <v>2020.0</v>
      </c>
      <c r="E57" s="217" t="s">
        <v>512</v>
      </c>
      <c r="F57" s="960" t="s">
        <v>671</v>
      </c>
      <c r="G57" s="961" t="str">
        <f>'League History BACKEND 2020'!G26</f>
        <v>METAMOOKDAWGS</v>
      </c>
      <c r="H57" s="962">
        <v>242.87</v>
      </c>
      <c r="I57" s="963">
        <v>192.64</v>
      </c>
      <c r="J57" s="964" t="str">
        <f>'League History BACKEND 2020'!J26</f>
        <v>MUTTS</v>
      </c>
      <c r="K57" s="965" t="str">
        <f t="shared" si="1"/>
        <v>METAMOOKDAWGS</v>
      </c>
      <c r="L57" s="966" t="str">
        <f t="shared" si="2"/>
        <v>MUTTS</v>
      </c>
      <c r="M57" s="967">
        <f t="array" ref="M57">IFERROR(IF(ABS(H57-I57)=0,Tie,ABS(H57-I57)),"UPCOMING")</f>
        <v>50.23</v>
      </c>
      <c r="N57" s="968">
        <f t="shared" si="3"/>
        <v>309</v>
      </c>
      <c r="O57" s="969">
        <f t="shared" si="4"/>
        <v>113</v>
      </c>
      <c r="P57" s="967">
        <f t="shared" si="5"/>
        <v>435.51</v>
      </c>
      <c r="Q57" s="968">
        <f t="shared" si="6"/>
        <v>16</v>
      </c>
      <c r="R57" s="967">
        <f t="shared" si="7"/>
        <v>162.5</v>
      </c>
      <c r="S57" s="970">
        <f t="shared" si="8"/>
        <v>113</v>
      </c>
      <c r="U57" s="13" t="str">
        <f>IFERROR(__xludf.DUMMYFUNCTION("IF($T57=""Y"",
  IFERROR(
    RANK.EQ($R57, FILTER($R:$R, $T:$T=""Y""), 1)
    + COUNTIFS($R:$R, $R57, $M:$M, ""&lt;""&amp;$M57, $T:$T, ""Y""),
    ""UPCOMING""
  ),
  ""NO REF""
)
"),"NO REF")</f>
        <v>NO REF</v>
      </c>
      <c r="W57" s="1087"/>
      <c r="X57" s="988">
        <v>8.0</v>
      </c>
      <c r="Y57" s="989">
        <f t="shared" si="120"/>
        <v>452.38</v>
      </c>
      <c r="Z57" s="990">
        <f t="shared" si="121"/>
        <v>2020</v>
      </c>
      <c r="AA57" s="990" t="str">
        <f t="shared" si="122"/>
        <v>WEEK 3</v>
      </c>
      <c r="AB57" s="1088" t="str">
        <f t="shared" si="123"/>
        <v>SAVAGES</v>
      </c>
      <c r="AC57" s="990" t="str">
        <f t="shared" si="124"/>
        <v>GREEN</v>
      </c>
      <c r="AD57" s="992" t="str">
        <f t="shared" si="125"/>
        <v>PVE FFL GAME 61</v>
      </c>
    </row>
    <row r="58" ht="15.75" customHeight="1">
      <c r="C58" s="13">
        <v>57.0</v>
      </c>
      <c r="D58" s="1090">
        <v>2020.0</v>
      </c>
      <c r="E58" s="217" t="s">
        <v>513</v>
      </c>
      <c r="F58" s="960" t="s">
        <v>663</v>
      </c>
      <c r="G58" s="961" t="str">
        <f>'League History BACKEND 2020'!G30</f>
        <v>GIRLS</v>
      </c>
      <c r="H58" s="962">
        <v>243.75</v>
      </c>
      <c r="I58" s="963">
        <v>255.68</v>
      </c>
      <c r="J58" s="964" t="str">
        <f>'League History BACKEND 2020'!J30</f>
        <v>DECOUPES</v>
      </c>
      <c r="K58" s="965" t="str">
        <f t="shared" si="1"/>
        <v>DECOUPES</v>
      </c>
      <c r="L58" s="966" t="str">
        <f t="shared" si="2"/>
        <v>GIRLS</v>
      </c>
      <c r="M58" s="967">
        <f t="array" ref="M58">IFERROR(IF(ABS(H58-I58)=0,Tie,ABS(H58-I58)),"UPCOMING")</f>
        <v>11.93</v>
      </c>
      <c r="N58" s="968">
        <f t="shared" si="3"/>
        <v>93</v>
      </c>
      <c r="O58" s="969">
        <f t="shared" si="4"/>
        <v>329</v>
      </c>
      <c r="P58" s="967">
        <f t="shared" si="5"/>
        <v>499.43</v>
      </c>
      <c r="Q58" s="968">
        <f t="shared" si="6"/>
        <v>2</v>
      </c>
      <c r="R58" s="967">
        <f t="shared" si="7"/>
        <v>47.5</v>
      </c>
      <c r="S58" s="970">
        <f t="shared" si="8"/>
        <v>10</v>
      </c>
      <c r="U58" s="13" t="str">
        <f>IFERROR(__xludf.DUMMYFUNCTION("IF($T58=""Y"",
  IFERROR(
    RANK.EQ($R58, FILTER($R:$R, $T:$T=""Y""), 1)
    + COUNTIFS($R:$R, $R58, $M:$M, ""&lt;""&amp;$M58, $T:$T, ""Y""),
    ""UPCOMING""
  ),
  ""NO REF""
)
"),"NO REF")</f>
        <v>NO REF</v>
      </c>
      <c r="W58" s="1087"/>
      <c r="X58" s="988">
        <v>9.0</v>
      </c>
      <c r="Y58" s="989">
        <f t="shared" si="120"/>
        <v>448.95</v>
      </c>
      <c r="Z58" s="990">
        <f t="shared" si="121"/>
        <v>2020</v>
      </c>
      <c r="AA58" s="990" t="str">
        <f t="shared" si="122"/>
        <v>WEEK 4</v>
      </c>
      <c r="AB58" s="1088" t="str">
        <f t="shared" si="123"/>
        <v>GREEN</v>
      </c>
      <c r="AC58" s="990" t="str">
        <f t="shared" si="124"/>
        <v>YARDIES</v>
      </c>
      <c r="AD58" s="992" t="str">
        <f t="shared" si="125"/>
        <v>PVE FFL GAME 67</v>
      </c>
      <c r="AJ58" s="1152" t="s">
        <v>713</v>
      </c>
      <c r="AK58" s="1153">
        <f t="shared" ref="AK58:AL58" si="138">SUM(AK44:AK48)</f>
        <v>30</v>
      </c>
      <c r="AL58" s="1154">
        <f t="shared" si="138"/>
        <v>28</v>
      </c>
      <c r="AM58" s="1155">
        <f t="shared" ref="AM58:AM59" si="140">AK58/(AK58+AL58)</f>
        <v>0.5172413793</v>
      </c>
      <c r="AN58" s="1157">
        <f t="shared" ref="AN58:AN59" si="141">AK58+AL58</f>
        <v>58</v>
      </c>
    </row>
    <row r="59" ht="15.75" customHeight="1">
      <c r="C59" s="13">
        <v>58.0</v>
      </c>
      <c r="D59" s="1090">
        <v>2020.0</v>
      </c>
      <c r="E59" s="217" t="s">
        <v>513</v>
      </c>
      <c r="F59" s="960" t="s">
        <v>665</v>
      </c>
      <c r="G59" s="961" t="str">
        <f>'League History BACKEND 2020'!G32</f>
        <v>GREEN</v>
      </c>
      <c r="H59" s="962">
        <v>191.46</v>
      </c>
      <c r="I59" s="963">
        <v>254.53</v>
      </c>
      <c r="J59" s="964" t="str">
        <f>'League History BACKEND 2020'!J32</f>
        <v>MUTTS</v>
      </c>
      <c r="K59" s="965" t="str">
        <f t="shared" si="1"/>
        <v>MUTTS</v>
      </c>
      <c r="L59" s="966" t="str">
        <f t="shared" si="2"/>
        <v>GREEN</v>
      </c>
      <c r="M59" s="967">
        <f t="array" ref="M59">IFERROR(IF(ABS(H59-I59)=0,Tie,ABS(H59-I59)),"UPCOMING")</f>
        <v>63.07</v>
      </c>
      <c r="N59" s="968">
        <f t="shared" si="3"/>
        <v>348</v>
      </c>
      <c r="O59" s="969">
        <f t="shared" si="4"/>
        <v>74</v>
      </c>
      <c r="P59" s="967">
        <f t="shared" si="5"/>
        <v>445.99</v>
      </c>
      <c r="Q59" s="968">
        <f t="shared" si="6"/>
        <v>11</v>
      </c>
      <c r="R59" s="967">
        <f t="shared" si="7"/>
        <v>179.5</v>
      </c>
      <c r="S59" s="970">
        <f t="shared" si="8"/>
        <v>142</v>
      </c>
      <c r="U59" s="13" t="str">
        <f>IFERROR(__xludf.DUMMYFUNCTION("IF($T59=""Y"",
  IFERROR(
    RANK.EQ($R59, FILTER($R:$R, $T:$T=""Y""), 1)
    + COUNTIFS($R:$R, $R59, $M:$M, ""&lt;""&amp;$M59, $T:$T, ""Y""),
    ""UPCOMING""
  ),
  ""NO REF""
)
"),"NO REF")</f>
        <v>NO REF</v>
      </c>
      <c r="W59" s="1087"/>
      <c r="X59" s="988">
        <v>10.0</v>
      </c>
      <c r="Y59" s="989">
        <f t="shared" si="120"/>
        <v>448.55</v>
      </c>
      <c r="Z59" s="990">
        <f t="shared" si="121"/>
        <v>2020</v>
      </c>
      <c r="AA59" s="990" t="str">
        <f t="shared" si="122"/>
        <v>WEEK 10</v>
      </c>
      <c r="AB59" s="1088" t="str">
        <f t="shared" si="123"/>
        <v>MUTTS</v>
      </c>
      <c r="AC59" s="990" t="str">
        <f t="shared" si="124"/>
        <v>SAVAGES</v>
      </c>
      <c r="AD59" s="992" t="str">
        <f t="shared" si="125"/>
        <v>PVE FFL GAME 89</v>
      </c>
      <c r="AJ59" s="1159" t="s">
        <v>714</v>
      </c>
      <c r="AK59" s="1160">
        <f t="shared" ref="AK59:AL59" si="139">SUM(AK49:AK55)</f>
        <v>23</v>
      </c>
      <c r="AL59" s="1161">
        <f t="shared" si="139"/>
        <v>14</v>
      </c>
      <c r="AM59" s="1008">
        <f t="shared" si="140"/>
        <v>0.6216216216</v>
      </c>
      <c r="AN59" s="1162">
        <f t="shared" si="141"/>
        <v>37</v>
      </c>
    </row>
    <row r="60" ht="15.75" customHeight="1">
      <c r="C60" s="13">
        <v>59.0</v>
      </c>
      <c r="D60" s="1090">
        <v>2020.0</v>
      </c>
      <c r="E60" s="217" t="s">
        <v>513</v>
      </c>
      <c r="F60" s="960" t="s">
        <v>670</v>
      </c>
      <c r="G60" s="961" t="str">
        <f>'League History BACKEND 2020'!G34</f>
        <v>METAMOOKDAWGS</v>
      </c>
      <c r="H60" s="962">
        <v>196.12</v>
      </c>
      <c r="I60" s="963">
        <v>177.65</v>
      </c>
      <c r="J60" s="964" t="str">
        <f>'League History BACKEND 2020'!J34</f>
        <v>SAVAGES</v>
      </c>
      <c r="K60" s="965" t="str">
        <f t="shared" si="1"/>
        <v>METAMOOKDAWGS</v>
      </c>
      <c r="L60" s="966" t="str">
        <f t="shared" si="2"/>
        <v>SAVAGES</v>
      </c>
      <c r="M60" s="967">
        <f t="array" ref="M60">IFERROR(IF(ABS(H60-I60)=0,Tie,ABS(H60-I60)),"UPCOMING")</f>
        <v>18.47</v>
      </c>
      <c r="N60" s="968">
        <f t="shared" si="3"/>
        <v>134</v>
      </c>
      <c r="O60" s="969">
        <f t="shared" si="4"/>
        <v>287</v>
      </c>
      <c r="P60" s="967">
        <f t="shared" si="5"/>
        <v>373.77</v>
      </c>
      <c r="Q60" s="968">
        <f t="shared" si="6"/>
        <v>110</v>
      </c>
      <c r="R60" s="967">
        <f t="shared" si="7"/>
        <v>122</v>
      </c>
      <c r="S60" s="970">
        <f t="shared" si="8"/>
        <v>64</v>
      </c>
      <c r="U60" s="13" t="str">
        <f>IFERROR(__xludf.DUMMYFUNCTION("IF($T60=""Y"",
  IFERROR(
    RANK.EQ($R60, FILTER($R:$R, $T:$T=""Y""), 1)
    + COUNTIFS($R:$R, $R60, $M:$M, ""&lt;""&amp;$M60, $T:$T, ""Y""),
    ""UPCOMING""
  ),
  ""NO REF""
)
"),"NO REF")</f>
        <v>NO REF</v>
      </c>
      <c r="W60" s="1087"/>
      <c r="X60" s="988">
        <v>11.0</v>
      </c>
      <c r="Y60" s="989">
        <f t="shared" si="120"/>
        <v>445.99</v>
      </c>
      <c r="Z60" s="990">
        <f t="shared" si="121"/>
        <v>2020</v>
      </c>
      <c r="AA60" s="990" t="str">
        <f t="shared" si="122"/>
        <v>WEEK 2</v>
      </c>
      <c r="AB60" s="1088" t="str">
        <f t="shared" si="123"/>
        <v>MUTTS</v>
      </c>
      <c r="AC60" s="990" t="str">
        <f t="shared" si="124"/>
        <v>GREEN</v>
      </c>
      <c r="AD60" s="992" t="str">
        <f t="shared" si="125"/>
        <v>PVE FFL GAME 58</v>
      </c>
    </row>
    <row r="61" ht="15.75" customHeight="1">
      <c r="C61" s="13">
        <v>60.0</v>
      </c>
      <c r="D61" s="1090">
        <v>2020.0</v>
      </c>
      <c r="E61" s="217" t="s">
        <v>513</v>
      </c>
      <c r="F61" s="960" t="s">
        <v>671</v>
      </c>
      <c r="G61" s="961" t="str">
        <f>'League History BACKEND 2020'!G36</f>
        <v>YARDIES</v>
      </c>
      <c r="H61" s="962">
        <v>165.43</v>
      </c>
      <c r="I61" s="963">
        <v>216.83</v>
      </c>
      <c r="J61" s="964" t="str">
        <f>'League History BACKEND 2020'!J36</f>
        <v>POPEYES</v>
      </c>
      <c r="K61" s="965" t="str">
        <f t="shared" si="1"/>
        <v>POPEYES</v>
      </c>
      <c r="L61" s="966" t="str">
        <f t="shared" si="2"/>
        <v>YARDIES</v>
      </c>
      <c r="M61" s="967">
        <f t="array" ref="M61">IFERROR(IF(ABS(H61-I61)=0,Tie,ABS(H61-I61)),"UPCOMING")</f>
        <v>51.4</v>
      </c>
      <c r="N61" s="968">
        <f t="shared" si="3"/>
        <v>313</v>
      </c>
      <c r="O61" s="969">
        <f t="shared" si="4"/>
        <v>109</v>
      </c>
      <c r="P61" s="967">
        <f t="shared" si="5"/>
        <v>382.26</v>
      </c>
      <c r="Q61" s="968">
        <f t="shared" si="6"/>
        <v>86</v>
      </c>
      <c r="R61" s="967">
        <f t="shared" si="7"/>
        <v>199.5</v>
      </c>
      <c r="S61" s="970">
        <f t="shared" si="8"/>
        <v>182</v>
      </c>
      <c r="U61" s="13" t="str">
        <f>IFERROR(__xludf.DUMMYFUNCTION("IF($T61=""Y"",
  IFERROR(
    RANK.EQ($R61, FILTER($R:$R, $T:$T=""Y""), 1)
    + COUNTIFS($R:$R, $R61, $M:$M, ""&lt;""&amp;$M61, $T:$T, ""Y""),
    ""UPCOMING""
  ),
  ""NO REF""
)
"),"NO REF")</f>
        <v>NO REF</v>
      </c>
      <c r="W61" s="1087"/>
      <c r="X61" s="988">
        <v>12.0</v>
      </c>
      <c r="Y61" s="989">
        <f t="shared" si="120"/>
        <v>445.42</v>
      </c>
      <c r="Z61" s="990">
        <f t="shared" si="121"/>
        <v>2023</v>
      </c>
      <c r="AA61" s="990" t="str">
        <f t="shared" si="122"/>
        <v>WEEK 13</v>
      </c>
      <c r="AB61" s="1088" t="str">
        <f t="shared" si="123"/>
        <v>DECOUPES</v>
      </c>
      <c r="AC61" s="990" t="str">
        <f t="shared" si="124"/>
        <v>GREEN</v>
      </c>
      <c r="AD61" s="992" t="str">
        <f t="shared" si="125"/>
        <v>PVE FFL GAME 274</v>
      </c>
    </row>
    <row r="62" ht="15.75" customHeight="1">
      <c r="C62" s="13">
        <v>61.0</v>
      </c>
      <c r="D62" s="1090">
        <v>2020.0</v>
      </c>
      <c r="E62" s="1005" t="s">
        <v>514</v>
      </c>
      <c r="F62" s="960" t="s">
        <v>663</v>
      </c>
      <c r="G62" s="961" t="str">
        <f>'League History BACKEND 2020'!G40</f>
        <v>SAVAGES</v>
      </c>
      <c r="H62" s="962">
        <v>261.18</v>
      </c>
      <c r="I62" s="963">
        <v>191.2</v>
      </c>
      <c r="J62" s="964" t="str">
        <f>'League History BACKEND 2020'!J40</f>
        <v>GREEN</v>
      </c>
      <c r="K62" s="965" t="str">
        <f t="shared" si="1"/>
        <v>SAVAGES</v>
      </c>
      <c r="L62" s="966" t="str">
        <f t="shared" si="2"/>
        <v>GREEN</v>
      </c>
      <c r="M62" s="967">
        <f t="array" ref="M62">IFERROR(IF(ABS(H62-I62)=0,Tie,ABS(H62-I62)),"UPCOMING")</f>
        <v>69.98</v>
      </c>
      <c r="N62" s="968">
        <f t="shared" si="3"/>
        <v>368</v>
      </c>
      <c r="O62" s="969">
        <f t="shared" si="4"/>
        <v>54</v>
      </c>
      <c r="P62" s="967">
        <f t="shared" si="5"/>
        <v>452.38</v>
      </c>
      <c r="Q62" s="968">
        <f t="shared" si="6"/>
        <v>8</v>
      </c>
      <c r="R62" s="967">
        <f t="shared" si="7"/>
        <v>188</v>
      </c>
      <c r="S62" s="970">
        <f t="shared" si="8"/>
        <v>160</v>
      </c>
      <c r="U62" s="13" t="str">
        <f>IFERROR(__xludf.DUMMYFUNCTION("IF($T62=""Y"",
  IFERROR(
    RANK.EQ($R62, FILTER($R:$R, $T:$T=""Y""), 1)
    + COUNTIFS($R:$R, $R62, $M:$M, ""&lt;""&amp;$M62, $T:$T, ""Y""),
    ""UPCOMING""
  ),
  ""NO REF""
)
"),"NO REF")</f>
        <v>NO REF</v>
      </c>
      <c r="W62" s="1087"/>
      <c r="X62" s="988">
        <v>13.0</v>
      </c>
      <c r="Y62" s="989">
        <f t="shared" si="120"/>
        <v>444.36</v>
      </c>
      <c r="Z62" s="990">
        <f t="shared" si="121"/>
        <v>2023</v>
      </c>
      <c r="AA62" s="990" t="str">
        <f t="shared" si="122"/>
        <v>WEEK 3</v>
      </c>
      <c r="AB62" s="1088" t="str">
        <f t="shared" si="123"/>
        <v>DECOUPES</v>
      </c>
      <c r="AC62" s="990" t="str">
        <f t="shared" si="124"/>
        <v>YARDIES</v>
      </c>
      <c r="AD62" s="992" t="str">
        <f t="shared" si="125"/>
        <v>PVE FFL GAME 236</v>
      </c>
    </row>
    <row r="63" ht="15.75" customHeight="1">
      <c r="C63" s="13">
        <v>62.0</v>
      </c>
      <c r="D63" s="1090">
        <v>2020.0</v>
      </c>
      <c r="E63" s="1005" t="s">
        <v>514</v>
      </c>
      <c r="F63" s="960" t="s">
        <v>665</v>
      </c>
      <c r="G63" s="961" t="str">
        <f>'League History BACKEND 2020'!G42</f>
        <v>GIRLS</v>
      </c>
      <c r="H63" s="962">
        <v>255.21</v>
      </c>
      <c r="I63" s="963">
        <v>255.48</v>
      </c>
      <c r="J63" s="964" t="str">
        <f>'League History BACKEND 2020'!J42</f>
        <v>MUTTS</v>
      </c>
      <c r="K63" s="965" t="str">
        <f t="shared" si="1"/>
        <v>MUTTS</v>
      </c>
      <c r="L63" s="966" t="str">
        <f t="shared" si="2"/>
        <v>GIRLS</v>
      </c>
      <c r="M63" s="967">
        <f t="array" ref="M63">IFERROR(IF(ABS(H63-I63)=0,Tie,ABS(H63-I63)),"UPCOMING")</f>
        <v>0.27</v>
      </c>
      <c r="N63" s="968">
        <f t="shared" si="3"/>
        <v>7</v>
      </c>
      <c r="O63" s="969">
        <f t="shared" si="4"/>
        <v>415</v>
      </c>
      <c r="P63" s="967">
        <f t="shared" si="5"/>
        <v>510.69</v>
      </c>
      <c r="Q63" s="968">
        <f t="shared" si="6"/>
        <v>1</v>
      </c>
      <c r="R63" s="967">
        <f t="shared" si="7"/>
        <v>4</v>
      </c>
      <c r="S63" s="970">
        <f t="shared" si="8"/>
        <v>1</v>
      </c>
      <c r="U63" s="13" t="str">
        <f>IFERROR(__xludf.DUMMYFUNCTION("IF($T63=""Y"",
  IFERROR(
    RANK.EQ($R63, FILTER($R:$R, $T:$T=""Y""), 1)
    + COUNTIFS($R:$R, $R63, $M:$M, ""&lt;""&amp;$M63, $T:$T, ""Y""),
    ""UPCOMING""
  ),
  ""NO REF""
)
"),"NO REF")</f>
        <v>NO REF</v>
      </c>
      <c r="W63" s="1087"/>
      <c r="X63" s="988">
        <v>14.0</v>
      </c>
      <c r="Y63" s="989">
        <f t="shared" si="120"/>
        <v>443.43</v>
      </c>
      <c r="Z63" s="990">
        <f t="shared" si="121"/>
        <v>2022</v>
      </c>
      <c r="AA63" s="990" t="str">
        <f t="shared" si="122"/>
        <v>WEEK 8</v>
      </c>
      <c r="AB63" s="1088" t="str">
        <f t="shared" si="123"/>
        <v>MUTTS</v>
      </c>
      <c r="AC63" s="990" t="str">
        <f t="shared" si="124"/>
        <v>CHAMPS</v>
      </c>
      <c r="AD63" s="992" t="str">
        <f t="shared" si="125"/>
        <v>PVE FFL GAME 199</v>
      </c>
    </row>
    <row r="64" ht="15.75" customHeight="1">
      <c r="C64" s="13">
        <v>63.0</v>
      </c>
      <c r="D64" s="1090">
        <v>2020.0</v>
      </c>
      <c r="E64" s="1005" t="s">
        <v>514</v>
      </c>
      <c r="F64" s="960" t="s">
        <v>670</v>
      </c>
      <c r="G64" s="961" t="str">
        <f>'League History BACKEND 2020'!G44</f>
        <v>DECOUPES</v>
      </c>
      <c r="H64" s="962">
        <v>161.63</v>
      </c>
      <c r="I64" s="963">
        <v>189.53</v>
      </c>
      <c r="J64" s="964" t="str">
        <f>'League History BACKEND 2020'!J44</f>
        <v>POPEYES</v>
      </c>
      <c r="K64" s="965" t="str">
        <f t="shared" si="1"/>
        <v>POPEYES</v>
      </c>
      <c r="L64" s="966" t="str">
        <f t="shared" si="2"/>
        <v>DECOUPES</v>
      </c>
      <c r="M64" s="967">
        <f t="array" ref="M64">IFERROR(IF(ABS(H64-I64)=0,Tie,ABS(H64-I64)),"UPCOMING")</f>
        <v>27.9</v>
      </c>
      <c r="N64" s="968">
        <f t="shared" si="3"/>
        <v>187</v>
      </c>
      <c r="O64" s="969">
        <f t="shared" si="4"/>
        <v>234</v>
      </c>
      <c r="P64" s="967">
        <f t="shared" si="5"/>
        <v>351.16</v>
      </c>
      <c r="Q64" s="968">
        <f t="shared" si="6"/>
        <v>159</v>
      </c>
      <c r="R64" s="967">
        <f t="shared" si="7"/>
        <v>173</v>
      </c>
      <c r="S64" s="970">
        <f t="shared" si="8"/>
        <v>132</v>
      </c>
      <c r="U64" s="13" t="str">
        <f>IFERROR(__xludf.DUMMYFUNCTION("IF($T64=""Y"",
  IFERROR(
    RANK.EQ($R64, FILTER($R:$R, $T:$T=""Y""), 1)
    + COUNTIFS($R:$R, $R64, $M:$M, ""&lt;""&amp;$M64, $T:$T, ""Y""),
    ""UPCOMING""
  ),
  ""NO REF""
)
"),"NO REF")</f>
        <v>NO REF</v>
      </c>
      <c r="W64" s="1087"/>
      <c r="X64" s="988">
        <v>15.0</v>
      </c>
      <c r="Y64" s="989">
        <f t="shared" si="120"/>
        <v>441.73</v>
      </c>
      <c r="Z64" s="990">
        <f t="shared" si="121"/>
        <v>2020</v>
      </c>
      <c r="AA64" s="990" t="str">
        <f t="shared" si="122"/>
        <v>WEEK 3</v>
      </c>
      <c r="AB64" s="1088" t="str">
        <f t="shared" si="123"/>
        <v>METAMOOKDAWGS</v>
      </c>
      <c r="AC64" s="990" t="str">
        <f t="shared" si="124"/>
        <v>YARDIES</v>
      </c>
      <c r="AD64" s="992" t="str">
        <f t="shared" si="125"/>
        <v>PVE FFL GAME 64</v>
      </c>
      <c r="AN64" s="13">
        <v>4.0</v>
      </c>
    </row>
    <row r="65" ht="15.75" customHeight="1">
      <c r="C65" s="13">
        <v>64.0</v>
      </c>
      <c r="D65" s="1090">
        <v>2020.0</v>
      </c>
      <c r="E65" s="1005" t="s">
        <v>514</v>
      </c>
      <c r="F65" s="960" t="s">
        <v>671</v>
      </c>
      <c r="G65" s="961" t="str">
        <f>'League History BACKEND 2020'!G46</f>
        <v>YARDIES</v>
      </c>
      <c r="H65" s="962">
        <v>206.88</v>
      </c>
      <c r="I65" s="963">
        <v>234.85</v>
      </c>
      <c r="J65" s="964" t="str">
        <f>'League History BACKEND 2020'!J46</f>
        <v>METAMOOKDAWGS</v>
      </c>
      <c r="K65" s="965" t="str">
        <f t="shared" si="1"/>
        <v>METAMOOKDAWGS</v>
      </c>
      <c r="L65" s="966" t="str">
        <f t="shared" si="2"/>
        <v>YARDIES</v>
      </c>
      <c r="M65" s="967">
        <f t="array" ref="M65">IFERROR(IF(ABS(H65-I65)=0,Tie,ABS(H65-I65)),"UPCOMING")</f>
        <v>27.97</v>
      </c>
      <c r="N65" s="968">
        <f t="shared" si="3"/>
        <v>189</v>
      </c>
      <c r="O65" s="969">
        <f t="shared" si="4"/>
        <v>233</v>
      </c>
      <c r="P65" s="967">
        <f t="shared" si="5"/>
        <v>441.73</v>
      </c>
      <c r="Q65" s="968">
        <f t="shared" si="6"/>
        <v>15</v>
      </c>
      <c r="R65" s="967">
        <f t="shared" si="7"/>
        <v>102</v>
      </c>
      <c r="S65" s="970">
        <f t="shared" si="8"/>
        <v>37</v>
      </c>
      <c r="U65" s="13" t="str">
        <f>IFERROR(__xludf.DUMMYFUNCTION("IF($T65=""Y"",
  IFERROR(
    RANK.EQ($R65, FILTER($R:$R, $T:$T=""Y""), 1)
    + COUNTIFS($R:$R, $R65, $M:$M, ""&lt;""&amp;$M65, $T:$T, ""Y""),
    ""UPCOMING""
  ),
  ""NO REF""
)
"),"NO REF")</f>
        <v>NO REF</v>
      </c>
      <c r="W65" s="1087"/>
      <c r="X65" s="988">
        <v>16.0</v>
      </c>
      <c r="Y65" s="989">
        <f t="shared" si="120"/>
        <v>435.51</v>
      </c>
      <c r="Z65" s="990">
        <f t="shared" si="121"/>
        <v>2020</v>
      </c>
      <c r="AA65" s="990" t="str">
        <f t="shared" si="122"/>
        <v>WEEK 1</v>
      </c>
      <c r="AB65" s="1088" t="str">
        <f t="shared" si="123"/>
        <v>METAMOOKDAWGS</v>
      </c>
      <c r="AC65" s="990" t="str">
        <f t="shared" si="124"/>
        <v>MUTTS</v>
      </c>
      <c r="AD65" s="992" t="str">
        <f t="shared" si="125"/>
        <v>PVE FFL GAME 56</v>
      </c>
    </row>
    <row r="66" ht="15.75" customHeight="1">
      <c r="C66" s="13">
        <v>65.0</v>
      </c>
      <c r="D66" s="1090">
        <v>2020.0</v>
      </c>
      <c r="E66" s="1005" t="s">
        <v>515</v>
      </c>
      <c r="F66" s="960" t="s">
        <v>663</v>
      </c>
      <c r="G66" s="961" t="str">
        <f>'League History BACKEND 2020'!G50</f>
        <v>METAMOOKDAWGS</v>
      </c>
      <c r="H66" s="962">
        <v>259.79</v>
      </c>
      <c r="I66" s="963">
        <v>209.47</v>
      </c>
      <c r="J66" s="964" t="str">
        <f>'League History BACKEND 2020'!J50</f>
        <v>DECOUPES</v>
      </c>
      <c r="K66" s="965" t="str">
        <f t="shared" si="1"/>
        <v>METAMOOKDAWGS</v>
      </c>
      <c r="L66" s="966" t="str">
        <f t="shared" si="2"/>
        <v>DECOUPES</v>
      </c>
      <c r="M66" s="967">
        <f t="array" ref="M66">IFERROR(IF(ABS(H66-I66)=0,Tie,ABS(H66-I66)),"UPCOMING")</f>
        <v>50.32</v>
      </c>
      <c r="N66" s="968">
        <f t="shared" si="3"/>
        <v>310</v>
      </c>
      <c r="O66" s="969">
        <f t="shared" si="4"/>
        <v>112</v>
      </c>
      <c r="P66" s="967">
        <f t="shared" si="5"/>
        <v>469.26</v>
      </c>
      <c r="Q66" s="968">
        <f t="shared" si="6"/>
        <v>4</v>
      </c>
      <c r="R66" s="967">
        <f t="shared" si="7"/>
        <v>157</v>
      </c>
      <c r="S66" s="970">
        <f t="shared" si="8"/>
        <v>107</v>
      </c>
      <c r="U66" s="13" t="str">
        <f>IFERROR(__xludf.DUMMYFUNCTION("IF($T66=""Y"",
  IFERROR(
    RANK.EQ($R66, FILTER($R:$R, $T:$T=""Y""), 1)
    + COUNTIFS($R:$R, $R66, $M:$M, ""&lt;""&amp;$M66, $T:$T, ""Y""),
    ""UPCOMING""
  ),
  ""NO REF""
)
"),"NO REF")</f>
        <v>NO REF</v>
      </c>
      <c r="W66" s="1087"/>
      <c r="X66" s="988">
        <v>17.0</v>
      </c>
      <c r="Y66" s="989">
        <f t="shared" si="120"/>
        <v>435.3</v>
      </c>
      <c r="Z66" s="990">
        <f t="shared" si="121"/>
        <v>2022</v>
      </c>
      <c r="AA66" s="990" t="str">
        <f t="shared" si="122"/>
        <v>WEEK 7</v>
      </c>
      <c r="AB66" s="1088" t="str">
        <f t="shared" si="123"/>
        <v>MUTTS</v>
      </c>
      <c r="AC66" s="990" t="str">
        <f t="shared" si="124"/>
        <v>METAMOOKDAWGS</v>
      </c>
      <c r="AD66" s="992" t="str">
        <f t="shared" si="125"/>
        <v>PVE FFL GAME 197</v>
      </c>
    </row>
    <row r="67" ht="15.75" customHeight="1">
      <c r="C67" s="13">
        <v>66.0</v>
      </c>
      <c r="D67" s="1090">
        <v>2020.0</v>
      </c>
      <c r="E67" s="1005" t="s">
        <v>515</v>
      </c>
      <c r="F67" s="960" t="s">
        <v>665</v>
      </c>
      <c r="G67" s="961" t="str">
        <f>'League History BACKEND 2020'!G52</f>
        <v>MUTTS</v>
      </c>
      <c r="H67" s="962">
        <v>188.08</v>
      </c>
      <c r="I67" s="963">
        <v>174.25</v>
      </c>
      <c r="J67" s="964" t="str">
        <f>'League History BACKEND 2020'!J52</f>
        <v>POPEYES</v>
      </c>
      <c r="K67" s="965" t="str">
        <f t="shared" si="1"/>
        <v>MUTTS</v>
      </c>
      <c r="L67" s="966" t="str">
        <f t="shared" si="2"/>
        <v>POPEYES</v>
      </c>
      <c r="M67" s="967">
        <f t="array" ref="M67">IFERROR(IF(ABS(H67-I67)=0,Tie,ABS(H67-I67)),"UPCOMING")</f>
        <v>13.83</v>
      </c>
      <c r="N67" s="968">
        <f t="shared" si="3"/>
        <v>105</v>
      </c>
      <c r="O67" s="969">
        <f t="shared" si="4"/>
        <v>317</v>
      </c>
      <c r="P67" s="967">
        <f t="shared" si="5"/>
        <v>362.33</v>
      </c>
      <c r="Q67" s="968">
        <f t="shared" si="6"/>
        <v>134</v>
      </c>
      <c r="R67" s="967">
        <f t="shared" si="7"/>
        <v>119.5</v>
      </c>
      <c r="S67" s="970">
        <f t="shared" si="8"/>
        <v>59</v>
      </c>
      <c r="U67" s="13" t="str">
        <f>IFERROR(__xludf.DUMMYFUNCTION("IF($T67=""Y"",
  IFERROR(
    RANK.EQ($R67, FILTER($R:$R, $T:$T=""Y""), 1)
    + COUNTIFS($R:$R, $R67, $M:$M, ""&lt;""&amp;$M67, $T:$T, ""Y""),
    ""UPCOMING""
  ),
  ""NO REF""
)
"),"NO REF")</f>
        <v>NO REF</v>
      </c>
      <c r="W67" s="1087"/>
      <c r="X67" s="988">
        <v>18.0</v>
      </c>
      <c r="Y67" s="989">
        <f t="shared" si="120"/>
        <v>433.62</v>
      </c>
      <c r="Z67" s="990">
        <f t="shared" si="121"/>
        <v>2023</v>
      </c>
      <c r="AA67" s="990" t="str">
        <f t="shared" si="122"/>
        <v>WEEK 8</v>
      </c>
      <c r="AB67" s="1088" t="str">
        <f t="shared" si="123"/>
        <v>YARDIES</v>
      </c>
      <c r="AC67" s="990" t="str">
        <f t="shared" si="124"/>
        <v>CHAMPS</v>
      </c>
      <c r="AD67" s="992" t="str">
        <f t="shared" si="125"/>
        <v>PVE FFL GAME 256</v>
      </c>
    </row>
    <row r="68" ht="15.75" customHeight="1">
      <c r="C68" s="13">
        <v>67.0</v>
      </c>
      <c r="D68" s="1090">
        <v>2020.0</v>
      </c>
      <c r="E68" s="1005" t="s">
        <v>515</v>
      </c>
      <c r="F68" s="960" t="s">
        <v>670</v>
      </c>
      <c r="G68" s="961" t="str">
        <f>'League History BACKEND 2020'!G54</f>
        <v>YARDIES</v>
      </c>
      <c r="H68" s="962">
        <v>190.74</v>
      </c>
      <c r="I68" s="963">
        <v>258.21</v>
      </c>
      <c r="J68" s="964" t="str">
        <f>'League History BACKEND 2020'!J54</f>
        <v>GREEN</v>
      </c>
      <c r="K68" s="965" t="str">
        <f t="shared" si="1"/>
        <v>GREEN</v>
      </c>
      <c r="L68" s="966" t="str">
        <f t="shared" si="2"/>
        <v>YARDIES</v>
      </c>
      <c r="M68" s="967">
        <f t="array" ref="M68">IFERROR(IF(ABS(H68-I68)=0,Tie,ABS(H68-I68)),"UPCOMING")</f>
        <v>67.47</v>
      </c>
      <c r="N68" s="968">
        <f t="shared" si="3"/>
        <v>364</v>
      </c>
      <c r="O68" s="969">
        <f t="shared" si="4"/>
        <v>58</v>
      </c>
      <c r="P68" s="967">
        <f t="shared" si="5"/>
        <v>448.95</v>
      </c>
      <c r="Q68" s="968">
        <f t="shared" si="6"/>
        <v>9</v>
      </c>
      <c r="R68" s="967">
        <f t="shared" si="7"/>
        <v>186.5</v>
      </c>
      <c r="S68" s="970">
        <f t="shared" si="8"/>
        <v>157</v>
      </c>
      <c r="U68" s="13" t="str">
        <f>IFERROR(__xludf.DUMMYFUNCTION("IF($T68=""Y"",
  IFERROR(
    RANK.EQ($R68, FILTER($R:$R, $T:$T=""Y""), 1)
    + COUNTIFS($R:$R, $R68, $M:$M, ""&lt;""&amp;$M68, $T:$T, ""Y""),
    ""UPCOMING""
  ),
  ""NO REF""
)
"),"NO REF")</f>
        <v>NO REF</v>
      </c>
      <c r="W68" s="1087"/>
      <c r="X68" s="988">
        <v>19.0</v>
      </c>
      <c r="Y68" s="989">
        <f t="shared" si="120"/>
        <v>432.82</v>
      </c>
      <c r="Z68" s="990">
        <f t="shared" si="121"/>
        <v>2023</v>
      </c>
      <c r="AA68" s="990" t="str">
        <f t="shared" si="122"/>
        <v>WEEK 3</v>
      </c>
      <c r="AB68" s="1088" t="str">
        <f t="shared" si="123"/>
        <v>CHAMPS</v>
      </c>
      <c r="AC68" s="990" t="str">
        <f t="shared" si="124"/>
        <v>POPEYES</v>
      </c>
      <c r="AD68" s="992" t="str">
        <f t="shared" si="125"/>
        <v>PVE FFL GAME 237</v>
      </c>
    </row>
    <row r="69" ht="15.75" customHeight="1">
      <c r="C69" s="13">
        <v>68.0</v>
      </c>
      <c r="D69" s="1090">
        <v>2020.0</v>
      </c>
      <c r="E69" s="1005" t="s">
        <v>515</v>
      </c>
      <c r="F69" s="960" t="s">
        <v>671</v>
      </c>
      <c r="G69" s="961" t="str">
        <f>'League History BACKEND 2020'!G56</f>
        <v>SAVAGES</v>
      </c>
      <c r="H69" s="962">
        <v>196.93</v>
      </c>
      <c r="I69" s="963">
        <v>196.82</v>
      </c>
      <c r="J69" s="964" t="str">
        <f>'League History BACKEND 2020'!J56</f>
        <v>GIRLS</v>
      </c>
      <c r="K69" s="965" t="str">
        <f t="shared" si="1"/>
        <v>SAVAGES</v>
      </c>
      <c r="L69" s="966" t="str">
        <f t="shared" si="2"/>
        <v>GIRLS</v>
      </c>
      <c r="M69" s="967">
        <f t="array" ref="M69">IFERROR(IF(ABS(H69-I69)=0,Tie,ABS(H69-I69)),"UPCOMING")</f>
        <v>0.11</v>
      </c>
      <c r="N69" s="968">
        <f t="shared" si="3"/>
        <v>2</v>
      </c>
      <c r="O69" s="969">
        <f t="shared" si="4"/>
        <v>420</v>
      </c>
      <c r="P69" s="967">
        <f t="shared" si="5"/>
        <v>393.75</v>
      </c>
      <c r="Q69" s="968">
        <f t="shared" si="6"/>
        <v>63</v>
      </c>
      <c r="R69" s="967">
        <f t="shared" si="7"/>
        <v>32.5</v>
      </c>
      <c r="S69" s="970">
        <f t="shared" si="8"/>
        <v>5</v>
      </c>
      <c r="U69" s="13" t="str">
        <f>IFERROR(__xludf.DUMMYFUNCTION("IF($T69=""Y"",
  IFERROR(
    RANK.EQ($R69, FILTER($R:$R, $T:$T=""Y""), 1)
    + COUNTIFS($R:$R, $R69, $M:$M, ""&lt;""&amp;$M69, $T:$T, ""Y""),
    ""UPCOMING""
  ),
  ""NO REF""
)
"),"NO REF")</f>
        <v>NO REF</v>
      </c>
      <c r="W69" s="1087"/>
      <c r="X69" s="1018">
        <v>20.0</v>
      </c>
      <c r="Y69" s="1019">
        <f t="shared" si="120"/>
        <v>431.63</v>
      </c>
      <c r="Z69" s="990">
        <f t="shared" si="121"/>
        <v>2023</v>
      </c>
      <c r="AA69" s="1020" t="str">
        <f t="shared" si="122"/>
        <v>WEEK 2</v>
      </c>
      <c r="AB69" s="1171" t="str">
        <f t="shared" si="123"/>
        <v>GREEN</v>
      </c>
      <c r="AC69" s="1020" t="str">
        <f t="shared" si="124"/>
        <v>POPEYES</v>
      </c>
      <c r="AD69" s="1022" t="str">
        <f t="shared" si="125"/>
        <v>PVE FFL GAME 230</v>
      </c>
    </row>
    <row r="70" ht="15.75" customHeight="1">
      <c r="C70" s="13">
        <v>69.0</v>
      </c>
      <c r="D70" s="1090">
        <v>2020.0</v>
      </c>
      <c r="E70" s="1005" t="s">
        <v>516</v>
      </c>
      <c r="F70" s="960" t="s">
        <v>663</v>
      </c>
      <c r="G70" s="961" t="str">
        <f>'League History BACKEND 2020'!G60</f>
        <v>POPEYES</v>
      </c>
      <c r="H70" s="962">
        <v>176.04</v>
      </c>
      <c r="I70" s="963">
        <v>153.99</v>
      </c>
      <c r="J70" s="964" t="str">
        <f>'League History BACKEND 2020'!J60</f>
        <v>SAVAGES</v>
      </c>
      <c r="K70" s="965" t="str">
        <f t="shared" si="1"/>
        <v>POPEYES</v>
      </c>
      <c r="L70" s="966" t="str">
        <f t="shared" si="2"/>
        <v>SAVAGES</v>
      </c>
      <c r="M70" s="967">
        <f t="array" ref="M70">IFERROR(IF(ABS(H70-I70)=0,Tie,ABS(H70-I70)),"UPCOMING")</f>
        <v>22.05</v>
      </c>
      <c r="N70" s="968">
        <f t="shared" si="3"/>
        <v>154</v>
      </c>
      <c r="O70" s="969">
        <f t="shared" si="4"/>
        <v>268</v>
      </c>
      <c r="P70" s="967">
        <f t="shared" si="5"/>
        <v>330.03</v>
      </c>
      <c r="Q70" s="968">
        <f t="shared" si="6"/>
        <v>217</v>
      </c>
      <c r="R70" s="967">
        <f t="shared" si="7"/>
        <v>185.5</v>
      </c>
      <c r="S70" s="970">
        <f t="shared" si="8"/>
        <v>154</v>
      </c>
      <c r="U70" s="13" t="str">
        <f>IFERROR(__xludf.DUMMYFUNCTION("IF($T70=""Y"",
  IFERROR(
    RANK.EQ($R70, FILTER($R:$R, $T:$T=""Y""), 1)
    + COUNTIFS($R:$R, $R70, $M:$M, ""&lt;""&amp;$M70, $T:$T, ""Y""),
    ""UPCOMING""
  ),
  ""NO REF""
)
"),"NO REF")</f>
        <v>NO REF</v>
      </c>
    </row>
    <row r="71" ht="15.75" customHeight="1">
      <c r="C71" s="13">
        <v>70.0</v>
      </c>
      <c r="D71" s="1090">
        <v>2020.0</v>
      </c>
      <c r="E71" s="1005" t="s">
        <v>516</v>
      </c>
      <c r="F71" s="960" t="s">
        <v>665</v>
      </c>
      <c r="G71" s="961" t="str">
        <f>'League History BACKEND 2020'!G62</f>
        <v>GREEN</v>
      </c>
      <c r="H71" s="962">
        <v>178.72</v>
      </c>
      <c r="I71" s="963">
        <v>234.68</v>
      </c>
      <c r="J71" s="964" t="str">
        <f>'League History BACKEND 2020'!J62</f>
        <v>DECOUPES</v>
      </c>
      <c r="K71" s="965" t="str">
        <f t="shared" si="1"/>
        <v>DECOUPES</v>
      </c>
      <c r="L71" s="966" t="str">
        <f t="shared" si="2"/>
        <v>GREEN</v>
      </c>
      <c r="M71" s="967">
        <f t="array" ref="M71">IFERROR(IF(ABS(H71-I71)=0,Tie,ABS(H71-I71)),"UPCOMING")</f>
        <v>55.96</v>
      </c>
      <c r="N71" s="968">
        <f t="shared" si="3"/>
        <v>329</v>
      </c>
      <c r="O71" s="969">
        <f t="shared" si="4"/>
        <v>93</v>
      </c>
      <c r="P71" s="967">
        <f t="shared" si="5"/>
        <v>413.4</v>
      </c>
      <c r="Q71" s="968">
        <f t="shared" si="6"/>
        <v>37</v>
      </c>
      <c r="R71" s="967">
        <f t="shared" si="7"/>
        <v>183</v>
      </c>
      <c r="S71" s="970">
        <f t="shared" si="8"/>
        <v>149</v>
      </c>
      <c r="U71" s="13" t="str">
        <f>IFERROR(__xludf.DUMMYFUNCTION("IF($T71=""Y"",
  IFERROR(
    RANK.EQ($R71, FILTER($R:$R, $T:$T=""Y""), 1)
    + COUNTIFS($R:$R, $R71, $M:$M, ""&lt;""&amp;$M71, $T:$T, ""Y""),
    ""UPCOMING""
  ),
  ""NO REF""
)
"),"NO REF")</f>
        <v>NO REF</v>
      </c>
      <c r="X71" s="971" t="s">
        <v>719</v>
      </c>
      <c r="Y71" s="23"/>
      <c r="Z71" s="23"/>
      <c r="AA71" s="23"/>
      <c r="AB71" s="23"/>
      <c r="AC71" s="23"/>
      <c r="AD71" s="29"/>
      <c r="AE71" s="951"/>
      <c r="AF71" s="951"/>
      <c r="AG71" s="951"/>
      <c r="AH71" s="951"/>
    </row>
    <row r="72" ht="15.75" customHeight="1">
      <c r="C72" s="13">
        <v>71.0</v>
      </c>
      <c r="D72" s="1090">
        <v>2020.0</v>
      </c>
      <c r="E72" s="1005" t="s">
        <v>516</v>
      </c>
      <c r="F72" s="960" t="s">
        <v>670</v>
      </c>
      <c r="G72" s="961" t="str">
        <f>'League History BACKEND 2020'!G64</f>
        <v>MUTTS</v>
      </c>
      <c r="H72" s="962">
        <v>236.28</v>
      </c>
      <c r="I72" s="963">
        <v>169.64</v>
      </c>
      <c r="J72" s="964" t="str">
        <f>'League History BACKEND 2020'!J64</f>
        <v>YARDIES</v>
      </c>
      <c r="K72" s="965" t="str">
        <f t="shared" si="1"/>
        <v>MUTTS</v>
      </c>
      <c r="L72" s="966" t="str">
        <f t="shared" si="2"/>
        <v>YARDIES</v>
      </c>
      <c r="M72" s="967">
        <f t="array" ref="M72">IFERROR(IF(ABS(H72-I72)=0,Tie,ABS(H72-I72)),"UPCOMING")</f>
        <v>66.64</v>
      </c>
      <c r="N72" s="968">
        <f t="shared" si="3"/>
        <v>360</v>
      </c>
      <c r="O72" s="969">
        <f t="shared" si="4"/>
        <v>62</v>
      </c>
      <c r="P72" s="967">
        <f t="shared" si="5"/>
        <v>405.92</v>
      </c>
      <c r="Q72" s="968">
        <f t="shared" si="6"/>
        <v>47</v>
      </c>
      <c r="R72" s="967">
        <f t="shared" si="7"/>
        <v>203.5</v>
      </c>
      <c r="S72" s="970">
        <f t="shared" si="8"/>
        <v>190</v>
      </c>
      <c r="U72" s="13" t="str">
        <f>IFERROR(__xludf.DUMMYFUNCTION("IF($T72=""Y"",
  IFERROR(
    RANK.EQ($R72, FILTER($R:$R, $T:$T=""Y""), 1)
    + COUNTIFS($R:$R, $R72, $M:$M, ""&lt;""&amp;$M72, $T:$T, ""Y""),
    ""UPCOMING""
  ),
  ""NO REF""
)
"),"NO REF")</f>
        <v>NO REF</v>
      </c>
      <c r="X72" s="1173" t="s">
        <v>148</v>
      </c>
      <c r="Y72" s="1174" t="s">
        <v>467</v>
      </c>
      <c r="Z72" s="1174" t="s">
        <v>153</v>
      </c>
      <c r="AA72" s="1174" t="s">
        <v>30</v>
      </c>
      <c r="AB72" s="1174" t="s">
        <v>155</v>
      </c>
      <c r="AC72" s="1174" t="s">
        <v>156</v>
      </c>
      <c r="AD72" s="1175" t="s">
        <v>157</v>
      </c>
      <c r="AE72" s="972"/>
      <c r="AF72" s="972"/>
      <c r="AG72" s="972"/>
      <c r="AH72" s="972"/>
    </row>
    <row r="73" ht="15.75" customHeight="1">
      <c r="C73" s="13">
        <v>72.0</v>
      </c>
      <c r="D73" s="1090">
        <v>2020.0</v>
      </c>
      <c r="E73" s="1005" t="s">
        <v>516</v>
      </c>
      <c r="F73" s="960" t="s">
        <v>671</v>
      </c>
      <c r="G73" s="961" t="str">
        <f>'League History BACKEND 2020'!G66</f>
        <v>METAMOOKDAWGS</v>
      </c>
      <c r="H73" s="962">
        <v>227.34</v>
      </c>
      <c r="I73" s="963">
        <v>150.05</v>
      </c>
      <c r="J73" s="964" t="str">
        <f>'League History BACKEND 2020'!J66</f>
        <v>GIRLS</v>
      </c>
      <c r="K73" s="965" t="str">
        <f t="shared" si="1"/>
        <v>METAMOOKDAWGS</v>
      </c>
      <c r="L73" s="966" t="str">
        <f t="shared" si="2"/>
        <v>GIRLS</v>
      </c>
      <c r="M73" s="967">
        <f t="array" ref="M73">IFERROR(IF(ABS(H73-I73)=0,Tie,ABS(H73-I73)),"UPCOMING")</f>
        <v>77.29</v>
      </c>
      <c r="N73" s="968">
        <f t="shared" si="3"/>
        <v>386</v>
      </c>
      <c r="O73" s="969">
        <f t="shared" si="4"/>
        <v>36</v>
      </c>
      <c r="P73" s="967">
        <f t="shared" si="5"/>
        <v>377.39</v>
      </c>
      <c r="Q73" s="968">
        <f t="shared" si="6"/>
        <v>101</v>
      </c>
      <c r="R73" s="967">
        <f t="shared" si="7"/>
        <v>243.5</v>
      </c>
      <c r="S73" s="970">
        <f t="shared" si="8"/>
        <v>275</v>
      </c>
      <c r="U73" s="13" t="str">
        <f>IFERROR(__xludf.DUMMYFUNCTION("IF($T73=""Y"",
  IFERROR(
    RANK.EQ($R73, FILTER($R:$R, $T:$T=""Y""), 1)
    + COUNTIFS($R:$R, $R73, $M:$M, ""&lt;""&amp;$M73, $T:$T, ""Y""),
    ""UPCOMING""
  ),
  ""NO REF""
)
"),"NO REF")</f>
        <v>NO REF</v>
      </c>
      <c r="X73" s="823">
        <v>1.0</v>
      </c>
      <c r="Y73" s="967">
        <f t="shared" ref="Y73:Y92" si="142">SMALL($P:$P,X73)</f>
        <v>173.5</v>
      </c>
      <c r="Z73" s="1176">
        <f t="shared" ref="Z73:Z92" si="143">INDEX($D:$D, MATCH(Y73,$P:$P,0))</f>
        <v>2019</v>
      </c>
      <c r="AA73" s="1176" t="str">
        <f t="shared" ref="AA73:AA92" si="144">INDEX($E:$E, MATCH(Y73,$P:$P,0))</f>
        <v>WEEK 4</v>
      </c>
      <c r="AB73" s="1177" t="str">
        <f t="shared" ref="AB73:AB92" si="145">INDEX($K:$K, MATCH(Y73,$P:$P,0))</f>
        <v>YARDIES</v>
      </c>
      <c r="AC73" s="1176" t="str">
        <f t="shared" ref="AC73:AC92" si="146">INDEX($L:$L, MATCH(Y73,$P:$P,0))</f>
        <v>POPEYES</v>
      </c>
      <c r="AD73" s="1178" t="str">
        <f t="shared" ref="AD73:AD92" si="147">"PVE FFL GAME " &amp; INDEX($C:$C, MATCH(Y73,$P:$P,0))</f>
        <v>PVE FFL GAME 15</v>
      </c>
    </row>
    <row r="74" ht="15.75" customHeight="1">
      <c r="C74" s="13">
        <v>73.0</v>
      </c>
      <c r="D74" s="1090">
        <v>2020.0</v>
      </c>
      <c r="E74" s="1005" t="s">
        <v>517</v>
      </c>
      <c r="F74" s="960" t="s">
        <v>663</v>
      </c>
      <c r="G74" s="961" t="str">
        <f>'League History BACKEND 2020'!G70</f>
        <v>SAVAGES</v>
      </c>
      <c r="H74" s="962">
        <v>251.35</v>
      </c>
      <c r="I74" s="963">
        <v>174.55</v>
      </c>
      <c r="J74" s="964" t="str">
        <f>'League History BACKEND 2020'!J70</f>
        <v>DECOUPES</v>
      </c>
      <c r="K74" s="965" t="str">
        <f t="shared" si="1"/>
        <v>SAVAGES</v>
      </c>
      <c r="L74" s="966" t="str">
        <f t="shared" si="2"/>
        <v>DECOUPES</v>
      </c>
      <c r="M74" s="967">
        <f t="array" ref="M74">IFERROR(IF(ABS(H74-I74)=0,Tie,ABS(H74-I74)),"UPCOMING")</f>
        <v>76.8</v>
      </c>
      <c r="N74" s="968">
        <f t="shared" si="3"/>
        <v>384</v>
      </c>
      <c r="O74" s="969">
        <f t="shared" si="4"/>
        <v>38</v>
      </c>
      <c r="P74" s="967">
        <f t="shared" si="5"/>
        <v>425.9</v>
      </c>
      <c r="Q74" s="968">
        <f t="shared" si="6"/>
        <v>23</v>
      </c>
      <c r="R74" s="967">
        <f t="shared" si="7"/>
        <v>203.5</v>
      </c>
      <c r="S74" s="970">
        <f t="shared" si="8"/>
        <v>191</v>
      </c>
      <c r="U74" s="13" t="str">
        <f>IFERROR(__xludf.DUMMYFUNCTION("IF($T74=""Y"",
  IFERROR(
    RANK.EQ($R74, FILTER($R:$R, $T:$T=""Y""), 1)
    + COUNTIFS($R:$R, $R74, $M:$M, ""&lt;""&amp;$M74, $T:$T, ""Y""),
    ""UPCOMING""
  ),
  ""NO REF""
)
"),"NO REF")</f>
        <v>NO REF</v>
      </c>
      <c r="X74" s="1184">
        <v>2.0</v>
      </c>
      <c r="Y74" s="967">
        <f t="shared" si="142"/>
        <v>198.01</v>
      </c>
      <c r="Z74" s="1176">
        <f t="shared" si="143"/>
        <v>2019</v>
      </c>
      <c r="AA74" s="1176" t="str">
        <f t="shared" si="144"/>
        <v>WEEK 3</v>
      </c>
      <c r="AB74" s="1177" t="str">
        <f t="shared" si="145"/>
        <v>METAMOOKDAWGS</v>
      </c>
      <c r="AC74" s="1176" t="str">
        <f t="shared" si="146"/>
        <v>YARDIES</v>
      </c>
      <c r="AD74" s="1178" t="str">
        <f t="shared" si="147"/>
        <v>PVE FFL GAME 12</v>
      </c>
    </row>
    <row r="75" ht="15.75" customHeight="1">
      <c r="C75" s="13">
        <v>74.0</v>
      </c>
      <c r="D75" s="1090">
        <v>2020.0</v>
      </c>
      <c r="E75" s="1005" t="s">
        <v>517</v>
      </c>
      <c r="F75" s="960" t="s">
        <v>665</v>
      </c>
      <c r="G75" s="961" t="str">
        <f>'League History BACKEND 2020'!G72</f>
        <v>GIRLS</v>
      </c>
      <c r="H75" s="962">
        <v>171.19</v>
      </c>
      <c r="I75" s="963">
        <v>246.3</v>
      </c>
      <c r="J75" s="964" t="str">
        <f>'League History BACKEND 2020'!J72</f>
        <v>MUTTS</v>
      </c>
      <c r="K75" s="965" t="str">
        <f t="shared" si="1"/>
        <v>MUTTS</v>
      </c>
      <c r="L75" s="966" t="str">
        <f t="shared" si="2"/>
        <v>GIRLS</v>
      </c>
      <c r="M75" s="967">
        <f t="array" ref="M75">IFERROR(IF(ABS(H75-I75)=0,Tie,ABS(H75-I75)),"UPCOMING")</f>
        <v>75.11</v>
      </c>
      <c r="N75" s="968">
        <f t="shared" si="3"/>
        <v>379</v>
      </c>
      <c r="O75" s="969">
        <f t="shared" si="4"/>
        <v>43</v>
      </c>
      <c r="P75" s="967">
        <f t="shared" si="5"/>
        <v>417.49</v>
      </c>
      <c r="Q75" s="968">
        <f t="shared" si="6"/>
        <v>32</v>
      </c>
      <c r="R75" s="967">
        <f t="shared" si="7"/>
        <v>205.5</v>
      </c>
      <c r="S75" s="970">
        <f t="shared" si="8"/>
        <v>195</v>
      </c>
      <c r="U75" s="13" t="str">
        <f>IFERROR(__xludf.DUMMYFUNCTION("IF($T75=""Y"",
  IFERROR(
    RANK.EQ($R75, FILTER($R:$R, $T:$T=""Y""), 1)
    + COUNTIFS($R:$R, $R75, $M:$M, ""&lt;""&amp;$M75, $T:$T, ""Y""),
    ""UPCOMING""
  ),
  ""NO REF""
)
"),"NO REF")</f>
        <v>NO REF</v>
      </c>
      <c r="X75" s="823">
        <v>3.0</v>
      </c>
      <c r="Y75" s="967">
        <f t="shared" si="142"/>
        <v>198.22</v>
      </c>
      <c r="Z75" s="1176">
        <f t="shared" si="143"/>
        <v>2019</v>
      </c>
      <c r="AA75" s="1176" t="str">
        <f t="shared" si="144"/>
        <v>WEEK 7</v>
      </c>
      <c r="AB75" s="1177" t="str">
        <f t="shared" si="145"/>
        <v>METAMOOKDAWGS</v>
      </c>
      <c r="AC75" s="1176" t="str">
        <f t="shared" si="146"/>
        <v>POPEYES</v>
      </c>
      <c r="AD75" s="1178" t="str">
        <f t="shared" si="147"/>
        <v>PVE FFL GAME 26</v>
      </c>
    </row>
    <row r="76" ht="15.75" customHeight="1">
      <c r="C76" s="13">
        <v>75.0</v>
      </c>
      <c r="D76" s="1090">
        <v>2020.0</v>
      </c>
      <c r="E76" s="1005" t="s">
        <v>517</v>
      </c>
      <c r="F76" s="960" t="s">
        <v>670</v>
      </c>
      <c r="G76" s="961" t="str">
        <f>'League History BACKEND 2020'!G74</f>
        <v>YARDIES</v>
      </c>
      <c r="H76" s="962">
        <v>174.68</v>
      </c>
      <c r="I76" s="963">
        <v>180.64</v>
      </c>
      <c r="J76" s="964" t="str">
        <f>'League History BACKEND 2020'!J74</f>
        <v>METAMOOKDAWGS</v>
      </c>
      <c r="K76" s="965" t="str">
        <f t="shared" si="1"/>
        <v>METAMOOKDAWGS</v>
      </c>
      <c r="L76" s="966" t="str">
        <f t="shared" si="2"/>
        <v>YARDIES</v>
      </c>
      <c r="M76" s="967">
        <f t="array" ref="M76">IFERROR(IF(ABS(H76-I76)=0,Tie,ABS(H76-I76)),"UPCOMING")</f>
        <v>5.96</v>
      </c>
      <c r="N76" s="968">
        <f t="shared" si="3"/>
        <v>44</v>
      </c>
      <c r="O76" s="969">
        <f t="shared" si="4"/>
        <v>378</v>
      </c>
      <c r="P76" s="967">
        <f t="shared" si="5"/>
        <v>355.32</v>
      </c>
      <c r="Q76" s="968">
        <f t="shared" si="6"/>
        <v>149</v>
      </c>
      <c r="R76" s="967">
        <f t="shared" si="7"/>
        <v>96.5</v>
      </c>
      <c r="S76" s="970">
        <f t="shared" si="8"/>
        <v>34</v>
      </c>
      <c r="U76" s="13" t="str">
        <f>IFERROR(__xludf.DUMMYFUNCTION("IF($T76=""Y"",
  IFERROR(
    RANK.EQ($R76, FILTER($R:$R, $T:$T=""Y""), 1)
    + COUNTIFS($R:$R, $R76, $M:$M, ""&lt;""&amp;$M76, $T:$T, ""Y""),
    ""UPCOMING""
  ),
  ""NO REF""
)
"),"NO REF")</f>
        <v>NO REF</v>
      </c>
      <c r="X76" s="1184">
        <v>4.0</v>
      </c>
      <c r="Y76" s="967">
        <f t="shared" si="142"/>
        <v>203.22</v>
      </c>
      <c r="Z76" s="1176">
        <f t="shared" si="143"/>
        <v>2019</v>
      </c>
      <c r="AA76" s="1176" t="str">
        <f t="shared" si="144"/>
        <v>WEEK 13</v>
      </c>
      <c r="AB76" s="1177" t="str">
        <f t="shared" si="145"/>
        <v>DECOUPES</v>
      </c>
      <c r="AC76" s="1176" t="str">
        <f t="shared" si="146"/>
        <v>SAVAGES</v>
      </c>
      <c r="AD76" s="1178" t="str">
        <f t="shared" si="147"/>
        <v>PVE FFL GAME 50</v>
      </c>
    </row>
    <row r="77" ht="15.75" customHeight="1">
      <c r="C77" s="13">
        <v>76.0</v>
      </c>
      <c r="D77" s="1090">
        <v>2020.0</v>
      </c>
      <c r="E77" s="1005" t="s">
        <v>517</v>
      </c>
      <c r="F77" s="960" t="s">
        <v>671</v>
      </c>
      <c r="G77" s="961" t="str">
        <f>'League History BACKEND 2020'!G76</f>
        <v>GREEN</v>
      </c>
      <c r="H77" s="962">
        <v>131.39</v>
      </c>
      <c r="I77" s="963">
        <v>163.61</v>
      </c>
      <c r="J77" s="964" t="str">
        <f>'League History BACKEND 2020'!J76</f>
        <v>POPEYES</v>
      </c>
      <c r="K77" s="965" t="str">
        <f t="shared" si="1"/>
        <v>POPEYES</v>
      </c>
      <c r="L77" s="966" t="str">
        <f t="shared" si="2"/>
        <v>GREEN</v>
      </c>
      <c r="M77" s="967">
        <f t="array" ref="M77">IFERROR(IF(ABS(H77-I77)=0,Tie,ABS(H77-I77)),"UPCOMING")</f>
        <v>32.22</v>
      </c>
      <c r="N77" s="968">
        <f t="shared" si="3"/>
        <v>206</v>
      </c>
      <c r="O77" s="969">
        <f t="shared" si="4"/>
        <v>216</v>
      </c>
      <c r="P77" s="967">
        <f t="shared" si="5"/>
        <v>295</v>
      </c>
      <c r="Q77" s="968">
        <f t="shared" si="6"/>
        <v>319</v>
      </c>
      <c r="R77" s="967">
        <f t="shared" si="7"/>
        <v>262.5</v>
      </c>
      <c r="S77" s="970">
        <f t="shared" si="8"/>
        <v>309</v>
      </c>
      <c r="U77" s="13" t="str">
        <f>IFERROR(__xludf.DUMMYFUNCTION("IF($T77=""Y"",
  IFERROR(
    RANK.EQ($R77, FILTER($R:$R, $T:$T=""Y""), 1)
    + COUNTIFS($R:$R, $R77, $M:$M, ""&lt;""&amp;$M77, $T:$T, ""Y""),
    ""UPCOMING""
  ),
  ""NO REF""
)
"),"NO REF")</f>
        <v>NO REF</v>
      </c>
      <c r="X77" s="823">
        <v>5.0</v>
      </c>
      <c r="Y77" s="967">
        <f t="shared" si="142"/>
        <v>203.64</v>
      </c>
      <c r="Z77" s="1176">
        <f t="shared" si="143"/>
        <v>2019</v>
      </c>
      <c r="AA77" s="1176" t="str">
        <f t="shared" si="144"/>
        <v>WEEK 2</v>
      </c>
      <c r="AB77" s="1177" t="str">
        <f t="shared" si="145"/>
        <v>DECOUPES</v>
      </c>
      <c r="AC77" s="1176" t="str">
        <f t="shared" si="146"/>
        <v>YARDIES</v>
      </c>
      <c r="AD77" s="1178" t="str">
        <f t="shared" si="147"/>
        <v>PVE FFL GAME 8</v>
      </c>
    </row>
    <row r="78" ht="15.75" customHeight="1">
      <c r="C78" s="13">
        <v>77.0</v>
      </c>
      <c r="D78" s="1090">
        <v>2020.0</v>
      </c>
      <c r="E78" s="217" t="s">
        <v>518</v>
      </c>
      <c r="F78" s="960" t="s">
        <v>663</v>
      </c>
      <c r="G78" s="961" t="str">
        <f>'League History BACKEND 2020'!G80</f>
        <v>DECOUPES</v>
      </c>
      <c r="H78" s="962">
        <v>203.49</v>
      </c>
      <c r="I78" s="963">
        <v>160.8</v>
      </c>
      <c r="J78" s="964" t="str">
        <f>'League History BACKEND 2020'!J80</f>
        <v>MUTTS</v>
      </c>
      <c r="K78" s="965" t="str">
        <f t="shared" si="1"/>
        <v>DECOUPES</v>
      </c>
      <c r="L78" s="966" t="str">
        <f t="shared" si="2"/>
        <v>MUTTS</v>
      </c>
      <c r="M78" s="967">
        <f t="array" ref="M78">IFERROR(IF(ABS(H78-I78)=0,Tie,ABS(H78-I78)),"UPCOMING")</f>
        <v>42.69</v>
      </c>
      <c r="N78" s="968">
        <f t="shared" si="3"/>
        <v>272</v>
      </c>
      <c r="O78" s="969">
        <f t="shared" si="4"/>
        <v>150</v>
      </c>
      <c r="P78" s="967">
        <f t="shared" si="5"/>
        <v>364.29</v>
      </c>
      <c r="Q78" s="968">
        <f t="shared" si="6"/>
        <v>126</v>
      </c>
      <c r="R78" s="967">
        <f t="shared" si="7"/>
        <v>199</v>
      </c>
      <c r="S78" s="970">
        <f t="shared" si="8"/>
        <v>181</v>
      </c>
      <c r="U78" s="13" t="str">
        <f>IFERROR(__xludf.DUMMYFUNCTION("IF($T78=""Y"",
  IFERROR(
    RANK.EQ($R78, FILTER($R:$R, $T:$T=""Y""), 1)
    + COUNTIFS($R:$R, $R78, $M:$M, ""&lt;""&amp;$M78, $T:$T, ""Y""),
    ""UPCOMING""
  ),
  ""NO REF""
)
"),"NO REF")</f>
        <v>NO REF</v>
      </c>
      <c r="X78" s="1184">
        <v>6.0</v>
      </c>
      <c r="Y78" s="967">
        <f t="shared" si="142"/>
        <v>205.36</v>
      </c>
      <c r="Z78" s="1176">
        <f t="shared" si="143"/>
        <v>2019</v>
      </c>
      <c r="AA78" s="1176" t="str">
        <f t="shared" si="144"/>
        <v>WEEK 13</v>
      </c>
      <c r="AB78" s="1177" t="str">
        <f t="shared" si="145"/>
        <v>POPEYES</v>
      </c>
      <c r="AC78" s="1176" t="str">
        <f t="shared" si="146"/>
        <v>GREEN</v>
      </c>
      <c r="AD78" s="1178" t="str">
        <f t="shared" si="147"/>
        <v>PVE FFL GAME 52</v>
      </c>
    </row>
    <row r="79" ht="15.75" customHeight="1">
      <c r="C79" s="13">
        <v>78.0</v>
      </c>
      <c r="D79" s="1090">
        <v>2020.0</v>
      </c>
      <c r="E79" s="217" t="s">
        <v>518</v>
      </c>
      <c r="F79" s="960" t="s">
        <v>665</v>
      </c>
      <c r="G79" s="961" t="str">
        <f>'League History BACKEND 2020'!G82</f>
        <v>POPEYES</v>
      </c>
      <c r="H79" s="962">
        <v>228.44</v>
      </c>
      <c r="I79" s="963">
        <v>190.76</v>
      </c>
      <c r="J79" s="964" t="str">
        <f>'League History BACKEND 2020'!J82</f>
        <v>METAMOOKDAWGS</v>
      </c>
      <c r="K79" s="965" t="str">
        <f t="shared" si="1"/>
        <v>POPEYES</v>
      </c>
      <c r="L79" s="966" t="str">
        <f t="shared" si="2"/>
        <v>METAMOOKDAWGS</v>
      </c>
      <c r="M79" s="967">
        <f t="array" ref="M79">IFERROR(IF(ABS(H79-I79)=0,Tie,ABS(H79-I79)),"UPCOMING")</f>
        <v>37.68</v>
      </c>
      <c r="N79" s="968">
        <f t="shared" si="3"/>
        <v>244</v>
      </c>
      <c r="O79" s="969">
        <f t="shared" si="4"/>
        <v>178</v>
      </c>
      <c r="P79" s="967">
        <f t="shared" si="5"/>
        <v>419.2</v>
      </c>
      <c r="Q79" s="968">
        <f t="shared" si="6"/>
        <v>28</v>
      </c>
      <c r="R79" s="967">
        <f t="shared" si="7"/>
        <v>136</v>
      </c>
      <c r="S79" s="970">
        <f t="shared" si="8"/>
        <v>81</v>
      </c>
      <c r="U79" s="13" t="str">
        <f>IFERROR(__xludf.DUMMYFUNCTION("IF($T79=""Y"",
  IFERROR(
    RANK.EQ($R79, FILTER($R:$R, $T:$T=""Y""), 1)
    + COUNTIFS($R:$R, $R79, $M:$M, ""&lt;""&amp;$M79, $T:$T, ""Y""),
    ""UPCOMING""
  ),
  ""NO REF""
)
"),"NO REF")</f>
        <v>NO REF</v>
      </c>
      <c r="X79" s="823">
        <v>7.0</v>
      </c>
      <c r="Y79" s="967">
        <f t="shared" si="142"/>
        <v>208.77</v>
      </c>
      <c r="Z79" s="1176">
        <f t="shared" si="143"/>
        <v>2019</v>
      </c>
      <c r="AA79" s="1176" t="str">
        <f t="shared" si="144"/>
        <v>WEEK 7</v>
      </c>
      <c r="AB79" s="1177" t="str">
        <f t="shared" si="145"/>
        <v>GREEN</v>
      </c>
      <c r="AC79" s="1176" t="str">
        <f t="shared" si="146"/>
        <v>DEEZ NUTS</v>
      </c>
      <c r="AD79" s="1178" t="str">
        <f t="shared" si="147"/>
        <v>PVE FFL GAME 28</v>
      </c>
    </row>
    <row r="80" ht="15.75" customHeight="1">
      <c r="C80" s="13">
        <v>79.0</v>
      </c>
      <c r="D80" s="1090">
        <v>2020.0</v>
      </c>
      <c r="E80" s="217" t="s">
        <v>518</v>
      </c>
      <c r="F80" s="960" t="s">
        <v>670</v>
      </c>
      <c r="G80" s="961" t="str">
        <f>'League History BACKEND 2020'!G84</f>
        <v>SAVAGES</v>
      </c>
      <c r="H80" s="962">
        <v>201.82</v>
      </c>
      <c r="I80" s="963">
        <v>261.91</v>
      </c>
      <c r="J80" s="964" t="str">
        <f>'League History BACKEND 2020'!J84</f>
        <v>YARDIES</v>
      </c>
      <c r="K80" s="965" t="str">
        <f t="shared" si="1"/>
        <v>YARDIES</v>
      </c>
      <c r="L80" s="966" t="str">
        <f t="shared" si="2"/>
        <v>SAVAGES</v>
      </c>
      <c r="M80" s="967">
        <f t="array" ref="M80">IFERROR(IF(ABS(H80-I80)=0,Tie,ABS(H80-I80)),"UPCOMING")</f>
        <v>60.09</v>
      </c>
      <c r="N80" s="968">
        <f t="shared" si="3"/>
        <v>337</v>
      </c>
      <c r="O80" s="969">
        <f t="shared" si="4"/>
        <v>85</v>
      </c>
      <c r="P80" s="967">
        <f t="shared" si="5"/>
        <v>463.73</v>
      </c>
      <c r="Q80" s="968">
        <f t="shared" si="6"/>
        <v>6</v>
      </c>
      <c r="R80" s="967">
        <f t="shared" si="7"/>
        <v>171.5</v>
      </c>
      <c r="S80" s="970">
        <f t="shared" si="8"/>
        <v>128</v>
      </c>
      <c r="U80" s="13" t="str">
        <f>IFERROR(__xludf.DUMMYFUNCTION("IF($T80=""Y"",
  IFERROR(
    RANK.EQ($R80, FILTER($R:$R, $T:$T=""Y""), 1)
    + COUNTIFS($R:$R, $R80, $M:$M, ""&lt;""&amp;$M80, $T:$T, ""Y""),
    ""UPCOMING""
  ),
  ""NO REF""
)
"),"NO REF")</f>
        <v>NO REF</v>
      </c>
      <c r="X80" s="1184">
        <v>8.0</v>
      </c>
      <c r="Y80" s="967">
        <f t="shared" si="142"/>
        <v>216.87</v>
      </c>
      <c r="Z80" s="1176">
        <f t="shared" si="143"/>
        <v>2019</v>
      </c>
      <c r="AA80" s="1176" t="str">
        <f t="shared" si="144"/>
        <v>WEEK 9</v>
      </c>
      <c r="AB80" s="1177" t="str">
        <f t="shared" si="145"/>
        <v>METAMOOKDAWGS</v>
      </c>
      <c r="AC80" s="1176" t="str">
        <f t="shared" si="146"/>
        <v>MUTTS</v>
      </c>
      <c r="AD80" s="1178" t="str">
        <f t="shared" si="147"/>
        <v>PVE FFL GAME 35</v>
      </c>
    </row>
    <row r="81" ht="15.75" customHeight="1">
      <c r="C81" s="13">
        <v>80.0</v>
      </c>
      <c r="D81" s="1090">
        <v>2020.0</v>
      </c>
      <c r="E81" s="217" t="s">
        <v>518</v>
      </c>
      <c r="F81" s="960" t="s">
        <v>671</v>
      </c>
      <c r="G81" s="961" t="str">
        <f>'League History BACKEND 2020'!G86</f>
        <v>GIRLS</v>
      </c>
      <c r="H81" s="962">
        <v>175.37</v>
      </c>
      <c r="I81" s="963">
        <v>171.37</v>
      </c>
      <c r="J81" s="964" t="str">
        <f>'League History BACKEND 2020'!J86</f>
        <v>GREEN</v>
      </c>
      <c r="K81" s="965" t="str">
        <f t="shared" si="1"/>
        <v>GIRLS</v>
      </c>
      <c r="L81" s="966" t="str">
        <f t="shared" si="2"/>
        <v>GREEN</v>
      </c>
      <c r="M81" s="967">
        <f t="array" ref="M81">IFERROR(IF(ABS(H81-I81)=0,Tie,ABS(H81-I81)),"UPCOMING")</f>
        <v>4</v>
      </c>
      <c r="N81" s="968">
        <f t="shared" si="3"/>
        <v>32</v>
      </c>
      <c r="O81" s="969">
        <f t="shared" si="4"/>
        <v>390</v>
      </c>
      <c r="P81" s="967">
        <f t="shared" si="5"/>
        <v>346.74</v>
      </c>
      <c r="Q81" s="968">
        <f t="shared" si="6"/>
        <v>173</v>
      </c>
      <c r="R81" s="967">
        <f t="shared" si="7"/>
        <v>102.5</v>
      </c>
      <c r="S81" s="970">
        <f t="shared" si="8"/>
        <v>38</v>
      </c>
      <c r="U81" s="13" t="str">
        <f>IFERROR(__xludf.DUMMYFUNCTION("IF($T81=""Y"",
  IFERROR(
    RANK.EQ($R81, FILTER($R:$R, $T:$T=""Y""), 1)
    + COUNTIFS($R:$R, $R81, $M:$M, ""&lt;""&amp;$M81, $T:$T, ""Y""),
    ""UPCOMING""
  ),
  ""NO REF""
)
"),"NO REF")</f>
        <v>NO REF</v>
      </c>
      <c r="X81" s="823">
        <v>9.0</v>
      </c>
      <c r="Y81" s="967">
        <f t="shared" si="142"/>
        <v>225.66</v>
      </c>
      <c r="Z81" s="1176">
        <f t="shared" si="143"/>
        <v>2024</v>
      </c>
      <c r="AA81" s="1176" t="str">
        <f t="shared" si="144"/>
        <v>WEEK 7</v>
      </c>
      <c r="AB81" s="1177" t="str">
        <f t="shared" si="145"/>
        <v>KINGS</v>
      </c>
      <c r="AC81" s="1176" t="str">
        <f t="shared" si="146"/>
        <v>SAVAGES</v>
      </c>
      <c r="AD81" s="1178" t="str">
        <f t="shared" si="147"/>
        <v>PVE FFL GAME 312</v>
      </c>
    </row>
    <row r="82" ht="15.75" customHeight="1">
      <c r="C82" s="13">
        <v>81.0</v>
      </c>
      <c r="D82" s="1090">
        <v>2020.0</v>
      </c>
      <c r="E82" s="217" t="s">
        <v>519</v>
      </c>
      <c r="F82" s="960" t="s">
        <v>663</v>
      </c>
      <c r="G82" s="961" t="str">
        <f>'League History BACKEND 2020'!G90</f>
        <v>GIRLS</v>
      </c>
      <c r="H82" s="962">
        <v>195.69</v>
      </c>
      <c r="I82" s="963">
        <v>160.76</v>
      </c>
      <c r="J82" s="964" t="str">
        <f>'League History BACKEND 2020'!J90</f>
        <v>YARDIES</v>
      </c>
      <c r="K82" s="965" t="str">
        <f t="shared" si="1"/>
        <v>GIRLS</v>
      </c>
      <c r="L82" s="966" t="str">
        <f t="shared" si="2"/>
        <v>YARDIES</v>
      </c>
      <c r="M82" s="967">
        <f t="array" ref="M82">IFERROR(IF(ABS(H82-I82)=0,Tie,ABS(H82-I82)),"UPCOMING")</f>
        <v>34.93</v>
      </c>
      <c r="N82" s="968">
        <f t="shared" si="3"/>
        <v>224</v>
      </c>
      <c r="O82" s="969">
        <f t="shared" si="4"/>
        <v>198</v>
      </c>
      <c r="P82" s="967">
        <f t="shared" si="5"/>
        <v>356.45</v>
      </c>
      <c r="Q82" s="968">
        <f t="shared" si="6"/>
        <v>146</v>
      </c>
      <c r="R82" s="967">
        <f t="shared" si="7"/>
        <v>185</v>
      </c>
      <c r="S82" s="970">
        <f t="shared" si="8"/>
        <v>152</v>
      </c>
      <c r="U82" s="13" t="str">
        <f>IFERROR(__xludf.DUMMYFUNCTION("IF($T82=""Y"",
  IFERROR(
    RANK.EQ($R82, FILTER($R:$R, $T:$T=""Y""), 1)
    + COUNTIFS($R:$R, $R82, $M:$M, ""&lt;""&amp;$M82, $T:$T, ""Y""),
    ""UPCOMING""
  ),
  ""NO REF""
)
"),"NO REF")</f>
        <v>NO REF</v>
      </c>
      <c r="X82" s="1184">
        <v>10.0</v>
      </c>
      <c r="Y82" s="967">
        <f t="shared" si="142"/>
        <v>227.38</v>
      </c>
      <c r="Z82" s="1176">
        <f t="shared" si="143"/>
        <v>2019</v>
      </c>
      <c r="AA82" s="1176" t="str">
        <f t="shared" si="144"/>
        <v>WEEK 1</v>
      </c>
      <c r="AB82" s="1177" t="str">
        <f t="shared" si="145"/>
        <v>MUTTS</v>
      </c>
      <c r="AC82" s="1176" t="str">
        <f t="shared" si="146"/>
        <v>YARDIES</v>
      </c>
      <c r="AD82" s="1178" t="str">
        <f t="shared" si="147"/>
        <v>PVE FFL GAME 1</v>
      </c>
    </row>
    <row r="83" ht="15.75" customHeight="1">
      <c r="C83" s="13">
        <v>82.0</v>
      </c>
      <c r="D83" s="1090">
        <v>2020.0</v>
      </c>
      <c r="E83" s="217" t="s">
        <v>519</v>
      </c>
      <c r="F83" s="960" t="s">
        <v>665</v>
      </c>
      <c r="G83" s="961" t="str">
        <f>'League History BACKEND 2020'!G92</f>
        <v>POPEYES</v>
      </c>
      <c r="H83" s="962">
        <v>190.08</v>
      </c>
      <c r="I83" s="963">
        <v>148.14</v>
      </c>
      <c r="J83" s="964" t="str">
        <f>'League History BACKEND 2020'!J92</f>
        <v>SAVAGES</v>
      </c>
      <c r="K83" s="965" t="str">
        <f t="shared" si="1"/>
        <v>POPEYES</v>
      </c>
      <c r="L83" s="966" t="str">
        <f t="shared" si="2"/>
        <v>SAVAGES</v>
      </c>
      <c r="M83" s="967">
        <f t="array" ref="M83">IFERROR(IF(ABS(H83-I83)=0,Tie,ABS(H83-I83)),"UPCOMING")</f>
        <v>41.94</v>
      </c>
      <c r="N83" s="968">
        <f t="shared" si="3"/>
        <v>267</v>
      </c>
      <c r="O83" s="969">
        <f t="shared" si="4"/>
        <v>155</v>
      </c>
      <c r="P83" s="967">
        <f t="shared" si="5"/>
        <v>338.22</v>
      </c>
      <c r="Q83" s="968">
        <f t="shared" si="6"/>
        <v>195</v>
      </c>
      <c r="R83" s="967">
        <f t="shared" si="7"/>
        <v>231</v>
      </c>
      <c r="S83" s="970">
        <f t="shared" si="8"/>
        <v>254</v>
      </c>
      <c r="U83" s="13" t="str">
        <f>IFERROR(__xludf.DUMMYFUNCTION("IF($T83=""Y"",
  IFERROR(
    RANK.EQ($R83, FILTER($R:$R, $T:$T=""Y""), 1)
    + COUNTIFS($R:$R, $R83, $M:$M, ""&lt;""&amp;$M83, $T:$T, ""Y""),
    ""UPCOMING""
  ),
  ""NO REF""
)
"),"NO REF")</f>
        <v>NO REF</v>
      </c>
      <c r="X83" s="823">
        <v>11.0</v>
      </c>
      <c r="Y83" s="967">
        <f t="shared" si="142"/>
        <v>228.44</v>
      </c>
      <c r="Z83" s="1176">
        <f t="shared" si="143"/>
        <v>2019</v>
      </c>
      <c r="AA83" s="1176" t="str">
        <f t="shared" si="144"/>
        <v>WEEK 5</v>
      </c>
      <c r="AB83" s="1177" t="str">
        <f t="shared" si="145"/>
        <v>DECOUPES</v>
      </c>
      <c r="AC83" s="1176" t="str">
        <f t="shared" si="146"/>
        <v>GREEN</v>
      </c>
      <c r="AD83" s="1178" t="str">
        <f t="shared" si="147"/>
        <v>PVE FFL GAME 18</v>
      </c>
    </row>
    <row r="84" ht="15.75" customHeight="1">
      <c r="C84" s="13">
        <v>83.0</v>
      </c>
      <c r="D84" s="1090">
        <v>2020.0</v>
      </c>
      <c r="E84" s="217" t="s">
        <v>519</v>
      </c>
      <c r="F84" s="960" t="s">
        <v>670</v>
      </c>
      <c r="G84" s="961" t="str">
        <f>'League History BACKEND 2020'!G94</f>
        <v>GREEN</v>
      </c>
      <c r="H84" s="962">
        <v>195.18</v>
      </c>
      <c r="I84" s="963">
        <v>199.73</v>
      </c>
      <c r="J84" s="964" t="str">
        <f>'League History BACKEND 2020'!J94</f>
        <v>DECOUPES</v>
      </c>
      <c r="K84" s="965" t="str">
        <f t="shared" si="1"/>
        <v>DECOUPES</v>
      </c>
      <c r="L84" s="966" t="str">
        <f t="shared" si="2"/>
        <v>GREEN</v>
      </c>
      <c r="M84" s="967">
        <f t="array" ref="M84">IFERROR(IF(ABS(H84-I84)=0,Tie,ABS(H84-I84)),"UPCOMING")</f>
        <v>4.55</v>
      </c>
      <c r="N84" s="968">
        <f t="shared" si="3"/>
        <v>35</v>
      </c>
      <c r="O84" s="969">
        <f t="shared" si="4"/>
        <v>387</v>
      </c>
      <c r="P84" s="967">
        <f t="shared" si="5"/>
        <v>394.91</v>
      </c>
      <c r="Q84" s="968">
        <f t="shared" si="6"/>
        <v>62</v>
      </c>
      <c r="R84" s="967">
        <f t="shared" si="7"/>
        <v>48.5</v>
      </c>
      <c r="S84" s="970">
        <f t="shared" si="8"/>
        <v>11</v>
      </c>
      <c r="U84" s="13" t="str">
        <f>IFERROR(__xludf.DUMMYFUNCTION("IF($T84=""Y"",
  IFERROR(
    RANK.EQ($R84, FILTER($R:$R, $T:$T=""Y""), 1)
    + COUNTIFS($R:$R, $R84, $M:$M, ""&lt;""&amp;$M84, $T:$T, ""Y""),
    ""UPCOMING""
  ),
  ""NO REF""
)
"),"NO REF")</f>
        <v>NO REF</v>
      </c>
      <c r="X84" s="1184">
        <v>12.0</v>
      </c>
      <c r="Y84" s="967">
        <f t="shared" si="142"/>
        <v>230.53</v>
      </c>
      <c r="Z84" s="1176">
        <f t="shared" si="143"/>
        <v>2019</v>
      </c>
      <c r="AA84" s="1176" t="str">
        <f t="shared" si="144"/>
        <v>WEEK 12</v>
      </c>
      <c r="AB84" s="1177" t="str">
        <f t="shared" si="145"/>
        <v>DECOUPES</v>
      </c>
      <c r="AC84" s="1176" t="str">
        <f t="shared" si="146"/>
        <v>GREEN</v>
      </c>
      <c r="AD84" s="1178" t="str">
        <f t="shared" si="147"/>
        <v>PVE FFL GAME 48</v>
      </c>
    </row>
    <row r="85" ht="15.75" customHeight="1">
      <c r="C85" s="13">
        <v>84.0</v>
      </c>
      <c r="D85" s="1090">
        <v>2020.0</v>
      </c>
      <c r="E85" s="217" t="s">
        <v>519</v>
      </c>
      <c r="F85" s="960" t="s">
        <v>671</v>
      </c>
      <c r="G85" s="961" t="str">
        <f>'League History BACKEND 2020'!G96</f>
        <v>MUTTS</v>
      </c>
      <c r="H85" s="962">
        <v>184.15</v>
      </c>
      <c r="I85" s="963">
        <v>244.95</v>
      </c>
      <c r="J85" s="964" t="str">
        <f>'League History BACKEND 2020'!J96</f>
        <v>METAMOOKDAWGS</v>
      </c>
      <c r="K85" s="965" t="str">
        <f t="shared" si="1"/>
        <v>METAMOOKDAWGS</v>
      </c>
      <c r="L85" s="966" t="str">
        <f t="shared" si="2"/>
        <v>MUTTS</v>
      </c>
      <c r="M85" s="967">
        <f t="array" ref="M85">IFERROR(IF(ABS(H85-I85)=0,Tie,ABS(H85-I85)),"UPCOMING")</f>
        <v>60.8</v>
      </c>
      <c r="N85" s="968">
        <f t="shared" si="3"/>
        <v>340</v>
      </c>
      <c r="O85" s="969">
        <f t="shared" si="4"/>
        <v>82</v>
      </c>
      <c r="P85" s="967">
        <f t="shared" si="5"/>
        <v>429.1</v>
      </c>
      <c r="Q85" s="968">
        <f t="shared" si="6"/>
        <v>22</v>
      </c>
      <c r="R85" s="967">
        <f t="shared" si="7"/>
        <v>181</v>
      </c>
      <c r="S85" s="970">
        <f t="shared" si="8"/>
        <v>146</v>
      </c>
      <c r="U85" s="13" t="str">
        <f>IFERROR(__xludf.DUMMYFUNCTION("IF($T85=""Y"",
  IFERROR(
    RANK.EQ($R85, FILTER($R:$R, $T:$T=""Y""), 1)
    + COUNTIFS($R:$R, $R85, $M:$M, ""&lt;""&amp;$M85, $T:$T, ""Y""),
    ""UPCOMING""
  ),
  ""NO REF""
)
"),"NO REF")</f>
        <v>NO REF</v>
      </c>
      <c r="X85" s="823">
        <v>13.0</v>
      </c>
      <c r="Y85" s="967">
        <f t="shared" si="142"/>
        <v>232.5</v>
      </c>
      <c r="Z85" s="1176">
        <f t="shared" si="143"/>
        <v>2024</v>
      </c>
      <c r="AA85" s="1176" t="str">
        <f t="shared" si="144"/>
        <v>WEEK 10</v>
      </c>
      <c r="AB85" s="1177" t="str">
        <f t="shared" si="145"/>
        <v>SAVAGES</v>
      </c>
      <c r="AC85" s="1176" t="str">
        <f t="shared" si="146"/>
        <v>METAMOOKDAWGS</v>
      </c>
      <c r="AD85" s="1178" t="str">
        <f t="shared" si="147"/>
        <v>PVE FFL GAME 331</v>
      </c>
    </row>
    <row r="86" ht="15.75" customHeight="1">
      <c r="C86" s="13">
        <v>85.0</v>
      </c>
      <c r="D86" s="1090">
        <v>2020.0</v>
      </c>
      <c r="E86" s="217" t="s">
        <v>520</v>
      </c>
      <c r="F86" s="960" t="s">
        <v>663</v>
      </c>
      <c r="G86" s="961" t="str">
        <f>'League History BACKEND 2020'!G100</f>
        <v>SAVAGES</v>
      </c>
      <c r="H86" s="962">
        <v>170.18</v>
      </c>
      <c r="I86" s="963">
        <v>159.9</v>
      </c>
      <c r="J86" s="964" t="str">
        <f>'League History BACKEND 2020'!J100</f>
        <v>GREEN</v>
      </c>
      <c r="K86" s="965" t="str">
        <f t="shared" si="1"/>
        <v>SAVAGES</v>
      </c>
      <c r="L86" s="966" t="str">
        <f t="shared" si="2"/>
        <v>GREEN</v>
      </c>
      <c r="M86" s="967">
        <f t="array" ref="M86">IFERROR(IF(ABS(H86-I86)=0,Tie,ABS(H86-I86)),"UPCOMING")</f>
        <v>10.28</v>
      </c>
      <c r="N86" s="968">
        <f t="shared" si="3"/>
        <v>81</v>
      </c>
      <c r="O86" s="969">
        <f t="shared" si="4"/>
        <v>341</v>
      </c>
      <c r="P86" s="967">
        <f t="shared" si="5"/>
        <v>330.08</v>
      </c>
      <c r="Q86" s="968">
        <f t="shared" si="6"/>
        <v>216</v>
      </c>
      <c r="R86" s="967">
        <f t="shared" si="7"/>
        <v>148.5</v>
      </c>
      <c r="S86" s="970">
        <f t="shared" si="8"/>
        <v>100</v>
      </c>
      <c r="U86" s="13" t="str">
        <f>IFERROR(__xludf.DUMMYFUNCTION("IF($T86=""Y"",
  IFERROR(
    RANK.EQ($R86, FILTER($R:$R, $T:$T=""Y""), 1)
    + COUNTIFS($R:$R, $R86, $M:$M, ""&lt;""&amp;$M86, $T:$T, ""Y""),
    ""UPCOMING""
  ),
  ""NO REF""
)
"),"NO REF")</f>
        <v>NO REF</v>
      </c>
      <c r="X86" s="1184">
        <v>14.0</v>
      </c>
      <c r="Y86" s="967">
        <f t="shared" si="142"/>
        <v>233.31</v>
      </c>
      <c r="Z86" s="1176">
        <f t="shared" si="143"/>
        <v>2019</v>
      </c>
      <c r="AA86" s="1176" t="str">
        <f t="shared" si="144"/>
        <v>WEEK 11</v>
      </c>
      <c r="AB86" s="1177" t="str">
        <f t="shared" si="145"/>
        <v>DEEZ NUTS</v>
      </c>
      <c r="AC86" s="1176" t="str">
        <f t="shared" si="146"/>
        <v>MUTTS</v>
      </c>
      <c r="AD86" s="1178" t="str">
        <f t="shared" si="147"/>
        <v>PVE FFL GAME 44</v>
      </c>
    </row>
    <row r="87" ht="15.75" customHeight="1">
      <c r="C87" s="13">
        <v>86.0</v>
      </c>
      <c r="D87" s="1090">
        <v>2020.0</v>
      </c>
      <c r="E87" s="217" t="s">
        <v>520</v>
      </c>
      <c r="F87" s="960" t="s">
        <v>665</v>
      </c>
      <c r="G87" s="961" t="str">
        <f>'League History BACKEND 2020'!G102</f>
        <v>DECOUPES</v>
      </c>
      <c r="H87" s="962">
        <v>194.66</v>
      </c>
      <c r="I87" s="963">
        <v>189.4</v>
      </c>
      <c r="J87" s="964" t="str">
        <f>'League History BACKEND 2020'!J102</f>
        <v>POPEYES</v>
      </c>
      <c r="K87" s="965" t="str">
        <f t="shared" si="1"/>
        <v>DECOUPES</v>
      </c>
      <c r="L87" s="966" t="str">
        <f t="shared" si="2"/>
        <v>POPEYES</v>
      </c>
      <c r="M87" s="967">
        <f t="array" ref="M87">IFERROR(IF(ABS(H87-I87)=0,Tie,ABS(H87-I87)),"UPCOMING")</f>
        <v>5.26</v>
      </c>
      <c r="N87" s="968">
        <f t="shared" si="3"/>
        <v>40</v>
      </c>
      <c r="O87" s="969">
        <f t="shared" si="4"/>
        <v>382</v>
      </c>
      <c r="P87" s="967">
        <f t="shared" si="5"/>
        <v>384.06</v>
      </c>
      <c r="Q87" s="968">
        <f t="shared" si="6"/>
        <v>78</v>
      </c>
      <c r="R87" s="967">
        <f t="shared" si="7"/>
        <v>59</v>
      </c>
      <c r="S87" s="970">
        <f t="shared" si="8"/>
        <v>17</v>
      </c>
      <c r="U87" s="13" t="str">
        <f>IFERROR(__xludf.DUMMYFUNCTION("IF($T87=""Y"",
  IFERROR(
    RANK.EQ($R87, FILTER($R:$R, $T:$T=""Y""), 1)
    + COUNTIFS($R:$R, $R87, $M:$M, ""&lt;""&amp;$M87, $T:$T, ""Y""),
    ""UPCOMING""
  ),
  ""NO REF""
)
"),"NO REF")</f>
        <v>NO REF</v>
      </c>
      <c r="X87" s="823">
        <v>15.0</v>
      </c>
      <c r="Y87" s="967">
        <f t="shared" si="142"/>
        <v>233.46</v>
      </c>
      <c r="Z87" s="1176">
        <f t="shared" si="143"/>
        <v>2019</v>
      </c>
      <c r="AA87" s="1176" t="str">
        <f t="shared" si="144"/>
        <v>WEEK 13</v>
      </c>
      <c r="AB87" s="1177" t="str">
        <f t="shared" si="145"/>
        <v>METAMOOKDAWGS</v>
      </c>
      <c r="AC87" s="1176" t="str">
        <f t="shared" si="146"/>
        <v>DEEZ NUTS</v>
      </c>
      <c r="AD87" s="1178" t="str">
        <f t="shared" si="147"/>
        <v>PVE FFL GAME 51</v>
      </c>
    </row>
    <row r="88" ht="15.75" customHeight="1">
      <c r="C88" s="13">
        <v>87.0</v>
      </c>
      <c r="D88" s="1090">
        <v>2020.0</v>
      </c>
      <c r="E88" s="217" t="s">
        <v>520</v>
      </c>
      <c r="F88" s="960" t="s">
        <v>670</v>
      </c>
      <c r="G88" s="961" t="str">
        <f>'League History BACKEND 2020'!G104</f>
        <v>MUTTS</v>
      </c>
      <c r="H88" s="962">
        <v>204.5</v>
      </c>
      <c r="I88" s="963">
        <v>152.15</v>
      </c>
      <c r="J88" s="964" t="str">
        <f>'League History BACKEND 2020'!J104</f>
        <v>YARDIES</v>
      </c>
      <c r="K88" s="965" t="str">
        <f t="shared" si="1"/>
        <v>MUTTS</v>
      </c>
      <c r="L88" s="966" t="str">
        <f t="shared" si="2"/>
        <v>YARDIES</v>
      </c>
      <c r="M88" s="967">
        <f t="array" ref="M88">IFERROR(IF(ABS(H88-I88)=0,Tie,ABS(H88-I88)),"UPCOMING")</f>
        <v>52.35</v>
      </c>
      <c r="N88" s="968">
        <f t="shared" si="3"/>
        <v>317</v>
      </c>
      <c r="O88" s="969">
        <f t="shared" si="4"/>
        <v>105</v>
      </c>
      <c r="P88" s="967">
        <f t="shared" si="5"/>
        <v>356.65</v>
      </c>
      <c r="Q88" s="968">
        <f t="shared" si="6"/>
        <v>145</v>
      </c>
      <c r="R88" s="967">
        <f t="shared" si="7"/>
        <v>231</v>
      </c>
      <c r="S88" s="970">
        <f t="shared" si="8"/>
        <v>255</v>
      </c>
      <c r="U88" s="13" t="str">
        <f>IFERROR(__xludf.DUMMYFUNCTION("IF($T88=""Y"",
  IFERROR(
    RANK.EQ($R88, FILTER($R:$R, $T:$T=""Y""), 1)
    + COUNTIFS($R:$R, $R88, $M:$M, ""&lt;""&amp;$M88, $T:$T, ""Y""),
    ""UPCOMING""
  ),
  ""NO REF""
)
"),"NO REF")</f>
        <v>NO REF</v>
      </c>
      <c r="X88" s="1184">
        <v>16.0</v>
      </c>
      <c r="Y88" s="967">
        <f t="shared" si="142"/>
        <v>235.22</v>
      </c>
      <c r="Z88" s="1176">
        <f t="shared" si="143"/>
        <v>2021</v>
      </c>
      <c r="AA88" s="1176" t="str">
        <f t="shared" si="144"/>
        <v>WEEK 12</v>
      </c>
      <c r="AB88" s="1177" t="str">
        <f t="shared" si="145"/>
        <v>POPEYES</v>
      </c>
      <c r="AC88" s="1176" t="str">
        <f t="shared" si="146"/>
        <v>CHAMPS</v>
      </c>
      <c r="AD88" s="1178" t="str">
        <f t="shared" si="147"/>
        <v>PVE FFL GAME 155</v>
      </c>
    </row>
    <row r="89" ht="15.75" customHeight="1">
      <c r="C89" s="13">
        <v>88.0</v>
      </c>
      <c r="D89" s="1090">
        <v>2020.0</v>
      </c>
      <c r="E89" s="217" t="s">
        <v>520</v>
      </c>
      <c r="F89" s="960" t="s">
        <v>671</v>
      </c>
      <c r="G89" s="961" t="str">
        <f>'League History BACKEND 2020'!G106</f>
        <v>METAMOOKDAWGS</v>
      </c>
      <c r="H89" s="962">
        <v>143.2</v>
      </c>
      <c r="I89" s="963">
        <v>180.47</v>
      </c>
      <c r="J89" s="964" t="str">
        <f>'League History BACKEND 2020'!J106</f>
        <v>GIRLS</v>
      </c>
      <c r="K89" s="965" t="str">
        <f t="shared" si="1"/>
        <v>GIRLS</v>
      </c>
      <c r="L89" s="966" t="str">
        <f t="shared" si="2"/>
        <v>METAMOOKDAWGS</v>
      </c>
      <c r="M89" s="967">
        <f t="array" ref="M89">IFERROR(IF(ABS(H89-I89)=0,Tie,ABS(H89-I89)),"UPCOMING")</f>
        <v>37.27</v>
      </c>
      <c r="N89" s="968">
        <f t="shared" si="3"/>
        <v>241</v>
      </c>
      <c r="O89" s="969">
        <f t="shared" si="4"/>
        <v>181</v>
      </c>
      <c r="P89" s="967">
        <f t="shared" si="5"/>
        <v>323.67</v>
      </c>
      <c r="Q89" s="968">
        <f t="shared" si="6"/>
        <v>238</v>
      </c>
      <c r="R89" s="967">
        <f t="shared" si="7"/>
        <v>239.5</v>
      </c>
      <c r="S89" s="970">
        <f t="shared" si="8"/>
        <v>268</v>
      </c>
      <c r="U89" s="13" t="str">
        <f>IFERROR(__xludf.DUMMYFUNCTION("IF($T89=""Y"",
  IFERROR(
    RANK.EQ($R89, FILTER($R:$R, $T:$T=""Y""), 1)
    + COUNTIFS($R:$R, $R89, $M:$M, ""&lt;""&amp;$M89, $T:$T, ""Y""),
    ""UPCOMING""
  ),
  ""NO REF""
)
"),"NO REF")</f>
        <v>NO REF</v>
      </c>
      <c r="X89" s="823">
        <v>17.0</v>
      </c>
      <c r="Y89" s="967">
        <f t="shared" si="142"/>
        <v>237.05</v>
      </c>
      <c r="Z89" s="1176">
        <f t="shared" si="143"/>
        <v>2019</v>
      </c>
      <c r="AA89" s="1176" t="str">
        <f t="shared" si="144"/>
        <v>WEEK 11</v>
      </c>
      <c r="AB89" s="1177" t="str">
        <f t="shared" si="145"/>
        <v>METAMOOKDAWGS</v>
      </c>
      <c r="AC89" s="1176" t="str">
        <f t="shared" si="146"/>
        <v>YARDIES</v>
      </c>
      <c r="AD89" s="1178" t="str">
        <f t="shared" si="147"/>
        <v>PVE FFL GAME 43</v>
      </c>
    </row>
    <row r="90" ht="15.75" customHeight="1">
      <c r="C90" s="13">
        <v>89.0</v>
      </c>
      <c r="D90" s="1090">
        <v>2020.0</v>
      </c>
      <c r="E90" s="217" t="s">
        <v>521</v>
      </c>
      <c r="F90" s="960" t="s">
        <v>663</v>
      </c>
      <c r="G90" s="961" t="str">
        <f>'League History BACKEND 2020'!G110</f>
        <v>SAVAGES</v>
      </c>
      <c r="H90" s="962">
        <v>190.6</v>
      </c>
      <c r="I90" s="963">
        <v>257.95</v>
      </c>
      <c r="J90" s="964" t="str">
        <f>'League History BACKEND 2020'!J110</f>
        <v>MUTTS</v>
      </c>
      <c r="K90" s="965" t="str">
        <f t="shared" si="1"/>
        <v>MUTTS</v>
      </c>
      <c r="L90" s="966" t="str">
        <f t="shared" si="2"/>
        <v>SAVAGES</v>
      </c>
      <c r="M90" s="967">
        <f t="array" ref="M90">IFERROR(IF(ABS(H90-I90)=0,Tie,ABS(H90-I90)),"UPCOMING")</f>
        <v>67.35</v>
      </c>
      <c r="N90" s="968">
        <f t="shared" si="3"/>
        <v>363</v>
      </c>
      <c r="O90" s="969">
        <f t="shared" si="4"/>
        <v>59</v>
      </c>
      <c r="P90" s="967">
        <f t="shared" si="5"/>
        <v>448.55</v>
      </c>
      <c r="Q90" s="968">
        <f t="shared" si="6"/>
        <v>10</v>
      </c>
      <c r="R90" s="967">
        <f t="shared" si="7"/>
        <v>186.5</v>
      </c>
      <c r="S90" s="970">
        <f t="shared" si="8"/>
        <v>156</v>
      </c>
      <c r="U90" s="13" t="str">
        <f>IFERROR(__xludf.DUMMYFUNCTION("IF($T90=""Y"",
  IFERROR(
    RANK.EQ($R90, FILTER($R:$R, $T:$T=""Y""), 1)
    + COUNTIFS($R:$R, $R90, $M:$M, ""&lt;""&amp;$M90, $T:$T, ""Y""),
    ""UPCOMING""
  ),
  ""NO REF""
)
"),"NO REF")</f>
        <v>NO REF</v>
      </c>
      <c r="X90" s="1184">
        <v>18.0</v>
      </c>
      <c r="Y90" s="967">
        <f t="shared" si="142"/>
        <v>240.28</v>
      </c>
      <c r="Z90" s="1176">
        <f t="shared" si="143"/>
        <v>2019</v>
      </c>
      <c r="AA90" s="1176" t="str">
        <f t="shared" si="144"/>
        <v>WEEK 6</v>
      </c>
      <c r="AB90" s="1177" t="str">
        <f t="shared" si="145"/>
        <v>SAVAGES</v>
      </c>
      <c r="AC90" s="1176" t="str">
        <f t="shared" si="146"/>
        <v>DECOUPES</v>
      </c>
      <c r="AD90" s="1178" t="str">
        <f t="shared" si="147"/>
        <v>PVE FFL GAME 21</v>
      </c>
    </row>
    <row r="91" ht="15.75" customHeight="1">
      <c r="C91" s="13">
        <v>90.0</v>
      </c>
      <c r="D91" s="1090">
        <v>2020.0</v>
      </c>
      <c r="E91" s="217" t="s">
        <v>521</v>
      </c>
      <c r="F91" s="960" t="s">
        <v>665</v>
      </c>
      <c r="G91" s="961" t="str">
        <f>'League History BACKEND 2020'!G112</f>
        <v>METAMOOKDAWGS</v>
      </c>
      <c r="H91" s="962">
        <v>162.27</v>
      </c>
      <c r="I91" s="963">
        <v>157.95</v>
      </c>
      <c r="J91" s="964" t="str">
        <f>'League History BACKEND 2020'!J112</f>
        <v>GREEN</v>
      </c>
      <c r="K91" s="965" t="str">
        <f t="shared" si="1"/>
        <v>METAMOOKDAWGS</v>
      </c>
      <c r="L91" s="966" t="str">
        <f t="shared" si="2"/>
        <v>GREEN</v>
      </c>
      <c r="M91" s="967">
        <f t="array" ref="M91">IFERROR(IF(ABS(H91-I91)=0,Tie,ABS(H91-I91)),"UPCOMING")</f>
        <v>4.32</v>
      </c>
      <c r="N91" s="968">
        <f t="shared" si="3"/>
        <v>34</v>
      </c>
      <c r="O91" s="969">
        <f t="shared" si="4"/>
        <v>388</v>
      </c>
      <c r="P91" s="967">
        <f t="shared" si="5"/>
        <v>320.22</v>
      </c>
      <c r="Q91" s="968">
        <f t="shared" si="6"/>
        <v>248</v>
      </c>
      <c r="R91" s="967">
        <f t="shared" si="7"/>
        <v>141</v>
      </c>
      <c r="S91" s="970">
        <f t="shared" si="8"/>
        <v>90</v>
      </c>
      <c r="U91" s="13" t="str">
        <f>IFERROR(__xludf.DUMMYFUNCTION("IF($T91=""Y"",
  IFERROR(
    RANK.EQ($R91, FILTER($R:$R, $T:$T=""Y""), 1)
    + COUNTIFS($R:$R, $R91, $M:$M, ""&lt;""&amp;$M91, $T:$T, ""Y""),
    ""UPCOMING""
  ),
  ""NO REF""
)
"),"NO REF")</f>
        <v>NO REF</v>
      </c>
      <c r="X91" s="823">
        <v>19.0</v>
      </c>
      <c r="Y91" s="967">
        <f t="shared" si="142"/>
        <v>246.85</v>
      </c>
      <c r="Z91" s="1176">
        <f t="shared" si="143"/>
        <v>2025</v>
      </c>
      <c r="AA91" s="1176" t="str">
        <f t="shared" si="144"/>
        <v>WEEK 13</v>
      </c>
      <c r="AB91" s="1177" t="str">
        <f t="shared" si="145"/>
        <v>KINGS</v>
      </c>
      <c r="AC91" s="1176" t="str">
        <f t="shared" si="146"/>
        <v>POPEYES</v>
      </c>
      <c r="AD91" s="1178" t="str">
        <f t="shared" si="147"/>
        <v>PVE FFL GAME 412</v>
      </c>
    </row>
    <row r="92" ht="15.75" customHeight="1">
      <c r="C92" s="13">
        <v>91.0</v>
      </c>
      <c r="D92" s="1090">
        <v>2020.0</v>
      </c>
      <c r="E92" s="217" t="s">
        <v>521</v>
      </c>
      <c r="F92" s="960" t="s">
        <v>670</v>
      </c>
      <c r="G92" s="961" t="str">
        <f>'League History BACKEND 2020'!G114</f>
        <v>POPEYES</v>
      </c>
      <c r="H92" s="962">
        <v>211.66</v>
      </c>
      <c r="I92" s="963">
        <v>209.92</v>
      </c>
      <c r="J92" s="964" t="str">
        <f>'League History BACKEND 2020'!J114</f>
        <v>GIRLS</v>
      </c>
      <c r="K92" s="965" t="str">
        <f t="shared" si="1"/>
        <v>POPEYES</v>
      </c>
      <c r="L92" s="966" t="str">
        <f t="shared" si="2"/>
        <v>GIRLS</v>
      </c>
      <c r="M92" s="967">
        <f t="array" ref="M92">IFERROR(IF(ABS(H92-I92)=0,Tie,ABS(H92-I92)),"UPCOMING")</f>
        <v>1.74</v>
      </c>
      <c r="N92" s="968">
        <f t="shared" si="3"/>
        <v>19</v>
      </c>
      <c r="O92" s="969">
        <f t="shared" si="4"/>
        <v>403</v>
      </c>
      <c r="P92" s="967">
        <f t="shared" si="5"/>
        <v>421.58</v>
      </c>
      <c r="Q92" s="968">
        <f t="shared" si="6"/>
        <v>26</v>
      </c>
      <c r="R92" s="967">
        <f t="shared" si="7"/>
        <v>22.5</v>
      </c>
      <c r="S92" s="970">
        <f t="shared" si="8"/>
        <v>3</v>
      </c>
      <c r="U92" s="13" t="str">
        <f>IFERROR(__xludf.DUMMYFUNCTION("IF($T92=""Y"",
  IFERROR(
    RANK.EQ($R92, FILTER($R:$R, $T:$T=""Y""), 1)
    + COUNTIFS($R:$R, $R92, $M:$M, ""&lt;""&amp;$M92, $T:$T, ""Y""),
    ""UPCOMING""
  ),
  ""NO REF""
)
"),"NO REF")</f>
        <v>NO REF</v>
      </c>
      <c r="X92" s="1211">
        <v>20.0</v>
      </c>
      <c r="Y92" s="1203">
        <f t="shared" si="142"/>
        <v>248.8</v>
      </c>
      <c r="Z92" s="1212">
        <f t="shared" si="143"/>
        <v>2019</v>
      </c>
      <c r="AA92" s="1212" t="str">
        <f t="shared" si="144"/>
        <v>WEEK 12</v>
      </c>
      <c r="AB92" s="1213" t="str">
        <f t="shared" si="145"/>
        <v>MUTTS</v>
      </c>
      <c r="AC92" s="1212" t="str">
        <f t="shared" si="146"/>
        <v>METAMOOKDAWGS</v>
      </c>
      <c r="AD92" s="1214" t="str">
        <f t="shared" si="147"/>
        <v>PVE FFL GAME 47</v>
      </c>
    </row>
    <row r="93" ht="15.75" customHeight="1">
      <c r="C93" s="13">
        <v>92.0</v>
      </c>
      <c r="D93" s="1090">
        <v>2020.0</v>
      </c>
      <c r="E93" s="217" t="s">
        <v>521</v>
      </c>
      <c r="F93" s="960" t="s">
        <v>671</v>
      </c>
      <c r="G93" s="961" t="str">
        <f>'League History BACKEND 2020'!G116</f>
        <v>DECOUPES</v>
      </c>
      <c r="H93" s="962">
        <v>134.69</v>
      </c>
      <c r="I93" s="963">
        <v>201.64</v>
      </c>
      <c r="J93" s="964" t="str">
        <f>'League History BACKEND 2020'!J116</f>
        <v>YARDIES</v>
      </c>
      <c r="K93" s="965" t="str">
        <f t="shared" si="1"/>
        <v>YARDIES</v>
      </c>
      <c r="L93" s="966" t="str">
        <f t="shared" si="2"/>
        <v>DECOUPES</v>
      </c>
      <c r="M93" s="967">
        <f t="array" ref="M93">IFERROR(IF(ABS(H93-I93)=0,Tie,ABS(H93-I93)),"UPCOMING")</f>
        <v>66.95</v>
      </c>
      <c r="N93" s="968">
        <f t="shared" si="3"/>
        <v>362</v>
      </c>
      <c r="O93" s="969">
        <f t="shared" si="4"/>
        <v>60</v>
      </c>
      <c r="P93" s="967">
        <f t="shared" si="5"/>
        <v>336.33</v>
      </c>
      <c r="Q93" s="968">
        <f t="shared" si="6"/>
        <v>202</v>
      </c>
      <c r="R93" s="967">
        <f t="shared" si="7"/>
        <v>282</v>
      </c>
      <c r="S93" s="970">
        <f t="shared" si="8"/>
        <v>335</v>
      </c>
      <c r="U93" s="13" t="str">
        <f>IFERROR(__xludf.DUMMYFUNCTION("IF($T93=""Y"",
  IFERROR(
    RANK.EQ($R93, FILTER($R:$R, $T:$T=""Y""), 1)
    + COUNTIFS($R:$R, $R93, $M:$M, ""&lt;""&amp;$M93, $T:$T, ""Y""),
    ""UPCOMING""
  ),
  ""NO REF""
)
"),"NO REF")</f>
        <v>NO REF</v>
      </c>
    </row>
    <row r="94" ht="15.75" customHeight="1">
      <c r="C94" s="13">
        <v>93.0</v>
      </c>
      <c r="D94" s="1090">
        <v>2020.0</v>
      </c>
      <c r="E94" s="217" t="s">
        <v>522</v>
      </c>
      <c r="F94" s="960" t="s">
        <v>663</v>
      </c>
      <c r="G94" s="961" t="str">
        <f>'League History BACKEND 2020'!G120</f>
        <v>SAVAGES</v>
      </c>
      <c r="H94" s="962">
        <v>176.1</v>
      </c>
      <c r="I94" s="963">
        <v>182.21</v>
      </c>
      <c r="J94" s="964" t="str">
        <f>'League History BACKEND 2020'!J120</f>
        <v>POPEYES</v>
      </c>
      <c r="K94" s="965" t="str">
        <f t="shared" si="1"/>
        <v>POPEYES</v>
      </c>
      <c r="L94" s="966" t="str">
        <f t="shared" si="2"/>
        <v>SAVAGES</v>
      </c>
      <c r="M94" s="967">
        <f t="array" ref="M94">IFERROR(IF(ABS(H94-I94)=0,Tie,ABS(H94-I94)),"UPCOMING")</f>
        <v>6.11</v>
      </c>
      <c r="N94" s="968">
        <f t="shared" si="3"/>
        <v>46</v>
      </c>
      <c r="O94" s="969">
        <f t="shared" si="4"/>
        <v>376</v>
      </c>
      <c r="P94" s="967">
        <f t="shared" si="5"/>
        <v>358.31</v>
      </c>
      <c r="Q94" s="968">
        <f t="shared" si="6"/>
        <v>142</v>
      </c>
      <c r="R94" s="967">
        <f t="shared" si="7"/>
        <v>94</v>
      </c>
      <c r="S94" s="970">
        <f t="shared" si="8"/>
        <v>31</v>
      </c>
      <c r="U94" s="13" t="str">
        <f>IFERROR(__xludf.DUMMYFUNCTION("IF($T94=""Y"",
  IFERROR(
    RANK.EQ($R94, FILTER($R:$R, $T:$T=""Y""), 1)
    + COUNTIFS($R:$R, $R94, $M:$M, ""&lt;""&amp;$M94, $T:$T, ""Y""),
    ""UPCOMING""
  ),
  ""NO REF""
)
"),"NO REF")</f>
        <v>NO REF</v>
      </c>
      <c r="X94" s="971" t="s">
        <v>896</v>
      </c>
      <c r="Y94" s="23"/>
      <c r="Z94" s="23"/>
      <c r="AA94" s="23"/>
      <c r="AB94" s="23"/>
      <c r="AC94" s="23"/>
      <c r="AD94" s="23"/>
      <c r="AE94" s="23"/>
      <c r="AF94" s="29"/>
    </row>
    <row r="95" ht="15.75" customHeight="1">
      <c r="C95" s="13">
        <v>94.0</v>
      </c>
      <c r="D95" s="1090">
        <v>2020.0</v>
      </c>
      <c r="E95" s="217" t="s">
        <v>522</v>
      </c>
      <c r="F95" s="960" t="s">
        <v>665</v>
      </c>
      <c r="G95" s="961" t="str">
        <f>'League History BACKEND 2020'!G122</f>
        <v>DECOUPES</v>
      </c>
      <c r="H95" s="962">
        <v>206.34</v>
      </c>
      <c r="I95" s="963">
        <v>192.08</v>
      </c>
      <c r="J95" s="964" t="str">
        <f>'League History BACKEND 2020'!J122</f>
        <v>GREEN</v>
      </c>
      <c r="K95" s="965" t="str">
        <f t="shared" si="1"/>
        <v>DECOUPES</v>
      </c>
      <c r="L95" s="966" t="str">
        <f t="shared" si="2"/>
        <v>GREEN</v>
      </c>
      <c r="M95" s="967">
        <f t="array" ref="M95">IFERROR(IF(ABS(H95-I95)=0,Tie,ABS(H95-I95)),"UPCOMING")</f>
        <v>14.26</v>
      </c>
      <c r="N95" s="968">
        <f t="shared" si="3"/>
        <v>109</v>
      </c>
      <c r="O95" s="969">
        <f t="shared" si="4"/>
        <v>313</v>
      </c>
      <c r="P95" s="967">
        <f t="shared" si="5"/>
        <v>398.42</v>
      </c>
      <c r="Q95" s="968">
        <f t="shared" si="6"/>
        <v>57</v>
      </c>
      <c r="R95" s="967">
        <f t="shared" si="7"/>
        <v>83</v>
      </c>
      <c r="S95" s="970">
        <f t="shared" si="8"/>
        <v>22</v>
      </c>
      <c r="U95" s="13" t="str">
        <f>IFERROR(__xludf.DUMMYFUNCTION("IF($T95=""Y"",
  IFERROR(
    RANK.EQ($R95, FILTER($R:$R, $T:$T=""Y""), 1)
    + COUNTIFS($R:$R, $R95, $M:$M, ""&lt;""&amp;$M95, $T:$T, ""Y""),
    ""UPCOMING""
  ),
  ""NO REF""
)
"),"NO REF")</f>
        <v>NO REF</v>
      </c>
      <c r="X95" s="1173" t="s">
        <v>148</v>
      </c>
      <c r="Y95" s="1174" t="s">
        <v>151</v>
      </c>
      <c r="Z95" s="1174" t="s">
        <v>153</v>
      </c>
      <c r="AA95" s="1174" t="s">
        <v>30</v>
      </c>
      <c r="AB95" s="1174" t="s">
        <v>155</v>
      </c>
      <c r="AC95" s="1174" t="s">
        <v>156</v>
      </c>
      <c r="AD95" s="1174" t="s">
        <v>157</v>
      </c>
      <c r="AE95" s="1174" t="s">
        <v>159</v>
      </c>
      <c r="AF95" s="1175" t="s">
        <v>161</v>
      </c>
    </row>
    <row r="96" ht="15.75" customHeight="1">
      <c r="C96" s="13">
        <v>95.0</v>
      </c>
      <c r="D96" s="1090">
        <v>2020.0</v>
      </c>
      <c r="E96" s="217" t="s">
        <v>522</v>
      </c>
      <c r="F96" s="960" t="s">
        <v>670</v>
      </c>
      <c r="G96" s="961" t="str">
        <f>'League History BACKEND 2020'!G124</f>
        <v>METAMOOKDAWGS</v>
      </c>
      <c r="H96" s="962">
        <v>237.87</v>
      </c>
      <c r="I96" s="963">
        <v>185.65</v>
      </c>
      <c r="J96" s="964" t="str">
        <f>'League History BACKEND 2020'!J124</f>
        <v>GIRLS</v>
      </c>
      <c r="K96" s="965" t="str">
        <f t="shared" si="1"/>
        <v>METAMOOKDAWGS</v>
      </c>
      <c r="L96" s="966" t="str">
        <f t="shared" si="2"/>
        <v>GIRLS</v>
      </c>
      <c r="M96" s="967">
        <f t="array" ref="M96">IFERROR(IF(ABS(H96-I96)=0,Tie,ABS(H96-I96)),"UPCOMING")</f>
        <v>52.22</v>
      </c>
      <c r="N96" s="968">
        <f t="shared" si="3"/>
        <v>314</v>
      </c>
      <c r="O96" s="969">
        <f t="shared" si="4"/>
        <v>108</v>
      </c>
      <c r="P96" s="967">
        <f t="shared" si="5"/>
        <v>423.52</v>
      </c>
      <c r="Q96" s="968">
        <f t="shared" si="6"/>
        <v>24</v>
      </c>
      <c r="R96" s="967">
        <f t="shared" si="7"/>
        <v>169</v>
      </c>
      <c r="S96" s="970">
        <f t="shared" si="8"/>
        <v>122</v>
      </c>
      <c r="U96" s="13" t="str">
        <f>IFERROR(__xludf.DUMMYFUNCTION("IF($T96=""Y"",
  IFERROR(
    RANK.EQ($R96, FILTER($R:$R, $T:$T=""Y""), 1)
    + COUNTIFS($R:$R, $R96, $M:$M, ""&lt;""&amp;$M96, $T:$T, ""Y""),
    ""UPCOMING""
  ),
  ""NO REF""
)
"),"NO REF")</f>
        <v>NO REF</v>
      </c>
      <c r="X96" s="823">
        <v>1.0</v>
      </c>
      <c r="Y96" s="967">
        <f t="shared" ref="Y96:Y115" si="148">INDEX($R:$R, MATCH(X96,$S:$S,0))</f>
        <v>4</v>
      </c>
      <c r="Z96" s="1176">
        <f t="shared" ref="Z96:Z115" si="149">INDEX($D:$D, MATCH(X96,$S:$S,0))</f>
        <v>2020</v>
      </c>
      <c r="AA96" s="1176" t="str">
        <f t="shared" ref="AA96:AA115" si="150">INDEX($E:$E, MATCH(X96,$S:$S,0))</f>
        <v>WEEK 3</v>
      </c>
      <c r="AB96" s="1177" t="str">
        <f t="shared" ref="AB96:AB115" si="151">INDEX($K:$K, MATCH(X96,$S:$S,0))</f>
        <v>MUTTS</v>
      </c>
      <c r="AC96" s="1176" t="str">
        <f t="shared" ref="AC96:AC115" si="152">INDEX($L:$L, MATCH(X96,$S:$S,0))</f>
        <v>GIRLS</v>
      </c>
      <c r="AD96" s="1176" t="str">
        <f t="shared" ref="AD96:AD115" si="153">"PVE FFL GAME " &amp; INDEX($C:$C, MATCH(X96,$S:$S,0))</f>
        <v>PVE FFL GAME 62</v>
      </c>
      <c r="AE96" s="967">
        <f t="shared" ref="AE96:AE115" si="154">INDEX($M:$M, MATCH(X96,$S:$S,0))</f>
        <v>0.27</v>
      </c>
      <c r="AF96" s="1215">
        <f t="shared" ref="AF96:AF115" si="155">INDEX($P:$P, MATCH(X96,$S:$S,0))</f>
        <v>510.69</v>
      </c>
      <c r="AG96" s="572">
        <f t="shared" ref="AG96:AG115" si="156">INDEX($S:$S, MATCH(Y96,$R:$R,0))</f>
        <v>1</v>
      </c>
    </row>
    <row r="97" ht="15.75" customHeight="1">
      <c r="C97" s="13">
        <v>96.0</v>
      </c>
      <c r="D97" s="1090">
        <v>2020.0</v>
      </c>
      <c r="E97" s="217" t="s">
        <v>522</v>
      </c>
      <c r="F97" s="960" t="s">
        <v>671</v>
      </c>
      <c r="G97" s="961" t="str">
        <f>'League History BACKEND 2020'!G126</f>
        <v>MUTTS</v>
      </c>
      <c r="H97" s="962">
        <v>180.73</v>
      </c>
      <c r="I97" s="963">
        <v>182.44</v>
      </c>
      <c r="J97" s="964" t="str">
        <f>'League History BACKEND 2020'!J126</f>
        <v>YARDIES</v>
      </c>
      <c r="K97" s="965" t="str">
        <f t="shared" si="1"/>
        <v>YARDIES</v>
      </c>
      <c r="L97" s="966" t="str">
        <f t="shared" si="2"/>
        <v>MUTTS</v>
      </c>
      <c r="M97" s="967">
        <f t="array" ref="M97">IFERROR(IF(ABS(H97-I97)=0,Tie,ABS(H97-I97)),"UPCOMING")</f>
        <v>1.71</v>
      </c>
      <c r="N97" s="968">
        <f t="shared" si="3"/>
        <v>18</v>
      </c>
      <c r="O97" s="969">
        <f t="shared" si="4"/>
        <v>404</v>
      </c>
      <c r="P97" s="967">
        <f t="shared" si="5"/>
        <v>363.17</v>
      </c>
      <c r="Q97" s="968">
        <f t="shared" si="6"/>
        <v>131</v>
      </c>
      <c r="R97" s="967">
        <f t="shared" si="7"/>
        <v>74.5</v>
      </c>
      <c r="S97" s="970">
        <f t="shared" si="8"/>
        <v>19</v>
      </c>
      <c r="U97" s="13" t="str">
        <f>IFERROR(__xludf.DUMMYFUNCTION("IF($T97=""Y"",
  IFERROR(
    RANK.EQ($R97, FILTER($R:$R, $T:$T=""Y""), 1)
    + COUNTIFS($R:$R, $R97, $M:$M, ""&lt;""&amp;$M97, $T:$T, ""Y""),
    ""UPCOMING""
  ),
  ""NO REF""
)
"),"NO REF")</f>
        <v>NO REF</v>
      </c>
      <c r="X97" s="823">
        <v>2.0</v>
      </c>
      <c r="Y97" s="967">
        <f t="shared" si="148"/>
        <v>10</v>
      </c>
      <c r="Z97" s="1176">
        <f t="shared" si="149"/>
        <v>2020</v>
      </c>
      <c r="AA97" s="1176" t="str">
        <f t="shared" si="150"/>
        <v>WEEK 12</v>
      </c>
      <c r="AB97" s="1177" t="str">
        <f t="shared" si="151"/>
        <v>SAVAGES</v>
      </c>
      <c r="AC97" s="1176" t="str">
        <f t="shared" si="152"/>
        <v>GREEN</v>
      </c>
      <c r="AD97" s="1176" t="str">
        <f t="shared" si="153"/>
        <v>PVE FFL GAME 97</v>
      </c>
      <c r="AE97" s="967">
        <f t="shared" si="154"/>
        <v>1.15</v>
      </c>
      <c r="AF97" s="1215">
        <f t="shared" si="155"/>
        <v>465.25</v>
      </c>
      <c r="AG97" s="572">
        <f t="shared" si="156"/>
        <v>2</v>
      </c>
    </row>
    <row r="98" ht="15.75" customHeight="1">
      <c r="C98" s="13">
        <v>97.0</v>
      </c>
      <c r="D98" s="1090">
        <v>2020.0</v>
      </c>
      <c r="E98" s="217" t="s">
        <v>523</v>
      </c>
      <c r="F98" s="960" t="s">
        <v>663</v>
      </c>
      <c r="G98" s="961" t="str">
        <f>'League History BACKEND 2020'!G130</f>
        <v>GREEN</v>
      </c>
      <c r="H98" s="962">
        <v>232.05</v>
      </c>
      <c r="I98" s="963">
        <v>233.2</v>
      </c>
      <c r="J98" s="964" t="str">
        <f>'League History BACKEND 2020'!J130</f>
        <v>SAVAGES</v>
      </c>
      <c r="K98" s="965" t="str">
        <f t="shared" si="1"/>
        <v>SAVAGES</v>
      </c>
      <c r="L98" s="966" t="str">
        <f t="shared" si="2"/>
        <v>GREEN</v>
      </c>
      <c r="M98" s="967">
        <f t="array" ref="M98">IFERROR(IF(ABS(H98-I98)=0,Tie,ABS(H98-I98)),"UPCOMING")</f>
        <v>1.15</v>
      </c>
      <c r="N98" s="968">
        <f t="shared" si="3"/>
        <v>15</v>
      </c>
      <c r="O98" s="969">
        <f t="shared" si="4"/>
        <v>407</v>
      </c>
      <c r="P98" s="967">
        <f t="shared" si="5"/>
        <v>465.25</v>
      </c>
      <c r="Q98" s="968">
        <f t="shared" si="6"/>
        <v>5</v>
      </c>
      <c r="R98" s="967">
        <f t="shared" si="7"/>
        <v>10</v>
      </c>
      <c r="S98" s="970">
        <f t="shared" si="8"/>
        <v>2</v>
      </c>
      <c r="U98" s="13" t="str">
        <f>IFERROR(__xludf.DUMMYFUNCTION("IF($T98=""Y"",
  IFERROR(
    RANK.EQ($R98, FILTER($R:$R, $T:$T=""Y""), 1)
    + COUNTIFS($R:$R, $R98, $M:$M, ""&lt;""&amp;$M98, $T:$T, ""Y""),
    ""UPCOMING""
  ),
  ""NO REF""
)
"),"NO REF")</f>
        <v>NO REF</v>
      </c>
      <c r="X98" s="823">
        <v>3.0</v>
      </c>
      <c r="Y98" s="967">
        <f t="shared" si="148"/>
        <v>22.5</v>
      </c>
      <c r="Z98" s="1176">
        <f t="shared" si="149"/>
        <v>2020</v>
      </c>
      <c r="AA98" s="1176" t="str">
        <f t="shared" si="150"/>
        <v>WEEK 10</v>
      </c>
      <c r="AB98" s="1177" t="str">
        <f t="shared" si="151"/>
        <v>POPEYES</v>
      </c>
      <c r="AC98" s="1176" t="str">
        <f t="shared" si="152"/>
        <v>GIRLS</v>
      </c>
      <c r="AD98" s="1176" t="str">
        <f t="shared" si="153"/>
        <v>PVE FFL GAME 91</v>
      </c>
      <c r="AE98" s="967">
        <f t="shared" si="154"/>
        <v>1.74</v>
      </c>
      <c r="AF98" s="1215">
        <f t="shared" si="155"/>
        <v>421.58</v>
      </c>
      <c r="AG98" s="572">
        <f t="shared" si="156"/>
        <v>3</v>
      </c>
    </row>
    <row r="99" ht="15.75" customHeight="1">
      <c r="C99" s="13">
        <v>98.0</v>
      </c>
      <c r="D99" s="1090">
        <v>2020.0</v>
      </c>
      <c r="E99" s="217" t="s">
        <v>523</v>
      </c>
      <c r="F99" s="960" t="s">
        <v>665</v>
      </c>
      <c r="G99" s="961" t="str">
        <f>'League History BACKEND 2020'!G132</f>
        <v>GIRLS</v>
      </c>
      <c r="H99" s="962">
        <v>170.31</v>
      </c>
      <c r="I99" s="963">
        <v>189.23</v>
      </c>
      <c r="J99" s="964" t="str">
        <f>'League History BACKEND 2020'!J132</f>
        <v>MUTTS</v>
      </c>
      <c r="K99" s="965" t="str">
        <f t="shared" si="1"/>
        <v>MUTTS</v>
      </c>
      <c r="L99" s="966" t="str">
        <f t="shared" si="2"/>
        <v>GIRLS</v>
      </c>
      <c r="M99" s="967">
        <f t="array" ref="M99">IFERROR(IF(ABS(H99-I99)=0,Tie,ABS(H99-I99)),"UPCOMING")</f>
        <v>18.92</v>
      </c>
      <c r="N99" s="968">
        <f t="shared" si="3"/>
        <v>139</v>
      </c>
      <c r="O99" s="969">
        <f t="shared" si="4"/>
        <v>283</v>
      </c>
      <c r="P99" s="967">
        <f t="shared" si="5"/>
        <v>359.54</v>
      </c>
      <c r="Q99" s="968">
        <f t="shared" si="6"/>
        <v>137</v>
      </c>
      <c r="R99" s="967">
        <f t="shared" si="7"/>
        <v>138</v>
      </c>
      <c r="S99" s="970">
        <f t="shared" si="8"/>
        <v>84</v>
      </c>
      <c r="U99" s="13" t="str">
        <f>IFERROR(__xludf.DUMMYFUNCTION("IF($T99=""Y"",
  IFERROR(
    RANK.EQ($R99, FILTER($R:$R, $T:$T=""Y""), 1)
    + COUNTIFS($R:$R, $R99, $M:$M, ""&lt;""&amp;$M99, $T:$T, ""Y""),
    ""UPCOMING""
  ),
  ""NO REF""
)
"),"NO REF")</f>
        <v>NO REF</v>
      </c>
      <c r="X99" s="823">
        <v>4.0</v>
      </c>
      <c r="Y99" s="967">
        <f t="shared" si="148"/>
        <v>24</v>
      </c>
      <c r="Z99" s="1176">
        <f t="shared" si="149"/>
        <v>2023</v>
      </c>
      <c r="AA99" s="1176" t="str">
        <f t="shared" si="150"/>
        <v>WEEK 12</v>
      </c>
      <c r="AB99" s="1177" t="str">
        <f t="shared" si="151"/>
        <v>METAMOOKDAWGS</v>
      </c>
      <c r="AC99" s="1176" t="str">
        <f t="shared" si="152"/>
        <v>MUTTS</v>
      </c>
      <c r="AD99" s="1176" t="str">
        <f t="shared" si="153"/>
        <v>PVE FFL GAME 271</v>
      </c>
      <c r="AE99" s="967">
        <f t="shared" si="154"/>
        <v>5.56</v>
      </c>
      <c r="AF99" s="1215">
        <f t="shared" si="155"/>
        <v>455.48</v>
      </c>
      <c r="AG99" s="572">
        <f t="shared" si="156"/>
        <v>4</v>
      </c>
    </row>
    <row r="100" ht="15.75" customHeight="1">
      <c r="C100" s="13">
        <v>99.0</v>
      </c>
      <c r="D100" s="1090">
        <v>2020.0</v>
      </c>
      <c r="E100" s="217" t="s">
        <v>523</v>
      </c>
      <c r="F100" s="960" t="s">
        <v>670</v>
      </c>
      <c r="G100" s="961" t="str">
        <f>'League History BACKEND 2020'!G134</f>
        <v>YARDIES</v>
      </c>
      <c r="H100" s="962">
        <v>206.09</v>
      </c>
      <c r="I100" s="963">
        <v>162.96</v>
      </c>
      <c r="J100" s="964" t="str">
        <f>'League History BACKEND 2020'!J134</f>
        <v>METAMOOKDAWGS</v>
      </c>
      <c r="K100" s="965" t="str">
        <f t="shared" si="1"/>
        <v>YARDIES</v>
      </c>
      <c r="L100" s="966" t="str">
        <f t="shared" si="2"/>
        <v>METAMOOKDAWGS</v>
      </c>
      <c r="M100" s="967">
        <f t="array" ref="M100">IFERROR(IF(ABS(H100-I100)=0,Tie,ABS(H100-I100)),"UPCOMING")</f>
        <v>43.13</v>
      </c>
      <c r="N100" s="968">
        <f t="shared" si="3"/>
        <v>273</v>
      </c>
      <c r="O100" s="969">
        <f t="shared" si="4"/>
        <v>149</v>
      </c>
      <c r="P100" s="967">
        <f t="shared" si="5"/>
        <v>369.05</v>
      </c>
      <c r="Q100" s="968">
        <f t="shared" si="6"/>
        <v>118</v>
      </c>
      <c r="R100" s="967">
        <f t="shared" si="7"/>
        <v>195.5</v>
      </c>
      <c r="S100" s="970">
        <f t="shared" si="8"/>
        <v>171</v>
      </c>
      <c r="U100" s="13" t="str">
        <f>IFERROR(__xludf.DUMMYFUNCTION("IF($T100=""Y"",
  IFERROR(
    RANK.EQ($R100, FILTER($R:$R, $T:$T=""Y""), 1)
    + COUNTIFS($R:$R, $R100, $M:$M, ""&lt;""&amp;$M100, $T:$T, ""Y""),
    ""UPCOMING""
  ),
  ""NO REF""
)
"),"NO REF")</f>
        <v>NO REF</v>
      </c>
      <c r="X100" s="823">
        <v>5.0</v>
      </c>
      <c r="Y100" s="967">
        <f t="shared" si="148"/>
        <v>32.5</v>
      </c>
      <c r="Z100" s="1176">
        <f t="shared" si="149"/>
        <v>2020</v>
      </c>
      <c r="AA100" s="1176" t="str">
        <f t="shared" si="150"/>
        <v>WEEK 4</v>
      </c>
      <c r="AB100" s="1177" t="str">
        <f t="shared" si="151"/>
        <v>SAVAGES</v>
      </c>
      <c r="AC100" s="1176" t="str">
        <f t="shared" si="152"/>
        <v>GIRLS</v>
      </c>
      <c r="AD100" s="1176" t="str">
        <f t="shared" si="153"/>
        <v>PVE FFL GAME 68</v>
      </c>
      <c r="AE100" s="967">
        <f t="shared" si="154"/>
        <v>0.11</v>
      </c>
      <c r="AF100" s="1215">
        <f t="shared" si="155"/>
        <v>393.75</v>
      </c>
      <c r="AG100" s="572">
        <f t="shared" si="156"/>
        <v>5</v>
      </c>
    </row>
    <row r="101" ht="15.75" customHeight="1">
      <c r="C101" s="13">
        <v>100.0</v>
      </c>
      <c r="D101" s="1090">
        <v>2020.0</v>
      </c>
      <c r="E101" s="217" t="s">
        <v>523</v>
      </c>
      <c r="F101" s="960" t="s">
        <v>671</v>
      </c>
      <c r="G101" s="961" t="str">
        <f>'League History BACKEND 2020'!G136</f>
        <v>DECOUPES</v>
      </c>
      <c r="H101" s="962">
        <v>185.42</v>
      </c>
      <c r="I101" s="963">
        <v>194.96</v>
      </c>
      <c r="J101" s="964" t="str">
        <f>'League History BACKEND 2020'!J136</f>
        <v>POPEYES</v>
      </c>
      <c r="K101" s="965" t="str">
        <f t="shared" si="1"/>
        <v>POPEYES</v>
      </c>
      <c r="L101" s="966" t="str">
        <f t="shared" si="2"/>
        <v>DECOUPES</v>
      </c>
      <c r="M101" s="967">
        <f t="array" ref="M101">IFERROR(IF(ABS(H101-I101)=0,Tie,ABS(H101-I101)),"UPCOMING")</f>
        <v>9.54</v>
      </c>
      <c r="N101" s="968">
        <f t="shared" si="3"/>
        <v>75</v>
      </c>
      <c r="O101" s="969">
        <f t="shared" si="4"/>
        <v>347</v>
      </c>
      <c r="P101" s="967">
        <f t="shared" si="5"/>
        <v>380.38</v>
      </c>
      <c r="Q101" s="968">
        <f t="shared" si="6"/>
        <v>92</v>
      </c>
      <c r="R101" s="967">
        <f t="shared" si="7"/>
        <v>83.5</v>
      </c>
      <c r="S101" s="970">
        <f t="shared" si="8"/>
        <v>23</v>
      </c>
      <c r="U101" s="13" t="str">
        <f>IFERROR(__xludf.DUMMYFUNCTION("IF($T101=""Y"",
  IFERROR(
    RANK.EQ($R101, FILTER($R:$R, $T:$T=""Y""), 1)
    + COUNTIFS($R:$R, $R101, $M:$M, ""&lt;""&amp;$M101, $T:$T, ""Y""),
    ""UPCOMING""
  ),
  ""NO REF""
)
"),"NO REF")</f>
        <v>NO REF</v>
      </c>
      <c r="X101" s="823">
        <v>6.0</v>
      </c>
      <c r="Y101" s="967">
        <f t="shared" si="148"/>
        <v>32.5</v>
      </c>
      <c r="Z101" s="1176">
        <f t="shared" si="149"/>
        <v>2023</v>
      </c>
      <c r="AA101" s="1176" t="str">
        <f t="shared" si="150"/>
        <v>WEEK 2</v>
      </c>
      <c r="AB101" s="1177" t="str">
        <f t="shared" si="151"/>
        <v>METAMOOKDAWGS</v>
      </c>
      <c r="AC101" s="1176" t="str">
        <f t="shared" si="152"/>
        <v>CHAMPS</v>
      </c>
      <c r="AD101" s="1176" t="str">
        <f t="shared" si="153"/>
        <v>PVE FFL GAME 232</v>
      </c>
      <c r="AE101" s="967">
        <f t="shared" si="154"/>
        <v>3.14</v>
      </c>
      <c r="AF101" s="1215">
        <f t="shared" si="155"/>
        <v>413.94</v>
      </c>
      <c r="AG101" s="572">
        <f t="shared" si="156"/>
        <v>5</v>
      </c>
    </row>
    <row r="102" ht="15.75" customHeight="1">
      <c r="C102" s="13">
        <v>101.0</v>
      </c>
      <c r="D102" s="1090">
        <v>2020.0</v>
      </c>
      <c r="E102" s="217" t="s">
        <v>524</v>
      </c>
      <c r="F102" s="960" t="s">
        <v>663</v>
      </c>
      <c r="G102" s="961" t="str">
        <f>'League History BACKEND 2020'!G140</f>
        <v>YARDIES</v>
      </c>
      <c r="H102" s="962">
        <v>174.93</v>
      </c>
      <c r="I102" s="963">
        <v>208.64</v>
      </c>
      <c r="J102" s="964" t="str">
        <f>'League History BACKEND 2020'!J140</f>
        <v>GIRLS</v>
      </c>
      <c r="K102" s="965" t="str">
        <f t="shared" si="1"/>
        <v>GIRLS</v>
      </c>
      <c r="L102" s="966" t="str">
        <f t="shared" si="2"/>
        <v>YARDIES</v>
      </c>
      <c r="M102" s="967">
        <f t="array" ref="M102">IFERROR(IF(ABS(H102-I102)=0,Tie,ABS(H102-I102)),"UPCOMING")</f>
        <v>33.71</v>
      </c>
      <c r="N102" s="968">
        <f t="shared" si="3"/>
        <v>218</v>
      </c>
      <c r="O102" s="969">
        <f t="shared" si="4"/>
        <v>204</v>
      </c>
      <c r="P102" s="967">
        <f t="shared" si="5"/>
        <v>383.57</v>
      </c>
      <c r="Q102" s="968">
        <f t="shared" si="6"/>
        <v>80</v>
      </c>
      <c r="R102" s="967">
        <f t="shared" si="7"/>
        <v>149</v>
      </c>
      <c r="S102" s="970">
        <f t="shared" si="8"/>
        <v>101</v>
      </c>
      <c r="U102" s="13" t="str">
        <f>IFERROR(__xludf.DUMMYFUNCTION("IF($T102=""Y"",
  IFERROR(
    RANK.EQ($R102, FILTER($R:$R, $T:$T=""Y""), 1)
    + COUNTIFS($R:$R, $R102, $M:$M, ""&lt;""&amp;$M102, $T:$T, ""Y""),
    ""UPCOMING""
  ),
  ""NO REF""
)
"),"NO REF")</f>
        <v>NO REF</v>
      </c>
      <c r="X102" s="823">
        <v>7.0</v>
      </c>
      <c r="Y102" s="967">
        <f t="shared" si="148"/>
        <v>32.5</v>
      </c>
      <c r="Z102" s="1176">
        <f t="shared" si="149"/>
        <v>2023</v>
      </c>
      <c r="AA102" s="1176" t="str">
        <f t="shared" si="150"/>
        <v>WEEK 2</v>
      </c>
      <c r="AB102" s="1177" t="str">
        <f t="shared" si="151"/>
        <v>GREEN</v>
      </c>
      <c r="AC102" s="1176" t="str">
        <f t="shared" si="152"/>
        <v>POPEYES</v>
      </c>
      <c r="AD102" s="1176" t="str">
        <f t="shared" si="153"/>
        <v>PVE FFL GAME 230</v>
      </c>
      <c r="AE102" s="967">
        <f t="shared" si="154"/>
        <v>6.01</v>
      </c>
      <c r="AF102" s="1215">
        <f t="shared" si="155"/>
        <v>431.63</v>
      </c>
      <c r="AG102" s="572">
        <f t="shared" si="156"/>
        <v>5</v>
      </c>
    </row>
    <row r="103" ht="15.75" customHeight="1">
      <c r="C103" s="13">
        <v>102.0</v>
      </c>
      <c r="D103" s="1090">
        <v>2020.0</v>
      </c>
      <c r="E103" s="217" t="s">
        <v>524</v>
      </c>
      <c r="F103" s="960" t="s">
        <v>665</v>
      </c>
      <c r="G103" s="961" t="str">
        <f>'League History BACKEND 2020'!G142</f>
        <v>DECOUPES</v>
      </c>
      <c r="H103" s="962">
        <v>239.86</v>
      </c>
      <c r="I103" s="963">
        <v>168.9</v>
      </c>
      <c r="J103" s="964" t="str">
        <f>'League History BACKEND 2020'!J142</f>
        <v>SAVAGES</v>
      </c>
      <c r="K103" s="965" t="str">
        <f t="shared" si="1"/>
        <v>DECOUPES</v>
      </c>
      <c r="L103" s="966" t="str">
        <f t="shared" si="2"/>
        <v>SAVAGES</v>
      </c>
      <c r="M103" s="967">
        <f t="array" ref="M103">IFERROR(IF(ABS(H103-I103)=0,Tie,ABS(H103-I103)),"UPCOMING")</f>
        <v>70.96</v>
      </c>
      <c r="N103" s="968">
        <f t="shared" si="3"/>
        <v>369</v>
      </c>
      <c r="O103" s="969">
        <f t="shared" si="4"/>
        <v>53</v>
      </c>
      <c r="P103" s="967">
        <f t="shared" si="5"/>
        <v>408.76</v>
      </c>
      <c r="Q103" s="968">
        <f t="shared" si="6"/>
        <v>41</v>
      </c>
      <c r="R103" s="967">
        <f t="shared" si="7"/>
        <v>205</v>
      </c>
      <c r="S103" s="970">
        <f t="shared" si="8"/>
        <v>193</v>
      </c>
      <c r="U103" s="13" t="str">
        <f>IFERROR(__xludf.DUMMYFUNCTION("IF($T103=""Y"",
  IFERROR(
    RANK.EQ($R103, FILTER($R:$R, $T:$T=""Y""), 1)
    + COUNTIFS($R:$R, $R103, $M:$M, ""&lt;""&amp;$M103, $T:$T, ""Y""),
    ""UPCOMING""
  ),
  ""NO REF""
)
"),"NO REF")</f>
        <v>NO REF</v>
      </c>
      <c r="X103" s="823">
        <v>8.0</v>
      </c>
      <c r="Y103" s="967">
        <f t="shared" si="148"/>
        <v>40.5</v>
      </c>
      <c r="Z103" s="1176">
        <f t="shared" si="149"/>
        <v>2022</v>
      </c>
      <c r="AA103" s="1176" t="str">
        <f t="shared" si="150"/>
        <v>WEEK 3</v>
      </c>
      <c r="AB103" s="1177" t="str">
        <f t="shared" si="151"/>
        <v>CHAMPS</v>
      </c>
      <c r="AC103" s="1176" t="str">
        <f t="shared" si="152"/>
        <v>GREEN</v>
      </c>
      <c r="AD103" s="1176" t="str">
        <f t="shared" si="153"/>
        <v>PVE FFL GAME 180</v>
      </c>
      <c r="AE103" s="967">
        <f t="shared" si="154"/>
        <v>1.88</v>
      </c>
      <c r="AF103" s="1215">
        <f t="shared" si="155"/>
        <v>397.48</v>
      </c>
      <c r="AG103" s="572">
        <f t="shared" si="156"/>
        <v>8</v>
      </c>
    </row>
    <row r="104" ht="15.75" customHeight="1">
      <c r="C104" s="13">
        <v>103.0</v>
      </c>
      <c r="D104" s="1090">
        <v>2020.0</v>
      </c>
      <c r="E104" s="217" t="s">
        <v>524</v>
      </c>
      <c r="F104" s="960" t="s">
        <v>670</v>
      </c>
      <c r="G104" s="961" t="str">
        <f>'League History BACKEND 2020'!G144</f>
        <v>METAMOOKDAWGS</v>
      </c>
      <c r="H104" s="962">
        <v>190.89</v>
      </c>
      <c r="I104" s="963">
        <v>164.51</v>
      </c>
      <c r="J104" s="964" t="str">
        <f>'League History BACKEND 2020'!J144</f>
        <v>MUTTS</v>
      </c>
      <c r="K104" s="965" t="str">
        <f t="shared" si="1"/>
        <v>METAMOOKDAWGS</v>
      </c>
      <c r="L104" s="966" t="str">
        <f t="shared" si="2"/>
        <v>MUTTS</v>
      </c>
      <c r="M104" s="967">
        <f t="array" ref="M104">IFERROR(IF(ABS(H104-I104)=0,Tie,ABS(H104-I104)),"UPCOMING")</f>
        <v>26.38</v>
      </c>
      <c r="N104" s="968">
        <f t="shared" si="3"/>
        <v>179</v>
      </c>
      <c r="O104" s="969">
        <f t="shared" si="4"/>
        <v>244</v>
      </c>
      <c r="P104" s="967">
        <f t="shared" si="5"/>
        <v>355.4</v>
      </c>
      <c r="Q104" s="968">
        <f t="shared" si="6"/>
        <v>147</v>
      </c>
      <c r="R104" s="967">
        <f t="shared" si="7"/>
        <v>163</v>
      </c>
      <c r="S104" s="970">
        <f t="shared" si="8"/>
        <v>115</v>
      </c>
      <c r="U104" s="13" t="str">
        <f>IFERROR(__xludf.DUMMYFUNCTION("IF($T104=""Y"",
  IFERROR(
    RANK.EQ($R104, FILTER($R:$R, $T:$T=""Y""), 1)
    + COUNTIFS($R:$R, $R104, $M:$M, ""&lt;""&amp;$M104, $T:$T, ""Y""),
    ""UPCOMING""
  ),
  ""NO REF""
)
"),"NO REF")</f>
        <v>NO REF</v>
      </c>
      <c r="X104" s="823">
        <v>9.0</v>
      </c>
      <c r="Y104" s="967">
        <f t="shared" si="148"/>
        <v>46.5</v>
      </c>
      <c r="Z104" s="1176">
        <f t="shared" si="149"/>
        <v>2023</v>
      </c>
      <c r="AA104" s="1176" t="str">
        <f t="shared" si="150"/>
        <v>WEEK 12</v>
      </c>
      <c r="AB104" s="1177" t="str">
        <f t="shared" si="151"/>
        <v>CHAMPS</v>
      </c>
      <c r="AC104" s="1176" t="str">
        <f t="shared" si="152"/>
        <v>YARDIES</v>
      </c>
      <c r="AD104" s="1176" t="str">
        <f t="shared" si="153"/>
        <v>PVE FFL GAME 272</v>
      </c>
      <c r="AE104" s="967">
        <f t="shared" si="154"/>
        <v>6.74</v>
      </c>
      <c r="AF104" s="1215">
        <f t="shared" si="155"/>
        <v>410.46</v>
      </c>
      <c r="AG104" s="572">
        <f t="shared" si="156"/>
        <v>9</v>
      </c>
    </row>
    <row r="105" ht="15.75" customHeight="1">
      <c r="C105" s="13">
        <v>104.0</v>
      </c>
      <c r="D105" s="1090">
        <v>2020.0</v>
      </c>
      <c r="E105" s="217" t="s">
        <v>524</v>
      </c>
      <c r="F105" s="960" t="s">
        <v>671</v>
      </c>
      <c r="G105" s="961" t="str">
        <f>'League History BACKEND 2020'!G146</f>
        <v>GREEN</v>
      </c>
      <c r="H105" s="962">
        <v>184.24</v>
      </c>
      <c r="I105" s="963">
        <v>196.83</v>
      </c>
      <c r="J105" s="964" t="str">
        <f>'League History BACKEND 2020'!J146</f>
        <v>POPEYES</v>
      </c>
      <c r="K105" s="965" t="str">
        <f t="shared" si="1"/>
        <v>POPEYES</v>
      </c>
      <c r="L105" s="966" t="str">
        <f t="shared" si="2"/>
        <v>GREEN</v>
      </c>
      <c r="M105" s="967">
        <f t="array" ref="M105">IFERROR(IF(ABS(H105-I105)=0,Tie,ABS(H105-I105)),"UPCOMING")</f>
        <v>12.59</v>
      </c>
      <c r="N105" s="968">
        <f t="shared" si="3"/>
        <v>98</v>
      </c>
      <c r="O105" s="969">
        <f t="shared" si="4"/>
        <v>324</v>
      </c>
      <c r="P105" s="967">
        <f t="shared" si="5"/>
        <v>381.07</v>
      </c>
      <c r="Q105" s="968">
        <f t="shared" si="6"/>
        <v>90</v>
      </c>
      <c r="R105" s="967">
        <f t="shared" si="7"/>
        <v>94</v>
      </c>
      <c r="S105" s="970">
        <f t="shared" si="8"/>
        <v>32</v>
      </c>
      <c r="U105" s="13" t="str">
        <f>IFERROR(__xludf.DUMMYFUNCTION("IF($T105=""Y"",
  IFERROR(
    RANK.EQ($R105, FILTER($R:$R, $T:$T=""Y""), 1)
    + COUNTIFS($R:$R, $R105, $M:$M, ""&lt;""&amp;$M105, $T:$T, ""Y""),
    ""UPCOMING""
  ),
  ""NO REF""
)
"),"NO REF")</f>
        <v>NO REF</v>
      </c>
      <c r="X105" s="823">
        <v>10.0</v>
      </c>
      <c r="Y105" s="967">
        <f t="shared" si="148"/>
        <v>47.5</v>
      </c>
      <c r="Z105" s="1176">
        <f t="shared" si="149"/>
        <v>2020</v>
      </c>
      <c r="AA105" s="1176" t="str">
        <f t="shared" si="150"/>
        <v>WEEK 2</v>
      </c>
      <c r="AB105" s="1177" t="str">
        <f t="shared" si="151"/>
        <v>DECOUPES</v>
      </c>
      <c r="AC105" s="1176" t="str">
        <f t="shared" si="152"/>
        <v>GIRLS</v>
      </c>
      <c r="AD105" s="1176" t="str">
        <f t="shared" si="153"/>
        <v>PVE FFL GAME 57</v>
      </c>
      <c r="AE105" s="967">
        <f t="shared" si="154"/>
        <v>11.93</v>
      </c>
      <c r="AF105" s="1215">
        <f t="shared" si="155"/>
        <v>499.43</v>
      </c>
      <c r="AG105" s="572">
        <f t="shared" si="156"/>
        <v>10</v>
      </c>
    </row>
    <row r="106" ht="15.75" customHeight="1">
      <c r="C106" s="13">
        <v>105.0</v>
      </c>
      <c r="D106" s="1238">
        <v>2021.0</v>
      </c>
      <c r="E106" s="217" t="s">
        <v>512</v>
      </c>
      <c r="F106" s="960" t="s">
        <v>663</v>
      </c>
      <c r="G106" s="961" t="str">
        <f>'League History BACKEND 2021'!$G$20</f>
        <v>POPEYES</v>
      </c>
      <c r="H106" s="962">
        <v>152.54</v>
      </c>
      <c r="I106" s="963">
        <v>133.43</v>
      </c>
      <c r="J106" s="964" t="str">
        <f>'League History BACKEND 2021'!J20</f>
        <v>METAMOOKDAWGS</v>
      </c>
      <c r="K106" s="965" t="str">
        <f t="shared" si="1"/>
        <v>POPEYES</v>
      </c>
      <c r="L106" s="966" t="str">
        <f t="shared" si="2"/>
        <v>METAMOOKDAWGS</v>
      </c>
      <c r="M106" s="967">
        <f t="array" ref="M106">IFERROR(IF(ABS(H106-I106)=0,Tie,ABS(H106-I106)),"UPCOMING")</f>
        <v>19.11</v>
      </c>
      <c r="N106" s="968">
        <f t="shared" si="3"/>
        <v>140</v>
      </c>
      <c r="O106" s="969">
        <f t="shared" si="4"/>
        <v>282</v>
      </c>
      <c r="P106" s="967">
        <f t="shared" si="5"/>
        <v>285.97</v>
      </c>
      <c r="Q106" s="968">
        <f t="shared" si="6"/>
        <v>335</v>
      </c>
      <c r="R106" s="967">
        <f t="shared" si="7"/>
        <v>237.5</v>
      </c>
      <c r="S106" s="970">
        <f t="shared" si="8"/>
        <v>261</v>
      </c>
      <c r="U106" s="13" t="str">
        <f>IFERROR(__xludf.DUMMYFUNCTION("IF($T106=""Y"",
  IFERROR(
    RANK.EQ($R106, FILTER($R:$R, $T:$T=""Y""), 1)
    + COUNTIFS($R:$R, $R106, $M:$M, ""&lt;""&amp;$M106, $T:$T, ""Y""),
    ""UPCOMING""
  ),
  ""NO REF""
)
"),"NO REF")</f>
        <v>NO REF</v>
      </c>
      <c r="X106" s="823">
        <v>11.0</v>
      </c>
      <c r="Y106" s="967">
        <f t="shared" si="148"/>
        <v>48.5</v>
      </c>
      <c r="Z106" s="1176">
        <f t="shared" si="149"/>
        <v>2020</v>
      </c>
      <c r="AA106" s="1176" t="str">
        <f t="shared" si="150"/>
        <v>WEEK 8</v>
      </c>
      <c r="AB106" s="1177" t="str">
        <f t="shared" si="151"/>
        <v>DECOUPES</v>
      </c>
      <c r="AC106" s="1176" t="str">
        <f t="shared" si="152"/>
        <v>GREEN</v>
      </c>
      <c r="AD106" s="1176" t="str">
        <f t="shared" si="153"/>
        <v>PVE FFL GAME 83</v>
      </c>
      <c r="AE106" s="967">
        <f t="shared" si="154"/>
        <v>4.55</v>
      </c>
      <c r="AF106" s="1215">
        <f t="shared" si="155"/>
        <v>394.91</v>
      </c>
      <c r="AG106" s="572">
        <f t="shared" si="156"/>
        <v>11</v>
      </c>
    </row>
    <row r="107" ht="15.75" customHeight="1">
      <c r="C107" s="13">
        <v>106.0</v>
      </c>
      <c r="D107" s="1238">
        <v>2021.0</v>
      </c>
      <c r="E107" s="217" t="s">
        <v>512</v>
      </c>
      <c r="F107" s="960" t="s">
        <v>665</v>
      </c>
      <c r="G107" s="961" t="str">
        <f>'League History BACKEND 2021'!$G$22</f>
        <v>SAVAGES</v>
      </c>
      <c r="H107" s="962">
        <v>115.34</v>
      </c>
      <c r="I107" s="963">
        <v>190.11</v>
      </c>
      <c r="J107" s="964" t="str">
        <f>'League History BACKEND 2021'!J22</f>
        <v>CHAMPS</v>
      </c>
      <c r="K107" s="965" t="str">
        <f t="shared" si="1"/>
        <v>CHAMPS</v>
      </c>
      <c r="L107" s="966" t="str">
        <f t="shared" si="2"/>
        <v>SAVAGES</v>
      </c>
      <c r="M107" s="967">
        <f t="array" ref="M107">IFERROR(IF(ABS(H107-I107)=0,Tie,ABS(H107-I107)),"UPCOMING")</f>
        <v>74.77</v>
      </c>
      <c r="N107" s="968">
        <f t="shared" si="3"/>
        <v>378</v>
      </c>
      <c r="O107" s="969">
        <f t="shared" si="4"/>
        <v>44</v>
      </c>
      <c r="P107" s="967">
        <f t="shared" si="5"/>
        <v>305.45</v>
      </c>
      <c r="Q107" s="968">
        <f t="shared" si="6"/>
        <v>292</v>
      </c>
      <c r="R107" s="967">
        <f t="shared" si="7"/>
        <v>335</v>
      </c>
      <c r="S107" s="970">
        <f t="shared" si="8"/>
        <v>397</v>
      </c>
      <c r="U107" s="13" t="str">
        <f>IFERROR(__xludf.DUMMYFUNCTION("IF($T107=""Y"",
  IFERROR(
    RANK.EQ($R107, FILTER($R:$R, $T:$T=""Y""), 1)
    + COUNTIFS($R:$R, $R107, $M:$M, ""&lt;""&amp;$M107, $T:$T, ""Y""),
    ""UPCOMING""
  ),
  ""NO REF""
)
"),"NO REF")</f>
        <v>NO REF</v>
      </c>
      <c r="X107" s="823">
        <v>12.0</v>
      </c>
      <c r="Y107" s="967">
        <f t="shared" si="148"/>
        <v>50.5</v>
      </c>
      <c r="Z107" s="1176">
        <f t="shared" si="149"/>
        <v>2022</v>
      </c>
      <c r="AA107" s="1176" t="str">
        <f t="shared" si="150"/>
        <v>WEEK 1</v>
      </c>
      <c r="AB107" s="1177" t="str">
        <f t="shared" si="151"/>
        <v>SAVAGES</v>
      </c>
      <c r="AC107" s="1176" t="str">
        <f t="shared" si="152"/>
        <v>MUTTS</v>
      </c>
      <c r="AD107" s="1176" t="str">
        <f t="shared" si="153"/>
        <v>PVE FFL GAME 173</v>
      </c>
      <c r="AE107" s="967">
        <f t="shared" si="154"/>
        <v>7.49</v>
      </c>
      <c r="AF107" s="1215">
        <f t="shared" si="155"/>
        <v>408.15</v>
      </c>
      <c r="AG107" s="572">
        <f t="shared" si="156"/>
        <v>12</v>
      </c>
    </row>
    <row r="108" ht="15.75" customHeight="1">
      <c r="C108" s="13">
        <v>107.0</v>
      </c>
      <c r="D108" s="1238">
        <v>2021.0</v>
      </c>
      <c r="E108" s="217" t="s">
        <v>512</v>
      </c>
      <c r="F108" s="960" t="s">
        <v>670</v>
      </c>
      <c r="G108" s="961" t="str">
        <f>'League History BACKEND 2021'!$G$24</f>
        <v>DECOUPES</v>
      </c>
      <c r="H108" s="962">
        <v>180.36</v>
      </c>
      <c r="I108" s="963">
        <v>120.62</v>
      </c>
      <c r="J108" s="964" t="str">
        <f>'League History BACKEND 2021'!J24</f>
        <v>GREEN</v>
      </c>
      <c r="K108" s="965" t="str">
        <f t="shared" si="1"/>
        <v>DECOUPES</v>
      </c>
      <c r="L108" s="966" t="str">
        <f t="shared" si="2"/>
        <v>GREEN</v>
      </c>
      <c r="M108" s="967">
        <f t="array" ref="M108">IFERROR(IF(ABS(H108-I108)=0,Tie,ABS(H108-I108)),"UPCOMING")</f>
        <v>59.74</v>
      </c>
      <c r="N108" s="968">
        <f t="shared" si="3"/>
        <v>336</v>
      </c>
      <c r="O108" s="969">
        <f t="shared" si="4"/>
        <v>86</v>
      </c>
      <c r="P108" s="967">
        <f t="shared" si="5"/>
        <v>300.98</v>
      </c>
      <c r="Q108" s="968">
        <f t="shared" si="6"/>
        <v>305</v>
      </c>
      <c r="R108" s="967">
        <f t="shared" si="7"/>
        <v>320.5</v>
      </c>
      <c r="S108" s="970">
        <f t="shared" si="8"/>
        <v>381</v>
      </c>
      <c r="U108" s="13" t="str">
        <f>IFERROR(__xludf.DUMMYFUNCTION("IF($T108=""Y"",
  IFERROR(
    RANK.EQ($R108, FILTER($R:$R, $T:$T=""Y""), 1)
    + COUNTIFS($R:$R, $R108, $M:$M, ""&lt;""&amp;$M108, $T:$T, ""Y""),
    ""UPCOMING""
  ),
  ""NO REF""
)
"),"NO REF")</f>
        <v>NO REF</v>
      </c>
      <c r="X108" s="823">
        <v>13.0</v>
      </c>
      <c r="Y108" s="967">
        <f t="shared" si="148"/>
        <v>51.5</v>
      </c>
      <c r="Z108" s="1176">
        <f t="shared" si="149"/>
        <v>2022</v>
      </c>
      <c r="AA108" s="1176" t="str">
        <f t="shared" si="150"/>
        <v>WEEK 2</v>
      </c>
      <c r="AB108" s="1177" t="str">
        <f t="shared" si="151"/>
        <v>POPEYES</v>
      </c>
      <c r="AC108" s="1176" t="str">
        <f t="shared" si="152"/>
        <v>DECOUPES</v>
      </c>
      <c r="AD108" s="1176" t="str">
        <f t="shared" si="153"/>
        <v>PVE FFL GAME 174</v>
      </c>
      <c r="AE108" s="967">
        <f t="shared" si="154"/>
        <v>4.82</v>
      </c>
      <c r="AF108" s="1215">
        <f t="shared" si="155"/>
        <v>391.34</v>
      </c>
      <c r="AG108" s="572">
        <f t="shared" si="156"/>
        <v>13</v>
      </c>
    </row>
    <row r="109" ht="15.75" customHeight="1">
      <c r="C109" s="13">
        <v>108.0</v>
      </c>
      <c r="D109" s="1238">
        <v>2021.0</v>
      </c>
      <c r="E109" s="217" t="s">
        <v>512</v>
      </c>
      <c r="F109" s="960" t="s">
        <v>671</v>
      </c>
      <c r="G109" s="961" t="str">
        <f>'League History BACKEND 2021'!$G$26</f>
        <v>MUTTS</v>
      </c>
      <c r="H109" s="962">
        <v>130.62</v>
      </c>
      <c r="I109" s="963">
        <v>145.09</v>
      </c>
      <c r="J109" s="964" t="str">
        <f>'League History BACKEND 2021'!J26</f>
        <v>DEEZ NUTS</v>
      </c>
      <c r="K109" s="965" t="str">
        <f t="shared" si="1"/>
        <v>DEEZ NUTS</v>
      </c>
      <c r="L109" s="966" t="str">
        <f t="shared" si="2"/>
        <v>MUTTS</v>
      </c>
      <c r="M109" s="967">
        <f t="array" ref="M109">IFERROR(IF(ABS(H109-I109)=0,Tie,ABS(H109-I109)),"UPCOMING")</f>
        <v>14.47</v>
      </c>
      <c r="N109" s="968">
        <f t="shared" si="3"/>
        <v>111</v>
      </c>
      <c r="O109" s="969">
        <f t="shared" si="4"/>
        <v>311</v>
      </c>
      <c r="P109" s="967">
        <f t="shared" si="5"/>
        <v>275.71</v>
      </c>
      <c r="Q109" s="968">
        <f t="shared" si="6"/>
        <v>363</v>
      </c>
      <c r="R109" s="967">
        <f t="shared" si="7"/>
        <v>237</v>
      </c>
      <c r="S109" s="970">
        <f t="shared" si="8"/>
        <v>259</v>
      </c>
      <c r="U109" s="13" t="str">
        <f>IFERROR(__xludf.DUMMYFUNCTION("IF($T109=""Y"",
  IFERROR(
    RANK.EQ($R109, FILTER($R:$R, $T:$T=""Y""), 1)
    + COUNTIFS($R:$R, $R109, $M:$M, ""&lt;""&amp;$M109, $T:$T, ""Y""),
    ""UPCOMING""
  ),
  ""NO REF""
)
"),"NO REF")</f>
        <v>NO REF</v>
      </c>
      <c r="X109" s="823">
        <v>14.0</v>
      </c>
      <c r="Y109" s="967">
        <f t="shared" si="148"/>
        <v>51.5</v>
      </c>
      <c r="Z109" s="1176">
        <f t="shared" si="149"/>
        <v>2022</v>
      </c>
      <c r="AA109" s="1176" t="str">
        <f t="shared" si="150"/>
        <v>WEEK 9</v>
      </c>
      <c r="AB109" s="1177" t="str">
        <f t="shared" si="151"/>
        <v>METAMOOKDAWGS</v>
      </c>
      <c r="AC109" s="1176" t="str">
        <f t="shared" si="152"/>
        <v>DECOUPES</v>
      </c>
      <c r="AD109" s="1176" t="str">
        <f t="shared" si="153"/>
        <v>PVE FFL GAME 202</v>
      </c>
      <c r="AE109" s="967">
        <f t="shared" si="154"/>
        <v>8.88</v>
      </c>
      <c r="AF109" s="1215">
        <f t="shared" si="155"/>
        <v>415.86</v>
      </c>
      <c r="AG109" s="572">
        <f t="shared" si="156"/>
        <v>13</v>
      </c>
    </row>
    <row r="110" ht="15.75" customHeight="1">
      <c r="C110" s="13">
        <v>109.0</v>
      </c>
      <c r="D110" s="1238">
        <v>2021.0</v>
      </c>
      <c r="E110" s="217" t="s">
        <v>512</v>
      </c>
      <c r="F110" s="960" t="s">
        <v>1018</v>
      </c>
      <c r="G110" s="961" t="str">
        <f>'League History BACKEND 2021'!$G$28</f>
        <v>YARDIES</v>
      </c>
      <c r="H110" s="962">
        <v>115.22</v>
      </c>
      <c r="I110" s="963">
        <v>226.72</v>
      </c>
      <c r="J110" s="964" t="str">
        <f>'League History BACKEND 2021'!J28</f>
        <v>GIRLS</v>
      </c>
      <c r="K110" s="965" t="str">
        <f t="shared" si="1"/>
        <v>GIRLS</v>
      </c>
      <c r="L110" s="966" t="str">
        <f t="shared" si="2"/>
        <v>YARDIES</v>
      </c>
      <c r="M110" s="967">
        <f t="array" ref="M110">IFERROR(IF(ABS(H110-I110)=0,Tie,ABS(H110-I110)),"UPCOMING")</f>
        <v>111.5</v>
      </c>
      <c r="N110" s="968">
        <f t="shared" si="3"/>
        <v>412</v>
      </c>
      <c r="O110" s="969">
        <f t="shared" si="4"/>
        <v>10</v>
      </c>
      <c r="P110" s="967">
        <f t="shared" si="5"/>
        <v>341.94</v>
      </c>
      <c r="Q110" s="968">
        <f t="shared" si="6"/>
        <v>191</v>
      </c>
      <c r="R110" s="967">
        <f t="shared" si="7"/>
        <v>301.5</v>
      </c>
      <c r="S110" s="970">
        <f t="shared" si="8"/>
        <v>364</v>
      </c>
      <c r="U110" s="13" t="str">
        <f>IFERROR(__xludf.DUMMYFUNCTION("IF($T110=""Y"",
  IFERROR(
    RANK.EQ($R110, FILTER($R:$R, $T:$T=""Y""), 1)
    + COUNTIFS($R:$R, $R110, $M:$M, ""&lt;""&amp;$M110, $T:$T, ""Y""),
    ""UPCOMING""
  ),
  ""NO REF""
)
"),"NO REF")</f>
        <v>NO REF</v>
      </c>
      <c r="X110" s="823">
        <v>15.0</v>
      </c>
      <c r="Y110" s="967">
        <f t="shared" si="148"/>
        <v>53</v>
      </c>
      <c r="Z110" s="1176">
        <f t="shared" si="149"/>
        <v>2022</v>
      </c>
      <c r="AA110" s="1176" t="str">
        <f t="shared" si="150"/>
        <v>WEEK 4</v>
      </c>
      <c r="AB110" s="1177" t="str">
        <f t="shared" si="151"/>
        <v>GREEN</v>
      </c>
      <c r="AC110" s="1176" t="str">
        <f t="shared" si="152"/>
        <v>DECOUPES</v>
      </c>
      <c r="AD110" s="1176" t="str">
        <f t="shared" si="153"/>
        <v>PVE FFL GAME 182</v>
      </c>
      <c r="AE110" s="967">
        <f t="shared" si="154"/>
        <v>6.54</v>
      </c>
      <c r="AF110" s="1215">
        <f t="shared" si="155"/>
        <v>398.9</v>
      </c>
      <c r="AG110" s="572">
        <f t="shared" si="156"/>
        <v>15</v>
      </c>
    </row>
    <row r="111" ht="15.75" customHeight="1">
      <c r="C111" s="13">
        <v>110.0</v>
      </c>
      <c r="D111" s="1238">
        <v>2021.0</v>
      </c>
      <c r="E111" s="217" t="s">
        <v>513</v>
      </c>
      <c r="F111" s="960" t="s">
        <v>663</v>
      </c>
      <c r="G111" s="961" t="str">
        <f>'League History BACKEND 2021'!$G$32</f>
        <v>POPEYES</v>
      </c>
      <c r="H111" s="962">
        <v>181.66</v>
      </c>
      <c r="I111" s="963">
        <v>224.32</v>
      </c>
      <c r="J111" s="964" t="str">
        <f>'League History BACKEND 2021'!J32</f>
        <v>DECOUPES</v>
      </c>
      <c r="K111" s="965" t="str">
        <f t="shared" si="1"/>
        <v>DECOUPES</v>
      </c>
      <c r="L111" s="966" t="str">
        <f t="shared" si="2"/>
        <v>POPEYES</v>
      </c>
      <c r="M111" s="967">
        <f t="array" ref="M111">IFERROR(IF(ABS(H111-I111)=0,Tie,ABS(H111-I111)),"UPCOMING")</f>
        <v>42.66</v>
      </c>
      <c r="N111" s="968">
        <f t="shared" si="3"/>
        <v>271</v>
      </c>
      <c r="O111" s="969">
        <f t="shared" si="4"/>
        <v>151</v>
      </c>
      <c r="P111" s="967">
        <f t="shared" si="5"/>
        <v>405.98</v>
      </c>
      <c r="Q111" s="968">
        <f t="shared" si="6"/>
        <v>46</v>
      </c>
      <c r="R111" s="967">
        <f t="shared" si="7"/>
        <v>158.5</v>
      </c>
      <c r="S111" s="970">
        <f t="shared" si="8"/>
        <v>109</v>
      </c>
      <c r="U111" s="13" t="str">
        <f>IFERROR(__xludf.DUMMYFUNCTION("IF($T111=""Y"",
  IFERROR(
    RANK.EQ($R111, FILTER($R:$R, $T:$T=""Y""), 1)
    + COUNTIFS($R:$R, $R111, $M:$M, ""&lt;""&amp;$M111, $T:$T, ""Y""),
    ""UPCOMING""
  ),
  ""NO REF""
)
"),"NO REF")</f>
        <v>NO REF</v>
      </c>
      <c r="X111" s="823">
        <v>16.0</v>
      </c>
      <c r="Y111" s="967">
        <f t="shared" si="148"/>
        <v>53.5</v>
      </c>
      <c r="Z111" s="1176">
        <f t="shared" si="149"/>
        <v>2023</v>
      </c>
      <c r="AA111" s="1176" t="str">
        <f t="shared" si="150"/>
        <v>WEEK 7</v>
      </c>
      <c r="AB111" s="1177" t="str">
        <f t="shared" si="151"/>
        <v>GREEN</v>
      </c>
      <c r="AC111" s="1176" t="str">
        <f t="shared" si="152"/>
        <v>DECOUPES</v>
      </c>
      <c r="AD111" s="1176" t="str">
        <f t="shared" si="153"/>
        <v>PVE FFL GAME 250</v>
      </c>
      <c r="AE111" s="967">
        <f t="shared" si="154"/>
        <v>7.52</v>
      </c>
      <c r="AF111" s="1215">
        <f t="shared" si="155"/>
        <v>403.84</v>
      </c>
      <c r="AG111" s="572">
        <f t="shared" si="156"/>
        <v>16</v>
      </c>
    </row>
    <row r="112" ht="15.75" customHeight="1">
      <c r="C112" s="13">
        <v>111.0</v>
      </c>
      <c r="D112" s="1238">
        <v>2021.0</v>
      </c>
      <c r="E112" s="217" t="s">
        <v>513</v>
      </c>
      <c r="F112" s="960" t="s">
        <v>665</v>
      </c>
      <c r="G112" s="961" t="str">
        <f>'League History BACKEND 2021'!$G$34</f>
        <v>SAVAGES</v>
      </c>
      <c r="H112" s="962">
        <v>116.61</v>
      </c>
      <c r="I112" s="963">
        <v>164.59</v>
      </c>
      <c r="J112" s="964" t="str">
        <f>'League History BACKEND 2021'!J34</f>
        <v>MUTTS</v>
      </c>
      <c r="K112" s="965" t="str">
        <f t="shared" si="1"/>
        <v>MUTTS</v>
      </c>
      <c r="L112" s="966" t="str">
        <f t="shared" si="2"/>
        <v>SAVAGES</v>
      </c>
      <c r="M112" s="967">
        <f t="array" ref="M112">IFERROR(IF(ABS(H112-I112)=0,Tie,ABS(H112-I112)),"UPCOMING")</f>
        <v>47.98</v>
      </c>
      <c r="N112" s="968">
        <f t="shared" si="3"/>
        <v>301</v>
      </c>
      <c r="O112" s="969">
        <f t="shared" si="4"/>
        <v>121</v>
      </c>
      <c r="P112" s="967">
        <f t="shared" si="5"/>
        <v>281.2</v>
      </c>
      <c r="Q112" s="968">
        <f t="shared" si="6"/>
        <v>346</v>
      </c>
      <c r="R112" s="967">
        <f t="shared" si="7"/>
        <v>323.5</v>
      </c>
      <c r="S112" s="970">
        <f t="shared" si="8"/>
        <v>384</v>
      </c>
      <c r="U112" s="13" t="str">
        <f>IFERROR(__xludf.DUMMYFUNCTION("IF($T112=""Y"",
  IFERROR(
    RANK.EQ($R112, FILTER($R:$R, $T:$T=""Y""), 1)
    + COUNTIFS($R:$R, $R112, $M:$M, ""&lt;""&amp;$M112, $T:$T, ""Y""),
    ""UPCOMING""
  ),
  ""NO REF""
)
"),"NO REF")</f>
        <v>NO REF</v>
      </c>
      <c r="X112" s="823">
        <v>17.0</v>
      </c>
      <c r="Y112" s="967">
        <f t="shared" si="148"/>
        <v>59</v>
      </c>
      <c r="Z112" s="1176">
        <f t="shared" si="149"/>
        <v>2020</v>
      </c>
      <c r="AA112" s="1176" t="str">
        <f t="shared" si="150"/>
        <v>WEEK 9</v>
      </c>
      <c r="AB112" s="1177" t="str">
        <f t="shared" si="151"/>
        <v>DECOUPES</v>
      </c>
      <c r="AC112" s="1176" t="str">
        <f t="shared" si="152"/>
        <v>POPEYES</v>
      </c>
      <c r="AD112" s="1176" t="str">
        <f t="shared" si="153"/>
        <v>PVE FFL GAME 86</v>
      </c>
      <c r="AE112" s="967">
        <f t="shared" si="154"/>
        <v>5.26</v>
      </c>
      <c r="AF112" s="1215">
        <f t="shared" si="155"/>
        <v>384.06</v>
      </c>
      <c r="AG112" s="572">
        <f t="shared" si="156"/>
        <v>17</v>
      </c>
    </row>
    <row r="113" ht="15.75" customHeight="1">
      <c r="C113" s="13">
        <v>112.0</v>
      </c>
      <c r="D113" s="1238">
        <v>2021.0</v>
      </c>
      <c r="E113" s="217" t="s">
        <v>513</v>
      </c>
      <c r="F113" s="960" t="s">
        <v>670</v>
      </c>
      <c r="G113" s="961" t="str">
        <f>'League History BACKEND 2021'!$G$36</f>
        <v>GREEN</v>
      </c>
      <c r="H113" s="962">
        <v>175.2</v>
      </c>
      <c r="I113" s="963">
        <v>191.55</v>
      </c>
      <c r="J113" s="964" t="str">
        <f>'League History BACKEND 2021'!J36</f>
        <v>CHAMPS</v>
      </c>
      <c r="K113" s="965" t="str">
        <f t="shared" si="1"/>
        <v>CHAMPS</v>
      </c>
      <c r="L113" s="966" t="str">
        <f t="shared" si="2"/>
        <v>GREEN</v>
      </c>
      <c r="M113" s="967">
        <f t="array" ref="M113">IFERROR(IF(ABS(H113-I113)=0,Tie,ABS(H113-I113)),"UPCOMING")</f>
        <v>16.35</v>
      </c>
      <c r="N113" s="968">
        <f t="shared" si="3"/>
        <v>119</v>
      </c>
      <c r="O113" s="969">
        <f t="shared" si="4"/>
        <v>303</v>
      </c>
      <c r="P113" s="967">
        <f t="shared" si="5"/>
        <v>366.75</v>
      </c>
      <c r="Q113" s="968">
        <f t="shared" si="6"/>
        <v>120</v>
      </c>
      <c r="R113" s="967">
        <f t="shared" si="7"/>
        <v>119.5</v>
      </c>
      <c r="S113" s="970">
        <f t="shared" si="8"/>
        <v>60</v>
      </c>
      <c r="U113" s="13" t="str">
        <f>IFERROR(__xludf.DUMMYFUNCTION("IF($T113=""Y"",
  IFERROR(
    RANK.EQ($R113, FILTER($R:$R, $T:$T=""Y""), 1)
    + COUNTIFS($R:$R, $R113, $M:$M, ""&lt;""&amp;$M113, $T:$T, ""Y""),
    ""UPCOMING""
  ),
  ""NO REF""
)
"),"NO REF")</f>
        <v>NO REF</v>
      </c>
      <c r="X113" s="823">
        <v>18.0</v>
      </c>
      <c r="Y113" s="967">
        <f t="shared" si="148"/>
        <v>61</v>
      </c>
      <c r="Z113" s="1176">
        <f t="shared" si="149"/>
        <v>2022</v>
      </c>
      <c r="AA113" s="1176" t="str">
        <f t="shared" si="150"/>
        <v>WEEK 4</v>
      </c>
      <c r="AB113" s="1177" t="str">
        <f t="shared" si="151"/>
        <v>POPEYES</v>
      </c>
      <c r="AC113" s="1176" t="str">
        <f t="shared" si="152"/>
        <v>SAVAGES</v>
      </c>
      <c r="AD113" s="1176" t="str">
        <f t="shared" si="153"/>
        <v>PVE FFL GAME 184</v>
      </c>
      <c r="AE113" s="967">
        <f t="shared" si="154"/>
        <v>7.76</v>
      </c>
      <c r="AF113" s="1215">
        <f t="shared" si="155"/>
        <v>394.96</v>
      </c>
      <c r="AG113" s="572">
        <f t="shared" si="156"/>
        <v>18</v>
      </c>
    </row>
    <row r="114" ht="15.75" customHeight="1">
      <c r="C114" s="13">
        <v>113.0</v>
      </c>
      <c r="D114" s="1238">
        <v>2021.0</v>
      </c>
      <c r="E114" s="217" t="s">
        <v>513</v>
      </c>
      <c r="F114" s="960" t="s">
        <v>671</v>
      </c>
      <c r="G114" s="961" t="str">
        <f>'League History BACKEND 2021'!$G$38</f>
        <v>METAMOOKDAWGS</v>
      </c>
      <c r="H114" s="962">
        <v>175.81</v>
      </c>
      <c r="I114" s="963">
        <v>185.61</v>
      </c>
      <c r="J114" s="964" t="str">
        <f>'League History BACKEND 2021'!J38</f>
        <v>YARDIES</v>
      </c>
      <c r="K114" s="965" t="str">
        <f t="shared" si="1"/>
        <v>YARDIES</v>
      </c>
      <c r="L114" s="966" t="str">
        <f t="shared" si="2"/>
        <v>METAMOOKDAWGS</v>
      </c>
      <c r="M114" s="967">
        <f t="array" ref="M114">IFERROR(IF(ABS(H114-I114)=0,Tie,ABS(H114-I114)),"UPCOMING")</f>
        <v>9.8</v>
      </c>
      <c r="N114" s="968">
        <f t="shared" si="3"/>
        <v>77</v>
      </c>
      <c r="O114" s="969">
        <f t="shared" si="4"/>
        <v>345</v>
      </c>
      <c r="P114" s="967">
        <f t="shared" si="5"/>
        <v>361.42</v>
      </c>
      <c r="Q114" s="968">
        <f t="shared" si="6"/>
        <v>135</v>
      </c>
      <c r="R114" s="967">
        <f t="shared" si="7"/>
        <v>106</v>
      </c>
      <c r="S114" s="970">
        <f t="shared" si="8"/>
        <v>42</v>
      </c>
      <c r="U114" s="13" t="str">
        <f>IFERROR(__xludf.DUMMYFUNCTION("IF($T114=""Y"",
  IFERROR(
    RANK.EQ($R114, FILTER($R:$R, $T:$T=""Y""), 1)
    + COUNTIFS($R:$R, $R114, $M:$M, ""&lt;""&amp;$M114, $T:$T, ""Y""),
    ""UPCOMING""
  ),
  ""NO REF""
)
"),"NO REF")</f>
        <v>NO REF</v>
      </c>
      <c r="X114" s="823">
        <v>19.0</v>
      </c>
      <c r="Y114" s="967">
        <f t="shared" si="148"/>
        <v>74.5</v>
      </c>
      <c r="Z114" s="1176">
        <f t="shared" si="149"/>
        <v>2020</v>
      </c>
      <c r="AA114" s="1176" t="str">
        <f t="shared" si="150"/>
        <v>WEEK 11</v>
      </c>
      <c r="AB114" s="1177" t="str">
        <f t="shared" si="151"/>
        <v>YARDIES</v>
      </c>
      <c r="AC114" s="1176" t="str">
        <f t="shared" si="152"/>
        <v>MUTTS</v>
      </c>
      <c r="AD114" s="1176" t="str">
        <f t="shared" si="153"/>
        <v>PVE FFL GAME 96</v>
      </c>
      <c r="AE114" s="967">
        <f t="shared" si="154"/>
        <v>1.71</v>
      </c>
      <c r="AF114" s="1215">
        <f t="shared" si="155"/>
        <v>363.17</v>
      </c>
      <c r="AG114" s="572">
        <f t="shared" si="156"/>
        <v>19</v>
      </c>
    </row>
    <row r="115" ht="15.75" customHeight="1">
      <c r="C115" s="13">
        <v>114.0</v>
      </c>
      <c r="D115" s="1238">
        <v>2021.0</v>
      </c>
      <c r="E115" s="217" t="s">
        <v>513</v>
      </c>
      <c r="F115" s="960" t="s">
        <v>1018</v>
      </c>
      <c r="G115" s="961" t="str">
        <f>'League History BACKEND 2021'!$G$40</f>
        <v>GIRLS</v>
      </c>
      <c r="H115" s="962">
        <v>148.98</v>
      </c>
      <c r="I115" s="963">
        <v>155.71</v>
      </c>
      <c r="J115" s="964" t="str">
        <f>'League History BACKEND 2021'!J40</f>
        <v>DEEZ NUTS</v>
      </c>
      <c r="K115" s="965" t="str">
        <f t="shared" si="1"/>
        <v>DEEZ NUTS</v>
      </c>
      <c r="L115" s="966" t="str">
        <f t="shared" si="2"/>
        <v>GIRLS</v>
      </c>
      <c r="M115" s="967">
        <f t="array" ref="M115">IFERROR(IF(ABS(H115-I115)=0,Tie,ABS(H115-I115)),"UPCOMING")</f>
        <v>6.73</v>
      </c>
      <c r="N115" s="968">
        <f t="shared" si="3"/>
        <v>53</v>
      </c>
      <c r="O115" s="969">
        <f t="shared" si="4"/>
        <v>370</v>
      </c>
      <c r="P115" s="967">
        <f t="shared" si="5"/>
        <v>304.69</v>
      </c>
      <c r="Q115" s="968">
        <f t="shared" si="6"/>
        <v>293</v>
      </c>
      <c r="R115" s="967">
        <f t="shared" si="7"/>
        <v>173</v>
      </c>
      <c r="S115" s="970">
        <f t="shared" si="8"/>
        <v>131</v>
      </c>
      <c r="U115" s="13" t="str">
        <f>IFERROR(__xludf.DUMMYFUNCTION("IF($T115=""Y"",
  IFERROR(
    RANK.EQ($R115, FILTER($R:$R, $T:$T=""Y""), 1)
    + COUNTIFS($R:$R, $R115, $M:$M, ""&lt;""&amp;$M115, $T:$T, ""Y""),
    ""UPCOMING""
  ),
  ""NO REF""
)
"),"NO REF")</f>
        <v>NO REF</v>
      </c>
      <c r="X115" s="823">
        <v>20.0</v>
      </c>
      <c r="Y115" s="967">
        <f t="shared" si="148"/>
        <v>78.5</v>
      </c>
      <c r="Z115" s="1176">
        <f t="shared" si="149"/>
        <v>2024</v>
      </c>
      <c r="AA115" s="1176" t="str">
        <f t="shared" si="150"/>
        <v>WEEK 12</v>
      </c>
      <c r="AB115" s="1177" t="str">
        <f t="shared" si="151"/>
        <v>POPEYES</v>
      </c>
      <c r="AC115" s="1176" t="str">
        <f t="shared" si="152"/>
        <v>KINGS</v>
      </c>
      <c r="AD115" s="1176" t="str">
        <f t="shared" si="153"/>
        <v>PVE FFL GAME 338</v>
      </c>
      <c r="AE115" s="967">
        <f t="shared" si="154"/>
        <v>7.74</v>
      </c>
      <c r="AF115" s="1215">
        <f t="shared" si="155"/>
        <v>378.54</v>
      </c>
      <c r="AG115" s="572">
        <f t="shared" si="156"/>
        <v>21</v>
      </c>
    </row>
    <row r="116" ht="15.75" customHeight="1">
      <c r="C116" s="13">
        <v>115.0</v>
      </c>
      <c r="D116" s="1238">
        <v>2021.0</v>
      </c>
      <c r="E116" s="217" t="s">
        <v>514</v>
      </c>
      <c r="F116" s="960" t="s">
        <v>663</v>
      </c>
      <c r="G116" s="961" t="str">
        <f>'League History BACKEND 2021'!$G$43</f>
        <v>POPEYES</v>
      </c>
      <c r="H116" s="962">
        <v>220.6</v>
      </c>
      <c r="I116" s="963">
        <v>136.64</v>
      </c>
      <c r="J116" s="964" t="str">
        <f>'League History BACKEND 2021'!J43</f>
        <v>YARDIES</v>
      </c>
      <c r="K116" s="965" t="str">
        <f t="shared" si="1"/>
        <v>POPEYES</v>
      </c>
      <c r="L116" s="966" t="str">
        <f t="shared" si="2"/>
        <v>YARDIES</v>
      </c>
      <c r="M116" s="967">
        <f t="array" ref="M116">IFERROR(IF(ABS(H116-I116)=0,Tie,ABS(H116-I116)),"UPCOMING")</f>
        <v>83.96</v>
      </c>
      <c r="N116" s="968">
        <f t="shared" si="3"/>
        <v>396</v>
      </c>
      <c r="O116" s="969">
        <f t="shared" si="4"/>
        <v>26</v>
      </c>
      <c r="P116" s="967">
        <f t="shared" si="5"/>
        <v>357.24</v>
      </c>
      <c r="Q116" s="968">
        <f t="shared" si="6"/>
        <v>144</v>
      </c>
      <c r="R116" s="967">
        <f t="shared" si="7"/>
        <v>270</v>
      </c>
      <c r="S116" s="970">
        <f t="shared" si="8"/>
        <v>319</v>
      </c>
      <c r="U116" s="13" t="str">
        <f>IFERROR(__xludf.DUMMYFUNCTION("IF($T116=""Y"",
  IFERROR(
    RANK.EQ($R116, FILTER($R:$R, $T:$T=""Y""), 1)
    + COUNTIFS($R:$R, $R116, $M:$M, ""&lt;""&amp;$M116, $T:$T, ""Y""),
    ""UPCOMING""
  ),
  ""NO REF""
)
"),"NO REF")</f>
        <v>NO REF</v>
      </c>
    </row>
    <row r="117" ht="15.75" customHeight="1">
      <c r="C117" s="13">
        <v>116.0</v>
      </c>
      <c r="D117" s="1238">
        <v>2021.0</v>
      </c>
      <c r="E117" s="217" t="s">
        <v>514</v>
      </c>
      <c r="F117" s="960" t="s">
        <v>665</v>
      </c>
      <c r="G117" s="961" t="str">
        <f>'League History BACKEND 2021'!$G$45</f>
        <v>SAVAGES</v>
      </c>
      <c r="H117" s="962">
        <v>143.75</v>
      </c>
      <c r="I117" s="963">
        <v>150.06</v>
      </c>
      <c r="J117" s="964" t="str">
        <f>'League History BACKEND 2021'!J45</f>
        <v>GIRLS</v>
      </c>
      <c r="K117" s="965" t="str">
        <f t="shared" si="1"/>
        <v>GIRLS</v>
      </c>
      <c r="L117" s="966" t="str">
        <f t="shared" si="2"/>
        <v>SAVAGES</v>
      </c>
      <c r="M117" s="967">
        <f t="array" ref="M117">IFERROR(IF(ABS(H117-I117)=0,Tie,ABS(H117-I117)),"UPCOMING")</f>
        <v>6.31</v>
      </c>
      <c r="N117" s="968">
        <f t="shared" si="3"/>
        <v>47</v>
      </c>
      <c r="O117" s="969">
        <f t="shared" si="4"/>
        <v>375</v>
      </c>
      <c r="P117" s="967">
        <f t="shared" si="5"/>
        <v>293.81</v>
      </c>
      <c r="Q117" s="968">
        <f t="shared" si="6"/>
        <v>323</v>
      </c>
      <c r="R117" s="967">
        <f t="shared" si="7"/>
        <v>185</v>
      </c>
      <c r="S117" s="970">
        <f t="shared" si="8"/>
        <v>151</v>
      </c>
      <c r="U117" s="13" t="str">
        <f>IFERROR(__xludf.DUMMYFUNCTION("IF($T117=""Y"",
  IFERROR(
    RANK.EQ($R117, FILTER($R:$R, $T:$T=""Y""), 1)
    + COUNTIFS($R:$R, $R117, $M:$M, ""&lt;""&amp;$M117, $T:$T, ""Y""),
    ""UPCOMING""
  ),
  ""NO REF""
)
"),"NO REF")</f>
        <v>NO REF</v>
      </c>
      <c r="X117" s="971" t="s">
        <v>1074</v>
      </c>
      <c r="Y117" s="23"/>
      <c r="Z117" s="23"/>
      <c r="AA117" s="23"/>
      <c r="AB117" s="23"/>
      <c r="AC117" s="23"/>
      <c r="AD117" s="23"/>
      <c r="AE117" s="23"/>
      <c r="AF117" s="29"/>
    </row>
    <row r="118" ht="15.75" customHeight="1">
      <c r="C118" s="13">
        <v>117.0</v>
      </c>
      <c r="D118" s="1238">
        <v>2021.0</v>
      </c>
      <c r="E118" s="217" t="s">
        <v>514</v>
      </c>
      <c r="F118" s="960" t="s">
        <v>670</v>
      </c>
      <c r="G118" s="961" t="str">
        <f>'League History BACKEND 2021'!$G$47</f>
        <v>DECOUPES</v>
      </c>
      <c r="H118" s="962">
        <v>167.58</v>
      </c>
      <c r="I118" s="963">
        <v>150.76</v>
      </c>
      <c r="J118" s="964" t="str">
        <f>'League History BACKEND 2021'!J47</f>
        <v>DEEZ NUTS</v>
      </c>
      <c r="K118" s="965" t="str">
        <f t="shared" si="1"/>
        <v>DECOUPES</v>
      </c>
      <c r="L118" s="966" t="str">
        <f t="shared" si="2"/>
        <v>DEEZ NUTS</v>
      </c>
      <c r="M118" s="967">
        <f t="array" ref="M118">IFERROR(IF(ABS(H118-I118)=0,Tie,ABS(H118-I118)),"UPCOMING")</f>
        <v>16.82</v>
      </c>
      <c r="N118" s="968">
        <f t="shared" si="3"/>
        <v>125</v>
      </c>
      <c r="O118" s="969">
        <f t="shared" si="4"/>
        <v>297</v>
      </c>
      <c r="P118" s="967">
        <f t="shared" si="5"/>
        <v>318.34</v>
      </c>
      <c r="Q118" s="968">
        <f t="shared" si="6"/>
        <v>250</v>
      </c>
      <c r="R118" s="967">
        <f t="shared" si="7"/>
        <v>187.5</v>
      </c>
      <c r="S118" s="970">
        <f t="shared" si="8"/>
        <v>158</v>
      </c>
      <c r="U118" s="13" t="str">
        <f>IFERROR(__xludf.DUMMYFUNCTION("IF($T118=""Y"",
  IFERROR(
    RANK.EQ($R118, FILTER($R:$R, $T:$T=""Y""), 1)
    + COUNTIFS($R:$R, $R118, $M:$M, ""&lt;""&amp;$M118, $T:$T, ""Y""),
    ""UPCOMING""
  ),
  ""NO REF""
)
"),"NO REF")</f>
        <v>NO REF</v>
      </c>
      <c r="X118" s="1173" t="s">
        <v>148</v>
      </c>
      <c r="Y118" s="1174" t="s">
        <v>151</v>
      </c>
      <c r="Z118" s="1174" t="s">
        <v>153</v>
      </c>
      <c r="AA118" s="1174" t="s">
        <v>30</v>
      </c>
      <c r="AB118" s="1174" t="s">
        <v>155</v>
      </c>
      <c r="AC118" s="1174" t="s">
        <v>156</v>
      </c>
      <c r="AD118" s="1174" t="s">
        <v>157</v>
      </c>
      <c r="AE118" s="1174" t="s">
        <v>159</v>
      </c>
      <c r="AF118" s="1175" t="s">
        <v>161</v>
      </c>
    </row>
    <row r="119" ht="15.75" customHeight="1">
      <c r="C119" s="13">
        <v>118.0</v>
      </c>
      <c r="D119" s="1238">
        <v>2021.0</v>
      </c>
      <c r="E119" s="217" t="s">
        <v>514</v>
      </c>
      <c r="F119" s="960" t="s">
        <v>671</v>
      </c>
      <c r="G119" s="961" t="str">
        <f>'League History BACKEND 2021'!$G$49</f>
        <v>GREEN</v>
      </c>
      <c r="H119" s="962">
        <v>189.44</v>
      </c>
      <c r="I119" s="963">
        <v>152.94</v>
      </c>
      <c r="J119" s="964" t="str">
        <f>'League History BACKEND 2021'!J49</f>
        <v>METAMOOKDAWGS</v>
      </c>
      <c r="K119" s="965" t="str">
        <f t="shared" si="1"/>
        <v>GREEN</v>
      </c>
      <c r="L119" s="966" t="str">
        <f t="shared" si="2"/>
        <v>METAMOOKDAWGS</v>
      </c>
      <c r="M119" s="967">
        <f t="array" ref="M119">IFERROR(IF(ABS(H119-I119)=0,Tie,ABS(H119-I119)),"UPCOMING")</f>
        <v>36.5</v>
      </c>
      <c r="N119" s="968">
        <f t="shared" si="3"/>
        <v>235</v>
      </c>
      <c r="O119" s="969">
        <f t="shared" si="4"/>
        <v>187</v>
      </c>
      <c r="P119" s="967">
        <f t="shared" si="5"/>
        <v>342.38</v>
      </c>
      <c r="Q119" s="968">
        <f t="shared" si="6"/>
        <v>190</v>
      </c>
      <c r="R119" s="967">
        <f t="shared" si="7"/>
        <v>212.5</v>
      </c>
      <c r="S119" s="970">
        <f t="shared" si="8"/>
        <v>211</v>
      </c>
      <c r="U119" s="13" t="str">
        <f>IFERROR(__xludf.DUMMYFUNCTION("IF($T119=""Y"",
  IFERROR(
    RANK.EQ($R119, FILTER($R:$R, $T:$T=""Y""), 1)
    + COUNTIFS($R:$R, $R119, $M:$M, ""&lt;""&amp;$M119, $T:$T, ""Y""),
    ""UPCOMING""
  ),
  ""NO REF""
)
"),"NO REF")</f>
        <v>NO REF</v>
      </c>
      <c r="X119" s="823">
        <v>1.0</v>
      </c>
      <c r="Y119" s="967">
        <f t="shared" ref="Y119:Y138" si="157">LARGE($R:$R,X119)</f>
        <v>393</v>
      </c>
      <c r="Z119" s="1176">
        <f t="shared" ref="Z119:Z138" si="158">INDEX($D:$D, MATCH(Y119,$R:$R,0))</f>
        <v>2019</v>
      </c>
      <c r="AA119" s="1176" t="str">
        <f t="shared" ref="AA119:AA138" si="159">INDEX($E:$E, MATCH(Y119,$R:$R,0))</f>
        <v>WEEK 12</v>
      </c>
      <c r="AB119" s="1177" t="str">
        <f t="shared" ref="AB119:AB138" si="160">INDEX($K:$K, MATCH(Y119,$R:$R,0))</f>
        <v>DECOUPES</v>
      </c>
      <c r="AC119" s="1176" t="str">
        <f t="shared" ref="AC119:AC138" si="161">INDEX($L:$L, MATCH(Y119,$R:$R,0))</f>
        <v>GREEN</v>
      </c>
      <c r="AD119" s="1176" t="str">
        <f t="shared" ref="AD119:AD138" si="162">"PVE FFL GAME " &amp; INDEX($C:$C, MATCH(Y119,$R:$R,0))</f>
        <v>PVE FFL GAME 48</v>
      </c>
      <c r="AE119" s="967">
        <f t="shared" ref="AE119:AE138" si="163">INDEX($M:$M, MATCH(Y119,$R:$R,0))</f>
        <v>74.03</v>
      </c>
      <c r="AF119" s="1215">
        <f t="shared" ref="AF119:AF138" si="164">INDEX($P:$P, MATCH(Y119,$R:$R,0))</f>
        <v>230.53</v>
      </c>
      <c r="AG119" s="572">
        <f t="shared" ref="AG119:AG138" si="165">INDEX($S:$S, MATCH(Y119,$R:$R,0))</f>
        <v>421</v>
      </c>
    </row>
    <row r="120" ht="15.75" customHeight="1">
      <c r="C120" s="13">
        <v>119.0</v>
      </c>
      <c r="D120" s="1238">
        <v>2021.0</v>
      </c>
      <c r="E120" s="217" t="s">
        <v>514</v>
      </c>
      <c r="F120" s="960" t="s">
        <v>1018</v>
      </c>
      <c r="G120" s="961" t="str">
        <f>'League History BACKEND 2021'!$G$51</f>
        <v>CHAMPS</v>
      </c>
      <c r="H120" s="962">
        <v>164.89</v>
      </c>
      <c r="I120" s="963">
        <v>166.28</v>
      </c>
      <c r="J120" s="964" t="str">
        <f>'League History BACKEND 2021'!J51</f>
        <v>MUTTS</v>
      </c>
      <c r="K120" s="965" t="str">
        <f t="shared" si="1"/>
        <v>MUTTS</v>
      </c>
      <c r="L120" s="966" t="str">
        <f t="shared" si="2"/>
        <v>CHAMPS</v>
      </c>
      <c r="M120" s="967">
        <f t="array" ref="M120">IFERROR(IF(ABS(H120-I120)=0,Tie,ABS(H120-I120)),"UPCOMING")</f>
        <v>1.39</v>
      </c>
      <c r="N120" s="968">
        <f t="shared" si="3"/>
        <v>16</v>
      </c>
      <c r="O120" s="969">
        <f t="shared" si="4"/>
        <v>406</v>
      </c>
      <c r="P120" s="967">
        <f t="shared" si="5"/>
        <v>331.17</v>
      </c>
      <c r="Q120" s="968">
        <f t="shared" si="6"/>
        <v>214</v>
      </c>
      <c r="R120" s="967">
        <f t="shared" si="7"/>
        <v>115</v>
      </c>
      <c r="S120" s="970">
        <f t="shared" si="8"/>
        <v>52</v>
      </c>
      <c r="U120" s="13" t="str">
        <f>IFERROR(__xludf.DUMMYFUNCTION("IF($T120=""Y"",
  IFERROR(
    RANK.EQ($R120, FILTER($R:$R, $T:$T=""Y""), 1)
    + COUNTIFS($R:$R, $R120, $M:$M, ""&lt;""&amp;$M120, $T:$T, ""Y""),
    ""UPCOMING""
  ),
  ""NO REF""
)
"),"NO REF")</f>
        <v>NO REF</v>
      </c>
      <c r="X120" s="1184">
        <v>2.0</v>
      </c>
      <c r="Y120" s="967">
        <f t="shared" si="157"/>
        <v>388</v>
      </c>
      <c r="Z120" s="1176">
        <f t="shared" si="158"/>
        <v>2022</v>
      </c>
      <c r="AA120" s="1176" t="str">
        <f t="shared" si="159"/>
        <v>WEEK 7</v>
      </c>
      <c r="AB120" s="1177" t="str">
        <f t="shared" si="160"/>
        <v>DECOUPES</v>
      </c>
      <c r="AC120" s="1176" t="str">
        <f t="shared" si="161"/>
        <v>GREEN</v>
      </c>
      <c r="AD120" s="1176" t="str">
        <f t="shared" si="162"/>
        <v>PVE FFL GAME 194</v>
      </c>
      <c r="AE120" s="967">
        <f t="shared" si="163"/>
        <v>132.81</v>
      </c>
      <c r="AF120" s="1215">
        <f t="shared" si="164"/>
        <v>279.13</v>
      </c>
      <c r="AG120" s="572">
        <f t="shared" si="165"/>
        <v>420</v>
      </c>
    </row>
    <row r="121" ht="15.75" customHeight="1">
      <c r="C121" s="13">
        <v>120.0</v>
      </c>
      <c r="D121" s="1238">
        <v>2021.0</v>
      </c>
      <c r="E121" s="217" t="s">
        <v>515</v>
      </c>
      <c r="F121" s="960" t="s">
        <v>663</v>
      </c>
      <c r="G121" s="961" t="str">
        <f>'League History BACKEND 2021'!$G$55</f>
        <v>POPEYES</v>
      </c>
      <c r="H121" s="962">
        <v>220.4</v>
      </c>
      <c r="I121" s="963">
        <v>146.18</v>
      </c>
      <c r="J121" s="964" t="str">
        <f>'League History BACKEND 2021'!J55</f>
        <v>GIRLS</v>
      </c>
      <c r="K121" s="965" t="str">
        <f t="shared" si="1"/>
        <v>POPEYES</v>
      </c>
      <c r="L121" s="966" t="str">
        <f t="shared" si="2"/>
        <v>GIRLS</v>
      </c>
      <c r="M121" s="967">
        <f t="array" ref="M121">IFERROR(IF(ABS(H121-I121)=0,Tie,ABS(H121-I121)),"UPCOMING")</f>
        <v>74.22</v>
      </c>
      <c r="N121" s="968">
        <f t="shared" si="3"/>
        <v>377</v>
      </c>
      <c r="O121" s="969">
        <f t="shared" si="4"/>
        <v>45</v>
      </c>
      <c r="P121" s="967">
        <f t="shared" si="5"/>
        <v>366.58</v>
      </c>
      <c r="Q121" s="968">
        <f t="shared" si="6"/>
        <v>121</v>
      </c>
      <c r="R121" s="967">
        <f t="shared" si="7"/>
        <v>249</v>
      </c>
      <c r="S121" s="970">
        <f t="shared" si="8"/>
        <v>290</v>
      </c>
      <c r="U121" s="13" t="str">
        <f>IFERROR(__xludf.DUMMYFUNCTION("IF($T121=""Y"",
  IFERROR(
    RANK.EQ($R121, FILTER($R:$R, $T:$T=""Y""), 1)
    + COUNTIFS($R:$R, $R121, $M:$M, ""&lt;""&amp;$M121, $T:$T, ""Y""),
    ""UPCOMING""
  ),
  ""NO REF""
)
"),"NO REF")</f>
        <v>NO REF</v>
      </c>
      <c r="X121" s="823">
        <v>3.0</v>
      </c>
      <c r="Y121" s="967">
        <f t="shared" si="157"/>
        <v>379.5</v>
      </c>
      <c r="Z121" s="1176">
        <f t="shared" si="158"/>
        <v>2021</v>
      </c>
      <c r="AA121" s="1176" t="str">
        <f t="shared" si="159"/>
        <v>WEEK 10</v>
      </c>
      <c r="AB121" s="1177" t="str">
        <f t="shared" si="160"/>
        <v>POPEYES</v>
      </c>
      <c r="AC121" s="1176" t="str">
        <f t="shared" si="161"/>
        <v>DEEZ NUTS</v>
      </c>
      <c r="AD121" s="1176" t="str">
        <f t="shared" si="162"/>
        <v>PVE FFL GAME 145</v>
      </c>
      <c r="AE121" s="967">
        <f t="shared" si="163"/>
        <v>83.13</v>
      </c>
      <c r="AF121" s="1215">
        <f t="shared" si="164"/>
        <v>274.63</v>
      </c>
      <c r="AG121" s="572">
        <f t="shared" si="165"/>
        <v>419</v>
      </c>
    </row>
    <row r="122" ht="15.75" customHeight="1">
      <c r="C122" s="13">
        <v>121.0</v>
      </c>
      <c r="D122" s="1238">
        <v>2021.0</v>
      </c>
      <c r="E122" s="217" t="s">
        <v>515</v>
      </c>
      <c r="F122" s="960" t="s">
        <v>665</v>
      </c>
      <c r="G122" s="961" t="str">
        <f>'League History BACKEND 2021'!$G$57</f>
        <v>SAVAGES</v>
      </c>
      <c r="H122" s="962">
        <v>142.42</v>
      </c>
      <c r="I122" s="963">
        <v>147.98</v>
      </c>
      <c r="J122" s="964" t="str">
        <f>'League History BACKEND 2021'!J57</f>
        <v>DEEZ NUTS</v>
      </c>
      <c r="K122" s="965" t="str">
        <f t="shared" si="1"/>
        <v>DEEZ NUTS</v>
      </c>
      <c r="L122" s="966" t="str">
        <f t="shared" si="2"/>
        <v>SAVAGES</v>
      </c>
      <c r="M122" s="967">
        <f t="array" ref="M122">IFERROR(IF(ABS(H122-I122)=0,Tie,ABS(H122-I122)),"UPCOMING")</f>
        <v>5.56</v>
      </c>
      <c r="N122" s="968">
        <f t="shared" si="3"/>
        <v>42</v>
      </c>
      <c r="O122" s="969">
        <f t="shared" si="4"/>
        <v>381</v>
      </c>
      <c r="P122" s="967">
        <f t="shared" si="5"/>
        <v>290.4</v>
      </c>
      <c r="Q122" s="968">
        <f t="shared" si="6"/>
        <v>329</v>
      </c>
      <c r="R122" s="967">
        <f t="shared" si="7"/>
        <v>185.5</v>
      </c>
      <c r="S122" s="970">
        <f t="shared" si="8"/>
        <v>153</v>
      </c>
      <c r="U122" s="13" t="str">
        <f>IFERROR(__xludf.DUMMYFUNCTION("IF($T122=""Y"",
  IFERROR(
    RANK.EQ($R122, FILTER($R:$R, $T:$T=""Y""), 1)
    + COUNTIFS($R:$R, $R122, $M:$M, ""&lt;""&amp;$M122, $T:$T, ""Y""),
    ""UPCOMING""
  ),
  ""NO REF""
)
"),"NO REF")</f>
        <v>NO REF</v>
      </c>
      <c r="X122" s="1184">
        <v>4.0</v>
      </c>
      <c r="Y122" s="967">
        <f t="shared" si="157"/>
        <v>374</v>
      </c>
      <c r="Z122" s="1176">
        <f t="shared" si="158"/>
        <v>2019</v>
      </c>
      <c r="AA122" s="1176" t="str">
        <f t="shared" si="159"/>
        <v>WEEK 10</v>
      </c>
      <c r="AB122" s="1177" t="str">
        <f t="shared" si="160"/>
        <v>YARDIES</v>
      </c>
      <c r="AC122" s="1176" t="str">
        <f t="shared" si="161"/>
        <v>GREEN</v>
      </c>
      <c r="AD122" s="1176" t="str">
        <f t="shared" si="162"/>
        <v>PVE FFL GAME 40</v>
      </c>
      <c r="AE122" s="967">
        <f t="shared" si="163"/>
        <v>65.64</v>
      </c>
      <c r="AF122" s="1215">
        <f t="shared" si="164"/>
        <v>254.66</v>
      </c>
      <c r="AG122" s="572">
        <f t="shared" si="165"/>
        <v>418</v>
      </c>
    </row>
    <row r="123" ht="15.75" customHeight="1">
      <c r="C123" s="13">
        <v>122.0</v>
      </c>
      <c r="D123" s="1238">
        <v>2021.0</v>
      </c>
      <c r="E123" s="217" t="s">
        <v>515</v>
      </c>
      <c r="F123" s="960" t="s">
        <v>670</v>
      </c>
      <c r="G123" s="961" t="str">
        <f>'League History BACKEND 2021'!$G$59</f>
        <v>DECOUPES</v>
      </c>
      <c r="H123" s="962">
        <v>142.62</v>
      </c>
      <c r="I123" s="963">
        <v>126.93</v>
      </c>
      <c r="J123" s="964" t="str">
        <f>'League History BACKEND 2021'!J59</f>
        <v>METAMOOKDAWGS</v>
      </c>
      <c r="K123" s="965" t="str">
        <f t="shared" si="1"/>
        <v>DECOUPES</v>
      </c>
      <c r="L123" s="966" t="str">
        <f t="shared" si="2"/>
        <v>METAMOOKDAWGS</v>
      </c>
      <c r="M123" s="967">
        <f t="array" ref="M123">IFERROR(IF(ABS(H123-I123)=0,Tie,ABS(H123-I123)),"UPCOMING")</f>
        <v>15.69</v>
      </c>
      <c r="N123" s="968">
        <f t="shared" si="3"/>
        <v>116</v>
      </c>
      <c r="O123" s="969">
        <f t="shared" si="4"/>
        <v>306</v>
      </c>
      <c r="P123" s="967">
        <f t="shared" si="5"/>
        <v>269.55</v>
      </c>
      <c r="Q123" s="968">
        <f t="shared" si="6"/>
        <v>374</v>
      </c>
      <c r="R123" s="967">
        <f t="shared" si="7"/>
        <v>245</v>
      </c>
      <c r="S123" s="970">
        <f t="shared" si="8"/>
        <v>280</v>
      </c>
      <c r="U123" s="13" t="str">
        <f>IFERROR(__xludf.DUMMYFUNCTION("IF($T123=""Y"",
  IFERROR(
    RANK.EQ($R123, FILTER($R:$R, $T:$T=""Y""), 1)
    + COUNTIFS($R:$R, $R123, $M:$M, ""&lt;""&amp;$M123, $T:$T, ""Y""),
    ""UPCOMING""
  ),
  ""NO REF""
)
"),"NO REF")</f>
        <v>NO REF</v>
      </c>
      <c r="X123" s="823">
        <v>5.0</v>
      </c>
      <c r="Y123" s="967">
        <f t="shared" si="157"/>
        <v>370</v>
      </c>
      <c r="Z123" s="1176">
        <f t="shared" si="158"/>
        <v>2019</v>
      </c>
      <c r="AA123" s="1176" t="str">
        <f t="shared" si="159"/>
        <v>WEEK 7</v>
      </c>
      <c r="AB123" s="1177" t="str">
        <f t="shared" si="160"/>
        <v>MUTTS</v>
      </c>
      <c r="AC123" s="1176" t="str">
        <f t="shared" si="161"/>
        <v>DECOUPES</v>
      </c>
      <c r="AD123" s="1176" t="str">
        <f t="shared" si="162"/>
        <v>PVE FFL GAME 25</v>
      </c>
      <c r="AE123" s="967">
        <f t="shared" si="163"/>
        <v>75.75</v>
      </c>
      <c r="AF123" s="1215">
        <f t="shared" si="164"/>
        <v>278.23</v>
      </c>
      <c r="AG123" s="572">
        <f t="shared" si="165"/>
        <v>417</v>
      </c>
    </row>
    <row r="124" ht="15.75" customHeight="1">
      <c r="C124" s="13">
        <v>123.0</v>
      </c>
      <c r="D124" s="1238">
        <v>2021.0</v>
      </c>
      <c r="E124" s="217" t="s">
        <v>515</v>
      </c>
      <c r="F124" s="960" t="s">
        <v>671</v>
      </c>
      <c r="G124" s="961" t="str">
        <f>'League History BACKEND 2021'!$G$61</f>
        <v>GREEN</v>
      </c>
      <c r="H124" s="962">
        <v>136.69</v>
      </c>
      <c r="I124" s="963">
        <v>153.14</v>
      </c>
      <c r="J124" s="964" t="str">
        <f>'League History BACKEND 2021'!J61</f>
        <v>MUTTS</v>
      </c>
      <c r="K124" s="965" t="str">
        <f t="shared" si="1"/>
        <v>MUTTS</v>
      </c>
      <c r="L124" s="966" t="str">
        <f t="shared" si="2"/>
        <v>GREEN</v>
      </c>
      <c r="M124" s="967">
        <f t="array" ref="M124">IFERROR(IF(ABS(H124-I124)=0,Tie,ABS(H124-I124)),"UPCOMING")</f>
        <v>16.45</v>
      </c>
      <c r="N124" s="968">
        <f t="shared" si="3"/>
        <v>120</v>
      </c>
      <c r="O124" s="969">
        <f t="shared" si="4"/>
        <v>302</v>
      </c>
      <c r="P124" s="967">
        <f t="shared" si="5"/>
        <v>289.83</v>
      </c>
      <c r="Q124" s="968">
        <f t="shared" si="6"/>
        <v>330</v>
      </c>
      <c r="R124" s="967">
        <f t="shared" si="7"/>
        <v>225</v>
      </c>
      <c r="S124" s="970">
        <f t="shared" si="8"/>
        <v>241</v>
      </c>
      <c r="U124" s="13" t="str">
        <f>IFERROR(__xludf.DUMMYFUNCTION("IF($T124=""Y"",
  IFERROR(
    RANK.EQ($R124, FILTER($R:$R, $T:$T=""Y""), 1)
    + COUNTIFS($R:$R, $R124, $M:$M, ""&lt;""&amp;$M124, $T:$T, ""Y""),
    ""UPCOMING""
  ),
  ""NO REF""
)
"),"NO REF")</f>
        <v>NO REF</v>
      </c>
      <c r="X124" s="1184">
        <v>6.0</v>
      </c>
      <c r="Y124" s="967">
        <f t="shared" si="157"/>
        <v>363</v>
      </c>
      <c r="Z124" s="1176">
        <f t="shared" si="158"/>
        <v>2025</v>
      </c>
      <c r="AA124" s="1176" t="str">
        <f t="shared" si="159"/>
        <v>WEEK 14</v>
      </c>
      <c r="AB124" s="1177" t="str">
        <f t="shared" si="160"/>
        <v>GREEN</v>
      </c>
      <c r="AC124" s="1176" t="str">
        <f t="shared" si="161"/>
        <v>KINGS</v>
      </c>
      <c r="AD124" s="1176" t="str">
        <f t="shared" si="162"/>
        <v>PVE FFL GAME 417</v>
      </c>
      <c r="AE124" s="967">
        <f t="shared" si="163"/>
        <v>58.72</v>
      </c>
      <c r="AF124" s="1215">
        <f t="shared" si="164"/>
        <v>254.86</v>
      </c>
      <c r="AG124" s="572">
        <f t="shared" si="165"/>
        <v>416</v>
      </c>
    </row>
    <row r="125" ht="15.75" customHeight="1">
      <c r="C125" s="13">
        <v>124.0</v>
      </c>
      <c r="D125" s="1238">
        <v>2021.0</v>
      </c>
      <c r="E125" s="217" t="s">
        <v>515</v>
      </c>
      <c r="F125" s="960" t="s">
        <v>1018</v>
      </c>
      <c r="G125" s="961" t="str">
        <f>'League History BACKEND 2021'!$G$63</f>
        <v>CHAMPS</v>
      </c>
      <c r="H125" s="962">
        <v>139.24</v>
      </c>
      <c r="I125" s="963">
        <v>166.28</v>
      </c>
      <c r="J125" s="964" t="str">
        <f>'League History BACKEND 2021'!J63</f>
        <v>YARDIES</v>
      </c>
      <c r="K125" s="965" t="str">
        <f t="shared" si="1"/>
        <v>YARDIES</v>
      </c>
      <c r="L125" s="966" t="str">
        <f t="shared" si="2"/>
        <v>CHAMPS</v>
      </c>
      <c r="M125" s="967">
        <f t="array" ref="M125">IFERROR(IF(ABS(H125-I125)=0,Tie,ABS(H125-I125)),"UPCOMING")</f>
        <v>27.04</v>
      </c>
      <c r="N125" s="968">
        <f t="shared" si="3"/>
        <v>183</v>
      </c>
      <c r="O125" s="969">
        <f t="shared" si="4"/>
        <v>239</v>
      </c>
      <c r="P125" s="967">
        <f t="shared" si="5"/>
        <v>305.52</v>
      </c>
      <c r="Q125" s="968">
        <f t="shared" si="6"/>
        <v>291</v>
      </c>
      <c r="R125" s="967">
        <f t="shared" si="7"/>
        <v>237</v>
      </c>
      <c r="S125" s="970">
        <f t="shared" si="8"/>
        <v>260</v>
      </c>
      <c r="U125" s="13" t="str">
        <f>IFERROR(__xludf.DUMMYFUNCTION("IF($T125=""Y"",
  IFERROR(
    RANK.EQ($R125, FILTER($R:$R, $T:$T=""Y""), 1)
    + COUNTIFS($R:$R, $R125, $M:$M, ""&lt;""&amp;$M125, $T:$T, ""Y""),
    ""UPCOMING""
  ),
  ""NO REF""
)
"),"NO REF")</f>
        <v>NO REF</v>
      </c>
      <c r="X125" s="823">
        <v>7.0</v>
      </c>
      <c r="Y125" s="967">
        <f t="shared" si="157"/>
        <v>361</v>
      </c>
      <c r="Z125" s="1176">
        <f t="shared" si="158"/>
        <v>2019</v>
      </c>
      <c r="AA125" s="1176" t="str">
        <f t="shared" si="159"/>
        <v>WEEK 6</v>
      </c>
      <c r="AB125" s="1177" t="str">
        <f t="shared" si="160"/>
        <v>SAVAGES</v>
      </c>
      <c r="AC125" s="1176" t="str">
        <f t="shared" si="161"/>
        <v>DECOUPES</v>
      </c>
      <c r="AD125" s="1176" t="str">
        <f t="shared" si="162"/>
        <v>PVE FFL GAME 21</v>
      </c>
      <c r="AE125" s="967">
        <f t="shared" si="163"/>
        <v>53</v>
      </c>
      <c r="AF125" s="1215">
        <f t="shared" si="164"/>
        <v>240.28</v>
      </c>
      <c r="AG125" s="572">
        <f t="shared" si="165"/>
        <v>413</v>
      </c>
    </row>
    <row r="126" ht="15.75" customHeight="1">
      <c r="C126" s="13">
        <v>125.0</v>
      </c>
      <c r="D126" s="1238">
        <v>2021.0</v>
      </c>
      <c r="E126" s="217" t="s">
        <v>516</v>
      </c>
      <c r="F126" s="960" t="s">
        <v>663</v>
      </c>
      <c r="G126" s="961" t="str">
        <f>'League History BACKEND 2021'!$G$67</f>
        <v>POPEYES</v>
      </c>
      <c r="H126" s="962">
        <v>218.29</v>
      </c>
      <c r="I126" s="963">
        <v>168.27</v>
      </c>
      <c r="J126" s="964" t="str">
        <f>'League History BACKEND 2021'!J67</f>
        <v>SAVAGES</v>
      </c>
      <c r="K126" s="965" t="str">
        <f t="shared" si="1"/>
        <v>POPEYES</v>
      </c>
      <c r="L126" s="966" t="str">
        <f t="shared" si="2"/>
        <v>SAVAGES</v>
      </c>
      <c r="M126" s="967">
        <f t="array" ref="M126">IFERROR(IF(ABS(H126-I126)=0,Tie,ABS(H126-I126)),"UPCOMING")</f>
        <v>50.02</v>
      </c>
      <c r="N126" s="968">
        <f t="shared" si="3"/>
        <v>308</v>
      </c>
      <c r="O126" s="969">
        <f t="shared" si="4"/>
        <v>114</v>
      </c>
      <c r="P126" s="967">
        <f t="shared" si="5"/>
        <v>386.56</v>
      </c>
      <c r="Q126" s="968">
        <f t="shared" si="6"/>
        <v>74</v>
      </c>
      <c r="R126" s="967">
        <f t="shared" si="7"/>
        <v>191</v>
      </c>
      <c r="S126" s="970">
        <f t="shared" si="8"/>
        <v>165</v>
      </c>
      <c r="U126" s="13" t="str">
        <f>IFERROR(__xludf.DUMMYFUNCTION("IF($T126=""Y"",
  IFERROR(
    RANK.EQ($R126, FILTER($R:$R, $T:$T=""Y""), 1)
    + COUNTIFS($R:$R, $R126, $M:$M, ""&lt;""&amp;$M126, $T:$T, ""Y""),
    ""UPCOMING""
  ),
  ""NO REF""
)
"),"NO REF")</f>
        <v>NO REF</v>
      </c>
      <c r="X126" s="1184">
        <v>8.0</v>
      </c>
      <c r="Y126" s="967">
        <f t="shared" si="157"/>
        <v>361</v>
      </c>
      <c r="Z126" s="1176">
        <f t="shared" si="158"/>
        <v>2019</v>
      </c>
      <c r="AA126" s="1176" t="str">
        <f t="shared" si="159"/>
        <v>WEEK 6</v>
      </c>
      <c r="AB126" s="1177" t="str">
        <f t="shared" si="160"/>
        <v>SAVAGES</v>
      </c>
      <c r="AC126" s="1176" t="str">
        <f t="shared" si="161"/>
        <v>DECOUPES</v>
      </c>
      <c r="AD126" s="1176" t="str">
        <f t="shared" si="162"/>
        <v>PVE FFL GAME 21</v>
      </c>
      <c r="AE126" s="967">
        <f t="shared" si="163"/>
        <v>53</v>
      </c>
      <c r="AF126" s="1215">
        <f t="shared" si="164"/>
        <v>240.28</v>
      </c>
      <c r="AG126" s="572">
        <f t="shared" si="165"/>
        <v>413</v>
      </c>
    </row>
    <row r="127" ht="15.75" customHeight="1">
      <c r="C127" s="13">
        <v>126.0</v>
      </c>
      <c r="D127" s="1238">
        <v>2021.0</v>
      </c>
      <c r="E127" s="217" t="s">
        <v>516</v>
      </c>
      <c r="F127" s="960" t="s">
        <v>665</v>
      </c>
      <c r="G127" s="961" t="str">
        <f>'League History BACKEND 2021'!$G$69</f>
        <v>DECOUPES</v>
      </c>
      <c r="H127" s="962">
        <v>196.96</v>
      </c>
      <c r="I127" s="963">
        <v>120.21</v>
      </c>
      <c r="J127" s="964" t="str">
        <f>'League History BACKEND 2021'!J69</f>
        <v>CHAMPS</v>
      </c>
      <c r="K127" s="965" t="str">
        <f t="shared" si="1"/>
        <v>DECOUPES</v>
      </c>
      <c r="L127" s="966" t="str">
        <f t="shared" si="2"/>
        <v>CHAMPS</v>
      </c>
      <c r="M127" s="967">
        <f t="array" ref="M127">IFERROR(IF(ABS(H127-I127)=0,Tie,ABS(H127-I127)),"UPCOMING")</f>
        <v>76.75</v>
      </c>
      <c r="N127" s="968">
        <f t="shared" si="3"/>
        <v>383</v>
      </c>
      <c r="O127" s="969">
        <f t="shared" si="4"/>
        <v>39</v>
      </c>
      <c r="P127" s="967">
        <f t="shared" si="5"/>
        <v>317.17</v>
      </c>
      <c r="Q127" s="968">
        <f t="shared" si="6"/>
        <v>254</v>
      </c>
      <c r="R127" s="967">
        <f t="shared" si="7"/>
        <v>318.5</v>
      </c>
      <c r="S127" s="970">
        <f t="shared" si="8"/>
        <v>378</v>
      </c>
      <c r="U127" s="13" t="str">
        <f>IFERROR(__xludf.DUMMYFUNCTION("IF($T127=""Y"",
  IFERROR(
    RANK.EQ($R127, FILTER($R:$R, $T:$T=""Y""), 1)
    + COUNTIFS($R:$R, $R127, $M:$M, ""&lt;""&amp;$M127, $T:$T, ""Y""),
    ""UPCOMING""
  ),
  ""NO REF""
)
"),"NO REF")</f>
        <v>NO REF</v>
      </c>
      <c r="X127" s="823">
        <v>9.0</v>
      </c>
      <c r="Y127" s="967">
        <f t="shared" si="157"/>
        <v>361</v>
      </c>
      <c r="Z127" s="1176">
        <f t="shared" si="158"/>
        <v>2019</v>
      </c>
      <c r="AA127" s="1176" t="str">
        <f t="shared" si="159"/>
        <v>WEEK 6</v>
      </c>
      <c r="AB127" s="1177" t="str">
        <f t="shared" si="160"/>
        <v>SAVAGES</v>
      </c>
      <c r="AC127" s="1176" t="str">
        <f t="shared" si="161"/>
        <v>DECOUPES</v>
      </c>
      <c r="AD127" s="1176" t="str">
        <f t="shared" si="162"/>
        <v>PVE FFL GAME 21</v>
      </c>
      <c r="AE127" s="967">
        <f t="shared" si="163"/>
        <v>53</v>
      </c>
      <c r="AF127" s="1215">
        <f t="shared" si="164"/>
        <v>240.28</v>
      </c>
      <c r="AG127" s="572">
        <f t="shared" si="165"/>
        <v>413</v>
      </c>
    </row>
    <row r="128" ht="15.75" customHeight="1">
      <c r="C128" s="13">
        <v>127.0</v>
      </c>
      <c r="D128" s="1238">
        <v>2021.0</v>
      </c>
      <c r="E128" s="217" t="s">
        <v>516</v>
      </c>
      <c r="F128" s="960" t="s">
        <v>670</v>
      </c>
      <c r="G128" s="961" t="str">
        <f>'League History BACKEND 2021'!$G$71</f>
        <v>METAMOOKDAWGS</v>
      </c>
      <c r="H128" s="962">
        <v>196.8</v>
      </c>
      <c r="I128" s="963">
        <v>223.53</v>
      </c>
      <c r="J128" s="964" t="str">
        <f>'League History BACKEND 2021'!J71</f>
        <v>MUTTS</v>
      </c>
      <c r="K128" s="965" t="str">
        <f t="shared" si="1"/>
        <v>MUTTS</v>
      </c>
      <c r="L128" s="966" t="str">
        <f t="shared" si="2"/>
        <v>METAMOOKDAWGS</v>
      </c>
      <c r="M128" s="967">
        <f t="array" ref="M128">IFERROR(IF(ABS(H128-I128)=0,Tie,ABS(H128-I128)),"UPCOMING")</f>
        <v>26.73</v>
      </c>
      <c r="N128" s="968">
        <f t="shared" si="3"/>
        <v>181</v>
      </c>
      <c r="O128" s="969">
        <f t="shared" si="4"/>
        <v>241</v>
      </c>
      <c r="P128" s="967">
        <f t="shared" si="5"/>
        <v>420.33</v>
      </c>
      <c r="Q128" s="968">
        <f t="shared" si="6"/>
        <v>27</v>
      </c>
      <c r="R128" s="967">
        <f t="shared" si="7"/>
        <v>104</v>
      </c>
      <c r="S128" s="970">
        <f t="shared" si="8"/>
        <v>40</v>
      </c>
      <c r="U128" s="13" t="str">
        <f>IFERROR(__xludf.DUMMYFUNCTION("IF($T128=""Y"",
  IFERROR(
    RANK.EQ($R128, FILTER($R:$R, $T:$T=""Y""), 1)
    + COUNTIFS($R:$R, $R128, $M:$M, ""&lt;""&amp;$M128, $T:$T, ""Y""),
    ""UPCOMING""
  ),
  ""NO REF""
)
"),"NO REF")</f>
        <v>NO REF</v>
      </c>
      <c r="X128" s="1184">
        <v>10.0</v>
      </c>
      <c r="Y128" s="967">
        <f t="shared" si="157"/>
        <v>359</v>
      </c>
      <c r="Z128" s="1176">
        <f t="shared" si="158"/>
        <v>2022</v>
      </c>
      <c r="AA128" s="1176" t="str">
        <f t="shared" si="159"/>
        <v>WEEK 8</v>
      </c>
      <c r="AB128" s="1177" t="str">
        <f t="shared" si="160"/>
        <v>YARDIES</v>
      </c>
      <c r="AC128" s="1176" t="str">
        <f t="shared" si="161"/>
        <v>METAMOOKDAWGS</v>
      </c>
      <c r="AD128" s="1176" t="str">
        <f t="shared" si="162"/>
        <v>PVE FFL GAME 201</v>
      </c>
      <c r="AE128" s="967">
        <f t="shared" si="163"/>
        <v>100.39</v>
      </c>
      <c r="AF128" s="1215">
        <f t="shared" si="164"/>
        <v>297.79</v>
      </c>
      <c r="AG128" s="572">
        <f t="shared" si="165"/>
        <v>412</v>
      </c>
    </row>
    <row r="129" ht="15.75" customHeight="1">
      <c r="C129" s="13">
        <v>128.0</v>
      </c>
      <c r="D129" s="1238">
        <v>2021.0</v>
      </c>
      <c r="E129" s="217" t="s">
        <v>516</v>
      </c>
      <c r="F129" s="960" t="s">
        <v>671</v>
      </c>
      <c r="G129" s="961" t="str">
        <f>'League History BACKEND 2021'!$G$73</f>
        <v>YARDIES</v>
      </c>
      <c r="H129" s="962">
        <v>166.11</v>
      </c>
      <c r="I129" s="963">
        <v>130.79</v>
      </c>
      <c r="J129" s="964" t="str">
        <f>'League History BACKEND 2021'!J73</f>
        <v>DEEZ NUTS</v>
      </c>
      <c r="K129" s="965" t="str">
        <f t="shared" si="1"/>
        <v>YARDIES</v>
      </c>
      <c r="L129" s="966" t="str">
        <f t="shared" si="2"/>
        <v>DEEZ NUTS</v>
      </c>
      <c r="M129" s="967">
        <f t="array" ref="M129">IFERROR(IF(ABS(H129-I129)=0,Tie,ABS(H129-I129)),"UPCOMING")</f>
        <v>35.32</v>
      </c>
      <c r="N129" s="968">
        <f t="shared" si="3"/>
        <v>227</v>
      </c>
      <c r="O129" s="969">
        <f t="shared" si="4"/>
        <v>195</v>
      </c>
      <c r="P129" s="967">
        <f t="shared" si="5"/>
        <v>296.9</v>
      </c>
      <c r="Q129" s="968">
        <f t="shared" si="6"/>
        <v>313</v>
      </c>
      <c r="R129" s="967">
        <f t="shared" si="7"/>
        <v>270</v>
      </c>
      <c r="S129" s="970">
        <f t="shared" si="8"/>
        <v>318</v>
      </c>
      <c r="U129" s="13" t="str">
        <f>IFERROR(__xludf.DUMMYFUNCTION("IF($T129=""Y"",
  IFERROR(
    RANK.EQ($R129, FILTER($R:$R, $T:$T=""Y""), 1)
    + COUNTIFS($R:$R, $R129, $M:$M, ""&lt;""&amp;$M129, $T:$T, ""Y""),
    ""UPCOMING""
  ),
  ""NO REF""
)
"),"NO REF")</f>
        <v>NO REF</v>
      </c>
      <c r="X129" s="823">
        <v>11.0</v>
      </c>
      <c r="Y129" s="967">
        <f t="shared" si="157"/>
        <v>357.5</v>
      </c>
      <c r="Z129" s="1176">
        <f t="shared" si="158"/>
        <v>2024</v>
      </c>
      <c r="AA129" s="1176" t="str">
        <f t="shared" si="159"/>
        <v>WEEK 1</v>
      </c>
      <c r="AB129" s="1177" t="str">
        <f t="shared" si="160"/>
        <v>POPEYES</v>
      </c>
      <c r="AC129" s="1176" t="str">
        <f t="shared" si="161"/>
        <v>CHAMPS</v>
      </c>
      <c r="AD129" s="1176" t="str">
        <f t="shared" si="162"/>
        <v>PVE FFL GAME 282</v>
      </c>
      <c r="AE129" s="967">
        <f t="shared" si="163"/>
        <v>72.85</v>
      </c>
      <c r="AF129" s="1215">
        <f t="shared" si="164"/>
        <v>282.51</v>
      </c>
      <c r="AG129" s="572">
        <f t="shared" si="165"/>
        <v>411</v>
      </c>
    </row>
    <row r="130" ht="15.75" customHeight="1">
      <c r="C130" s="13">
        <v>129.0</v>
      </c>
      <c r="D130" s="1238">
        <v>2021.0</v>
      </c>
      <c r="E130" s="217" t="s">
        <v>517</v>
      </c>
      <c r="F130" s="960" t="s">
        <v>663</v>
      </c>
      <c r="G130" s="961" t="str">
        <f>'League History BACKEND 2021'!$G$81</f>
        <v>POPEYES</v>
      </c>
      <c r="H130" s="962">
        <v>124.73</v>
      </c>
      <c r="I130" s="963">
        <v>252.52</v>
      </c>
      <c r="J130" s="964" t="str">
        <f>'League History BACKEND 2021'!J81</f>
        <v>DECOUPES</v>
      </c>
      <c r="K130" s="965" t="str">
        <f t="shared" si="1"/>
        <v>DECOUPES</v>
      </c>
      <c r="L130" s="966" t="str">
        <f t="shared" si="2"/>
        <v>POPEYES</v>
      </c>
      <c r="M130" s="967">
        <f t="array" ref="M130">IFERROR(IF(ABS(H130-I130)=0,Tie,ABS(H130-I130)),"UPCOMING")</f>
        <v>127.79</v>
      </c>
      <c r="N130" s="968">
        <f t="shared" si="3"/>
        <v>416</v>
      </c>
      <c r="O130" s="969">
        <f t="shared" si="4"/>
        <v>6</v>
      </c>
      <c r="P130" s="967">
        <f t="shared" si="5"/>
        <v>377.25</v>
      </c>
      <c r="Q130" s="968">
        <f t="shared" si="6"/>
        <v>102</v>
      </c>
      <c r="R130" s="967">
        <f t="shared" si="7"/>
        <v>259</v>
      </c>
      <c r="S130" s="970">
        <f t="shared" si="8"/>
        <v>302</v>
      </c>
      <c r="U130" s="13" t="str">
        <f>IFERROR(__xludf.DUMMYFUNCTION("IF($T130=""Y"",
  IFERROR(
    RANK.EQ($R130, FILTER($R:$R, $T:$T=""Y""), 1)
    + COUNTIFS($R:$R, $R130, $M:$M, ""&lt;""&amp;$M130, $T:$T, ""Y""),
    ""UPCOMING""
  ),
  ""NO REF""
)
"),"NO REF")</f>
        <v>NO REF</v>
      </c>
      <c r="X130" s="1184">
        <v>12.0</v>
      </c>
      <c r="Y130" s="967">
        <f t="shared" si="157"/>
        <v>355.5</v>
      </c>
      <c r="Z130" s="1176">
        <f t="shared" si="158"/>
        <v>2019</v>
      </c>
      <c r="AA130" s="1176" t="str">
        <f t="shared" si="159"/>
        <v>WEEK 5</v>
      </c>
      <c r="AB130" s="1177" t="str">
        <f t="shared" si="160"/>
        <v>DEEZ NUTS</v>
      </c>
      <c r="AC130" s="1176" t="str">
        <f t="shared" si="161"/>
        <v>YARDIES</v>
      </c>
      <c r="AD130" s="1176" t="str">
        <f t="shared" si="162"/>
        <v>PVE FFL GAME 19</v>
      </c>
      <c r="AE130" s="967">
        <f t="shared" si="163"/>
        <v>64.56</v>
      </c>
      <c r="AF130" s="1215">
        <f t="shared" si="164"/>
        <v>278</v>
      </c>
      <c r="AG130" s="572">
        <f t="shared" si="165"/>
        <v>410</v>
      </c>
    </row>
    <row r="131" ht="15.75" customHeight="1">
      <c r="C131" s="13">
        <v>130.0</v>
      </c>
      <c r="D131" s="1238">
        <v>2021.0</v>
      </c>
      <c r="E131" s="217" t="s">
        <v>517</v>
      </c>
      <c r="F131" s="960" t="s">
        <v>665</v>
      </c>
      <c r="G131" s="961" t="str">
        <f>'League History BACKEND 2021'!$G$83</f>
        <v>GREEN</v>
      </c>
      <c r="H131" s="962">
        <v>135.28</v>
      </c>
      <c r="I131" s="963">
        <v>171.44</v>
      </c>
      <c r="J131" s="964" t="str">
        <f>'League History BACKEND 2021'!J83</f>
        <v>CHAMPS</v>
      </c>
      <c r="K131" s="965" t="str">
        <f t="shared" si="1"/>
        <v>CHAMPS</v>
      </c>
      <c r="L131" s="966" t="str">
        <f t="shared" si="2"/>
        <v>GREEN</v>
      </c>
      <c r="M131" s="967">
        <f t="array" ref="M131">IFERROR(IF(ABS(H131-I131)=0,Tie,ABS(H131-I131)),"UPCOMING")</f>
        <v>36.16</v>
      </c>
      <c r="N131" s="968">
        <f t="shared" si="3"/>
        <v>234</v>
      </c>
      <c r="O131" s="969">
        <f t="shared" si="4"/>
        <v>188</v>
      </c>
      <c r="P131" s="967">
        <f t="shared" si="5"/>
        <v>306.72</v>
      </c>
      <c r="Q131" s="968">
        <f t="shared" si="6"/>
        <v>288</v>
      </c>
      <c r="R131" s="967">
        <f t="shared" si="7"/>
        <v>261</v>
      </c>
      <c r="S131" s="970">
        <f t="shared" si="8"/>
        <v>304</v>
      </c>
      <c r="U131" s="13" t="str">
        <f>IFERROR(__xludf.DUMMYFUNCTION("IF($T131=""Y"",
  IFERROR(
    RANK.EQ($R131, FILTER($R:$R, $T:$T=""Y""), 1)
    + COUNTIFS($R:$R, $R131, $M:$M, ""&lt;""&amp;$M131, $T:$T, ""Y""),
    ""UPCOMING""
  ),
  ""NO REF""
)
"),"NO REF")</f>
        <v>NO REF</v>
      </c>
      <c r="X131" s="823">
        <v>13.0</v>
      </c>
      <c r="Y131" s="967">
        <f t="shared" si="157"/>
        <v>355.5</v>
      </c>
      <c r="Z131" s="1176">
        <f t="shared" si="158"/>
        <v>2019</v>
      </c>
      <c r="AA131" s="1176" t="str">
        <f t="shared" si="159"/>
        <v>WEEK 5</v>
      </c>
      <c r="AB131" s="1177" t="str">
        <f t="shared" si="160"/>
        <v>DEEZ NUTS</v>
      </c>
      <c r="AC131" s="1176" t="str">
        <f t="shared" si="161"/>
        <v>YARDIES</v>
      </c>
      <c r="AD131" s="1176" t="str">
        <f t="shared" si="162"/>
        <v>PVE FFL GAME 19</v>
      </c>
      <c r="AE131" s="967">
        <f t="shared" si="163"/>
        <v>64.56</v>
      </c>
      <c r="AF131" s="1215">
        <f t="shared" si="164"/>
        <v>278</v>
      </c>
      <c r="AG131" s="572">
        <f t="shared" si="165"/>
        <v>410</v>
      </c>
    </row>
    <row r="132" ht="15.75" customHeight="1">
      <c r="C132" s="13">
        <v>131.0</v>
      </c>
      <c r="D132" s="1238">
        <v>2021.0</v>
      </c>
      <c r="E132" s="217" t="s">
        <v>517</v>
      </c>
      <c r="F132" s="960" t="s">
        <v>670</v>
      </c>
      <c r="G132" s="961" t="str">
        <f>'League History BACKEND 2021'!$G$85</f>
        <v>METAMOOKDAWGS</v>
      </c>
      <c r="H132" s="962">
        <v>155.8</v>
      </c>
      <c r="I132" s="963">
        <v>195.9</v>
      </c>
      <c r="J132" s="964" t="str">
        <f>'League History BACKEND 2021'!J85</f>
        <v>YARDIES</v>
      </c>
      <c r="K132" s="965" t="str">
        <f t="shared" si="1"/>
        <v>YARDIES</v>
      </c>
      <c r="L132" s="966" t="str">
        <f t="shared" si="2"/>
        <v>METAMOOKDAWGS</v>
      </c>
      <c r="M132" s="967">
        <f t="array" ref="M132">IFERROR(IF(ABS(H132-I132)=0,Tie,ABS(H132-I132)),"UPCOMING")</f>
        <v>40.1</v>
      </c>
      <c r="N132" s="968">
        <f t="shared" si="3"/>
        <v>256</v>
      </c>
      <c r="O132" s="969">
        <f t="shared" si="4"/>
        <v>166</v>
      </c>
      <c r="P132" s="967">
        <f t="shared" si="5"/>
        <v>351.7</v>
      </c>
      <c r="Q132" s="968">
        <f t="shared" si="6"/>
        <v>158</v>
      </c>
      <c r="R132" s="967">
        <f t="shared" si="7"/>
        <v>207</v>
      </c>
      <c r="S132" s="970">
        <f t="shared" si="8"/>
        <v>197</v>
      </c>
      <c r="U132" s="13" t="str">
        <f>IFERROR(__xludf.DUMMYFUNCTION("IF($T132=""Y"",
  IFERROR(
    RANK.EQ($R132, FILTER($R:$R, $T:$T=""Y""), 1)
    + COUNTIFS($R:$R, $R132, $M:$M, ""&lt;""&amp;$M132, $T:$T, ""Y""),
    ""UPCOMING""
  ),
  ""NO REF""
)
"),"NO REF")</f>
        <v>NO REF</v>
      </c>
      <c r="X132" s="1184">
        <v>14.0</v>
      </c>
      <c r="Y132" s="967">
        <f t="shared" si="157"/>
        <v>354.5</v>
      </c>
      <c r="Z132" s="1176">
        <f t="shared" si="158"/>
        <v>2021</v>
      </c>
      <c r="AA132" s="1176" t="str">
        <f t="shared" si="159"/>
        <v>WEEK 12</v>
      </c>
      <c r="AB132" s="1177" t="str">
        <f t="shared" si="160"/>
        <v>POPEYES</v>
      </c>
      <c r="AC132" s="1176" t="str">
        <f t="shared" si="161"/>
        <v>CHAMPS</v>
      </c>
      <c r="AD132" s="1176" t="str">
        <f t="shared" si="162"/>
        <v>PVE FFL GAME 155</v>
      </c>
      <c r="AE132" s="967">
        <f t="shared" si="163"/>
        <v>48.46</v>
      </c>
      <c r="AF132" s="1215">
        <f t="shared" si="164"/>
        <v>235.22</v>
      </c>
      <c r="AG132" s="572">
        <f t="shared" si="165"/>
        <v>408</v>
      </c>
    </row>
    <row r="133" ht="15.75" customHeight="1">
      <c r="C133" s="13">
        <v>132.0</v>
      </c>
      <c r="D133" s="1238">
        <v>2021.0</v>
      </c>
      <c r="E133" s="217" t="s">
        <v>517</v>
      </c>
      <c r="F133" s="960" t="s">
        <v>671</v>
      </c>
      <c r="G133" s="961" t="str">
        <f>'League History BACKEND 2021'!$G$87</f>
        <v>GIRLS</v>
      </c>
      <c r="H133" s="962">
        <v>175.38</v>
      </c>
      <c r="I133" s="963">
        <v>158.61</v>
      </c>
      <c r="J133" s="964" t="str">
        <f>'League History BACKEND 2021'!J87</f>
        <v>DEEZ NUTS</v>
      </c>
      <c r="K133" s="965" t="str">
        <f t="shared" si="1"/>
        <v>GIRLS</v>
      </c>
      <c r="L133" s="966" t="str">
        <f t="shared" si="2"/>
        <v>DEEZ NUTS</v>
      </c>
      <c r="M133" s="967">
        <f t="array" ref="M133">IFERROR(IF(ABS(H133-I133)=0,Tie,ABS(H133-I133)),"UPCOMING")</f>
        <v>16.77</v>
      </c>
      <c r="N133" s="968">
        <f t="shared" si="3"/>
        <v>123</v>
      </c>
      <c r="O133" s="969">
        <f t="shared" si="4"/>
        <v>299</v>
      </c>
      <c r="P133" s="967">
        <f t="shared" si="5"/>
        <v>333.99</v>
      </c>
      <c r="Q133" s="968">
        <f t="shared" si="6"/>
        <v>207</v>
      </c>
      <c r="R133" s="967">
        <f t="shared" si="7"/>
        <v>165</v>
      </c>
      <c r="S133" s="970">
        <f t="shared" si="8"/>
        <v>117</v>
      </c>
      <c r="U133" s="13" t="str">
        <f>IFERROR(__xludf.DUMMYFUNCTION("IF($T133=""Y"",
  IFERROR(
    RANK.EQ($R133, FILTER($R:$R, $T:$T=""Y""), 1)
    + COUNTIFS($R:$R, $R133, $M:$M, ""&lt;""&amp;$M133, $T:$T, ""Y""),
    ""UPCOMING""
  ),
  ""NO REF""
)
"),"NO REF")</f>
        <v>NO REF</v>
      </c>
      <c r="X133" s="823">
        <v>15.0</v>
      </c>
      <c r="Y133" s="967">
        <f t="shared" si="157"/>
        <v>348</v>
      </c>
      <c r="Z133" s="1176">
        <f t="shared" si="158"/>
        <v>2019</v>
      </c>
      <c r="AA133" s="1176" t="str">
        <f t="shared" si="159"/>
        <v>WEEK 4</v>
      </c>
      <c r="AB133" s="1177" t="str">
        <f t="shared" si="160"/>
        <v>MUTTS</v>
      </c>
      <c r="AC133" s="1176" t="str">
        <f t="shared" si="161"/>
        <v>GREEN</v>
      </c>
      <c r="AD133" s="1176" t="str">
        <f t="shared" si="162"/>
        <v>PVE FFL GAME 14</v>
      </c>
      <c r="AE133" s="967">
        <f t="shared" si="163"/>
        <v>77.1</v>
      </c>
      <c r="AF133" s="1215">
        <f t="shared" si="164"/>
        <v>297.7</v>
      </c>
      <c r="AG133" s="572">
        <f t="shared" si="165"/>
        <v>407</v>
      </c>
    </row>
    <row r="134" ht="15.75" customHeight="1">
      <c r="C134" s="13">
        <v>133.0</v>
      </c>
      <c r="D134" s="1238">
        <v>2021.0</v>
      </c>
      <c r="E134" s="217" t="s">
        <v>518</v>
      </c>
      <c r="F134" s="960" t="s">
        <v>663</v>
      </c>
      <c r="G134" s="961" t="str">
        <f>'League History BACKEND 2021'!$G$95</f>
        <v>POPEYES</v>
      </c>
      <c r="H134" s="962">
        <v>133.29</v>
      </c>
      <c r="I134" s="963">
        <v>187.71</v>
      </c>
      <c r="J134" s="964" t="str">
        <f>'League History BACKEND 2021'!J95</f>
        <v>GREEN</v>
      </c>
      <c r="K134" s="965" t="str">
        <f t="shared" si="1"/>
        <v>GREEN</v>
      </c>
      <c r="L134" s="966" t="str">
        <f t="shared" si="2"/>
        <v>POPEYES</v>
      </c>
      <c r="M134" s="967">
        <f t="array" ref="M134">IFERROR(IF(ABS(H134-I134)=0,Tie,ABS(H134-I134)),"UPCOMING")</f>
        <v>54.42</v>
      </c>
      <c r="N134" s="968">
        <f t="shared" si="3"/>
        <v>324</v>
      </c>
      <c r="O134" s="969">
        <f t="shared" si="4"/>
        <v>98</v>
      </c>
      <c r="P134" s="967">
        <f t="shared" si="5"/>
        <v>321</v>
      </c>
      <c r="Q134" s="968">
        <f t="shared" si="6"/>
        <v>245</v>
      </c>
      <c r="R134" s="967">
        <f t="shared" si="7"/>
        <v>284.5</v>
      </c>
      <c r="S134" s="970">
        <f t="shared" si="8"/>
        <v>338</v>
      </c>
      <c r="U134" s="13" t="str">
        <f>IFERROR(__xludf.DUMMYFUNCTION("IF($T134=""Y"",
  IFERROR(
    RANK.EQ($R134, FILTER($R:$R, $T:$T=""Y""), 1)
    + COUNTIFS($R:$R, $R134, $M:$M, ""&lt;""&amp;$M134, $T:$T, ""Y""),
    ""UPCOMING""
  ),
  ""NO REF""
)
"),"NO REF")</f>
        <v>NO REF</v>
      </c>
      <c r="X134" s="1184">
        <v>16.0</v>
      </c>
      <c r="Y134" s="967">
        <f t="shared" si="157"/>
        <v>347</v>
      </c>
      <c r="Z134" s="1176">
        <f t="shared" si="158"/>
        <v>2021</v>
      </c>
      <c r="AA134" s="1176" t="str">
        <f t="shared" si="159"/>
        <v>WEEK 9</v>
      </c>
      <c r="AB134" s="1177" t="str">
        <f t="shared" si="160"/>
        <v>MUTTS</v>
      </c>
      <c r="AC134" s="1176" t="str">
        <f t="shared" si="161"/>
        <v>DEEZ NUTS</v>
      </c>
      <c r="AD134" s="1176" t="str">
        <f t="shared" si="162"/>
        <v>PVE FFL GAME 143</v>
      </c>
      <c r="AE134" s="967">
        <f t="shared" si="163"/>
        <v>50.48</v>
      </c>
      <c r="AF134" s="1215">
        <f t="shared" si="164"/>
        <v>261.96</v>
      </c>
      <c r="AG134" s="572">
        <f t="shared" si="165"/>
        <v>405</v>
      </c>
    </row>
    <row r="135" ht="15.75" customHeight="1">
      <c r="C135" s="13">
        <v>134.0</v>
      </c>
      <c r="D135" s="1238">
        <v>2021.0</v>
      </c>
      <c r="E135" s="217" t="s">
        <v>518</v>
      </c>
      <c r="F135" s="960" t="s">
        <v>665</v>
      </c>
      <c r="G135" s="961" t="str">
        <f>'League History BACKEND 2021'!$G$97</f>
        <v>SAVAGES</v>
      </c>
      <c r="H135" s="962">
        <v>187.92</v>
      </c>
      <c r="I135" s="963">
        <v>148.76</v>
      </c>
      <c r="J135" s="964" t="str">
        <f>'League History BACKEND 2021'!J97</f>
        <v>DECOUPES</v>
      </c>
      <c r="K135" s="965" t="str">
        <f t="shared" si="1"/>
        <v>SAVAGES</v>
      </c>
      <c r="L135" s="966" t="str">
        <f t="shared" si="2"/>
        <v>DECOUPES</v>
      </c>
      <c r="M135" s="967">
        <f t="array" ref="M135">IFERROR(IF(ABS(H135-I135)=0,Tie,ABS(H135-I135)),"UPCOMING")</f>
        <v>39.16</v>
      </c>
      <c r="N135" s="968">
        <f t="shared" si="3"/>
        <v>251</v>
      </c>
      <c r="O135" s="969">
        <f t="shared" si="4"/>
        <v>171</v>
      </c>
      <c r="P135" s="967">
        <f t="shared" si="5"/>
        <v>336.68</v>
      </c>
      <c r="Q135" s="968">
        <f t="shared" si="6"/>
        <v>201</v>
      </c>
      <c r="R135" s="967">
        <f t="shared" si="7"/>
        <v>226</v>
      </c>
      <c r="S135" s="970">
        <f t="shared" si="8"/>
        <v>243</v>
      </c>
      <c r="U135" s="13" t="str">
        <f>IFERROR(__xludf.DUMMYFUNCTION("IF($T135=""Y"",
  IFERROR(
    RANK.EQ($R135, FILTER($R:$R, $T:$T=""Y""), 1)
    + COUNTIFS($R:$R, $R135, $M:$M, ""&lt;""&amp;$M135, $T:$T, ""Y""),
    ""UPCOMING""
  ),
  ""NO REF""
)
"),"NO REF")</f>
        <v>NO REF</v>
      </c>
      <c r="X135" s="823">
        <v>17.0</v>
      </c>
      <c r="Y135" s="967">
        <f t="shared" si="157"/>
        <v>347</v>
      </c>
      <c r="Z135" s="1176">
        <f t="shared" si="158"/>
        <v>2021</v>
      </c>
      <c r="AA135" s="1176" t="str">
        <f t="shared" si="159"/>
        <v>WEEK 9</v>
      </c>
      <c r="AB135" s="1177" t="str">
        <f t="shared" si="160"/>
        <v>MUTTS</v>
      </c>
      <c r="AC135" s="1176" t="str">
        <f t="shared" si="161"/>
        <v>DEEZ NUTS</v>
      </c>
      <c r="AD135" s="1176" t="str">
        <f t="shared" si="162"/>
        <v>PVE FFL GAME 143</v>
      </c>
      <c r="AE135" s="967">
        <f t="shared" si="163"/>
        <v>50.48</v>
      </c>
      <c r="AF135" s="1215">
        <f t="shared" si="164"/>
        <v>261.96</v>
      </c>
      <c r="AG135" s="572">
        <f t="shared" si="165"/>
        <v>405</v>
      </c>
    </row>
    <row r="136" ht="15.75" customHeight="1">
      <c r="C136" s="13">
        <v>135.0</v>
      </c>
      <c r="D136" s="1238">
        <v>2021.0</v>
      </c>
      <c r="E136" s="217" t="s">
        <v>518</v>
      </c>
      <c r="F136" s="960" t="s">
        <v>670</v>
      </c>
      <c r="G136" s="961" t="str">
        <f>'League History BACKEND 2021'!$G$99</f>
        <v>METAMOOKDAWGS</v>
      </c>
      <c r="H136" s="962">
        <v>216.28</v>
      </c>
      <c r="I136" s="963">
        <v>195.86</v>
      </c>
      <c r="J136" s="964" t="str">
        <f>'League History BACKEND 2021'!J99</f>
        <v>GIRLS</v>
      </c>
      <c r="K136" s="965" t="str">
        <f t="shared" si="1"/>
        <v>METAMOOKDAWGS</v>
      </c>
      <c r="L136" s="966" t="str">
        <f t="shared" si="2"/>
        <v>GIRLS</v>
      </c>
      <c r="M136" s="967">
        <f t="array" ref="M136">IFERROR(IF(ABS(H136-I136)=0,Tie,ABS(H136-I136)),"UPCOMING")</f>
        <v>20.42</v>
      </c>
      <c r="N136" s="968">
        <f t="shared" si="3"/>
        <v>144</v>
      </c>
      <c r="O136" s="969">
        <f t="shared" si="4"/>
        <v>278</v>
      </c>
      <c r="P136" s="967">
        <f t="shared" si="5"/>
        <v>412.14</v>
      </c>
      <c r="Q136" s="968">
        <f t="shared" si="6"/>
        <v>38</v>
      </c>
      <c r="R136" s="967">
        <f t="shared" si="7"/>
        <v>91</v>
      </c>
      <c r="S136" s="970">
        <f t="shared" si="8"/>
        <v>29</v>
      </c>
      <c r="U136" s="13" t="str">
        <f>IFERROR(__xludf.DUMMYFUNCTION("IF($T136=""Y"",
  IFERROR(
    RANK.EQ($R136, FILTER($R:$R, $T:$T=""Y""), 1)
    + COUNTIFS($R:$R, $R136, $M:$M, ""&lt;""&amp;$M136, $T:$T, ""Y""),
    ""UPCOMING""
  ),
  ""NO REF""
)
"),"NO REF")</f>
        <v>NO REF</v>
      </c>
      <c r="X136" s="1184">
        <v>18.0</v>
      </c>
      <c r="Y136" s="967">
        <f t="shared" si="157"/>
        <v>346</v>
      </c>
      <c r="Z136" s="1176">
        <f t="shared" si="158"/>
        <v>2024</v>
      </c>
      <c r="AA136" s="1176" t="str">
        <f t="shared" si="159"/>
        <v>WEEK 4</v>
      </c>
      <c r="AB136" s="1177" t="str">
        <f t="shared" si="160"/>
        <v>CHAMPS</v>
      </c>
      <c r="AC136" s="1176" t="str">
        <f t="shared" si="161"/>
        <v>GREEN</v>
      </c>
      <c r="AD136" s="1176" t="str">
        <f t="shared" si="162"/>
        <v>PVE FFL GAME 300</v>
      </c>
      <c r="AE136" s="967">
        <f t="shared" si="163"/>
        <v>64.72</v>
      </c>
      <c r="AF136" s="1215">
        <f t="shared" si="164"/>
        <v>283.92</v>
      </c>
      <c r="AG136" s="572">
        <f t="shared" si="165"/>
        <v>404</v>
      </c>
    </row>
    <row r="137" ht="15.75" customHeight="1">
      <c r="C137" s="13">
        <v>136.0</v>
      </c>
      <c r="D137" s="1238">
        <v>2021.0</v>
      </c>
      <c r="E137" s="217" t="s">
        <v>518</v>
      </c>
      <c r="F137" s="960" t="s">
        <v>671</v>
      </c>
      <c r="G137" s="961" t="str">
        <f>'League History BACKEND 2021'!$G$101</f>
        <v>MUTTS</v>
      </c>
      <c r="H137" s="962">
        <v>163.84</v>
      </c>
      <c r="I137" s="963">
        <v>163.82</v>
      </c>
      <c r="J137" s="964" t="str">
        <f>'League History BACKEND 2021'!J101</f>
        <v>YARDIES</v>
      </c>
      <c r="K137" s="965" t="str">
        <f t="shared" si="1"/>
        <v>MUTTS</v>
      </c>
      <c r="L137" s="966" t="str">
        <f t="shared" si="2"/>
        <v>YARDIES</v>
      </c>
      <c r="M137" s="967">
        <f t="array" ref="M137">IFERROR(IF(ABS(H137-I137)=0,Tie,ABS(H137-I137)),"UPCOMING")</f>
        <v>0.02</v>
      </c>
      <c r="N137" s="968">
        <f t="shared" si="3"/>
        <v>1</v>
      </c>
      <c r="O137" s="969">
        <f t="shared" si="4"/>
        <v>421</v>
      </c>
      <c r="P137" s="967">
        <f t="shared" si="5"/>
        <v>327.66</v>
      </c>
      <c r="Q137" s="968">
        <f t="shared" si="6"/>
        <v>225</v>
      </c>
      <c r="R137" s="967">
        <f t="shared" si="7"/>
        <v>113</v>
      </c>
      <c r="S137" s="970">
        <f t="shared" si="8"/>
        <v>48</v>
      </c>
      <c r="U137" s="13" t="str">
        <f>IFERROR(__xludf.DUMMYFUNCTION("IF($T137=""Y"",
  IFERROR(
    RANK.EQ($R137, FILTER($R:$R, $T:$T=""Y""), 1)
    + COUNTIFS($R:$R, $R137, $M:$M, ""&lt;""&amp;$M137, $T:$T, ""Y""),
    ""UPCOMING""
  ),
  ""NO REF""
)
"),"NO REF")</f>
        <v>NO REF</v>
      </c>
      <c r="X137" s="823">
        <v>19.0</v>
      </c>
      <c r="Y137" s="967">
        <f t="shared" si="157"/>
        <v>343.5</v>
      </c>
      <c r="Z137" s="1176">
        <f t="shared" si="158"/>
        <v>2024</v>
      </c>
      <c r="AA137" s="1176" t="str">
        <f t="shared" si="159"/>
        <v>WEEK 10</v>
      </c>
      <c r="AB137" s="1177" t="str">
        <f t="shared" si="160"/>
        <v>SAVAGES</v>
      </c>
      <c r="AC137" s="1176" t="str">
        <f t="shared" si="161"/>
        <v>METAMOOKDAWGS</v>
      </c>
      <c r="AD137" s="1176" t="str">
        <f t="shared" si="162"/>
        <v>PVE FFL GAME 331</v>
      </c>
      <c r="AE137" s="967">
        <f t="shared" si="163"/>
        <v>44.42</v>
      </c>
      <c r="AF137" s="1215">
        <f t="shared" si="164"/>
        <v>232.5</v>
      </c>
      <c r="AG137" s="572">
        <f t="shared" si="165"/>
        <v>403</v>
      </c>
    </row>
    <row r="138" ht="15.75" customHeight="1">
      <c r="C138" s="13">
        <v>137.0</v>
      </c>
      <c r="D138" s="1238">
        <v>2021.0</v>
      </c>
      <c r="E138" s="217" t="s">
        <v>519</v>
      </c>
      <c r="F138" s="960" t="s">
        <v>663</v>
      </c>
      <c r="G138" s="961" t="str">
        <f>'League History BACKEND 2021'!$G$109</f>
        <v>POPEYES</v>
      </c>
      <c r="H138" s="962">
        <v>144.17</v>
      </c>
      <c r="I138" s="963">
        <v>127.92</v>
      </c>
      <c r="J138" s="964" t="str">
        <f>'League History BACKEND 2021'!J109</f>
        <v>CHAMPS</v>
      </c>
      <c r="K138" s="965" t="str">
        <f t="shared" si="1"/>
        <v>POPEYES</v>
      </c>
      <c r="L138" s="966" t="str">
        <f t="shared" si="2"/>
        <v>CHAMPS</v>
      </c>
      <c r="M138" s="967">
        <f t="array" ref="M138">IFERROR(IF(ABS(H138-I138)=0,Tie,ABS(H138-I138)),"UPCOMING")</f>
        <v>16.25</v>
      </c>
      <c r="N138" s="968">
        <f t="shared" si="3"/>
        <v>118</v>
      </c>
      <c r="O138" s="969">
        <f t="shared" si="4"/>
        <v>304</v>
      </c>
      <c r="P138" s="967">
        <f t="shared" si="5"/>
        <v>272.09</v>
      </c>
      <c r="Q138" s="968">
        <f t="shared" si="6"/>
        <v>370</v>
      </c>
      <c r="R138" s="967">
        <f t="shared" si="7"/>
        <v>244</v>
      </c>
      <c r="S138" s="970">
        <f t="shared" si="8"/>
        <v>277</v>
      </c>
      <c r="U138" s="13" t="str">
        <f>IFERROR(__xludf.DUMMYFUNCTION("IF($T138=""Y"",
  IFERROR(
    RANK.EQ($R138, FILTER($R:$R, $T:$T=""Y""), 1)
    + COUNTIFS($R:$R, $R138, $M:$M, ""&lt;""&amp;$M138, $T:$T, ""Y""),
    ""UPCOMING""
  ),
  ""NO REF""
)
"),"NO REF")</f>
        <v>NO REF</v>
      </c>
      <c r="X138" s="1211">
        <v>20.0</v>
      </c>
      <c r="Y138" s="1203">
        <f t="shared" si="157"/>
        <v>341</v>
      </c>
      <c r="Z138" s="1212">
        <f t="shared" si="158"/>
        <v>2025</v>
      </c>
      <c r="AA138" s="1212" t="str">
        <f t="shared" si="159"/>
        <v>WEEK 3</v>
      </c>
      <c r="AB138" s="1213" t="str">
        <f t="shared" si="160"/>
        <v>GREEN</v>
      </c>
      <c r="AC138" s="1212" t="str">
        <f t="shared" si="161"/>
        <v>YARDIES</v>
      </c>
      <c r="AD138" s="1212" t="str">
        <f t="shared" si="162"/>
        <v>PVE FFL GAME 365</v>
      </c>
      <c r="AE138" s="1203">
        <f t="shared" si="163"/>
        <v>97.04</v>
      </c>
      <c r="AF138" s="1392">
        <f t="shared" si="164"/>
        <v>311.44</v>
      </c>
      <c r="AG138" s="572">
        <f t="shared" si="165"/>
        <v>402</v>
      </c>
    </row>
    <row r="139" ht="15.75" customHeight="1">
      <c r="C139" s="13">
        <v>138.0</v>
      </c>
      <c r="D139" s="1238">
        <v>2021.0</v>
      </c>
      <c r="E139" s="217" t="s">
        <v>519</v>
      </c>
      <c r="F139" s="960" t="s">
        <v>665</v>
      </c>
      <c r="G139" s="961" t="str">
        <f>'League History BACKEND 2021'!$G$111</f>
        <v>SAVAGES</v>
      </c>
      <c r="H139" s="962">
        <v>148.47</v>
      </c>
      <c r="I139" s="963">
        <v>147.96</v>
      </c>
      <c r="J139" s="964" t="str">
        <f>'League History BACKEND 2021'!J111</f>
        <v>GREEN</v>
      </c>
      <c r="K139" s="965" t="str">
        <f t="shared" si="1"/>
        <v>SAVAGES</v>
      </c>
      <c r="L139" s="966" t="str">
        <f t="shared" si="2"/>
        <v>GREEN</v>
      </c>
      <c r="M139" s="967">
        <f t="array" ref="M139">IFERROR(IF(ABS(H139-I139)=0,Tie,ABS(H139-I139)),"UPCOMING")</f>
        <v>0.51</v>
      </c>
      <c r="N139" s="968">
        <f t="shared" si="3"/>
        <v>9</v>
      </c>
      <c r="O139" s="969">
        <f t="shared" si="4"/>
        <v>413</v>
      </c>
      <c r="P139" s="967">
        <f t="shared" si="5"/>
        <v>296.43</v>
      </c>
      <c r="Q139" s="968">
        <f t="shared" si="6"/>
        <v>315</v>
      </c>
      <c r="R139" s="967">
        <f t="shared" si="7"/>
        <v>162</v>
      </c>
      <c r="S139" s="970">
        <f t="shared" si="8"/>
        <v>112</v>
      </c>
      <c r="U139" s="13" t="str">
        <f>IFERROR(__xludf.DUMMYFUNCTION("IF($T139=""Y"",
  IFERROR(
    RANK.EQ($R139, FILTER($R:$R, $T:$T=""Y""), 1)
    + COUNTIFS($R:$R, $R139, $M:$M, ""&lt;""&amp;$M139, $T:$T, ""Y""),
    ""UPCOMING""
  ),
  ""NO REF""
)
"),"NO REF")</f>
        <v>NO REF</v>
      </c>
    </row>
    <row r="140" ht="15.75" customHeight="1">
      <c r="C140" s="13">
        <v>139.0</v>
      </c>
      <c r="D140" s="1238">
        <v>2021.0</v>
      </c>
      <c r="E140" s="217" t="s">
        <v>519</v>
      </c>
      <c r="F140" s="960" t="s">
        <v>670</v>
      </c>
      <c r="G140" s="961" t="str">
        <f>'League History BACKEND 2021'!$G$113</f>
        <v>METAMOOKDAWGS</v>
      </c>
      <c r="H140" s="962">
        <v>139.63</v>
      </c>
      <c r="I140" s="963">
        <v>153.29</v>
      </c>
      <c r="J140" s="964" t="str">
        <f>'League History BACKEND 2021'!J113</f>
        <v>DEEZ NUTS</v>
      </c>
      <c r="K140" s="965" t="str">
        <f t="shared" si="1"/>
        <v>DEEZ NUTS</v>
      </c>
      <c r="L140" s="966" t="str">
        <f t="shared" si="2"/>
        <v>METAMOOKDAWGS</v>
      </c>
      <c r="M140" s="967">
        <f t="array" ref="M140">IFERROR(IF(ABS(H140-I140)=0,Tie,ABS(H140-I140)),"UPCOMING")</f>
        <v>13.66</v>
      </c>
      <c r="N140" s="968">
        <f t="shared" si="3"/>
        <v>102</v>
      </c>
      <c r="O140" s="969">
        <f t="shared" si="4"/>
        <v>320</v>
      </c>
      <c r="P140" s="967">
        <f t="shared" si="5"/>
        <v>292.92</v>
      </c>
      <c r="Q140" s="968">
        <f t="shared" si="6"/>
        <v>324</v>
      </c>
      <c r="R140" s="967">
        <f t="shared" si="7"/>
        <v>213</v>
      </c>
      <c r="S140" s="970">
        <f t="shared" si="8"/>
        <v>212</v>
      </c>
      <c r="U140" s="13" t="str">
        <f>IFERROR(__xludf.DUMMYFUNCTION("IF($T140=""Y"",
  IFERROR(
    RANK.EQ($R140, FILTER($R:$R, $T:$T=""Y""), 1)
    + COUNTIFS($R:$R, $R140, $M:$M, ""&lt;""&amp;$M140, $T:$T, ""Y""),
    ""UPCOMING""
  ),
  ""NO REF""
)
"),"NO REF")</f>
        <v>NO REF</v>
      </c>
      <c r="X140" s="1403" t="s">
        <v>1149</v>
      </c>
      <c r="Y140" s="23"/>
      <c r="Z140" s="23"/>
      <c r="AA140" s="23"/>
      <c r="AB140" s="23"/>
      <c r="AC140" s="23"/>
      <c r="AD140" s="23"/>
      <c r="AE140" s="23"/>
      <c r="AF140" s="29"/>
    </row>
    <row r="141" ht="15.75" customHeight="1">
      <c r="C141" s="13">
        <v>140.0</v>
      </c>
      <c r="D141" s="1238">
        <v>2021.0</v>
      </c>
      <c r="E141" s="217" t="s">
        <v>519</v>
      </c>
      <c r="F141" s="960" t="s">
        <v>671</v>
      </c>
      <c r="G141" s="961" t="str">
        <f>'League History BACKEND 2021'!$G$115</f>
        <v>MUTTS</v>
      </c>
      <c r="H141" s="962">
        <v>167.6</v>
      </c>
      <c r="I141" s="963">
        <v>190.5</v>
      </c>
      <c r="J141" s="964" t="str">
        <f>'League History BACKEND 2021'!J115</f>
        <v>GIRLS</v>
      </c>
      <c r="K141" s="965" t="str">
        <f t="shared" si="1"/>
        <v>GIRLS</v>
      </c>
      <c r="L141" s="966" t="str">
        <f t="shared" si="2"/>
        <v>MUTTS</v>
      </c>
      <c r="M141" s="967">
        <f t="array" ref="M141">IFERROR(IF(ABS(H141-I141)=0,Tie,ABS(H141-I141)),"UPCOMING")</f>
        <v>22.9</v>
      </c>
      <c r="N141" s="968">
        <f t="shared" si="3"/>
        <v>161</v>
      </c>
      <c r="O141" s="969">
        <f t="shared" si="4"/>
        <v>261</v>
      </c>
      <c r="P141" s="967">
        <f t="shared" si="5"/>
        <v>358.1</v>
      </c>
      <c r="Q141" s="968">
        <f t="shared" si="6"/>
        <v>143</v>
      </c>
      <c r="R141" s="967">
        <f t="shared" si="7"/>
        <v>152</v>
      </c>
      <c r="S141" s="970">
        <f t="shared" si="8"/>
        <v>104</v>
      </c>
      <c r="U141" s="13" t="str">
        <f>IFERROR(__xludf.DUMMYFUNCTION("IF($T141=""Y"",
  IFERROR(
    RANK.EQ($R141, FILTER($R:$R, $T:$T=""Y""), 1)
    + COUNTIFS($R:$R, $R141, $M:$M, ""&lt;""&amp;$M141, $T:$T, ""Y""),
    ""UPCOMING""
  ),
  ""NO REF""
)
"),"NO REF")</f>
        <v>NO REF</v>
      </c>
      <c r="X141" s="1406" t="s">
        <v>148</v>
      </c>
      <c r="Y141" s="1407" t="s">
        <v>151</v>
      </c>
      <c r="Z141" s="1407" t="s">
        <v>153</v>
      </c>
      <c r="AA141" s="1407" t="s">
        <v>30</v>
      </c>
      <c r="AB141" s="1407" t="s">
        <v>155</v>
      </c>
      <c r="AC141" s="1407" t="s">
        <v>156</v>
      </c>
      <c r="AD141" s="1409" t="s">
        <v>157</v>
      </c>
      <c r="AE141" s="1407" t="s">
        <v>159</v>
      </c>
      <c r="AF141" s="1409" t="s">
        <v>161</v>
      </c>
    </row>
    <row r="142" ht="15.75" customHeight="1">
      <c r="C142" s="13">
        <v>141.0</v>
      </c>
      <c r="D142" s="1238">
        <v>2021.0</v>
      </c>
      <c r="E142" s="217" t="s">
        <v>520</v>
      </c>
      <c r="F142" s="960" t="s">
        <v>663</v>
      </c>
      <c r="G142" s="961" t="str">
        <f>'League History BACKEND 2021'!$G$124</f>
        <v>SAVAGES</v>
      </c>
      <c r="H142" s="962">
        <v>159.11</v>
      </c>
      <c r="I142" s="963">
        <v>150.33</v>
      </c>
      <c r="J142" s="964" t="str">
        <f>'League History BACKEND 2021'!J124</f>
        <v>CHAMPS</v>
      </c>
      <c r="K142" s="965" t="str">
        <f t="shared" si="1"/>
        <v>SAVAGES</v>
      </c>
      <c r="L142" s="966" t="str">
        <f t="shared" si="2"/>
        <v>CHAMPS</v>
      </c>
      <c r="M142" s="967">
        <f t="array" ref="M142">IFERROR(IF(ABS(H142-I142)=0,Tie,ABS(H142-I142)),"UPCOMING")</f>
        <v>8.78</v>
      </c>
      <c r="N142" s="968">
        <f t="shared" si="3"/>
        <v>67</v>
      </c>
      <c r="O142" s="969">
        <f t="shared" si="4"/>
        <v>355</v>
      </c>
      <c r="P142" s="967">
        <f t="shared" si="5"/>
        <v>309.44</v>
      </c>
      <c r="Q142" s="968">
        <f t="shared" si="6"/>
        <v>280</v>
      </c>
      <c r="R142" s="967">
        <f t="shared" si="7"/>
        <v>173.5</v>
      </c>
      <c r="S142" s="970">
        <f t="shared" si="8"/>
        <v>134</v>
      </c>
      <c r="U142" s="13" t="str">
        <f>IFERROR(__xludf.DUMMYFUNCTION("IF($T142=""Y"",
  IFERROR(
    RANK.EQ($R142, FILTER($R:$R, $T:$T=""Y""), 1)
    + COUNTIFS($R:$R, $R142, $M:$M, ""&lt;""&amp;$M142, $T:$T, ""Y""),
    ""UPCOMING""
  ),
  ""NO REF""
)
"),"NO REF")</f>
        <v>NO REF</v>
      </c>
      <c r="X142" s="1412">
        <v>1.0</v>
      </c>
      <c r="Y142" s="1413">
        <f t="shared" ref="Y142:Y161" si="166">INDEX($R:$R, MATCH(X142,$U:$U,0))
</f>
        <v>53.5</v>
      </c>
      <c r="Z142" s="1415">
        <f t="shared" ref="Z142:Z161" si="167">INDEX($D:$D, MATCH(X142,$U:$U,0))
</f>
        <v>2023</v>
      </c>
      <c r="AA142" s="1417" t="str">
        <f t="shared" ref="AA142:AA161" si="168">INDEX($E:$E, MATCH(X142,$U:$U,0))
</f>
        <v>WEEK 7</v>
      </c>
      <c r="AB142" s="1418" t="str">
        <f t="shared" ref="AB142:AB161" si="169">INDEX($K:$K, MATCH(X142,$U:$U,0))
</f>
        <v>GREEN</v>
      </c>
      <c r="AC142" s="1421" t="str">
        <f t="shared" ref="AC142:AC161" si="170">INDEX($L:$L, MATCH(X142,$U:$U,0))
</f>
        <v>DECOUPES</v>
      </c>
      <c r="AD142" s="444" t="str">
        <f t="shared" ref="AD142:AD161" si="171">"PVE FFL GAME " &amp; INDEX($C:$C, MATCH(X142,$U:$U,0))</f>
        <v>PVE FFL GAME 250</v>
      </c>
      <c r="AE142" s="1422">
        <f t="shared" ref="AE142:AE161" si="172">INDEX($M:$M, MATCH(X142,$U:$U,0))
</f>
        <v>7.52</v>
      </c>
      <c r="AF142" s="1422">
        <f t="shared" ref="AF142:AF161" si="173">INDEX($P:$P, MATCH(X142,$U:$U,0))
</f>
        <v>403.84</v>
      </c>
    </row>
    <row r="143" ht="15.75" customHeight="1">
      <c r="C143" s="13">
        <v>142.0</v>
      </c>
      <c r="D143" s="1238">
        <v>2021.0</v>
      </c>
      <c r="E143" s="217" t="s">
        <v>520</v>
      </c>
      <c r="F143" s="960" t="s">
        <v>665</v>
      </c>
      <c r="G143" s="961" t="str">
        <f>'League History BACKEND 2021'!$G$126</f>
        <v>DECOUPES</v>
      </c>
      <c r="H143" s="962">
        <v>138.52</v>
      </c>
      <c r="I143" s="963">
        <v>141.34</v>
      </c>
      <c r="J143" s="964" t="str">
        <f>'League History BACKEND 2021'!J126</f>
        <v>GREEN</v>
      </c>
      <c r="K143" s="965" t="str">
        <f t="shared" si="1"/>
        <v>GREEN</v>
      </c>
      <c r="L143" s="966" t="str">
        <f t="shared" si="2"/>
        <v>DECOUPES</v>
      </c>
      <c r="M143" s="967">
        <f t="array" ref="M143">IFERROR(IF(ABS(H143-I143)=0,Tie,ABS(H143-I143)),"UPCOMING")</f>
        <v>2.82</v>
      </c>
      <c r="N143" s="968">
        <f t="shared" si="3"/>
        <v>27</v>
      </c>
      <c r="O143" s="969">
        <f t="shared" si="4"/>
        <v>395</v>
      </c>
      <c r="P143" s="967">
        <f t="shared" si="5"/>
        <v>279.86</v>
      </c>
      <c r="Q143" s="968">
        <f t="shared" si="6"/>
        <v>351</v>
      </c>
      <c r="R143" s="967">
        <f t="shared" si="7"/>
        <v>189</v>
      </c>
      <c r="S143" s="970">
        <f t="shared" si="8"/>
        <v>161</v>
      </c>
      <c r="U143" s="13" t="str">
        <f>IFERROR(__xludf.DUMMYFUNCTION("IF($T143=""Y"",
  IFERROR(
    RANK.EQ($R143, FILTER($R:$R, $T:$T=""Y""), 1)
    + COUNTIFS($R:$R, $R143, $M:$M, ""&lt;""&amp;$M143, $T:$T, ""Y""),
    ""UPCOMING""
  ),
  ""NO REF""
)
"),"NO REF")</f>
        <v>NO REF</v>
      </c>
      <c r="X143" s="1412">
        <v>2.0</v>
      </c>
      <c r="Y143" s="1413">
        <f t="shared" si="166"/>
        <v>84.5</v>
      </c>
      <c r="Z143" s="1415">
        <f t="shared" si="167"/>
        <v>2025</v>
      </c>
      <c r="AA143" s="1417" t="str">
        <f t="shared" si="168"/>
        <v>WEEK 3</v>
      </c>
      <c r="AB143" s="1418" t="str">
        <f t="shared" si="169"/>
        <v>POPEYES</v>
      </c>
      <c r="AC143" s="1421" t="str">
        <f t="shared" si="170"/>
        <v>MUTTS</v>
      </c>
      <c r="AD143" s="444" t="str">
        <f t="shared" si="171"/>
        <v>PVE FFL GAME 363</v>
      </c>
      <c r="AE143" s="1422">
        <f t="shared" si="172"/>
        <v>10.51</v>
      </c>
      <c r="AF143" s="1422">
        <f t="shared" si="173"/>
        <v>381.93</v>
      </c>
    </row>
    <row r="144" ht="15.75" customHeight="1">
      <c r="C144" s="13">
        <v>143.0</v>
      </c>
      <c r="D144" s="1238">
        <v>2021.0</v>
      </c>
      <c r="E144" s="217" t="s">
        <v>520</v>
      </c>
      <c r="F144" s="960" t="s">
        <v>670</v>
      </c>
      <c r="G144" s="961" t="str">
        <f>'League History BACKEND 2021'!$G$128</f>
        <v>MUTTS</v>
      </c>
      <c r="H144" s="962">
        <v>156.22</v>
      </c>
      <c r="I144" s="963">
        <v>105.74</v>
      </c>
      <c r="J144" s="964" t="str">
        <f>'League History BACKEND 2021'!J128</f>
        <v>DEEZ NUTS</v>
      </c>
      <c r="K144" s="965" t="str">
        <f t="shared" si="1"/>
        <v>MUTTS</v>
      </c>
      <c r="L144" s="966" t="str">
        <f t="shared" si="2"/>
        <v>DEEZ NUTS</v>
      </c>
      <c r="M144" s="967">
        <f t="array" ref="M144">IFERROR(IF(ABS(H144-I144)=0,Tie,ABS(H144-I144)),"UPCOMING")</f>
        <v>50.48</v>
      </c>
      <c r="N144" s="968">
        <f t="shared" si="3"/>
        <v>311</v>
      </c>
      <c r="O144" s="969">
        <f t="shared" si="4"/>
        <v>111</v>
      </c>
      <c r="P144" s="967">
        <f t="shared" si="5"/>
        <v>261.96</v>
      </c>
      <c r="Q144" s="968">
        <f t="shared" si="6"/>
        <v>383</v>
      </c>
      <c r="R144" s="967">
        <f t="shared" si="7"/>
        <v>347</v>
      </c>
      <c r="S144" s="970">
        <f t="shared" si="8"/>
        <v>405</v>
      </c>
      <c r="U144" s="13" t="str">
        <f>IFERROR(__xludf.DUMMYFUNCTION("IF($T144=""Y"",
  IFERROR(
    RANK.EQ($R144, FILTER($R:$R, $T:$T=""Y""), 1)
    + COUNTIFS($R:$R, $R144, $M:$M, ""&lt;""&amp;$M144, $T:$T, ""Y""),
    ""UPCOMING""
  ),
  ""NO REF""
)
"),"NO REF")</f>
        <v>NO REF</v>
      </c>
      <c r="X144" s="1412">
        <v>3.0</v>
      </c>
      <c r="Y144" s="1413">
        <f t="shared" si="166"/>
        <v>103</v>
      </c>
      <c r="Z144" s="1415">
        <f t="shared" si="167"/>
        <v>2024</v>
      </c>
      <c r="AA144" s="1417" t="str">
        <f t="shared" si="168"/>
        <v>WEEK 14</v>
      </c>
      <c r="AB144" s="1418" t="str">
        <f t="shared" si="169"/>
        <v>MUTTS</v>
      </c>
      <c r="AC144" s="1421" t="str">
        <f t="shared" si="170"/>
        <v>CHAMPS</v>
      </c>
      <c r="AD144" s="444" t="str">
        <f t="shared" si="171"/>
        <v>PVE FFL GAME 351</v>
      </c>
      <c r="AE144" s="1422">
        <f t="shared" si="172"/>
        <v>22.16</v>
      </c>
      <c r="AF144" s="1422">
        <f t="shared" si="173"/>
        <v>401.72</v>
      </c>
    </row>
    <row r="145" ht="15.75" customHeight="1">
      <c r="C145" s="13">
        <v>144.0</v>
      </c>
      <c r="D145" s="1238">
        <v>2021.0</v>
      </c>
      <c r="E145" s="217" t="s">
        <v>520</v>
      </c>
      <c r="F145" s="960" t="s">
        <v>671</v>
      </c>
      <c r="G145" s="961" t="str">
        <f>'League History BACKEND 2021'!$G$130</f>
        <v>YARDIES</v>
      </c>
      <c r="H145" s="962">
        <v>109.18</v>
      </c>
      <c r="I145" s="963">
        <v>195.49</v>
      </c>
      <c r="J145" s="964" t="str">
        <f>'League History BACKEND 2021'!J130</f>
        <v>GIRLS</v>
      </c>
      <c r="K145" s="965" t="str">
        <f t="shared" si="1"/>
        <v>GIRLS</v>
      </c>
      <c r="L145" s="966" t="str">
        <f t="shared" si="2"/>
        <v>YARDIES</v>
      </c>
      <c r="M145" s="967">
        <f t="array" ref="M145">IFERROR(IF(ABS(H145-I145)=0,Tie,ABS(H145-I145)),"UPCOMING")</f>
        <v>86.31</v>
      </c>
      <c r="N145" s="968">
        <f t="shared" si="3"/>
        <v>400</v>
      </c>
      <c r="O145" s="969">
        <f t="shared" si="4"/>
        <v>22</v>
      </c>
      <c r="P145" s="967">
        <f t="shared" si="5"/>
        <v>304.67</v>
      </c>
      <c r="Q145" s="968">
        <f t="shared" si="6"/>
        <v>294</v>
      </c>
      <c r="R145" s="967">
        <f t="shared" si="7"/>
        <v>347</v>
      </c>
      <c r="S145" s="970">
        <f t="shared" si="8"/>
        <v>406</v>
      </c>
      <c r="U145" s="13" t="str">
        <f>IFERROR(__xludf.DUMMYFUNCTION("IF($T145=""Y"",
  IFERROR(
    RANK.EQ($R145, FILTER($R:$R, $T:$T=""Y""), 1)
    + COUNTIFS($R:$R, $R145, $M:$M, ""&lt;""&amp;$M145, $T:$T, ""Y""),
    ""UPCOMING""
  ),
  ""NO REF""
)
"),"NO REF")</f>
        <v>NO REF</v>
      </c>
      <c r="X145" s="1412">
        <v>4.0</v>
      </c>
      <c r="Y145" s="1413">
        <f t="shared" si="166"/>
        <v>104.5</v>
      </c>
      <c r="Z145" s="1415">
        <f t="shared" si="167"/>
        <v>2022</v>
      </c>
      <c r="AA145" s="1417" t="str">
        <f t="shared" si="168"/>
        <v>WEEK 12</v>
      </c>
      <c r="AB145" s="1418" t="str">
        <f t="shared" si="169"/>
        <v>SAVAGES</v>
      </c>
      <c r="AC145" s="1421" t="str">
        <f t="shared" si="170"/>
        <v>DECOUPES</v>
      </c>
      <c r="AD145" s="444" t="str">
        <f t="shared" si="171"/>
        <v>PVE FFL GAME 214</v>
      </c>
      <c r="AE145" s="1422">
        <f t="shared" si="172"/>
        <v>23.41</v>
      </c>
      <c r="AF145" s="1422">
        <f t="shared" si="173"/>
        <v>407.83</v>
      </c>
    </row>
    <row r="146" ht="15.75" customHeight="1">
      <c r="C146" s="13">
        <v>145.0</v>
      </c>
      <c r="D146" s="1238">
        <v>2021.0</v>
      </c>
      <c r="E146" s="217" t="s">
        <v>521</v>
      </c>
      <c r="F146" s="960" t="s">
        <v>663</v>
      </c>
      <c r="G146" s="961" t="str">
        <f>'League History BACKEND 2021'!$G$139</f>
        <v>POPEYES</v>
      </c>
      <c r="H146" s="962">
        <v>178.88</v>
      </c>
      <c r="I146" s="963">
        <v>95.75</v>
      </c>
      <c r="J146" s="964" t="str">
        <f>'League History BACKEND 2021'!J139</f>
        <v>DEEZ NUTS</v>
      </c>
      <c r="K146" s="965" t="str">
        <f t="shared" si="1"/>
        <v>POPEYES</v>
      </c>
      <c r="L146" s="966" t="str">
        <f t="shared" si="2"/>
        <v>DEEZ NUTS</v>
      </c>
      <c r="M146" s="967">
        <f t="array" ref="M146">IFERROR(IF(ABS(H146-I146)=0,Tie,ABS(H146-I146)),"UPCOMING")</f>
        <v>83.13</v>
      </c>
      <c r="N146" s="968">
        <f t="shared" si="3"/>
        <v>394</v>
      </c>
      <c r="O146" s="969">
        <f t="shared" si="4"/>
        <v>28</v>
      </c>
      <c r="P146" s="967">
        <f t="shared" si="5"/>
        <v>274.63</v>
      </c>
      <c r="Q146" s="968">
        <f t="shared" si="6"/>
        <v>365</v>
      </c>
      <c r="R146" s="967">
        <f t="shared" si="7"/>
        <v>379.5</v>
      </c>
      <c r="S146" s="970">
        <f t="shared" si="8"/>
        <v>419</v>
      </c>
      <c r="U146" s="13" t="str">
        <f>IFERROR(__xludf.DUMMYFUNCTION("IF($T146=""Y"",
  IFERROR(
    RANK.EQ($R146, FILTER($R:$R, $T:$T=""Y""), 1)
    + COUNTIFS($R:$R, $R146, $M:$M, ""&lt;""&amp;$M146, $T:$T, ""Y""),
    ""UPCOMING""
  ),
  ""NO REF""
)
"),"NO REF")</f>
        <v>NO REF</v>
      </c>
      <c r="X146" s="1412">
        <v>5.0</v>
      </c>
      <c r="Y146" s="1413">
        <f t="shared" si="166"/>
        <v>111</v>
      </c>
      <c r="Z146" s="1415">
        <f t="shared" si="167"/>
        <v>2022</v>
      </c>
      <c r="AA146" s="1417" t="str">
        <f t="shared" si="168"/>
        <v>WEEK 8</v>
      </c>
      <c r="AB146" s="1418" t="str">
        <f t="shared" si="169"/>
        <v>MUTTS</v>
      </c>
      <c r="AC146" s="1421" t="str">
        <f t="shared" si="170"/>
        <v>CHAMPS</v>
      </c>
      <c r="AD146" s="444" t="str">
        <f t="shared" si="171"/>
        <v>PVE FFL GAME 199</v>
      </c>
      <c r="AE146" s="1422">
        <f t="shared" si="172"/>
        <v>32.71</v>
      </c>
      <c r="AF146" s="1422">
        <f t="shared" si="173"/>
        <v>443.43</v>
      </c>
    </row>
    <row r="147" ht="15.75" customHeight="1">
      <c r="C147" s="13">
        <v>146.0</v>
      </c>
      <c r="D147" s="1238">
        <v>2021.0</v>
      </c>
      <c r="E147" s="217" t="s">
        <v>521</v>
      </c>
      <c r="F147" s="960" t="s">
        <v>665</v>
      </c>
      <c r="G147" s="961" t="str">
        <f>'League History BACKEND 2021'!$G$141</f>
        <v>SAVAGES</v>
      </c>
      <c r="H147" s="962">
        <v>140.36</v>
      </c>
      <c r="I147" s="963">
        <v>110.61</v>
      </c>
      <c r="J147" s="964" t="str">
        <f>'League History BACKEND 2021'!J141</f>
        <v>METAMOOKDAWGS</v>
      </c>
      <c r="K147" s="965" t="str">
        <f t="shared" si="1"/>
        <v>SAVAGES</v>
      </c>
      <c r="L147" s="966" t="str">
        <f t="shared" si="2"/>
        <v>METAMOOKDAWGS</v>
      </c>
      <c r="M147" s="967">
        <f t="array" ref="M147">IFERROR(IF(ABS(H147-I147)=0,Tie,ABS(H147-I147)),"UPCOMING")</f>
        <v>29.75</v>
      </c>
      <c r="N147" s="968">
        <f t="shared" si="3"/>
        <v>196</v>
      </c>
      <c r="O147" s="969">
        <f t="shared" si="4"/>
        <v>226</v>
      </c>
      <c r="P147" s="967">
        <f t="shared" si="5"/>
        <v>250.97</v>
      </c>
      <c r="Q147" s="968">
        <f t="shared" si="6"/>
        <v>399</v>
      </c>
      <c r="R147" s="967">
        <f t="shared" si="7"/>
        <v>297.5</v>
      </c>
      <c r="S147" s="970">
        <f t="shared" si="8"/>
        <v>356</v>
      </c>
      <c r="U147" s="13" t="str">
        <f>IFERROR(__xludf.DUMMYFUNCTION("IF($T147=""Y"",
  IFERROR(
    RANK.EQ($R147, FILTER($R:$R, $T:$T=""Y""), 1)
    + COUNTIFS($R:$R, $R147, $M:$M, ""&lt;""&amp;$M147, $T:$T, ""Y""),
    ""UPCOMING""
  ),
  ""NO REF""
)
"),"NO REF")</f>
        <v>NO REF</v>
      </c>
      <c r="X147" s="1412">
        <v>6.0</v>
      </c>
      <c r="Y147" s="1413">
        <f t="shared" si="166"/>
        <v>115.5</v>
      </c>
      <c r="Z147" s="1415">
        <f t="shared" si="167"/>
        <v>2023</v>
      </c>
      <c r="AA147" s="1417" t="str">
        <f t="shared" si="168"/>
        <v>WEEK 14</v>
      </c>
      <c r="AB147" s="1418" t="str">
        <f t="shared" si="169"/>
        <v>YARDIES</v>
      </c>
      <c r="AC147" s="1421" t="str">
        <f t="shared" si="170"/>
        <v>MUTTS</v>
      </c>
      <c r="AD147" s="444" t="str">
        <f t="shared" si="171"/>
        <v>PVE FFL GAME 279</v>
      </c>
      <c r="AE147" s="1422">
        <f t="shared" si="172"/>
        <v>19.81</v>
      </c>
      <c r="AF147" s="1422">
        <f t="shared" si="173"/>
        <v>381.23</v>
      </c>
    </row>
    <row r="148" ht="15.75" customHeight="1">
      <c r="C148" s="13">
        <v>147.0</v>
      </c>
      <c r="D148" s="1238">
        <v>2021.0</v>
      </c>
      <c r="E148" s="217" t="s">
        <v>521</v>
      </c>
      <c r="F148" s="960" t="s">
        <v>670</v>
      </c>
      <c r="G148" s="961" t="str">
        <f>'League History BACKEND 2021'!$G$143</f>
        <v>DECOUPES</v>
      </c>
      <c r="H148" s="962">
        <v>143.09</v>
      </c>
      <c r="I148" s="963">
        <v>106.34</v>
      </c>
      <c r="J148" s="964" t="str">
        <f>'League History BACKEND 2021'!J143</f>
        <v>MUTTS</v>
      </c>
      <c r="K148" s="965" t="str">
        <f t="shared" si="1"/>
        <v>DECOUPES</v>
      </c>
      <c r="L148" s="966" t="str">
        <f t="shared" si="2"/>
        <v>MUTTS</v>
      </c>
      <c r="M148" s="967">
        <f t="array" ref="M148">IFERROR(IF(ABS(H148-I148)=0,Tie,ABS(H148-I148)),"UPCOMING")</f>
        <v>36.75</v>
      </c>
      <c r="N148" s="968">
        <f t="shared" si="3"/>
        <v>237</v>
      </c>
      <c r="O148" s="969">
        <f t="shared" si="4"/>
        <v>185</v>
      </c>
      <c r="P148" s="967">
        <f t="shared" si="5"/>
        <v>249.43</v>
      </c>
      <c r="Q148" s="968">
        <f t="shared" si="6"/>
        <v>401</v>
      </c>
      <c r="R148" s="967">
        <f t="shared" si="7"/>
        <v>319</v>
      </c>
      <c r="S148" s="970">
        <f t="shared" si="8"/>
        <v>379</v>
      </c>
      <c r="U148" s="13" t="str">
        <f>IFERROR(__xludf.DUMMYFUNCTION("IF($T148=""Y"",
  IFERROR(
    RANK.EQ($R148, FILTER($R:$R, $T:$T=""Y""), 1)
    + COUNTIFS($R:$R, $R148, $M:$M, ""&lt;""&amp;$M148, $T:$T, ""Y""),
    ""UPCOMING""
  ),
  ""NO REF""
)
"),"NO REF")</f>
        <v>NO REF</v>
      </c>
      <c r="X148" s="1412">
        <v>7.0</v>
      </c>
      <c r="Y148" s="1413">
        <f t="shared" si="166"/>
        <v>117.5</v>
      </c>
      <c r="Z148" s="1415">
        <f t="shared" si="167"/>
        <v>2025</v>
      </c>
      <c r="AA148" s="1417" t="str">
        <f t="shared" si="168"/>
        <v>WEEK 5</v>
      </c>
      <c r="AB148" s="1418" t="str">
        <f t="shared" si="169"/>
        <v>GREEN</v>
      </c>
      <c r="AC148" s="1421" t="str">
        <f t="shared" si="170"/>
        <v>CHAMPS</v>
      </c>
      <c r="AD148" s="444" t="str">
        <f t="shared" si="171"/>
        <v>PVE FFL GAME 376</v>
      </c>
      <c r="AE148" s="1422">
        <f t="shared" si="172"/>
        <v>2.3</v>
      </c>
      <c r="AF148" s="1422">
        <f t="shared" si="173"/>
        <v>332.02</v>
      </c>
    </row>
    <row r="149" ht="15.75" customHeight="1">
      <c r="C149" s="13">
        <v>148.0</v>
      </c>
      <c r="D149" s="1238">
        <v>2021.0</v>
      </c>
      <c r="E149" s="217" t="s">
        <v>521</v>
      </c>
      <c r="F149" s="960" t="s">
        <v>671</v>
      </c>
      <c r="G149" s="961" t="str">
        <f>'League History BACKEND 2021'!$G$145</f>
        <v>GREEN</v>
      </c>
      <c r="H149" s="962">
        <v>152.0</v>
      </c>
      <c r="I149" s="963">
        <v>165.11</v>
      </c>
      <c r="J149" s="964" t="str">
        <f>'League History BACKEND 2021'!J145</f>
        <v>YARDIES</v>
      </c>
      <c r="K149" s="965" t="str">
        <f t="shared" si="1"/>
        <v>YARDIES</v>
      </c>
      <c r="L149" s="966" t="str">
        <f t="shared" si="2"/>
        <v>GREEN</v>
      </c>
      <c r="M149" s="967">
        <f t="array" ref="M149">IFERROR(IF(ABS(H149-I149)=0,Tie,ABS(H149-I149)),"UPCOMING")</f>
        <v>13.11</v>
      </c>
      <c r="N149" s="968">
        <f t="shared" si="3"/>
        <v>101</v>
      </c>
      <c r="O149" s="969">
        <f t="shared" si="4"/>
        <v>321</v>
      </c>
      <c r="P149" s="967">
        <f t="shared" si="5"/>
        <v>317.11</v>
      </c>
      <c r="Q149" s="968">
        <f t="shared" si="6"/>
        <v>256</v>
      </c>
      <c r="R149" s="967">
        <f t="shared" si="7"/>
        <v>178.5</v>
      </c>
      <c r="S149" s="970">
        <f t="shared" si="8"/>
        <v>138</v>
      </c>
      <c r="U149" s="13" t="str">
        <f>IFERROR(__xludf.DUMMYFUNCTION("IF($T149=""Y"",
  IFERROR(
    RANK.EQ($R149, FILTER($R:$R, $T:$T=""Y""), 1)
    + COUNTIFS($R:$R, $R149, $M:$M, ""&lt;""&amp;$M149, $T:$T, ""Y""),
    ""UPCOMING""
  ),
  ""NO REF""
)
"),"NO REF")</f>
        <v>NO REF</v>
      </c>
      <c r="X149" s="1412">
        <v>8.0</v>
      </c>
      <c r="Y149" s="1413">
        <f t="shared" si="166"/>
        <v>122</v>
      </c>
      <c r="Z149" s="1415">
        <f t="shared" si="167"/>
        <v>2022</v>
      </c>
      <c r="AA149" s="1417" t="str">
        <f t="shared" si="168"/>
        <v>WEEK 10</v>
      </c>
      <c r="AB149" s="1418" t="str">
        <f t="shared" si="169"/>
        <v>YARDIES</v>
      </c>
      <c r="AC149" s="1421" t="str">
        <f t="shared" si="170"/>
        <v>MUTTS</v>
      </c>
      <c r="AD149" s="444" t="str">
        <f t="shared" si="171"/>
        <v>PVE FFL GAME 209</v>
      </c>
      <c r="AE149" s="1422">
        <f t="shared" si="172"/>
        <v>9.37</v>
      </c>
      <c r="AF149" s="1422">
        <f t="shared" si="173"/>
        <v>346.89</v>
      </c>
    </row>
    <row r="150" ht="15.75" customHeight="1">
      <c r="C150" s="13">
        <v>149.0</v>
      </c>
      <c r="D150" s="1238">
        <v>2021.0</v>
      </c>
      <c r="E150" s="217" t="s">
        <v>521</v>
      </c>
      <c r="F150" s="960" t="s">
        <v>1018</v>
      </c>
      <c r="G150" s="961" t="str">
        <f>'League History BACKEND 2021'!$G$147</f>
        <v>CHAMPS</v>
      </c>
      <c r="H150" s="962">
        <v>224.74</v>
      </c>
      <c r="I150" s="963">
        <v>129.89</v>
      </c>
      <c r="J150" s="964" t="str">
        <f>'League History BACKEND 2021'!J147</f>
        <v>GIRLS</v>
      </c>
      <c r="K150" s="965" t="str">
        <f t="shared" si="1"/>
        <v>CHAMPS</v>
      </c>
      <c r="L150" s="966" t="str">
        <f t="shared" si="2"/>
        <v>GIRLS</v>
      </c>
      <c r="M150" s="967">
        <f t="array" ref="M150">IFERROR(IF(ABS(H150-I150)=0,Tie,ABS(H150-I150)),"UPCOMING")</f>
        <v>94.85</v>
      </c>
      <c r="N150" s="968">
        <f t="shared" si="3"/>
        <v>406</v>
      </c>
      <c r="O150" s="969">
        <f t="shared" si="4"/>
        <v>16</v>
      </c>
      <c r="P150" s="967">
        <f t="shared" si="5"/>
        <v>354.63</v>
      </c>
      <c r="Q150" s="968">
        <f t="shared" si="6"/>
        <v>151</v>
      </c>
      <c r="R150" s="967">
        <f t="shared" si="7"/>
        <v>278.5</v>
      </c>
      <c r="S150" s="970">
        <f t="shared" si="8"/>
        <v>329</v>
      </c>
      <c r="U150" s="13" t="str">
        <f>IFERROR(__xludf.DUMMYFUNCTION("IF($T150=""Y"",
  IFERROR(
    RANK.EQ($R150, FILTER($R:$R, $T:$T=""Y""), 1)
    + COUNTIFS($R:$R, $R150, $M:$M, ""&lt;""&amp;$M150, $T:$T, ""Y""),
    ""UPCOMING""
  ),
  ""NO REF""
)
"),"NO REF")</f>
        <v>NO REF</v>
      </c>
      <c r="X150" s="1412">
        <v>9.0</v>
      </c>
      <c r="Y150" s="1413">
        <f t="shared" si="166"/>
        <v>124.5</v>
      </c>
      <c r="Z150" s="1415">
        <f t="shared" si="167"/>
        <v>2023</v>
      </c>
      <c r="AA150" s="1417" t="str">
        <f t="shared" si="168"/>
        <v>WEEK 4</v>
      </c>
      <c r="AB150" s="1418" t="str">
        <f t="shared" si="169"/>
        <v>GREEN</v>
      </c>
      <c r="AC150" s="1421" t="str">
        <f t="shared" si="170"/>
        <v>DECOUPES</v>
      </c>
      <c r="AD150" s="444" t="str">
        <f t="shared" si="171"/>
        <v>PVE FFL GAME 238</v>
      </c>
      <c r="AE150" s="1422">
        <f t="shared" si="172"/>
        <v>26.38</v>
      </c>
      <c r="AF150" s="1422">
        <f t="shared" si="173"/>
        <v>387.5</v>
      </c>
    </row>
    <row r="151" ht="15.75" customHeight="1">
      <c r="C151" s="13">
        <v>150.0</v>
      </c>
      <c r="D151" s="1238">
        <v>2021.0</v>
      </c>
      <c r="E151" s="217" t="s">
        <v>522</v>
      </c>
      <c r="F151" s="960" t="s">
        <v>663</v>
      </c>
      <c r="G151" s="961" t="str">
        <f>'League History BACKEND 2021'!$G$151</f>
        <v>POPEYES</v>
      </c>
      <c r="H151" s="962">
        <v>166.98</v>
      </c>
      <c r="I151" s="963">
        <v>143.55</v>
      </c>
      <c r="J151" s="964" t="str">
        <f>'League History BACKEND 2021'!J151</f>
        <v>MUTTS</v>
      </c>
      <c r="K151" s="965" t="str">
        <f t="shared" si="1"/>
        <v>POPEYES</v>
      </c>
      <c r="L151" s="966" t="str">
        <f t="shared" si="2"/>
        <v>MUTTS</v>
      </c>
      <c r="M151" s="967">
        <f t="array" ref="M151">IFERROR(IF(ABS(H151-I151)=0,Tie,ABS(H151-I151)),"UPCOMING")</f>
        <v>23.43</v>
      </c>
      <c r="N151" s="968">
        <f t="shared" si="3"/>
        <v>166</v>
      </c>
      <c r="O151" s="969">
        <f t="shared" si="4"/>
        <v>256</v>
      </c>
      <c r="P151" s="967">
        <f t="shared" si="5"/>
        <v>310.53</v>
      </c>
      <c r="Q151" s="968">
        <f t="shared" si="6"/>
        <v>277</v>
      </c>
      <c r="R151" s="967">
        <f t="shared" si="7"/>
        <v>221.5</v>
      </c>
      <c r="S151" s="970">
        <f t="shared" si="8"/>
        <v>233</v>
      </c>
      <c r="U151" s="13" t="str">
        <f>IFERROR(__xludf.DUMMYFUNCTION("IF($T151=""Y"",
  IFERROR(
    RANK.EQ($R151, FILTER($R:$R, $T:$T=""Y""), 1)
    + COUNTIFS($R:$R, $R151, $M:$M, ""&lt;""&amp;$M151, $T:$T, ""Y""),
    ""UPCOMING""
  ),
  ""NO REF""
)
"),"NO REF")</f>
        <v>NO REF</v>
      </c>
      <c r="X151" s="1412">
        <v>10.0</v>
      </c>
      <c r="Y151" s="1413">
        <f t="shared" si="166"/>
        <v>130</v>
      </c>
      <c r="Z151" s="1415">
        <f t="shared" si="167"/>
        <v>2024</v>
      </c>
      <c r="AA151" s="1417" t="str">
        <f t="shared" si="168"/>
        <v>WEEK 11</v>
      </c>
      <c r="AB151" s="1418" t="str">
        <f t="shared" si="169"/>
        <v>POPEYES</v>
      </c>
      <c r="AC151" s="1421" t="str">
        <f t="shared" si="170"/>
        <v>YARDIES</v>
      </c>
      <c r="AD151" s="444" t="str">
        <f t="shared" si="171"/>
        <v>PVE FFL GAME 333</v>
      </c>
      <c r="AE151" s="1422">
        <f t="shared" si="172"/>
        <v>18.27</v>
      </c>
      <c r="AF151" s="1422">
        <f t="shared" si="173"/>
        <v>364.03</v>
      </c>
    </row>
    <row r="152" ht="15.75" customHeight="1">
      <c r="C152" s="13">
        <v>151.0</v>
      </c>
      <c r="D152" s="1238">
        <v>2021.0</v>
      </c>
      <c r="E152" s="217" t="s">
        <v>522</v>
      </c>
      <c r="F152" s="960" t="s">
        <v>665</v>
      </c>
      <c r="G152" s="961" t="str">
        <f>'League History BACKEND 2021'!$G$153</f>
        <v>SAVAGES</v>
      </c>
      <c r="H152" s="962">
        <v>132.07</v>
      </c>
      <c r="I152" s="963">
        <v>123.33</v>
      </c>
      <c r="J152" s="964" t="str">
        <f>'League History BACKEND 2021'!J153</f>
        <v>YARDIES</v>
      </c>
      <c r="K152" s="965" t="str">
        <f t="shared" si="1"/>
        <v>SAVAGES</v>
      </c>
      <c r="L152" s="966" t="str">
        <f t="shared" si="2"/>
        <v>YARDIES</v>
      </c>
      <c r="M152" s="967">
        <f t="array" ref="M152">IFERROR(IF(ABS(H152-I152)=0,Tie,ABS(H152-I152)),"UPCOMING")</f>
        <v>8.74</v>
      </c>
      <c r="N152" s="968">
        <f t="shared" si="3"/>
        <v>66</v>
      </c>
      <c r="O152" s="969">
        <f t="shared" si="4"/>
        <v>356</v>
      </c>
      <c r="P152" s="967">
        <f t="shared" si="5"/>
        <v>255.4</v>
      </c>
      <c r="Q152" s="968">
        <f t="shared" si="6"/>
        <v>390</v>
      </c>
      <c r="R152" s="967">
        <f t="shared" si="7"/>
        <v>228</v>
      </c>
      <c r="S152" s="970">
        <f t="shared" si="8"/>
        <v>247</v>
      </c>
      <c r="U152" s="13" t="str">
        <f>IFERROR(__xludf.DUMMYFUNCTION("IF($T152=""Y"",
  IFERROR(
    RANK.EQ($R152, FILTER($R:$R, $T:$T=""Y""), 1)
    + COUNTIFS($R:$R, $R152, $M:$M, ""&lt;""&amp;$M152, $T:$T, ""Y""),
    ""UPCOMING""
  ),
  ""NO REF""
)
"),"NO REF")</f>
        <v>NO REF</v>
      </c>
      <c r="X152" s="1412">
        <v>11.0</v>
      </c>
      <c r="Y152" s="1413">
        <f t="shared" si="166"/>
        <v>131.5</v>
      </c>
      <c r="Z152" s="1415">
        <f t="shared" si="167"/>
        <v>2025</v>
      </c>
      <c r="AA152" s="1417" t="str">
        <f t="shared" si="168"/>
        <v>WEEK 10</v>
      </c>
      <c r="AB152" s="1418" t="str">
        <f t="shared" si="169"/>
        <v>POPEYES</v>
      </c>
      <c r="AC152" s="1421" t="str">
        <f t="shared" si="170"/>
        <v>YARDIES</v>
      </c>
      <c r="AD152" s="444" t="str">
        <f t="shared" si="171"/>
        <v>PVE FFL GAME 398</v>
      </c>
      <c r="AE152" s="1422">
        <f t="shared" si="172"/>
        <v>24.14</v>
      </c>
      <c r="AF152" s="1422">
        <f t="shared" si="173"/>
        <v>380.12</v>
      </c>
    </row>
    <row r="153" ht="15.75" customHeight="1">
      <c r="C153" s="13">
        <v>152.0</v>
      </c>
      <c r="D153" s="1238">
        <v>2021.0</v>
      </c>
      <c r="E153" s="217" t="s">
        <v>522</v>
      </c>
      <c r="F153" s="960" t="s">
        <v>670</v>
      </c>
      <c r="G153" s="961" t="str">
        <f>'League History BACKEND 2021'!$G$155</f>
        <v>DECOUPES</v>
      </c>
      <c r="H153" s="962">
        <v>127.18</v>
      </c>
      <c r="I153" s="963">
        <v>193.71</v>
      </c>
      <c r="J153" s="964" t="str">
        <f>'League History BACKEND 2021'!J155</f>
        <v>GIRLS</v>
      </c>
      <c r="K153" s="965" t="str">
        <f t="shared" si="1"/>
        <v>GIRLS</v>
      </c>
      <c r="L153" s="966" t="str">
        <f t="shared" si="2"/>
        <v>DECOUPES</v>
      </c>
      <c r="M153" s="967">
        <f t="array" ref="M153">IFERROR(IF(ABS(H153-I153)=0,Tie,ABS(H153-I153)),"UPCOMING")</f>
        <v>66.53</v>
      </c>
      <c r="N153" s="968">
        <f t="shared" si="3"/>
        <v>357</v>
      </c>
      <c r="O153" s="969">
        <f t="shared" si="4"/>
        <v>65</v>
      </c>
      <c r="P153" s="967">
        <f t="shared" si="5"/>
        <v>320.89</v>
      </c>
      <c r="Q153" s="968">
        <f t="shared" si="6"/>
        <v>246</v>
      </c>
      <c r="R153" s="967">
        <f t="shared" si="7"/>
        <v>301.5</v>
      </c>
      <c r="S153" s="970">
        <f t="shared" si="8"/>
        <v>362</v>
      </c>
      <c r="U153" s="13" t="str">
        <f>IFERROR(__xludf.DUMMYFUNCTION("IF($T153=""Y"",
  IFERROR(
    RANK.EQ($R153, FILTER($R:$R, $T:$T=""Y""), 1)
    + COUNTIFS($R:$R, $R153, $M:$M, ""&lt;""&amp;$M153, $T:$T, ""Y""),
    ""UPCOMING""
  ),
  ""NO REF""
)
"),"NO REF")</f>
        <v>NO REF</v>
      </c>
      <c r="X153" s="1412">
        <v>12.0</v>
      </c>
      <c r="Y153" s="1413">
        <f t="shared" si="166"/>
        <v>135.5</v>
      </c>
      <c r="Z153" s="1415">
        <f t="shared" si="167"/>
        <v>2022</v>
      </c>
      <c r="AA153" s="1417" t="str">
        <f t="shared" si="168"/>
        <v>WEEK 5</v>
      </c>
      <c r="AB153" s="1418" t="str">
        <f t="shared" si="169"/>
        <v>GREEN</v>
      </c>
      <c r="AC153" s="1421" t="str">
        <f t="shared" si="170"/>
        <v>POPEYES</v>
      </c>
      <c r="AD153" s="444" t="str">
        <f t="shared" si="171"/>
        <v>PVE FFL GAME 188</v>
      </c>
      <c r="AE153" s="1422">
        <f t="shared" si="172"/>
        <v>34.17</v>
      </c>
      <c r="AF153" s="1422">
        <f t="shared" si="173"/>
        <v>401.07</v>
      </c>
    </row>
    <row r="154" ht="15.75" customHeight="1">
      <c r="C154" s="13">
        <v>153.0</v>
      </c>
      <c r="D154" s="1238">
        <v>2021.0</v>
      </c>
      <c r="E154" s="217" t="s">
        <v>522</v>
      </c>
      <c r="F154" s="960" t="s">
        <v>671</v>
      </c>
      <c r="G154" s="961" t="str">
        <f>'League History BACKEND 2021'!$G$157</f>
        <v>GREEN</v>
      </c>
      <c r="H154" s="962">
        <v>201.41</v>
      </c>
      <c r="I154" s="963">
        <v>126.24</v>
      </c>
      <c r="J154" s="964" t="str">
        <f>'League History BACKEND 2021'!J157</f>
        <v>DEEZ NUTS</v>
      </c>
      <c r="K154" s="965" t="str">
        <f t="shared" si="1"/>
        <v>GREEN</v>
      </c>
      <c r="L154" s="966" t="str">
        <f t="shared" si="2"/>
        <v>DEEZ NUTS</v>
      </c>
      <c r="M154" s="967">
        <f t="array" ref="M154">IFERROR(IF(ABS(H154-I154)=0,Tie,ABS(H154-I154)),"UPCOMING")</f>
        <v>75.17</v>
      </c>
      <c r="N154" s="968">
        <f t="shared" si="3"/>
        <v>380</v>
      </c>
      <c r="O154" s="969">
        <f t="shared" si="4"/>
        <v>42</v>
      </c>
      <c r="P154" s="967">
        <f t="shared" si="5"/>
        <v>327.65</v>
      </c>
      <c r="Q154" s="968">
        <f t="shared" si="6"/>
        <v>226</v>
      </c>
      <c r="R154" s="967">
        <f t="shared" si="7"/>
        <v>303</v>
      </c>
      <c r="S154" s="970">
        <f t="shared" si="8"/>
        <v>368</v>
      </c>
      <c r="U154" s="13" t="str">
        <f>IFERROR(__xludf.DUMMYFUNCTION("IF($T154=""Y"",
  IFERROR(
    RANK.EQ($R154, FILTER($R:$R, $T:$T=""Y""), 1)
    + COUNTIFS($R:$R, $R154, $M:$M, ""&lt;""&amp;$M154, $T:$T, ""Y""),
    ""UPCOMING""
  ),
  ""NO REF""
)
"),"NO REF")</f>
        <v>NO REF</v>
      </c>
      <c r="X154" s="1412">
        <v>13.0</v>
      </c>
      <c r="Y154" s="1413">
        <f t="shared" si="166"/>
        <v>140.5</v>
      </c>
      <c r="Z154" s="1415">
        <f t="shared" si="167"/>
        <v>2024</v>
      </c>
      <c r="AA154" s="1417" t="str">
        <f t="shared" si="168"/>
        <v>WEEK 13</v>
      </c>
      <c r="AB154" s="1418" t="str">
        <f t="shared" si="169"/>
        <v>KINGS</v>
      </c>
      <c r="AC154" s="1421" t="str">
        <f t="shared" si="170"/>
        <v>GREEN</v>
      </c>
      <c r="AD154" s="444" t="str">
        <f t="shared" si="171"/>
        <v>PVE FFL GAME 345</v>
      </c>
      <c r="AE154" s="1422">
        <f t="shared" si="172"/>
        <v>21.96</v>
      </c>
      <c r="AF154" s="1422">
        <f t="shared" si="173"/>
        <v>363.8</v>
      </c>
    </row>
    <row r="155" ht="15.75" customHeight="1">
      <c r="C155" s="13">
        <v>154.0</v>
      </c>
      <c r="D155" s="1238">
        <v>2021.0</v>
      </c>
      <c r="E155" s="217" t="s">
        <v>522</v>
      </c>
      <c r="F155" s="960" t="s">
        <v>1018</v>
      </c>
      <c r="G155" s="961" t="str">
        <f>'League History BACKEND 2021'!$G$159</f>
        <v>CHAMPS</v>
      </c>
      <c r="H155" s="962">
        <v>156.25</v>
      </c>
      <c r="I155" s="963">
        <v>157.93</v>
      </c>
      <c r="J155" s="964" t="str">
        <f>'League History BACKEND 2021'!J159</f>
        <v>METAMOOKDAWGS</v>
      </c>
      <c r="K155" s="965" t="str">
        <f t="shared" si="1"/>
        <v>METAMOOKDAWGS</v>
      </c>
      <c r="L155" s="966" t="str">
        <f t="shared" si="2"/>
        <v>CHAMPS</v>
      </c>
      <c r="M155" s="967">
        <f t="array" ref="M155">IFERROR(IF(ABS(H155-I155)=0,Tie,ABS(H155-I155)),"UPCOMING")</f>
        <v>1.68</v>
      </c>
      <c r="N155" s="968">
        <f t="shared" si="3"/>
        <v>17</v>
      </c>
      <c r="O155" s="969">
        <f t="shared" si="4"/>
        <v>405</v>
      </c>
      <c r="P155" s="967">
        <f t="shared" si="5"/>
        <v>314.18</v>
      </c>
      <c r="Q155" s="968">
        <f t="shared" si="6"/>
        <v>262</v>
      </c>
      <c r="R155" s="967">
        <f t="shared" si="7"/>
        <v>139.5</v>
      </c>
      <c r="S155" s="970">
        <f t="shared" si="8"/>
        <v>87</v>
      </c>
      <c r="U155" s="13" t="str">
        <f>IFERROR(__xludf.DUMMYFUNCTION("IF($T155=""Y"",
  IFERROR(
    RANK.EQ($R155, FILTER($R:$R, $T:$T=""Y""), 1)
    + COUNTIFS($R:$R, $R155, $M:$M, ""&lt;""&amp;$M155, $T:$T, ""Y""),
    ""UPCOMING""
  ),
  ""NO REF""
)
"),"NO REF")</f>
        <v>NO REF</v>
      </c>
      <c r="X155" s="1412">
        <v>14.0</v>
      </c>
      <c r="Y155" s="1413">
        <f t="shared" si="166"/>
        <v>144</v>
      </c>
      <c r="Z155" s="1415">
        <f t="shared" si="167"/>
        <v>2023</v>
      </c>
      <c r="AA155" s="1417" t="str">
        <f t="shared" si="168"/>
        <v>WEEK 10</v>
      </c>
      <c r="AB155" s="1418" t="str">
        <f t="shared" si="169"/>
        <v>MUTTS</v>
      </c>
      <c r="AC155" s="1421" t="str">
        <f t="shared" si="170"/>
        <v>YARDIES</v>
      </c>
      <c r="AD155" s="444" t="str">
        <f t="shared" si="171"/>
        <v>PVE FFL GAME 263</v>
      </c>
      <c r="AE155" s="1422">
        <f t="shared" si="172"/>
        <v>39.78</v>
      </c>
      <c r="AF155" s="1422">
        <f t="shared" si="173"/>
        <v>416.68</v>
      </c>
    </row>
    <row r="156" ht="15.75" customHeight="1">
      <c r="C156" s="13">
        <v>155.0</v>
      </c>
      <c r="D156" s="1238">
        <v>2021.0</v>
      </c>
      <c r="E156" s="217" t="s">
        <v>523</v>
      </c>
      <c r="F156" s="960" t="s">
        <v>663</v>
      </c>
      <c r="G156" s="961" t="str">
        <f>'League History BACKEND 2021'!$G$163</f>
        <v>POPEYES</v>
      </c>
      <c r="H156" s="962">
        <v>141.84</v>
      </c>
      <c r="I156" s="963">
        <v>93.38</v>
      </c>
      <c r="J156" s="964" t="str">
        <f>'League History BACKEND 2021'!J163</f>
        <v>CHAMPS</v>
      </c>
      <c r="K156" s="965" t="str">
        <f t="shared" si="1"/>
        <v>POPEYES</v>
      </c>
      <c r="L156" s="966" t="str">
        <f t="shared" si="2"/>
        <v>CHAMPS</v>
      </c>
      <c r="M156" s="967">
        <f t="array" ref="M156">IFERROR(IF(ABS(H156-I156)=0,Tie,ABS(H156-I156)),"UPCOMING")</f>
        <v>48.46</v>
      </c>
      <c r="N156" s="968">
        <f t="shared" si="3"/>
        <v>303</v>
      </c>
      <c r="O156" s="969">
        <f t="shared" si="4"/>
        <v>119</v>
      </c>
      <c r="P156" s="967">
        <f t="shared" si="5"/>
        <v>235.22</v>
      </c>
      <c r="Q156" s="968">
        <f t="shared" si="6"/>
        <v>406</v>
      </c>
      <c r="R156" s="967">
        <f t="shared" si="7"/>
        <v>354.5</v>
      </c>
      <c r="S156" s="970">
        <f t="shared" si="8"/>
        <v>408</v>
      </c>
      <c r="U156" s="13" t="str">
        <f>IFERROR(__xludf.DUMMYFUNCTION("IF($T156=""Y"",
  IFERROR(
    RANK.EQ($R156, FILTER($R:$R, $T:$T=""Y""), 1)
    + COUNTIFS($R:$R, $R156, $M:$M, ""&lt;""&amp;$M156, $T:$T, ""Y""),
    ""UPCOMING""
  ),
  ""NO REF""
)
"),"NO REF")</f>
        <v>NO REF</v>
      </c>
      <c r="X156" s="1412">
        <v>15.0</v>
      </c>
      <c r="Y156" s="1413">
        <f t="shared" si="166"/>
        <v>146.5</v>
      </c>
      <c r="Z156" s="1415">
        <f t="shared" si="167"/>
        <v>2025</v>
      </c>
      <c r="AA156" s="1417" t="str">
        <f t="shared" si="168"/>
        <v>WEEK 9</v>
      </c>
      <c r="AB156" s="1418" t="str">
        <f t="shared" si="169"/>
        <v>GREEN</v>
      </c>
      <c r="AC156" s="1421" t="str">
        <f t="shared" si="170"/>
        <v>POPEYES</v>
      </c>
      <c r="AD156" s="444" t="str">
        <f t="shared" si="171"/>
        <v>PVE FFL GAME 392</v>
      </c>
      <c r="AE156" s="1422">
        <f t="shared" si="172"/>
        <v>12.62</v>
      </c>
      <c r="AF156" s="1422">
        <f t="shared" si="173"/>
        <v>338.36</v>
      </c>
    </row>
    <row r="157" ht="15.75" customHeight="1">
      <c r="C157" s="13">
        <v>156.0</v>
      </c>
      <c r="D157" s="1238">
        <v>2021.0</v>
      </c>
      <c r="E157" s="217" t="s">
        <v>523</v>
      </c>
      <c r="F157" s="960" t="s">
        <v>665</v>
      </c>
      <c r="G157" s="961" t="str">
        <f>'League History BACKEND 2021'!$G$165</f>
        <v>SAVAGES</v>
      </c>
      <c r="H157" s="962">
        <v>132.8</v>
      </c>
      <c r="I157" s="963">
        <v>147.52</v>
      </c>
      <c r="J157" s="964" t="str">
        <f>'League History BACKEND 2021'!J165</f>
        <v>GREEN</v>
      </c>
      <c r="K157" s="965" t="str">
        <f t="shared" si="1"/>
        <v>GREEN</v>
      </c>
      <c r="L157" s="966" t="str">
        <f t="shared" si="2"/>
        <v>SAVAGES</v>
      </c>
      <c r="M157" s="967">
        <f t="array" ref="M157">IFERROR(IF(ABS(H157-I157)=0,Tie,ABS(H157-I157)),"UPCOMING")</f>
        <v>14.72</v>
      </c>
      <c r="N157" s="968">
        <f t="shared" si="3"/>
        <v>113</v>
      </c>
      <c r="O157" s="969">
        <f t="shared" si="4"/>
        <v>309</v>
      </c>
      <c r="P157" s="967">
        <f t="shared" si="5"/>
        <v>280.32</v>
      </c>
      <c r="Q157" s="968">
        <f t="shared" si="6"/>
        <v>348</v>
      </c>
      <c r="R157" s="967">
        <f t="shared" si="7"/>
        <v>230.5</v>
      </c>
      <c r="S157" s="970">
        <f t="shared" si="8"/>
        <v>252</v>
      </c>
      <c r="U157" s="13" t="str">
        <f>IFERROR(__xludf.DUMMYFUNCTION("IF($T157=""Y"",
  IFERROR(
    RANK.EQ($R157, FILTER($R:$R, $T:$T=""Y""), 1)
    + COUNTIFS($R:$R, $R157, $M:$M, ""&lt;""&amp;$M157, $T:$T, ""Y""),
    ""UPCOMING""
  ),
  ""NO REF""
)
"),"NO REF")</f>
        <v>NO REF</v>
      </c>
      <c r="X157" s="1412">
        <v>16.0</v>
      </c>
      <c r="Y157" s="1413">
        <f t="shared" si="166"/>
        <v>152</v>
      </c>
      <c r="Z157" s="1415">
        <f t="shared" si="167"/>
        <v>2023</v>
      </c>
      <c r="AA157" s="1417" t="str">
        <f t="shared" si="168"/>
        <v>WEEK 3</v>
      </c>
      <c r="AB157" s="1418" t="str">
        <f t="shared" si="169"/>
        <v>METAMOOKDAWGS</v>
      </c>
      <c r="AC157" s="1421" t="str">
        <f t="shared" si="170"/>
        <v>GREEN</v>
      </c>
      <c r="AD157" s="444" t="str">
        <f t="shared" si="171"/>
        <v>PVE FFL GAME 234</v>
      </c>
      <c r="AE157" s="1422">
        <f t="shared" si="172"/>
        <v>38.48</v>
      </c>
      <c r="AF157" s="1422">
        <f t="shared" si="173"/>
        <v>399.4</v>
      </c>
    </row>
    <row r="158" ht="15.75" customHeight="1">
      <c r="C158" s="13">
        <v>157.0</v>
      </c>
      <c r="D158" s="1238">
        <v>2021.0</v>
      </c>
      <c r="E158" s="217" t="s">
        <v>523</v>
      </c>
      <c r="F158" s="960" t="s">
        <v>670</v>
      </c>
      <c r="G158" s="961" t="str">
        <f>'League History BACKEND 2021'!$G$167</f>
        <v>DECOUPES</v>
      </c>
      <c r="H158" s="962">
        <v>146.27</v>
      </c>
      <c r="I158" s="963">
        <v>164.74</v>
      </c>
      <c r="J158" s="964" t="str">
        <f>'League History BACKEND 2021'!J167</f>
        <v>YARDIES</v>
      </c>
      <c r="K158" s="965" t="str">
        <f t="shared" si="1"/>
        <v>YARDIES</v>
      </c>
      <c r="L158" s="966" t="str">
        <f t="shared" si="2"/>
        <v>DECOUPES</v>
      </c>
      <c r="M158" s="967">
        <f t="array" ref="M158">IFERROR(IF(ABS(H158-I158)=0,Tie,ABS(H158-I158)),"UPCOMING")</f>
        <v>18.47</v>
      </c>
      <c r="N158" s="968">
        <f t="shared" si="3"/>
        <v>135</v>
      </c>
      <c r="O158" s="969">
        <f t="shared" si="4"/>
        <v>288</v>
      </c>
      <c r="P158" s="967">
        <f t="shared" si="5"/>
        <v>311.01</v>
      </c>
      <c r="Q158" s="968">
        <f t="shared" si="6"/>
        <v>276</v>
      </c>
      <c r="R158" s="967">
        <f t="shared" si="7"/>
        <v>205.5</v>
      </c>
      <c r="S158" s="970">
        <f t="shared" si="8"/>
        <v>194</v>
      </c>
      <c r="U158" s="13" t="str">
        <f>IFERROR(__xludf.DUMMYFUNCTION("IF($T158=""Y"",
  IFERROR(
    RANK.EQ($R158, FILTER($R:$R, $T:$T=""Y""), 1)
    + COUNTIFS($R:$R, $R158, $M:$M, ""&lt;""&amp;$M158, $T:$T, ""Y""),
    ""UPCOMING""
  ),
  ""NO REF""
)
"),"NO REF")</f>
        <v>NO REF</v>
      </c>
      <c r="X158" s="1412">
        <v>17.0</v>
      </c>
      <c r="Y158" s="1413">
        <f t="shared" si="166"/>
        <v>156</v>
      </c>
      <c r="Z158" s="1415">
        <f t="shared" si="167"/>
        <v>2022</v>
      </c>
      <c r="AA158" s="1417" t="str">
        <f t="shared" si="168"/>
        <v>WEEK 7</v>
      </c>
      <c r="AB158" s="1418" t="str">
        <f t="shared" si="169"/>
        <v>YARDIES</v>
      </c>
      <c r="AC158" s="1421" t="str">
        <f t="shared" si="170"/>
        <v>CHAMPS</v>
      </c>
      <c r="AD158" s="444" t="str">
        <f t="shared" si="171"/>
        <v>PVE FFL GAME 195</v>
      </c>
      <c r="AE158" s="1422">
        <f t="shared" si="172"/>
        <v>9.89</v>
      </c>
      <c r="AF158" s="1422">
        <f t="shared" si="173"/>
        <v>324.51</v>
      </c>
    </row>
    <row r="159" ht="15.75" customHeight="1">
      <c r="C159" s="13">
        <v>158.0</v>
      </c>
      <c r="D159" s="1238">
        <v>2021.0</v>
      </c>
      <c r="E159" s="217" t="s">
        <v>523</v>
      </c>
      <c r="F159" s="960" t="s">
        <v>671</v>
      </c>
      <c r="G159" s="961" t="str">
        <f>'League History BACKEND 2021'!$G$169</f>
        <v>METAMOOKDAWGS</v>
      </c>
      <c r="H159" s="962">
        <v>186.04</v>
      </c>
      <c r="I159" s="963">
        <v>128.66</v>
      </c>
      <c r="J159" s="964" t="str">
        <f>'League History BACKEND 2021'!J169</f>
        <v>DEEZ NUTS</v>
      </c>
      <c r="K159" s="965" t="str">
        <f t="shared" si="1"/>
        <v>METAMOOKDAWGS</v>
      </c>
      <c r="L159" s="966" t="str">
        <f t="shared" si="2"/>
        <v>DEEZ NUTS</v>
      </c>
      <c r="M159" s="967">
        <f t="array" ref="M159">IFERROR(IF(ABS(H159-I159)=0,Tie,ABS(H159-I159)),"UPCOMING")</f>
        <v>57.38</v>
      </c>
      <c r="N159" s="968">
        <f t="shared" si="3"/>
        <v>333</v>
      </c>
      <c r="O159" s="969">
        <f t="shared" si="4"/>
        <v>89</v>
      </c>
      <c r="P159" s="967">
        <f t="shared" si="5"/>
        <v>314.7</v>
      </c>
      <c r="Q159" s="968">
        <f t="shared" si="6"/>
        <v>261</v>
      </c>
      <c r="R159" s="967">
        <f t="shared" si="7"/>
        <v>297</v>
      </c>
      <c r="S159" s="970">
        <f t="shared" si="8"/>
        <v>355</v>
      </c>
      <c r="U159" s="13" t="str">
        <f>IFERROR(__xludf.DUMMYFUNCTION("IF($T159=""Y"",
  IFERROR(
    RANK.EQ($R159, FILTER($R:$R, $T:$T=""Y""), 1)
    + COUNTIFS($R:$R, $R159, $M:$M, ""&lt;""&amp;$M159, $T:$T, ""Y""),
    ""UPCOMING""
  ),
  ""NO REF""
)
"),"NO REF")</f>
        <v>NO REF</v>
      </c>
      <c r="X159" s="1412">
        <v>18.0</v>
      </c>
      <c r="Y159" s="1413">
        <f t="shared" si="166"/>
        <v>160.5</v>
      </c>
      <c r="Z159" s="1415">
        <f t="shared" si="167"/>
        <v>2022</v>
      </c>
      <c r="AA159" s="1417" t="str">
        <f t="shared" si="168"/>
        <v>WEEK 6</v>
      </c>
      <c r="AB159" s="1418" t="str">
        <f t="shared" si="169"/>
        <v>CHAMPS</v>
      </c>
      <c r="AC159" s="1421" t="str">
        <f t="shared" si="170"/>
        <v>POPEYES</v>
      </c>
      <c r="AD159" s="444" t="str">
        <f t="shared" si="171"/>
        <v>PVE FFL GAME 191</v>
      </c>
      <c r="AE159" s="1422">
        <f t="shared" si="172"/>
        <v>9.95</v>
      </c>
      <c r="AF159" s="1422">
        <f t="shared" si="173"/>
        <v>321.67</v>
      </c>
    </row>
    <row r="160" ht="15.75" customHeight="1">
      <c r="C160" s="13">
        <v>159.0</v>
      </c>
      <c r="D160" s="1238">
        <v>2021.0</v>
      </c>
      <c r="E160" s="217" t="s">
        <v>523</v>
      </c>
      <c r="F160" s="960" t="s">
        <v>1018</v>
      </c>
      <c r="G160" s="961" t="str">
        <f>'League History BACKEND 2021'!$G$171</f>
        <v>MUTTS</v>
      </c>
      <c r="H160" s="962">
        <v>140.41</v>
      </c>
      <c r="I160" s="963">
        <v>186.93</v>
      </c>
      <c r="J160" s="964" t="str">
        <f>'League History BACKEND 2021'!J171</f>
        <v>GIRLS</v>
      </c>
      <c r="K160" s="965" t="str">
        <f t="shared" si="1"/>
        <v>GIRLS</v>
      </c>
      <c r="L160" s="966" t="str">
        <f t="shared" si="2"/>
        <v>MUTTS</v>
      </c>
      <c r="M160" s="967">
        <f t="array" ref="M160">IFERROR(IF(ABS(H160-I160)=0,Tie,ABS(H160-I160)),"UPCOMING")</f>
        <v>46.52</v>
      </c>
      <c r="N160" s="968">
        <f t="shared" si="3"/>
        <v>295</v>
      </c>
      <c r="O160" s="969">
        <f t="shared" si="4"/>
        <v>127</v>
      </c>
      <c r="P160" s="967">
        <f t="shared" si="5"/>
        <v>327.34</v>
      </c>
      <c r="Q160" s="968">
        <f t="shared" si="6"/>
        <v>228</v>
      </c>
      <c r="R160" s="967">
        <f t="shared" si="7"/>
        <v>261.5</v>
      </c>
      <c r="S160" s="970">
        <f t="shared" si="8"/>
        <v>306</v>
      </c>
      <c r="U160" s="13" t="str">
        <f>IFERROR(__xludf.DUMMYFUNCTION("IF($T160=""Y"",
  IFERROR(
    RANK.EQ($R160, FILTER($R:$R, $T:$T=""Y""), 1)
    + COUNTIFS($R:$R, $R160, $M:$M, ""&lt;""&amp;$M160, $T:$T, ""Y""),
    ""UPCOMING""
  ),
  ""NO REF""
)
"),"NO REF")</f>
        <v>NO REF</v>
      </c>
      <c r="X160" s="1412">
        <v>19.0</v>
      </c>
      <c r="Y160" s="1413">
        <f t="shared" si="166"/>
        <v>161</v>
      </c>
      <c r="Z160" s="1415">
        <f t="shared" si="167"/>
        <v>2022</v>
      </c>
      <c r="AA160" s="1417" t="str">
        <f t="shared" si="168"/>
        <v>WEEK 13</v>
      </c>
      <c r="AB160" s="1418" t="str">
        <f t="shared" si="169"/>
        <v>POPEYES</v>
      </c>
      <c r="AC160" s="1421" t="str">
        <f t="shared" si="170"/>
        <v>SAVAGES</v>
      </c>
      <c r="AD160" s="444" t="str">
        <f t="shared" si="171"/>
        <v>PVE FFL GAME 220</v>
      </c>
      <c r="AE160" s="1422">
        <f t="shared" si="172"/>
        <v>27.62</v>
      </c>
      <c r="AF160" s="1422">
        <f t="shared" si="173"/>
        <v>361.42</v>
      </c>
    </row>
    <row r="161" ht="15.75" customHeight="1">
      <c r="C161" s="13">
        <v>160.0</v>
      </c>
      <c r="D161" s="1238">
        <v>2021.0</v>
      </c>
      <c r="E161" s="217" t="s">
        <v>524</v>
      </c>
      <c r="F161" s="960" t="s">
        <v>663</v>
      </c>
      <c r="G161" s="961" t="str">
        <f>'League History BACKEND 2021'!$G$175</f>
        <v>POPEYES</v>
      </c>
      <c r="H161" s="962">
        <v>121.37</v>
      </c>
      <c r="I161" s="963">
        <v>178.04</v>
      </c>
      <c r="J161" s="964" t="str">
        <f>'League History BACKEND 2021'!J175</f>
        <v>SAVAGES</v>
      </c>
      <c r="K161" s="965" t="str">
        <f t="shared" si="1"/>
        <v>SAVAGES</v>
      </c>
      <c r="L161" s="966" t="str">
        <f t="shared" si="2"/>
        <v>POPEYES</v>
      </c>
      <c r="M161" s="967">
        <f t="array" ref="M161">IFERROR(IF(ABS(H161-I161)=0,Tie,ABS(H161-I161)),"UPCOMING")</f>
        <v>56.67</v>
      </c>
      <c r="N161" s="968">
        <f t="shared" si="3"/>
        <v>331</v>
      </c>
      <c r="O161" s="969">
        <f t="shared" si="4"/>
        <v>91</v>
      </c>
      <c r="P161" s="967">
        <f t="shared" si="5"/>
        <v>299.41</v>
      </c>
      <c r="Q161" s="968">
        <f t="shared" si="6"/>
        <v>307</v>
      </c>
      <c r="R161" s="967">
        <f t="shared" si="7"/>
        <v>319</v>
      </c>
      <c r="S161" s="970">
        <f t="shared" si="8"/>
        <v>380</v>
      </c>
      <c r="U161" s="13" t="str">
        <f>IFERROR(__xludf.DUMMYFUNCTION("IF($T161=""Y"",
  IFERROR(
    RANK.EQ($R161, FILTER($R:$R, $T:$T=""Y""), 1)
    + COUNTIFS($R:$R, $R161, $M:$M, ""&lt;""&amp;$M161, $T:$T, ""Y""),
    ""UPCOMING""
  ),
  ""NO REF""
)
"),"NO REF")</f>
        <v>NO REF</v>
      </c>
      <c r="X161" s="1412">
        <v>20.0</v>
      </c>
      <c r="Y161" s="1413">
        <f t="shared" si="166"/>
        <v>163.5</v>
      </c>
      <c r="Z161" s="1415">
        <f t="shared" si="167"/>
        <v>2022</v>
      </c>
      <c r="AA161" s="1417" t="str">
        <f t="shared" si="168"/>
        <v>WEEK 4</v>
      </c>
      <c r="AB161" s="1418" t="str">
        <f t="shared" si="169"/>
        <v>CHAMPS</v>
      </c>
      <c r="AC161" s="1421" t="str">
        <f t="shared" si="170"/>
        <v>YARDIES</v>
      </c>
      <c r="AD161" s="444" t="str">
        <f t="shared" si="171"/>
        <v>PVE FFL GAME 183</v>
      </c>
      <c r="AE161" s="1422">
        <f t="shared" si="172"/>
        <v>30.55</v>
      </c>
      <c r="AF161" s="1422">
        <f t="shared" si="173"/>
        <v>364.25</v>
      </c>
    </row>
    <row r="162" ht="15.75" customHeight="1">
      <c r="C162" s="13">
        <v>161.0</v>
      </c>
      <c r="D162" s="1238">
        <v>2021.0</v>
      </c>
      <c r="E162" s="217" t="s">
        <v>524</v>
      </c>
      <c r="F162" s="960" t="s">
        <v>665</v>
      </c>
      <c r="G162" s="961" t="str">
        <f>'League History BACKEND 2021'!$G$177</f>
        <v>DECOUPES</v>
      </c>
      <c r="H162" s="962">
        <v>182.85</v>
      </c>
      <c r="I162" s="963">
        <v>145.52</v>
      </c>
      <c r="J162" s="964" t="str">
        <f>'League History BACKEND 2021'!J177</f>
        <v>CHAMPS</v>
      </c>
      <c r="K162" s="965" t="str">
        <f t="shared" si="1"/>
        <v>DECOUPES</v>
      </c>
      <c r="L162" s="966" t="str">
        <f t="shared" si="2"/>
        <v>CHAMPS</v>
      </c>
      <c r="M162" s="967">
        <f t="array" ref="M162">IFERROR(IF(ABS(H162-I162)=0,Tie,ABS(H162-I162)),"UPCOMING")</f>
        <v>37.33</v>
      </c>
      <c r="N162" s="968">
        <f t="shared" si="3"/>
        <v>242</v>
      </c>
      <c r="O162" s="969">
        <f t="shared" si="4"/>
        <v>180</v>
      </c>
      <c r="P162" s="967">
        <f t="shared" si="5"/>
        <v>328.37</v>
      </c>
      <c r="Q162" s="968">
        <f t="shared" si="6"/>
        <v>223</v>
      </c>
      <c r="R162" s="967">
        <f t="shared" si="7"/>
        <v>232.5</v>
      </c>
      <c r="S162" s="970">
        <f t="shared" si="8"/>
        <v>256</v>
      </c>
      <c r="U162" s="13" t="str">
        <f>IFERROR(__xludf.DUMMYFUNCTION("IF($T162=""Y"",
  IFERROR(
    RANK.EQ($R162, FILTER($R:$R, $T:$T=""Y""), 1)
    + COUNTIFS($R:$R, $R162, $M:$M, ""&lt;""&amp;$M162, $T:$T, ""Y""),
    ""UPCOMING""
  ),
  ""NO REF""
)
"),"NO REF")</f>
        <v>NO REF</v>
      </c>
    </row>
    <row r="163" ht="15.75" customHeight="1">
      <c r="C163" s="13">
        <v>162.0</v>
      </c>
      <c r="D163" s="1238">
        <v>2021.0</v>
      </c>
      <c r="E163" s="217" t="s">
        <v>524</v>
      </c>
      <c r="F163" s="960" t="s">
        <v>670</v>
      </c>
      <c r="G163" s="961" t="str">
        <f>'League History BACKEND 2021'!$G$179</f>
        <v>GREEN</v>
      </c>
      <c r="H163" s="962">
        <v>141.62</v>
      </c>
      <c r="I163" s="963">
        <v>195.74</v>
      </c>
      <c r="J163" s="964" t="str">
        <f>'League History BACKEND 2021'!J179</f>
        <v>GIRLS</v>
      </c>
      <c r="K163" s="965" t="str">
        <f t="shared" si="1"/>
        <v>GIRLS</v>
      </c>
      <c r="L163" s="966" t="str">
        <f t="shared" si="2"/>
        <v>GREEN</v>
      </c>
      <c r="M163" s="967">
        <f t="array" ref="M163">IFERROR(IF(ABS(H163-I163)=0,Tie,ABS(H163-I163)),"UPCOMING")</f>
        <v>54.12</v>
      </c>
      <c r="N163" s="968">
        <f t="shared" si="3"/>
        <v>322</v>
      </c>
      <c r="O163" s="969">
        <f t="shared" si="4"/>
        <v>101</v>
      </c>
      <c r="P163" s="967">
        <f t="shared" si="5"/>
        <v>337.36</v>
      </c>
      <c r="Q163" s="968">
        <f t="shared" si="6"/>
        <v>199</v>
      </c>
      <c r="R163" s="967">
        <f t="shared" si="7"/>
        <v>260.5</v>
      </c>
      <c r="S163" s="970">
        <f t="shared" si="8"/>
        <v>303</v>
      </c>
      <c r="U163" s="13" t="str">
        <f>IFERROR(__xludf.DUMMYFUNCTION("IF($T163=""Y"",
  IFERROR(
    RANK.EQ($R163, FILTER($R:$R, $T:$T=""Y""), 1)
    + COUNTIFS($R:$R, $R163, $M:$M, ""&lt;""&amp;$M163, $T:$T, ""Y""),
    ""UPCOMING""
  ),
  ""NO REF""
)
"),"NO REF")</f>
        <v>NO REF</v>
      </c>
    </row>
    <row r="164" ht="15.75" customHeight="1">
      <c r="C164" s="13">
        <v>163.0</v>
      </c>
      <c r="D164" s="1238">
        <v>2021.0</v>
      </c>
      <c r="E164" s="217" t="s">
        <v>524</v>
      </c>
      <c r="F164" s="960" t="s">
        <v>671</v>
      </c>
      <c r="G164" s="961" t="str">
        <f>'League History BACKEND 2021'!$G$181</f>
        <v>METAMOOKDAWGS</v>
      </c>
      <c r="H164" s="962">
        <v>154.66</v>
      </c>
      <c r="I164" s="963">
        <v>199.66</v>
      </c>
      <c r="J164" s="964" t="str">
        <f>'League History BACKEND 2021'!J181</f>
        <v>MUTTS</v>
      </c>
      <c r="K164" s="965" t="str">
        <f t="shared" si="1"/>
        <v>MUTTS</v>
      </c>
      <c r="L164" s="966" t="str">
        <f t="shared" si="2"/>
        <v>METAMOOKDAWGS</v>
      </c>
      <c r="M164" s="967">
        <f t="array" ref="M164">IFERROR(IF(ABS(H164-I164)=0,Tie,ABS(H164-I164)),"UPCOMING")</f>
        <v>45</v>
      </c>
      <c r="N164" s="968">
        <f t="shared" si="3"/>
        <v>281</v>
      </c>
      <c r="O164" s="969">
        <f t="shared" si="4"/>
        <v>141</v>
      </c>
      <c r="P164" s="967">
        <f t="shared" si="5"/>
        <v>354.32</v>
      </c>
      <c r="Q164" s="968">
        <f t="shared" si="6"/>
        <v>152</v>
      </c>
      <c r="R164" s="967">
        <f t="shared" si="7"/>
        <v>216.5</v>
      </c>
      <c r="S164" s="970">
        <f t="shared" si="8"/>
        <v>219</v>
      </c>
      <c r="U164" s="13" t="str">
        <f>IFERROR(__xludf.DUMMYFUNCTION("IF($T164=""Y"",
  IFERROR(
    RANK.EQ($R164, FILTER($R:$R, $T:$T=""Y""), 1)
    + COUNTIFS($R:$R, $R164, $M:$M, ""&lt;""&amp;$M164, $T:$T, ""Y""),
    ""UPCOMING""
  ),
  ""NO REF""
)
"),"NO REF")</f>
        <v>NO REF</v>
      </c>
    </row>
    <row r="165" ht="15.75" customHeight="1">
      <c r="C165" s="13">
        <v>164.0</v>
      </c>
      <c r="D165" s="1238">
        <v>2021.0</v>
      </c>
      <c r="E165" s="217" t="s">
        <v>524</v>
      </c>
      <c r="F165" s="960" t="s">
        <v>1018</v>
      </c>
      <c r="G165" s="961" t="str">
        <f>'League History BACKEND 2021'!$G$183</f>
        <v>YARDIES</v>
      </c>
      <c r="H165" s="962">
        <v>152.6</v>
      </c>
      <c r="I165" s="963">
        <v>108.74</v>
      </c>
      <c r="J165" s="964" t="str">
        <f>'League History BACKEND 2021'!J183</f>
        <v>DEEZ NUTS</v>
      </c>
      <c r="K165" s="965" t="str">
        <f t="shared" si="1"/>
        <v>YARDIES</v>
      </c>
      <c r="L165" s="966" t="str">
        <f t="shared" si="2"/>
        <v>DEEZ NUTS</v>
      </c>
      <c r="M165" s="967">
        <f t="array" ref="M165">IFERROR(IF(ABS(H165-I165)=0,Tie,ABS(H165-I165)),"UPCOMING")</f>
        <v>43.86</v>
      </c>
      <c r="N165" s="968">
        <f t="shared" si="3"/>
        <v>276</v>
      </c>
      <c r="O165" s="969">
        <f t="shared" si="4"/>
        <v>146</v>
      </c>
      <c r="P165" s="967">
        <f t="shared" si="5"/>
        <v>261.34</v>
      </c>
      <c r="Q165" s="968">
        <f t="shared" si="6"/>
        <v>384</v>
      </c>
      <c r="R165" s="967">
        <f t="shared" si="7"/>
        <v>330</v>
      </c>
      <c r="S165" s="970">
        <f t="shared" si="8"/>
        <v>391</v>
      </c>
      <c r="U165" s="13" t="str">
        <f>IFERROR(__xludf.DUMMYFUNCTION("IF($T165=""Y"",
  IFERROR(
    RANK.EQ($R165, FILTER($R:$R, $T:$T=""Y""), 1)
    + COUNTIFS($R:$R, $R165, $M:$M, ""&lt;""&amp;$M165, $T:$T, ""Y""),
    ""UPCOMING""
  ),
  ""NO REF""
)
"),"NO REF")</f>
        <v>NO REF</v>
      </c>
    </row>
    <row r="166" ht="15.75" customHeight="1">
      <c r="C166" s="13">
        <v>165.0</v>
      </c>
      <c r="D166" s="1238">
        <v>2021.0</v>
      </c>
      <c r="E166" s="217" t="s">
        <v>525</v>
      </c>
      <c r="F166" s="960" t="s">
        <v>663</v>
      </c>
      <c r="G166" s="961" t="str">
        <f>'League History BACKEND 2021'!$G$187</f>
        <v>POPEYES</v>
      </c>
      <c r="H166" s="962">
        <v>128.05</v>
      </c>
      <c r="I166" s="963">
        <v>164.16</v>
      </c>
      <c r="J166" s="964" t="str">
        <f>'League History BACKEND 2021'!J187</f>
        <v>GREEN</v>
      </c>
      <c r="K166" s="965" t="str">
        <f t="shared" si="1"/>
        <v>GREEN</v>
      </c>
      <c r="L166" s="966" t="str">
        <f t="shared" si="2"/>
        <v>POPEYES</v>
      </c>
      <c r="M166" s="967">
        <f t="array" ref="M166">IFERROR(IF(ABS(H166-I166)=0,Tie,ABS(H166-I166)),"UPCOMING")</f>
        <v>36.11</v>
      </c>
      <c r="N166" s="968">
        <f t="shared" si="3"/>
        <v>233</v>
      </c>
      <c r="O166" s="969">
        <f t="shared" si="4"/>
        <v>189</v>
      </c>
      <c r="P166" s="967">
        <f t="shared" si="5"/>
        <v>292.21</v>
      </c>
      <c r="Q166" s="968">
        <f t="shared" si="6"/>
        <v>325</v>
      </c>
      <c r="R166" s="967">
        <f t="shared" si="7"/>
        <v>279</v>
      </c>
      <c r="S166" s="970">
        <f t="shared" si="8"/>
        <v>330</v>
      </c>
      <c r="U166" s="13" t="str">
        <f>IFERROR(__xludf.DUMMYFUNCTION("IF($T166=""Y"",
  IFERROR(
    RANK.EQ($R166, FILTER($R:$R, $T:$T=""Y""), 1)
    + COUNTIFS($R:$R, $R166, $M:$M, ""&lt;""&amp;$M166, $T:$T, ""Y""),
    ""UPCOMING""
  ),
  ""NO REF""
)
"),"NO REF")</f>
        <v>NO REF</v>
      </c>
    </row>
    <row r="167" ht="15.75" customHeight="1">
      <c r="C167" s="13">
        <v>166.0</v>
      </c>
      <c r="D167" s="1238">
        <v>2021.0</v>
      </c>
      <c r="E167" s="217" t="s">
        <v>525</v>
      </c>
      <c r="F167" s="960" t="s">
        <v>665</v>
      </c>
      <c r="G167" s="961" t="str">
        <f>'League History BACKEND 2021'!$G$189</f>
        <v>SAVAGES</v>
      </c>
      <c r="H167" s="962">
        <v>204.61</v>
      </c>
      <c r="I167" s="963">
        <v>181.53</v>
      </c>
      <c r="J167" s="964" t="str">
        <f>'League History BACKEND 2021'!J189</f>
        <v>DECOUPES</v>
      </c>
      <c r="K167" s="965" t="str">
        <f t="shared" si="1"/>
        <v>SAVAGES</v>
      </c>
      <c r="L167" s="966" t="str">
        <f t="shared" si="2"/>
        <v>DECOUPES</v>
      </c>
      <c r="M167" s="967">
        <f t="array" ref="M167">IFERROR(IF(ABS(H167-I167)=0,Tie,ABS(H167-I167)),"UPCOMING")</f>
        <v>23.08</v>
      </c>
      <c r="N167" s="968">
        <f t="shared" si="3"/>
        <v>162</v>
      </c>
      <c r="O167" s="969">
        <f t="shared" si="4"/>
        <v>260</v>
      </c>
      <c r="P167" s="967">
        <f t="shared" si="5"/>
        <v>386.14</v>
      </c>
      <c r="Q167" s="968">
        <f t="shared" si="6"/>
        <v>76</v>
      </c>
      <c r="R167" s="967">
        <f t="shared" si="7"/>
        <v>119</v>
      </c>
      <c r="S167" s="970">
        <f t="shared" si="8"/>
        <v>56</v>
      </c>
      <c r="U167" s="13" t="str">
        <f>IFERROR(__xludf.DUMMYFUNCTION("IF($T167=""Y"",
  IFERROR(
    RANK.EQ($R167, FILTER($R:$R, $T:$T=""Y""), 1)
    + COUNTIFS($R:$R, $R167, $M:$M, ""&lt;""&amp;$M167, $T:$T, ""Y""),
    ""UPCOMING""
  ),
  ""NO REF""
)
"),"NO REF")</f>
        <v>NO REF</v>
      </c>
    </row>
    <row r="168" ht="15.75" customHeight="1">
      <c r="C168" s="13">
        <v>167.0</v>
      </c>
      <c r="D168" s="1238">
        <v>2021.0</v>
      </c>
      <c r="E168" s="217" t="s">
        <v>525</v>
      </c>
      <c r="F168" s="960" t="s">
        <v>670</v>
      </c>
      <c r="G168" s="961" t="str">
        <f>'League History BACKEND 2021'!$G$191</f>
        <v>CHAMPS</v>
      </c>
      <c r="H168" s="962">
        <v>173.06</v>
      </c>
      <c r="I168" s="963">
        <v>164.42</v>
      </c>
      <c r="J168" s="964" t="str">
        <f>'League History BACKEND 2021'!J191</f>
        <v>DEEZ NUTS</v>
      </c>
      <c r="K168" s="965" t="str">
        <f t="shared" si="1"/>
        <v>CHAMPS</v>
      </c>
      <c r="L168" s="966" t="str">
        <f t="shared" si="2"/>
        <v>DEEZ NUTS</v>
      </c>
      <c r="M168" s="967">
        <f t="array" ref="M168">IFERROR(IF(ABS(H168-I168)=0,Tie,ABS(H168-I168)),"UPCOMING")</f>
        <v>8.64</v>
      </c>
      <c r="N168" s="968">
        <f t="shared" si="3"/>
        <v>63</v>
      </c>
      <c r="O168" s="969">
        <f t="shared" si="4"/>
        <v>359</v>
      </c>
      <c r="P168" s="967">
        <f t="shared" si="5"/>
        <v>337.48</v>
      </c>
      <c r="Q168" s="968">
        <f t="shared" si="6"/>
        <v>198</v>
      </c>
      <c r="R168" s="967">
        <f t="shared" si="7"/>
        <v>130.5</v>
      </c>
      <c r="S168" s="970">
        <f t="shared" si="8"/>
        <v>73</v>
      </c>
      <c r="U168" s="13" t="str">
        <f>IFERROR(__xludf.DUMMYFUNCTION("IF($T168=""Y"",
  IFERROR(
    RANK.EQ($R168, FILTER($R:$R, $T:$T=""Y""), 1)
    + COUNTIFS($R:$R, $R168, $M:$M, ""&lt;""&amp;$M168, $T:$T, ""Y""),
    ""UPCOMING""
  ),
  ""NO REF""
)
"),"NO REF")</f>
        <v>NO REF</v>
      </c>
    </row>
    <row r="169" ht="15.75" customHeight="1">
      <c r="C169" s="13">
        <v>168.0</v>
      </c>
      <c r="D169" s="1238">
        <v>2021.0</v>
      </c>
      <c r="E169" s="217" t="s">
        <v>525</v>
      </c>
      <c r="F169" s="960" t="s">
        <v>671</v>
      </c>
      <c r="G169" s="961" t="str">
        <f>'League History BACKEND 2021'!$G$193</f>
        <v>METAMOOKDAWGS</v>
      </c>
      <c r="H169" s="962">
        <v>136.52</v>
      </c>
      <c r="I169" s="963">
        <v>166.23</v>
      </c>
      <c r="J169" s="964" t="str">
        <f>'League History BACKEND 2021'!J193</f>
        <v>GIRLS</v>
      </c>
      <c r="K169" s="965" t="str">
        <f t="shared" si="1"/>
        <v>GIRLS</v>
      </c>
      <c r="L169" s="966" t="str">
        <f t="shared" si="2"/>
        <v>METAMOOKDAWGS</v>
      </c>
      <c r="M169" s="967">
        <f t="array" ref="M169">IFERROR(IF(ABS(H169-I169)=0,Tie,ABS(H169-I169)),"UPCOMING")</f>
        <v>29.71</v>
      </c>
      <c r="N169" s="968">
        <f t="shared" si="3"/>
        <v>195</v>
      </c>
      <c r="O169" s="969">
        <f t="shared" si="4"/>
        <v>227</v>
      </c>
      <c r="P169" s="967">
        <f t="shared" si="5"/>
        <v>302.75</v>
      </c>
      <c r="Q169" s="968">
        <f t="shared" si="6"/>
        <v>301</v>
      </c>
      <c r="R169" s="967">
        <f t="shared" si="7"/>
        <v>248</v>
      </c>
      <c r="S169" s="970">
        <f t="shared" si="8"/>
        <v>287</v>
      </c>
      <c r="U169" s="13" t="str">
        <f>IFERROR(__xludf.DUMMYFUNCTION("IF($T169=""Y"",
  IFERROR(
    RANK.EQ($R169, FILTER($R:$R, $T:$T=""Y""), 1)
    + COUNTIFS($R:$R, $R169, $M:$M, ""&lt;""&amp;$M169, $T:$T, ""Y""),
    ""UPCOMING""
  ),
  ""NO REF""
)
"),"NO REF")</f>
        <v>NO REF</v>
      </c>
    </row>
    <row r="170" ht="15.75" customHeight="1">
      <c r="C170" s="13">
        <v>169.0</v>
      </c>
      <c r="D170" s="1238">
        <v>2021.0</v>
      </c>
      <c r="E170" s="217" t="s">
        <v>525</v>
      </c>
      <c r="F170" s="960" t="s">
        <v>1018</v>
      </c>
      <c r="G170" s="961" t="str">
        <f>'League History BACKEND 2021'!$G$195</f>
        <v>MUTTS</v>
      </c>
      <c r="H170" s="962">
        <v>211.6</v>
      </c>
      <c r="I170" s="963">
        <v>190.09</v>
      </c>
      <c r="J170" s="964" t="str">
        <f>'League History BACKEND 2021'!J195</f>
        <v>YARDIES</v>
      </c>
      <c r="K170" s="965" t="str">
        <f t="shared" si="1"/>
        <v>MUTTS</v>
      </c>
      <c r="L170" s="966" t="str">
        <f t="shared" si="2"/>
        <v>YARDIES</v>
      </c>
      <c r="M170" s="967">
        <f t="array" ref="M170">IFERROR(IF(ABS(H170-I170)=0,Tie,ABS(H170-I170)),"UPCOMING")</f>
        <v>21.51</v>
      </c>
      <c r="N170" s="968">
        <f t="shared" si="3"/>
        <v>148</v>
      </c>
      <c r="O170" s="969">
        <f t="shared" si="4"/>
        <v>274</v>
      </c>
      <c r="P170" s="967">
        <f t="shared" si="5"/>
        <v>401.69</v>
      </c>
      <c r="Q170" s="968">
        <f t="shared" si="6"/>
        <v>51</v>
      </c>
      <c r="R170" s="967">
        <f t="shared" si="7"/>
        <v>99.5</v>
      </c>
      <c r="S170" s="970">
        <f t="shared" si="8"/>
        <v>36</v>
      </c>
      <c r="U170" s="13" t="str">
        <f>IFERROR(__xludf.DUMMYFUNCTION("IF($T170=""Y"",
  IFERROR(
    RANK.EQ($R170, FILTER($R:$R, $T:$T=""Y""), 1)
    + COUNTIFS($R:$R, $R170, $M:$M, ""&lt;""&amp;$M170, $T:$T, ""Y""),
    ""UPCOMING""
  ),
  ""NO REF""
)
"),"NO REF")</f>
        <v>NO REF</v>
      </c>
    </row>
    <row r="171" ht="15.75" customHeight="1">
      <c r="C171" s="13">
        <v>170.0</v>
      </c>
      <c r="D171" s="1464">
        <v>2022.0</v>
      </c>
      <c r="E171" s="217" t="s">
        <v>512</v>
      </c>
      <c r="F171" s="960" t="s">
        <v>663</v>
      </c>
      <c r="G171" s="961" t="str">
        <f>'League History BACKEND 2022'!G20</f>
        <v>DECOUPES</v>
      </c>
      <c r="H171" s="962">
        <v>199.48</v>
      </c>
      <c r="I171" s="963">
        <v>174.95</v>
      </c>
      <c r="J171" s="964" t="str">
        <f>'League History BACKEND 2022'!J20</f>
        <v>CHAMPS</v>
      </c>
      <c r="K171" s="965" t="str">
        <f t="shared" si="1"/>
        <v>DECOUPES</v>
      </c>
      <c r="L171" s="966" t="str">
        <f t="shared" si="2"/>
        <v>CHAMPS</v>
      </c>
      <c r="M171" s="967">
        <f t="array" ref="M171">IFERROR(IF(ABS(H171-I171)=0,Tie,ABS(H171-I171)),"UPCOMING")</f>
        <v>24.53</v>
      </c>
      <c r="N171" s="968">
        <f t="shared" si="3"/>
        <v>171</v>
      </c>
      <c r="O171" s="969">
        <f t="shared" si="4"/>
        <v>251</v>
      </c>
      <c r="P171" s="967">
        <f t="shared" si="5"/>
        <v>374.43</v>
      </c>
      <c r="Q171" s="968">
        <f t="shared" si="6"/>
        <v>107</v>
      </c>
      <c r="R171" s="967">
        <f t="shared" si="7"/>
        <v>139</v>
      </c>
      <c r="S171" s="970">
        <f t="shared" si="8"/>
        <v>86</v>
      </c>
      <c r="U171" s="13" t="str">
        <f>IFERROR(__xludf.DUMMYFUNCTION("IF($T171=""Y"",
  IFERROR(
    RANK.EQ($R171, FILTER($R:$R, $T:$T=""Y""), 1)
    + COUNTIFS($R:$R, $R171, $M:$M, ""&lt;""&amp;$M171, $T:$T, ""Y""),
    ""UPCOMING""
  ),
  ""NO REF""
)
"),"NO REF")</f>
        <v>NO REF</v>
      </c>
    </row>
    <row r="172" ht="15.75" customHeight="1">
      <c r="C172" s="13">
        <v>171.0</v>
      </c>
      <c r="D172" s="1464">
        <v>2022.0</v>
      </c>
      <c r="E172" s="217" t="s">
        <v>512</v>
      </c>
      <c r="F172" s="960" t="s">
        <v>665</v>
      </c>
      <c r="G172" s="961" t="str">
        <f>'League History BACKEND 2022'!G22</f>
        <v>POPEYES</v>
      </c>
      <c r="H172" s="962">
        <v>160.44</v>
      </c>
      <c r="I172" s="963">
        <v>213.9</v>
      </c>
      <c r="J172" s="964" t="str">
        <f>'League History BACKEND 2022'!J22</f>
        <v>METAMOOKDAWGS</v>
      </c>
      <c r="K172" s="965" t="str">
        <f t="shared" si="1"/>
        <v>METAMOOKDAWGS</v>
      </c>
      <c r="L172" s="966" t="str">
        <f t="shared" si="2"/>
        <v>POPEYES</v>
      </c>
      <c r="M172" s="967">
        <f t="array" ref="M172">IFERROR(IF(ABS(H172-I172)=0,Tie,ABS(H172-I172)),"UPCOMING")</f>
        <v>53.46</v>
      </c>
      <c r="N172" s="968">
        <f t="shared" si="3"/>
        <v>320</v>
      </c>
      <c r="O172" s="969">
        <f t="shared" si="4"/>
        <v>102</v>
      </c>
      <c r="P172" s="967">
        <f t="shared" si="5"/>
        <v>374.34</v>
      </c>
      <c r="Q172" s="968">
        <f t="shared" si="6"/>
        <v>108</v>
      </c>
      <c r="R172" s="967">
        <f t="shared" si="7"/>
        <v>214</v>
      </c>
      <c r="S172" s="970">
        <f t="shared" si="8"/>
        <v>213</v>
      </c>
      <c r="T172" s="18" t="s">
        <v>1160</v>
      </c>
      <c r="U172" s="13">
        <f>IFERROR(__xludf.DUMMYFUNCTION("IF($T172=""Y"",
  IFERROR(
    RANK.EQ($R172, FILTER($R:$R, $T:$T=""Y""), 1)
    + COUNTIFS($R:$R, $R172, $M:$M, ""&lt;""&amp;$M172, $T:$T, ""Y""),
    ""UPCOMING""
  ),
  ""NO REF""
)
"),38.0)</f>
        <v>38</v>
      </c>
    </row>
    <row r="173" ht="15.75" customHeight="1">
      <c r="C173" s="13">
        <v>172.0</v>
      </c>
      <c r="D173" s="1464">
        <v>2022.0</v>
      </c>
      <c r="E173" s="217" t="s">
        <v>512</v>
      </c>
      <c r="F173" s="960" t="s">
        <v>670</v>
      </c>
      <c r="G173" s="961" t="str">
        <f>'League History BACKEND 2022'!G23</f>
        <v>GREEN</v>
      </c>
      <c r="H173" s="962">
        <v>212.35</v>
      </c>
      <c r="I173" s="963">
        <v>180.67</v>
      </c>
      <c r="J173" s="964" t="str">
        <f>'League History BACKEND 2022'!J23</f>
        <v>YARDIES</v>
      </c>
      <c r="K173" s="965" t="str">
        <f t="shared" si="1"/>
        <v>GREEN</v>
      </c>
      <c r="L173" s="966" t="str">
        <f t="shared" si="2"/>
        <v>YARDIES</v>
      </c>
      <c r="M173" s="967">
        <f t="array" ref="M173">IFERROR(IF(ABS(H173-I173)=0,Tie,ABS(H173-I173)),"UPCOMING")</f>
        <v>31.68</v>
      </c>
      <c r="N173" s="968">
        <f t="shared" si="3"/>
        <v>204</v>
      </c>
      <c r="O173" s="969">
        <f t="shared" si="4"/>
        <v>218</v>
      </c>
      <c r="P173" s="967">
        <f t="shared" si="5"/>
        <v>393.02</v>
      </c>
      <c r="Q173" s="968">
        <f t="shared" si="6"/>
        <v>64</v>
      </c>
      <c r="R173" s="967">
        <f t="shared" si="7"/>
        <v>134</v>
      </c>
      <c r="S173" s="970">
        <f t="shared" si="8"/>
        <v>78</v>
      </c>
      <c r="U173" s="13" t="str">
        <f>IFERROR(__xludf.DUMMYFUNCTION("IF($T173=""Y"",
  IFERROR(
    RANK.EQ($R173, FILTER($R:$R, $T:$T=""Y""), 1)
    + COUNTIFS($R:$R, $R173, $M:$M, ""&lt;""&amp;$M173, $T:$T, ""Y""),
    ""UPCOMING""
  ),
  ""NO REF""
)
"),"NO REF")</f>
        <v>NO REF</v>
      </c>
    </row>
    <row r="174" ht="15.75" customHeight="1">
      <c r="C174" s="13">
        <v>173.0</v>
      </c>
      <c r="D174" s="1464">
        <v>2022.0</v>
      </c>
      <c r="E174" s="217" t="s">
        <v>512</v>
      </c>
      <c r="F174" s="960" t="s">
        <v>671</v>
      </c>
      <c r="G174" s="961" t="str">
        <f>'League History BACKEND 2022'!G24</f>
        <v>SAVAGES</v>
      </c>
      <c r="H174" s="962">
        <v>207.82</v>
      </c>
      <c r="I174" s="963">
        <v>200.33</v>
      </c>
      <c r="J174" s="964" t="str">
        <f>'League History BACKEND 2022'!J24</f>
        <v>MUTTS</v>
      </c>
      <c r="K174" s="965" t="str">
        <f t="shared" si="1"/>
        <v>SAVAGES</v>
      </c>
      <c r="L174" s="966" t="str">
        <f t="shared" si="2"/>
        <v>MUTTS</v>
      </c>
      <c r="M174" s="967">
        <f t="array" ref="M174">IFERROR(IF(ABS(H174-I174)=0,Tie,ABS(H174-I174)),"UPCOMING")</f>
        <v>7.49</v>
      </c>
      <c r="N174" s="968">
        <f t="shared" si="3"/>
        <v>58</v>
      </c>
      <c r="O174" s="969">
        <f t="shared" si="4"/>
        <v>364</v>
      </c>
      <c r="P174" s="967">
        <f t="shared" si="5"/>
        <v>408.15</v>
      </c>
      <c r="Q174" s="968">
        <f t="shared" si="6"/>
        <v>43</v>
      </c>
      <c r="R174" s="967">
        <f t="shared" si="7"/>
        <v>50.5</v>
      </c>
      <c r="S174" s="970">
        <f t="shared" si="8"/>
        <v>12</v>
      </c>
      <c r="U174" s="13" t="str">
        <f>IFERROR(__xludf.DUMMYFUNCTION("IF($T174=""Y"",
  IFERROR(
    RANK.EQ($R174, FILTER($R:$R, $T:$T=""Y""), 1)
    + COUNTIFS($R:$R, $R174, $M:$M, ""&lt;""&amp;$M174, $T:$T, ""Y""),
    ""UPCOMING""
  ),
  ""NO REF""
)
"),"NO REF")</f>
        <v>NO REF</v>
      </c>
    </row>
    <row r="175" ht="15.75" customHeight="1">
      <c r="C175" s="13">
        <v>174.0</v>
      </c>
      <c r="D175" s="1464">
        <v>2022.0</v>
      </c>
      <c r="E175" s="217" t="s">
        <v>513</v>
      </c>
      <c r="F175" s="960" t="s">
        <v>663</v>
      </c>
      <c r="G175" s="961" t="str">
        <f>'League History BACKEND 2022'!G27</f>
        <v>DECOUPES</v>
      </c>
      <c r="H175" s="962">
        <v>193.26</v>
      </c>
      <c r="I175" s="963">
        <v>198.08</v>
      </c>
      <c r="J175" s="964" t="str">
        <f>'League History BACKEND 2022'!J27</f>
        <v>POPEYES</v>
      </c>
      <c r="K175" s="965" t="str">
        <f t="shared" si="1"/>
        <v>POPEYES</v>
      </c>
      <c r="L175" s="966" t="str">
        <f t="shared" si="2"/>
        <v>DECOUPES</v>
      </c>
      <c r="M175" s="967">
        <f t="array" ref="M175">IFERROR(IF(ABS(H175-I175)=0,Tie,ABS(H175-I175)),"UPCOMING")</f>
        <v>4.82</v>
      </c>
      <c r="N175" s="968">
        <f t="shared" si="3"/>
        <v>37</v>
      </c>
      <c r="O175" s="969">
        <f t="shared" si="4"/>
        <v>385</v>
      </c>
      <c r="P175" s="967">
        <f t="shared" si="5"/>
        <v>391.34</v>
      </c>
      <c r="Q175" s="968">
        <f t="shared" si="6"/>
        <v>66</v>
      </c>
      <c r="R175" s="967">
        <f t="shared" si="7"/>
        <v>51.5</v>
      </c>
      <c r="S175" s="970">
        <f t="shared" si="8"/>
        <v>13</v>
      </c>
      <c r="U175" s="13" t="str">
        <f>IFERROR(__xludf.DUMMYFUNCTION("IF($T175=""Y"",
  IFERROR(
    RANK.EQ($R175, FILTER($R:$R, $T:$T=""Y""), 1)
    + COUNTIFS($R:$R, $R175, $M:$M, ""&lt;""&amp;$M175, $T:$T, ""Y""),
    ""UPCOMING""
  ),
  ""NO REF""
)
"),"NO REF")</f>
        <v>NO REF</v>
      </c>
    </row>
    <row r="176" ht="15.75" customHeight="1">
      <c r="C176" s="13">
        <v>175.0</v>
      </c>
      <c r="D176" s="1464">
        <v>2022.0</v>
      </c>
      <c r="E176" s="217" t="s">
        <v>513</v>
      </c>
      <c r="F176" s="960" t="s">
        <v>665</v>
      </c>
      <c r="G176" s="961" t="str">
        <f>'League History BACKEND 2022'!G28</f>
        <v>CHAMPS</v>
      </c>
      <c r="H176" s="962">
        <v>181.79</v>
      </c>
      <c r="I176" s="963">
        <v>141.89</v>
      </c>
      <c r="J176" s="964" t="str">
        <f>'League History BACKEND 2022'!J28</f>
        <v>METAMOOKDAWGS</v>
      </c>
      <c r="K176" s="965" t="str">
        <f t="shared" si="1"/>
        <v>CHAMPS</v>
      </c>
      <c r="L176" s="966" t="str">
        <f t="shared" si="2"/>
        <v>METAMOOKDAWGS</v>
      </c>
      <c r="M176" s="967">
        <f t="array" ref="M176">IFERROR(IF(ABS(H176-I176)=0,Tie,ABS(H176-I176)),"UPCOMING")</f>
        <v>39.9</v>
      </c>
      <c r="N176" s="968">
        <f t="shared" si="3"/>
        <v>255</v>
      </c>
      <c r="O176" s="969">
        <f t="shared" si="4"/>
        <v>167</v>
      </c>
      <c r="P176" s="967">
        <f t="shared" si="5"/>
        <v>323.68</v>
      </c>
      <c r="Q176" s="968">
        <f t="shared" si="6"/>
        <v>237</v>
      </c>
      <c r="R176" s="967">
        <f t="shared" si="7"/>
        <v>246</v>
      </c>
      <c r="S176" s="970">
        <f t="shared" si="8"/>
        <v>284</v>
      </c>
      <c r="U176" s="13" t="str">
        <f>IFERROR(__xludf.DUMMYFUNCTION("IF($T176=""Y"",
  IFERROR(
    RANK.EQ($R176, FILTER($R:$R, $T:$T=""Y""), 1)
    + COUNTIFS($R:$R, $R176, $M:$M, ""&lt;""&amp;$M176, $T:$T, ""Y""),
    ""UPCOMING""
  ),
  ""NO REF""
)
"),"NO REF")</f>
        <v>NO REF</v>
      </c>
    </row>
    <row r="177" ht="15.75" customHeight="1">
      <c r="C177" s="13">
        <v>176.0</v>
      </c>
      <c r="D177" s="1464">
        <v>2022.0</v>
      </c>
      <c r="E177" s="217" t="s">
        <v>513</v>
      </c>
      <c r="F177" s="960" t="s">
        <v>670</v>
      </c>
      <c r="G177" s="961" t="str">
        <f>'League History BACKEND 2022'!G30</f>
        <v>GREEN</v>
      </c>
      <c r="H177" s="962">
        <v>228.64</v>
      </c>
      <c r="I177" s="963">
        <v>179.53</v>
      </c>
      <c r="J177" s="964" t="str">
        <f>'League History BACKEND 2022'!J30</f>
        <v>SAVAGES</v>
      </c>
      <c r="K177" s="965" t="str">
        <f t="shared" si="1"/>
        <v>GREEN</v>
      </c>
      <c r="L177" s="966" t="str">
        <f t="shared" si="2"/>
        <v>SAVAGES</v>
      </c>
      <c r="M177" s="967">
        <f t="array" ref="M177">IFERROR(IF(ABS(H177-I177)=0,Tie,ABS(H177-I177)),"UPCOMING")</f>
        <v>49.11</v>
      </c>
      <c r="N177" s="968">
        <f t="shared" si="3"/>
        <v>306</v>
      </c>
      <c r="O177" s="969">
        <f t="shared" si="4"/>
        <v>116</v>
      </c>
      <c r="P177" s="967">
        <f t="shared" si="5"/>
        <v>408.17</v>
      </c>
      <c r="Q177" s="968">
        <f t="shared" si="6"/>
        <v>42</v>
      </c>
      <c r="R177" s="967">
        <f t="shared" si="7"/>
        <v>174</v>
      </c>
      <c r="S177" s="970">
        <f t="shared" si="8"/>
        <v>135</v>
      </c>
      <c r="T177" s="18" t="s">
        <v>1160</v>
      </c>
      <c r="U177" s="13">
        <f>IFERROR(__xludf.DUMMYFUNCTION("IF($T177=""Y"",
  IFERROR(
    RANK.EQ($R177, FILTER($R:$R, $T:$T=""Y""), 1)
    + COUNTIFS($R:$R, $R177, $M:$M, ""&lt;""&amp;$M177, $T:$T, ""Y""),
    ""UPCOMING""
  ),
  ""NO REF""
)
"),28.0)</f>
        <v>28</v>
      </c>
    </row>
    <row r="178" ht="15.75" customHeight="1">
      <c r="C178" s="13">
        <v>177.0</v>
      </c>
      <c r="D178" s="1464">
        <v>2022.0</v>
      </c>
      <c r="E178" s="217" t="s">
        <v>513</v>
      </c>
      <c r="F178" s="960" t="s">
        <v>671</v>
      </c>
      <c r="G178" s="961" t="str">
        <f>'League History BACKEND 2022'!G31</f>
        <v>YARDIES</v>
      </c>
      <c r="H178" s="962">
        <v>232.58</v>
      </c>
      <c r="I178" s="963">
        <v>140.26</v>
      </c>
      <c r="J178" s="964" t="str">
        <f>'League History BACKEND 2022'!J31</f>
        <v>MUTTS</v>
      </c>
      <c r="K178" s="965" t="str">
        <f t="shared" si="1"/>
        <v>YARDIES</v>
      </c>
      <c r="L178" s="966" t="str">
        <f t="shared" si="2"/>
        <v>MUTTS</v>
      </c>
      <c r="M178" s="967">
        <f t="array" ref="M178">IFERROR(IF(ABS(H178-I178)=0,Tie,ABS(H178-I178)),"UPCOMING")</f>
        <v>92.32</v>
      </c>
      <c r="N178" s="968">
        <f t="shared" si="3"/>
        <v>403</v>
      </c>
      <c r="O178" s="969">
        <f t="shared" si="4"/>
        <v>19</v>
      </c>
      <c r="P178" s="967">
        <f t="shared" si="5"/>
        <v>372.84</v>
      </c>
      <c r="Q178" s="968">
        <f t="shared" si="6"/>
        <v>111</v>
      </c>
      <c r="R178" s="967">
        <f t="shared" si="7"/>
        <v>257</v>
      </c>
      <c r="S178" s="970">
        <f t="shared" si="8"/>
        <v>300</v>
      </c>
      <c r="U178" s="13" t="str">
        <f>IFERROR(__xludf.DUMMYFUNCTION("IF($T178=""Y"",
  IFERROR(
    RANK.EQ($R178, FILTER($R:$R, $T:$T=""Y""), 1)
    + COUNTIFS($R:$R, $R178, $M:$M, ""&lt;""&amp;$M178, $T:$T, ""Y""),
    ""UPCOMING""
  ),
  ""NO REF""
)
"),"NO REF")</f>
        <v>NO REF</v>
      </c>
    </row>
    <row r="179" ht="15.75" customHeight="1">
      <c r="C179" s="13">
        <v>178.0</v>
      </c>
      <c r="D179" s="1464">
        <v>2022.0</v>
      </c>
      <c r="E179" s="1005" t="s">
        <v>514</v>
      </c>
      <c r="F179" s="960" t="s">
        <v>663</v>
      </c>
      <c r="G179" s="961" t="str">
        <f>'League History BACKEND 2022'!G34</f>
        <v>DECOUPES</v>
      </c>
      <c r="H179" s="962">
        <v>154.61</v>
      </c>
      <c r="I179" s="963">
        <v>157.14</v>
      </c>
      <c r="J179" s="964" t="str">
        <f>'League History BACKEND 2022'!J34</f>
        <v>YARDIES</v>
      </c>
      <c r="K179" s="965" t="str">
        <f t="shared" si="1"/>
        <v>YARDIES</v>
      </c>
      <c r="L179" s="966" t="str">
        <f t="shared" si="2"/>
        <v>DECOUPES</v>
      </c>
      <c r="M179" s="967">
        <f t="array" ref="M179">IFERROR(IF(ABS(H179-I179)=0,Tie,ABS(H179-I179)),"UPCOMING")</f>
        <v>2.53</v>
      </c>
      <c r="N179" s="968">
        <f t="shared" si="3"/>
        <v>26</v>
      </c>
      <c r="O179" s="969">
        <f t="shared" si="4"/>
        <v>396</v>
      </c>
      <c r="P179" s="967">
        <f t="shared" si="5"/>
        <v>311.75</v>
      </c>
      <c r="Q179" s="968">
        <f t="shared" si="6"/>
        <v>274</v>
      </c>
      <c r="R179" s="967">
        <f t="shared" si="7"/>
        <v>150</v>
      </c>
      <c r="S179" s="970">
        <f t="shared" si="8"/>
        <v>103</v>
      </c>
      <c r="U179" s="13" t="str">
        <f>IFERROR(__xludf.DUMMYFUNCTION("IF($T179=""Y"",
  IFERROR(
    RANK.EQ($R179, FILTER($R:$R, $T:$T=""Y""), 1)
    + COUNTIFS($R:$R, $R179, $M:$M, ""&lt;""&amp;$M179, $T:$T, ""Y""),
    ""UPCOMING""
  ),
  ""NO REF""
)
"),"NO REF")</f>
        <v>NO REF</v>
      </c>
    </row>
    <row r="180" ht="15.75" customHeight="1">
      <c r="C180" s="13">
        <v>179.0</v>
      </c>
      <c r="D180" s="1464">
        <v>2022.0</v>
      </c>
      <c r="E180" s="1005" t="s">
        <v>514</v>
      </c>
      <c r="F180" s="960" t="s">
        <v>665</v>
      </c>
      <c r="G180" s="961" t="str">
        <f>'League History BACKEND 2022'!G35</f>
        <v>POPEYES</v>
      </c>
      <c r="H180" s="962">
        <v>165.43</v>
      </c>
      <c r="I180" s="963">
        <v>144.72</v>
      </c>
      <c r="J180" s="964" t="str">
        <f>'League History BACKEND 2022'!J35</f>
        <v>MUTTS</v>
      </c>
      <c r="K180" s="965" t="str">
        <f t="shared" si="1"/>
        <v>POPEYES</v>
      </c>
      <c r="L180" s="966" t="str">
        <f t="shared" si="2"/>
        <v>MUTTS</v>
      </c>
      <c r="M180" s="967">
        <f t="array" ref="M180">IFERROR(IF(ABS(H180-I180)=0,Tie,ABS(H180-I180)),"UPCOMING")</f>
        <v>20.71</v>
      </c>
      <c r="N180" s="968">
        <f t="shared" si="3"/>
        <v>146</v>
      </c>
      <c r="O180" s="969">
        <f t="shared" si="4"/>
        <v>276</v>
      </c>
      <c r="P180" s="967">
        <f t="shared" si="5"/>
        <v>310.15</v>
      </c>
      <c r="Q180" s="968">
        <f t="shared" si="6"/>
        <v>279</v>
      </c>
      <c r="R180" s="967">
        <f t="shared" si="7"/>
        <v>212.5</v>
      </c>
      <c r="S180" s="970">
        <f t="shared" si="8"/>
        <v>210</v>
      </c>
      <c r="U180" s="13" t="str">
        <f>IFERROR(__xludf.DUMMYFUNCTION("IF($T180=""Y"",
  IFERROR(
    RANK.EQ($R180, FILTER($R:$R, $T:$T=""Y""), 1)
    + COUNTIFS($R:$R, $R180, $M:$M, ""&lt;""&amp;$M180, $T:$T, ""Y""),
    ""UPCOMING""
  ),
  ""NO REF""
)
"),"NO REF")</f>
        <v>NO REF</v>
      </c>
    </row>
    <row r="181" ht="15.75" customHeight="1">
      <c r="C181" s="13">
        <v>180.0</v>
      </c>
      <c r="D181" s="1464">
        <v>2022.0</v>
      </c>
      <c r="E181" s="1005" t="s">
        <v>514</v>
      </c>
      <c r="F181" s="960" t="s">
        <v>670</v>
      </c>
      <c r="G181" s="961" t="str">
        <f>'League History BACKEND 2022'!G36</f>
        <v>GREEN</v>
      </c>
      <c r="H181" s="962">
        <v>197.8</v>
      </c>
      <c r="I181" s="963">
        <v>199.68</v>
      </c>
      <c r="J181" s="964" t="str">
        <f>'League History BACKEND 2022'!J36</f>
        <v>CHAMPS</v>
      </c>
      <c r="K181" s="965" t="str">
        <f t="shared" si="1"/>
        <v>CHAMPS</v>
      </c>
      <c r="L181" s="966" t="str">
        <f t="shared" si="2"/>
        <v>GREEN</v>
      </c>
      <c r="M181" s="967">
        <f t="array" ref="M181">IFERROR(IF(ABS(H181-I181)=0,Tie,ABS(H181-I181)),"UPCOMING")</f>
        <v>1.88</v>
      </c>
      <c r="N181" s="968">
        <f t="shared" si="3"/>
        <v>22</v>
      </c>
      <c r="O181" s="969">
        <f t="shared" si="4"/>
        <v>400</v>
      </c>
      <c r="P181" s="967">
        <f t="shared" si="5"/>
        <v>397.48</v>
      </c>
      <c r="Q181" s="968">
        <f t="shared" si="6"/>
        <v>59</v>
      </c>
      <c r="R181" s="967">
        <f t="shared" si="7"/>
        <v>40.5</v>
      </c>
      <c r="S181" s="970">
        <f t="shared" si="8"/>
        <v>8</v>
      </c>
      <c r="U181" s="13" t="str">
        <f>IFERROR(__xludf.DUMMYFUNCTION("IF($T181=""Y"",
  IFERROR(
    RANK.EQ($R181, FILTER($R:$R, $T:$T=""Y""), 1)
    + COUNTIFS($R:$R, $R181, $M:$M, ""&lt;""&amp;$M181, $T:$T, ""Y""),
    ""UPCOMING""
  ),
  ""NO REF""
)
"),"NO REF")</f>
        <v>NO REF</v>
      </c>
    </row>
    <row r="182" ht="15.75" customHeight="1">
      <c r="C182" s="13">
        <v>181.0</v>
      </c>
      <c r="D182" s="1464">
        <v>2022.0</v>
      </c>
      <c r="E182" s="1005" t="s">
        <v>514</v>
      </c>
      <c r="F182" s="960" t="s">
        <v>671</v>
      </c>
      <c r="G182" s="961" t="str">
        <f>'League History BACKEND 2022'!G38</f>
        <v>SAVAGES</v>
      </c>
      <c r="H182" s="962">
        <v>145.69</v>
      </c>
      <c r="I182" s="963">
        <v>186.57</v>
      </c>
      <c r="J182" s="964" t="str">
        <f>'League History BACKEND 2022'!J38</f>
        <v>METAMOOKDAWGS</v>
      </c>
      <c r="K182" s="965" t="str">
        <f t="shared" si="1"/>
        <v>METAMOOKDAWGS</v>
      </c>
      <c r="L182" s="966" t="str">
        <f t="shared" si="2"/>
        <v>SAVAGES</v>
      </c>
      <c r="M182" s="967">
        <f t="array" ref="M182">IFERROR(IF(ABS(H182-I182)=0,Tie,ABS(H182-I182)),"UPCOMING")</f>
        <v>40.88</v>
      </c>
      <c r="N182" s="968">
        <f t="shared" si="3"/>
        <v>259</v>
      </c>
      <c r="O182" s="969">
        <f t="shared" si="4"/>
        <v>163</v>
      </c>
      <c r="P182" s="967">
        <f t="shared" si="5"/>
        <v>332.26</v>
      </c>
      <c r="Q182" s="968">
        <f t="shared" si="6"/>
        <v>211</v>
      </c>
      <c r="R182" s="967">
        <f t="shared" si="7"/>
        <v>235</v>
      </c>
      <c r="S182" s="970">
        <f t="shared" si="8"/>
        <v>258</v>
      </c>
      <c r="T182" s="18" t="s">
        <v>1160</v>
      </c>
      <c r="U182" s="13">
        <f>IFERROR(__xludf.DUMMYFUNCTION("IF($T182=""Y"",
  IFERROR(
    RANK.EQ($R182, FILTER($R:$R, $T:$T=""Y""), 1)
    + COUNTIFS($R:$R, $R182, $M:$M, ""&lt;""&amp;$M182, $T:$T, ""Y""),
    ""UPCOMING""
  ),
  ""NO REF""
)
"),44.0)</f>
        <v>44</v>
      </c>
    </row>
    <row r="183" ht="15.75" customHeight="1">
      <c r="C183" s="13">
        <v>182.0</v>
      </c>
      <c r="D183" s="1464">
        <v>2022.0</v>
      </c>
      <c r="E183" s="1005" t="s">
        <v>515</v>
      </c>
      <c r="F183" s="960" t="s">
        <v>663</v>
      </c>
      <c r="G183" s="961" t="str">
        <f>'League History BACKEND 2022'!G41</f>
        <v>DECOUPES</v>
      </c>
      <c r="H183" s="962">
        <v>196.18</v>
      </c>
      <c r="I183" s="963">
        <v>202.72</v>
      </c>
      <c r="J183" s="964" t="str">
        <f>'League History BACKEND 2022'!J41</f>
        <v>GREEN</v>
      </c>
      <c r="K183" s="965" t="str">
        <f t="shared" si="1"/>
        <v>GREEN</v>
      </c>
      <c r="L183" s="966" t="str">
        <f t="shared" si="2"/>
        <v>DECOUPES</v>
      </c>
      <c r="M183" s="967">
        <f t="array" ref="M183">IFERROR(IF(ABS(H183-I183)=0,Tie,ABS(H183-I183)),"UPCOMING")</f>
        <v>6.54</v>
      </c>
      <c r="N183" s="968">
        <f t="shared" si="3"/>
        <v>50</v>
      </c>
      <c r="O183" s="969">
        <f t="shared" si="4"/>
        <v>372</v>
      </c>
      <c r="P183" s="967">
        <f t="shared" si="5"/>
        <v>398.9</v>
      </c>
      <c r="Q183" s="968">
        <f t="shared" si="6"/>
        <v>56</v>
      </c>
      <c r="R183" s="967">
        <f t="shared" si="7"/>
        <v>53</v>
      </c>
      <c r="S183" s="970">
        <f t="shared" si="8"/>
        <v>15</v>
      </c>
      <c r="U183" s="13" t="str">
        <f>IFERROR(__xludf.DUMMYFUNCTION("IF($T183=""Y"",
  IFERROR(
    RANK.EQ($R183, FILTER($R:$R, $T:$T=""Y""), 1)
    + COUNTIFS($R:$R, $R183, $M:$M, ""&lt;""&amp;$M183, $T:$T, ""Y""),
    ""UPCOMING""
  ),
  ""NO REF""
)
"),"NO REF")</f>
        <v>NO REF</v>
      </c>
    </row>
    <row r="184" ht="15.75" customHeight="1">
      <c r="C184" s="13">
        <v>183.0</v>
      </c>
      <c r="D184" s="1464">
        <v>2022.0</v>
      </c>
      <c r="E184" s="1005" t="s">
        <v>515</v>
      </c>
      <c r="F184" s="960" t="s">
        <v>665</v>
      </c>
      <c r="G184" s="961" t="str">
        <f>'League History BACKEND 2022'!G42</f>
        <v>CHAMPS</v>
      </c>
      <c r="H184" s="962">
        <v>197.4</v>
      </c>
      <c r="I184" s="963">
        <v>166.85</v>
      </c>
      <c r="J184" s="964" t="str">
        <f>'League History BACKEND 2022'!J42</f>
        <v>YARDIES</v>
      </c>
      <c r="K184" s="965" t="str">
        <f t="shared" si="1"/>
        <v>CHAMPS</v>
      </c>
      <c r="L184" s="966" t="str">
        <f t="shared" si="2"/>
        <v>YARDIES</v>
      </c>
      <c r="M184" s="967">
        <f t="array" ref="M184">IFERROR(IF(ABS(H184-I184)=0,Tie,ABS(H184-I184)),"UPCOMING")</f>
        <v>30.55</v>
      </c>
      <c r="N184" s="968">
        <f t="shared" si="3"/>
        <v>200</v>
      </c>
      <c r="O184" s="969">
        <f t="shared" si="4"/>
        <v>222</v>
      </c>
      <c r="P184" s="967">
        <f t="shared" si="5"/>
        <v>364.25</v>
      </c>
      <c r="Q184" s="968">
        <f t="shared" si="6"/>
        <v>127</v>
      </c>
      <c r="R184" s="967">
        <f t="shared" si="7"/>
        <v>163.5</v>
      </c>
      <c r="S184" s="970">
        <f t="shared" si="8"/>
        <v>116</v>
      </c>
      <c r="T184" s="18" t="s">
        <v>1160</v>
      </c>
      <c r="U184" s="13">
        <f>IFERROR(__xludf.DUMMYFUNCTION("IF($T184=""Y"",
  IFERROR(
    RANK.EQ($R184, FILTER($R:$R, $T:$T=""Y""), 1)
    + COUNTIFS($R:$R, $R184, $M:$M, ""&lt;""&amp;$M184, $T:$T, ""Y""),
    ""UPCOMING""
  ),
  ""NO REF""
)
"),20.0)</f>
        <v>20</v>
      </c>
    </row>
    <row r="185" ht="15.75" customHeight="1">
      <c r="C185" s="13">
        <v>184.0</v>
      </c>
      <c r="D185" s="1464">
        <v>2022.0</v>
      </c>
      <c r="E185" s="1005" t="s">
        <v>515</v>
      </c>
      <c r="F185" s="960" t="s">
        <v>670</v>
      </c>
      <c r="G185" s="961" t="str">
        <f>'League History BACKEND 2022'!G44</f>
        <v>POPEYES</v>
      </c>
      <c r="H185" s="962">
        <v>201.36</v>
      </c>
      <c r="I185" s="963">
        <v>193.6</v>
      </c>
      <c r="J185" s="964" t="str">
        <f>'League History BACKEND 2022'!J44</f>
        <v>SAVAGES</v>
      </c>
      <c r="K185" s="965" t="str">
        <f t="shared" si="1"/>
        <v>POPEYES</v>
      </c>
      <c r="L185" s="966" t="str">
        <f t="shared" si="2"/>
        <v>SAVAGES</v>
      </c>
      <c r="M185" s="967">
        <f t="array" ref="M185">IFERROR(IF(ABS(H185-I185)=0,Tie,ABS(H185-I185)),"UPCOMING")</f>
        <v>7.76</v>
      </c>
      <c r="N185" s="968">
        <f t="shared" si="3"/>
        <v>61</v>
      </c>
      <c r="O185" s="969">
        <f t="shared" si="4"/>
        <v>361</v>
      </c>
      <c r="P185" s="967">
        <f t="shared" si="5"/>
        <v>394.96</v>
      </c>
      <c r="Q185" s="968">
        <f t="shared" si="6"/>
        <v>61</v>
      </c>
      <c r="R185" s="967">
        <f t="shared" si="7"/>
        <v>61</v>
      </c>
      <c r="S185" s="970">
        <f t="shared" si="8"/>
        <v>18</v>
      </c>
      <c r="U185" s="13" t="str">
        <f>IFERROR(__xludf.DUMMYFUNCTION("IF($T185=""Y"",
  IFERROR(
    RANK.EQ($R185, FILTER($R:$R, $T:$T=""Y""), 1)
    + COUNTIFS($R:$R, $R185, $M:$M, ""&lt;""&amp;$M185, $T:$T, ""Y""),
    ""UPCOMING""
  ),
  ""NO REF""
)
"),"NO REF")</f>
        <v>NO REF</v>
      </c>
    </row>
    <row r="186" ht="15.75" customHeight="1">
      <c r="C186" s="13">
        <v>185.0</v>
      </c>
      <c r="D186" s="1464">
        <v>2022.0</v>
      </c>
      <c r="E186" s="1005" t="s">
        <v>515</v>
      </c>
      <c r="F186" s="960" t="s">
        <v>671</v>
      </c>
      <c r="G186" s="961" t="str">
        <f>'League History BACKEND 2022'!G45</f>
        <v>METAMOOKDAWGS</v>
      </c>
      <c r="H186" s="962">
        <v>134.55</v>
      </c>
      <c r="I186" s="963">
        <v>218.82</v>
      </c>
      <c r="J186" s="964" t="str">
        <f>'League History BACKEND 2022'!J45</f>
        <v>MUTTS</v>
      </c>
      <c r="K186" s="965" t="str">
        <f t="shared" si="1"/>
        <v>MUTTS</v>
      </c>
      <c r="L186" s="966" t="str">
        <f t="shared" si="2"/>
        <v>METAMOOKDAWGS</v>
      </c>
      <c r="M186" s="967">
        <f t="array" ref="M186">IFERROR(IF(ABS(H186-I186)=0,Tie,ABS(H186-I186)),"UPCOMING")</f>
        <v>84.27</v>
      </c>
      <c r="N186" s="968">
        <f t="shared" si="3"/>
        <v>397</v>
      </c>
      <c r="O186" s="969">
        <f t="shared" si="4"/>
        <v>25</v>
      </c>
      <c r="P186" s="967">
        <f t="shared" si="5"/>
        <v>353.37</v>
      </c>
      <c r="Q186" s="968">
        <f t="shared" si="6"/>
        <v>156</v>
      </c>
      <c r="R186" s="967">
        <f t="shared" si="7"/>
        <v>276.5</v>
      </c>
      <c r="S186" s="970">
        <f t="shared" si="8"/>
        <v>325</v>
      </c>
      <c r="U186" s="13" t="str">
        <f>IFERROR(__xludf.DUMMYFUNCTION("IF($T186=""Y"",
  IFERROR(
    RANK.EQ($R186, FILTER($R:$R, $T:$T=""Y""), 1)
    + COUNTIFS($R:$R, $R186, $M:$M, ""&lt;""&amp;$M186, $T:$T, ""Y""),
    ""UPCOMING""
  ),
  ""NO REF""
)
"),"NO REF")</f>
        <v>NO REF</v>
      </c>
    </row>
    <row r="187" ht="15.75" customHeight="1">
      <c r="C187" s="13">
        <v>186.0</v>
      </c>
      <c r="D187" s="1464">
        <v>2022.0</v>
      </c>
      <c r="E187" s="1005" t="s">
        <v>516</v>
      </c>
      <c r="F187" s="960" t="s">
        <v>663</v>
      </c>
      <c r="G187" s="961" t="str">
        <f>'League History BACKEND 2022'!G48</f>
        <v>DECOUPES</v>
      </c>
      <c r="H187" s="962">
        <v>172.8</v>
      </c>
      <c r="I187" s="963">
        <v>190.44</v>
      </c>
      <c r="J187" s="964" t="str">
        <f>'League History BACKEND 2022'!J48</f>
        <v>SAVAGES</v>
      </c>
      <c r="K187" s="965" t="str">
        <f t="shared" si="1"/>
        <v>SAVAGES</v>
      </c>
      <c r="L187" s="966" t="str">
        <f t="shared" si="2"/>
        <v>DECOUPES</v>
      </c>
      <c r="M187" s="967">
        <f t="array" ref="M187">IFERROR(IF(ABS(H187-I187)=0,Tie,ABS(H187-I187)),"UPCOMING")</f>
        <v>17.64</v>
      </c>
      <c r="N187" s="968">
        <f t="shared" si="3"/>
        <v>130</v>
      </c>
      <c r="O187" s="969">
        <f t="shared" si="4"/>
        <v>292</v>
      </c>
      <c r="P187" s="967">
        <f t="shared" si="5"/>
        <v>363.24</v>
      </c>
      <c r="Q187" s="968">
        <f t="shared" si="6"/>
        <v>130</v>
      </c>
      <c r="R187" s="967">
        <f t="shared" si="7"/>
        <v>130</v>
      </c>
      <c r="S187" s="970">
        <f t="shared" si="8"/>
        <v>71</v>
      </c>
      <c r="U187" s="13" t="str">
        <f>IFERROR(__xludf.DUMMYFUNCTION("IF($T187=""Y"",
  IFERROR(
    RANK.EQ($R187, FILTER($R:$R, $T:$T=""Y""), 1)
    + COUNTIFS($R:$R, $R187, $M:$M, ""&lt;""&amp;$M187, $T:$T, ""Y""),
    ""UPCOMING""
  ),
  ""NO REF""
)
"),"NO REF")</f>
        <v>NO REF</v>
      </c>
    </row>
    <row r="188" ht="15.75" customHeight="1">
      <c r="C188" s="13">
        <v>187.0</v>
      </c>
      <c r="D188" s="1464">
        <v>2022.0</v>
      </c>
      <c r="E188" s="1005" t="s">
        <v>516</v>
      </c>
      <c r="F188" s="960" t="s">
        <v>665</v>
      </c>
      <c r="G188" s="961" t="str">
        <f>'League History BACKEND 2022'!G49</f>
        <v>CHAMPS</v>
      </c>
      <c r="H188" s="962">
        <v>169.35</v>
      </c>
      <c r="I188" s="963">
        <v>184.82</v>
      </c>
      <c r="J188" s="964" t="str">
        <f>'League History BACKEND 2022'!J49</f>
        <v>MUTTS</v>
      </c>
      <c r="K188" s="965" t="str">
        <f t="shared" si="1"/>
        <v>MUTTS</v>
      </c>
      <c r="L188" s="966" t="str">
        <f t="shared" si="2"/>
        <v>CHAMPS</v>
      </c>
      <c r="M188" s="967">
        <f t="array" ref="M188">IFERROR(IF(ABS(H188-I188)=0,Tie,ABS(H188-I188)),"UPCOMING")</f>
        <v>15.47</v>
      </c>
      <c r="N188" s="968">
        <f t="shared" si="3"/>
        <v>115</v>
      </c>
      <c r="O188" s="969">
        <f t="shared" si="4"/>
        <v>307</v>
      </c>
      <c r="P188" s="967">
        <f t="shared" si="5"/>
        <v>354.17</v>
      </c>
      <c r="Q188" s="968">
        <f t="shared" si="6"/>
        <v>153</v>
      </c>
      <c r="R188" s="967">
        <f t="shared" si="7"/>
        <v>134</v>
      </c>
      <c r="S188" s="970">
        <f t="shared" si="8"/>
        <v>77</v>
      </c>
      <c r="U188" s="13" t="str">
        <f>IFERROR(__xludf.DUMMYFUNCTION("IF($T188=""Y"",
  IFERROR(
    RANK.EQ($R188, FILTER($R:$R, $T:$T=""Y""), 1)
    + COUNTIFS($R:$R, $R188, $M:$M, ""&lt;""&amp;$M188, $T:$T, ""Y""),
    ""UPCOMING""
  ),
  ""NO REF""
)
"),"NO REF")</f>
        <v>NO REF</v>
      </c>
    </row>
    <row r="189" ht="15.75" customHeight="1">
      <c r="C189" s="13">
        <v>188.0</v>
      </c>
      <c r="D189" s="1464">
        <v>2022.0</v>
      </c>
      <c r="E189" s="1005" t="s">
        <v>516</v>
      </c>
      <c r="F189" s="960" t="s">
        <v>670</v>
      </c>
      <c r="G189" s="961" t="str">
        <f>'League History BACKEND 2022'!G51</f>
        <v>POPEYES</v>
      </c>
      <c r="H189" s="962">
        <v>183.45</v>
      </c>
      <c r="I189" s="963">
        <v>217.62</v>
      </c>
      <c r="J189" s="964" t="str">
        <f>'League History BACKEND 2022'!J51</f>
        <v>GREEN</v>
      </c>
      <c r="K189" s="965" t="str">
        <f t="shared" si="1"/>
        <v>GREEN</v>
      </c>
      <c r="L189" s="966" t="str">
        <f t="shared" si="2"/>
        <v>POPEYES</v>
      </c>
      <c r="M189" s="967">
        <f t="array" ref="M189">IFERROR(IF(ABS(H189-I189)=0,Tie,ABS(H189-I189)),"UPCOMING")</f>
        <v>34.17</v>
      </c>
      <c r="N189" s="968">
        <f t="shared" si="3"/>
        <v>219</v>
      </c>
      <c r="O189" s="969">
        <f t="shared" si="4"/>
        <v>203</v>
      </c>
      <c r="P189" s="967">
        <f t="shared" si="5"/>
        <v>401.07</v>
      </c>
      <c r="Q189" s="968">
        <f t="shared" si="6"/>
        <v>52</v>
      </c>
      <c r="R189" s="967">
        <f t="shared" si="7"/>
        <v>135.5</v>
      </c>
      <c r="S189" s="970">
        <f t="shared" si="8"/>
        <v>79</v>
      </c>
      <c r="T189" s="18" t="s">
        <v>1160</v>
      </c>
      <c r="U189" s="13">
        <f>IFERROR(__xludf.DUMMYFUNCTION("IF($T189=""Y"",
  IFERROR(
    RANK.EQ($R189, FILTER($R:$R, $T:$T=""Y""), 1)
    + COUNTIFS($R:$R, $R189, $M:$M, ""&lt;""&amp;$M189, $T:$T, ""Y""),
    ""UPCOMING""
  ),
  ""NO REF""
)
"),12.0)</f>
        <v>12</v>
      </c>
    </row>
    <row r="190" ht="15.75" customHeight="1">
      <c r="C190" s="13">
        <v>189.0</v>
      </c>
      <c r="D190" s="1464">
        <v>2022.0</v>
      </c>
      <c r="E190" s="1005" t="s">
        <v>516</v>
      </c>
      <c r="F190" s="960" t="s">
        <v>671</v>
      </c>
      <c r="G190" s="961" t="str">
        <f>'League History BACKEND 2022'!G52</f>
        <v>METAMOOKDAWGS</v>
      </c>
      <c r="H190" s="962">
        <v>166.56</v>
      </c>
      <c r="I190" s="963">
        <v>220.68</v>
      </c>
      <c r="J190" s="964" t="str">
        <f>'League History BACKEND 2022'!J52</f>
        <v>YARDIES</v>
      </c>
      <c r="K190" s="965" t="str">
        <f t="shared" si="1"/>
        <v>YARDIES</v>
      </c>
      <c r="L190" s="966" t="str">
        <f t="shared" si="2"/>
        <v>METAMOOKDAWGS</v>
      </c>
      <c r="M190" s="967">
        <f t="array" ref="M190">IFERROR(IF(ABS(H190-I190)=0,Tie,ABS(H190-I190)),"UPCOMING")</f>
        <v>54.12</v>
      </c>
      <c r="N190" s="968">
        <f t="shared" si="3"/>
        <v>321</v>
      </c>
      <c r="O190" s="969">
        <f t="shared" si="4"/>
        <v>100</v>
      </c>
      <c r="P190" s="967">
        <f t="shared" si="5"/>
        <v>387.24</v>
      </c>
      <c r="Q190" s="968">
        <f t="shared" si="6"/>
        <v>73</v>
      </c>
      <c r="R190" s="967">
        <f t="shared" si="7"/>
        <v>197</v>
      </c>
      <c r="S190" s="970">
        <f t="shared" si="8"/>
        <v>174</v>
      </c>
      <c r="U190" s="13" t="str">
        <f>IFERROR(__xludf.DUMMYFUNCTION("IF($T190=""Y"",
  IFERROR(
    RANK.EQ($R190, FILTER($R:$R, $T:$T=""Y""), 1)
    + COUNTIFS($R:$R, $R190, $M:$M, ""&lt;""&amp;$M190, $T:$T, ""Y""),
    ""UPCOMING""
  ),
  ""NO REF""
)
"),"NO REF")</f>
        <v>NO REF</v>
      </c>
    </row>
    <row r="191" ht="15.75" customHeight="1">
      <c r="C191" s="13">
        <v>190.0</v>
      </c>
      <c r="D191" s="1464">
        <v>2022.0</v>
      </c>
      <c r="E191" s="1005" t="s">
        <v>517</v>
      </c>
      <c r="F191" s="960" t="s">
        <v>663</v>
      </c>
      <c r="G191" s="961" t="str">
        <f>'League History BACKEND 2022'!G55</f>
        <v>DECOUPES</v>
      </c>
      <c r="H191" s="962">
        <v>208.38</v>
      </c>
      <c r="I191" s="963">
        <v>139.3</v>
      </c>
      <c r="J191" s="964" t="str">
        <f>'League History BACKEND 2022'!J55</f>
        <v>MUTTS</v>
      </c>
      <c r="K191" s="965" t="str">
        <f t="shared" si="1"/>
        <v>DECOUPES</v>
      </c>
      <c r="L191" s="966" t="str">
        <f t="shared" si="2"/>
        <v>MUTTS</v>
      </c>
      <c r="M191" s="967">
        <f t="array" ref="M191">IFERROR(IF(ABS(H191-I191)=0,Tie,ABS(H191-I191)),"UPCOMING")</f>
        <v>69.08</v>
      </c>
      <c r="N191" s="968">
        <f t="shared" si="3"/>
        <v>366</v>
      </c>
      <c r="O191" s="969">
        <f t="shared" si="4"/>
        <v>56</v>
      </c>
      <c r="P191" s="967">
        <f t="shared" si="5"/>
        <v>347.68</v>
      </c>
      <c r="Q191" s="968">
        <f t="shared" si="6"/>
        <v>169</v>
      </c>
      <c r="R191" s="967">
        <f t="shared" si="7"/>
        <v>267.5</v>
      </c>
      <c r="S191" s="970">
        <f t="shared" si="8"/>
        <v>314</v>
      </c>
      <c r="U191" s="13" t="str">
        <f>IFERROR(__xludf.DUMMYFUNCTION("IF($T191=""Y"",
  IFERROR(
    RANK.EQ($R191, FILTER($R:$R, $T:$T=""Y""), 1)
    + COUNTIFS($R:$R, $R191, $M:$M, ""&lt;""&amp;$M191, $T:$T, ""Y""),
    ""UPCOMING""
  ),
  ""NO REF""
)
"),"NO REF")</f>
        <v>NO REF</v>
      </c>
    </row>
    <row r="192" ht="15.75" customHeight="1">
      <c r="C192" s="13">
        <v>191.0</v>
      </c>
      <c r="D192" s="1464">
        <v>2022.0</v>
      </c>
      <c r="E192" s="1005" t="s">
        <v>517</v>
      </c>
      <c r="F192" s="960" t="s">
        <v>665</v>
      </c>
      <c r="G192" s="961" t="str">
        <f>'League History BACKEND 2022'!G56</f>
        <v>POPEYES</v>
      </c>
      <c r="H192" s="962">
        <v>155.86</v>
      </c>
      <c r="I192" s="963">
        <v>165.81</v>
      </c>
      <c r="J192" s="964" t="str">
        <f>'League History BACKEND 2022'!J56</f>
        <v>CHAMPS</v>
      </c>
      <c r="K192" s="965" t="str">
        <f t="shared" si="1"/>
        <v>CHAMPS</v>
      </c>
      <c r="L192" s="966" t="str">
        <f t="shared" si="2"/>
        <v>POPEYES</v>
      </c>
      <c r="M192" s="967">
        <f t="array" ref="M192">IFERROR(IF(ABS(H192-I192)=0,Tie,ABS(H192-I192)),"UPCOMING")</f>
        <v>9.95</v>
      </c>
      <c r="N192" s="968">
        <f t="shared" si="3"/>
        <v>79</v>
      </c>
      <c r="O192" s="969">
        <f t="shared" si="4"/>
        <v>343</v>
      </c>
      <c r="P192" s="967">
        <f t="shared" si="5"/>
        <v>321.67</v>
      </c>
      <c r="Q192" s="968">
        <f t="shared" si="6"/>
        <v>242</v>
      </c>
      <c r="R192" s="967">
        <f t="shared" si="7"/>
        <v>160.5</v>
      </c>
      <c r="S192" s="970">
        <f t="shared" si="8"/>
        <v>110</v>
      </c>
      <c r="T192" s="18" t="s">
        <v>1160</v>
      </c>
      <c r="U192" s="13">
        <f>IFERROR(__xludf.DUMMYFUNCTION("IF($T192=""Y"",
  IFERROR(
    RANK.EQ($R192, FILTER($R:$R, $T:$T=""Y""), 1)
    + COUNTIFS($R:$R, $R192, $M:$M, ""&lt;""&amp;$M192, $T:$T, ""Y""),
    ""UPCOMING""
  ),
  ""NO REF""
)
"),18.0)</f>
        <v>18</v>
      </c>
    </row>
    <row r="193" ht="15.75" customHeight="1">
      <c r="C193" s="13">
        <v>192.0</v>
      </c>
      <c r="D193" s="1464">
        <v>2022.0</v>
      </c>
      <c r="E193" s="1005" t="s">
        <v>517</v>
      </c>
      <c r="F193" s="960" t="s">
        <v>670</v>
      </c>
      <c r="G193" s="961" t="str">
        <f>'League History BACKEND 2022'!G58</f>
        <v>GREEN</v>
      </c>
      <c r="H193" s="962">
        <v>188.34</v>
      </c>
      <c r="I193" s="963">
        <v>132.72</v>
      </c>
      <c r="J193" s="964" t="str">
        <f>'League History BACKEND 2022'!J58</f>
        <v>METAMOOKDAWGS</v>
      </c>
      <c r="K193" s="965" t="str">
        <f t="shared" si="1"/>
        <v>GREEN</v>
      </c>
      <c r="L193" s="966" t="str">
        <f t="shared" si="2"/>
        <v>METAMOOKDAWGS</v>
      </c>
      <c r="M193" s="967">
        <f t="array" ref="M193">IFERROR(IF(ABS(H193-I193)=0,Tie,ABS(H193-I193)),"UPCOMING")</f>
        <v>55.62</v>
      </c>
      <c r="N193" s="968">
        <f t="shared" si="3"/>
        <v>328</v>
      </c>
      <c r="O193" s="969">
        <f t="shared" si="4"/>
        <v>94</v>
      </c>
      <c r="P193" s="967">
        <f t="shared" si="5"/>
        <v>321.06</v>
      </c>
      <c r="Q193" s="968">
        <f t="shared" si="6"/>
        <v>244</v>
      </c>
      <c r="R193" s="967">
        <f t="shared" si="7"/>
        <v>286</v>
      </c>
      <c r="S193" s="970">
        <f t="shared" si="8"/>
        <v>342</v>
      </c>
      <c r="U193" s="13" t="str">
        <f>IFERROR(__xludf.DUMMYFUNCTION("IF($T193=""Y"",
  IFERROR(
    RANK.EQ($R193, FILTER($R:$R, $T:$T=""Y""), 1)
    + COUNTIFS($R:$R, $R193, $M:$M, ""&lt;""&amp;$M193, $T:$T, ""Y""),
    ""UPCOMING""
  ),
  ""NO REF""
)
"),"NO REF")</f>
        <v>NO REF</v>
      </c>
    </row>
    <row r="194" ht="15.75" customHeight="1">
      <c r="C194" s="13">
        <v>193.0</v>
      </c>
      <c r="D194" s="1464">
        <v>2022.0</v>
      </c>
      <c r="E194" s="1005" t="s">
        <v>517</v>
      </c>
      <c r="F194" s="960" t="s">
        <v>671</v>
      </c>
      <c r="G194" s="961" t="str">
        <f>'League History BACKEND 2022'!G59</f>
        <v>SAVAGES</v>
      </c>
      <c r="H194" s="962">
        <v>116.36</v>
      </c>
      <c r="I194" s="963">
        <v>158.05</v>
      </c>
      <c r="J194" s="964" t="str">
        <f>'League History BACKEND 2022'!J59</f>
        <v>YARDIES</v>
      </c>
      <c r="K194" s="965" t="str">
        <f t="shared" si="1"/>
        <v>YARDIES</v>
      </c>
      <c r="L194" s="966" t="str">
        <f t="shared" si="2"/>
        <v>SAVAGES</v>
      </c>
      <c r="M194" s="967">
        <f t="array" ref="M194">IFERROR(IF(ABS(H194-I194)=0,Tie,ABS(H194-I194)),"UPCOMING")</f>
        <v>41.69</v>
      </c>
      <c r="N194" s="968">
        <f t="shared" si="3"/>
        <v>263</v>
      </c>
      <c r="O194" s="969">
        <f t="shared" si="4"/>
        <v>159</v>
      </c>
      <c r="P194" s="967">
        <f t="shared" si="5"/>
        <v>274.41</v>
      </c>
      <c r="Q194" s="968">
        <f t="shared" si="6"/>
        <v>366</v>
      </c>
      <c r="R194" s="967">
        <f t="shared" si="7"/>
        <v>314.5</v>
      </c>
      <c r="S194" s="970">
        <f t="shared" si="8"/>
        <v>373</v>
      </c>
      <c r="U194" s="13" t="str">
        <f>IFERROR(__xludf.DUMMYFUNCTION("IF($T194=""Y"",
  IFERROR(
    RANK.EQ($R194, FILTER($R:$R, $T:$T=""Y""), 1)
    + COUNTIFS($R:$R, $R194, $M:$M, ""&lt;""&amp;$M194, $T:$T, ""Y""),
    ""UPCOMING""
  ),
  ""NO REF""
)
"),"NO REF")</f>
        <v>NO REF</v>
      </c>
    </row>
    <row r="195" ht="15.75" customHeight="1">
      <c r="C195" s="13">
        <v>194.0</v>
      </c>
      <c r="D195" s="1464">
        <v>2022.0</v>
      </c>
      <c r="E195" s="217" t="s">
        <v>518</v>
      </c>
      <c r="F195" s="960" t="s">
        <v>663</v>
      </c>
      <c r="G195" s="961" t="str">
        <f>'League History BACKEND 2022'!G62</f>
        <v>DECOUPES</v>
      </c>
      <c r="H195" s="962">
        <v>205.97</v>
      </c>
      <c r="I195" s="963">
        <v>73.16</v>
      </c>
      <c r="J195" s="964" t="str">
        <f>'League History BACKEND 2022'!J62</f>
        <v>GREEN</v>
      </c>
      <c r="K195" s="965" t="str">
        <f t="shared" si="1"/>
        <v>DECOUPES</v>
      </c>
      <c r="L195" s="966" t="str">
        <f t="shared" si="2"/>
        <v>GREEN</v>
      </c>
      <c r="M195" s="967">
        <f t="array" ref="M195">IFERROR(IF(ABS(H195-I195)=0,Tie,ABS(H195-I195)),"UPCOMING")</f>
        <v>132.81</v>
      </c>
      <c r="N195" s="968">
        <f t="shared" si="3"/>
        <v>419</v>
      </c>
      <c r="O195" s="969">
        <f t="shared" si="4"/>
        <v>3</v>
      </c>
      <c r="P195" s="967">
        <f t="shared" si="5"/>
        <v>279.13</v>
      </c>
      <c r="Q195" s="968">
        <f t="shared" si="6"/>
        <v>357</v>
      </c>
      <c r="R195" s="967">
        <f t="shared" si="7"/>
        <v>388</v>
      </c>
      <c r="S195" s="970">
        <f t="shared" si="8"/>
        <v>420</v>
      </c>
      <c r="U195" s="13" t="str">
        <f>IFERROR(__xludf.DUMMYFUNCTION("IF($T195=""Y"",
  IFERROR(
    RANK.EQ($R195, FILTER($R:$R, $T:$T=""Y""), 1)
    + COUNTIFS($R:$R, $R195, $M:$M, ""&lt;""&amp;$M195, $T:$T, ""Y""),
    ""UPCOMING""
  ),
  ""NO REF""
)
"),"NO REF")</f>
        <v>NO REF</v>
      </c>
    </row>
    <row r="196" ht="15.75" customHeight="1">
      <c r="C196" s="13">
        <v>195.0</v>
      </c>
      <c r="D196" s="1464">
        <v>2022.0</v>
      </c>
      <c r="E196" s="217" t="s">
        <v>518</v>
      </c>
      <c r="F196" s="960" t="s">
        <v>665</v>
      </c>
      <c r="G196" s="961" t="str">
        <f>'League History BACKEND 2022'!G63</f>
        <v>CHAMPS</v>
      </c>
      <c r="H196" s="962">
        <v>157.31</v>
      </c>
      <c r="I196" s="963">
        <v>167.2</v>
      </c>
      <c r="J196" s="964" t="str">
        <f>'League History BACKEND 2022'!J63</f>
        <v>YARDIES</v>
      </c>
      <c r="K196" s="965" t="str">
        <f t="shared" si="1"/>
        <v>YARDIES</v>
      </c>
      <c r="L196" s="966" t="str">
        <f t="shared" si="2"/>
        <v>CHAMPS</v>
      </c>
      <c r="M196" s="967">
        <f t="array" ref="M196">IFERROR(IF(ABS(H196-I196)=0,Tie,ABS(H196-I196)),"UPCOMING")</f>
        <v>9.89</v>
      </c>
      <c r="N196" s="968">
        <f t="shared" si="3"/>
        <v>78</v>
      </c>
      <c r="O196" s="969">
        <f t="shared" si="4"/>
        <v>344</v>
      </c>
      <c r="P196" s="967">
        <f t="shared" si="5"/>
        <v>324.51</v>
      </c>
      <c r="Q196" s="968">
        <f t="shared" si="6"/>
        <v>234</v>
      </c>
      <c r="R196" s="967">
        <f t="shared" si="7"/>
        <v>156</v>
      </c>
      <c r="S196" s="970">
        <f t="shared" si="8"/>
        <v>106</v>
      </c>
      <c r="T196" s="18" t="s">
        <v>1160</v>
      </c>
      <c r="U196" s="13">
        <f>IFERROR(__xludf.DUMMYFUNCTION("IF($T196=""Y"",
  IFERROR(
    RANK.EQ($R196, FILTER($R:$R, $T:$T=""Y""), 1)
    + COUNTIFS($R:$R, $R196, $M:$M, ""&lt;""&amp;$M196, $T:$T, ""Y""),
    ""UPCOMING""
  ),
  ""NO REF""
)
"),17.0)</f>
        <v>17</v>
      </c>
    </row>
    <row r="197" ht="15.75" customHeight="1">
      <c r="C197" s="13">
        <v>196.0</v>
      </c>
      <c r="D197" s="1464">
        <v>2022.0</v>
      </c>
      <c r="E197" s="217" t="s">
        <v>518</v>
      </c>
      <c r="F197" s="960" t="s">
        <v>670</v>
      </c>
      <c r="G197" s="961" t="str">
        <f>'League History BACKEND 2022'!G65</f>
        <v>POPEYES</v>
      </c>
      <c r="H197" s="962">
        <v>154.65</v>
      </c>
      <c r="I197" s="963">
        <v>178.87</v>
      </c>
      <c r="J197" s="964" t="str">
        <f>'League History BACKEND 2022'!J65</f>
        <v>SAVAGES</v>
      </c>
      <c r="K197" s="965" t="str">
        <f t="shared" si="1"/>
        <v>SAVAGES</v>
      </c>
      <c r="L197" s="966" t="str">
        <f t="shared" si="2"/>
        <v>POPEYES</v>
      </c>
      <c r="M197" s="967">
        <f t="array" ref="M197">IFERROR(IF(ABS(H197-I197)=0,Tie,ABS(H197-I197)),"UPCOMING")</f>
        <v>24.22</v>
      </c>
      <c r="N197" s="968">
        <f t="shared" si="3"/>
        <v>170</v>
      </c>
      <c r="O197" s="969">
        <f t="shared" si="4"/>
        <v>252</v>
      </c>
      <c r="P197" s="967">
        <f t="shared" si="5"/>
        <v>333.52</v>
      </c>
      <c r="Q197" s="968">
        <f t="shared" si="6"/>
        <v>208</v>
      </c>
      <c r="R197" s="967">
        <f t="shared" si="7"/>
        <v>189</v>
      </c>
      <c r="S197" s="970">
        <f t="shared" si="8"/>
        <v>162</v>
      </c>
      <c r="U197" s="13" t="str">
        <f>IFERROR(__xludf.DUMMYFUNCTION("IF($T197=""Y"",
  IFERROR(
    RANK.EQ($R197, FILTER($R:$R, $T:$T=""Y""), 1)
    + COUNTIFS($R:$R, $R197, $M:$M, ""&lt;""&amp;$M197, $T:$T, ""Y""),
    ""UPCOMING""
  ),
  ""NO REF""
)
"),"NO REF")</f>
        <v>NO REF</v>
      </c>
    </row>
    <row r="198" ht="15.75" customHeight="1">
      <c r="C198" s="13">
        <v>197.0</v>
      </c>
      <c r="D198" s="1464">
        <v>2022.0</v>
      </c>
      <c r="E198" s="217" t="s">
        <v>518</v>
      </c>
      <c r="F198" s="960" t="s">
        <v>671</v>
      </c>
      <c r="G198" s="961" t="str">
        <f>'League History BACKEND 2022'!G66</f>
        <v>METAMOOKDAWGS</v>
      </c>
      <c r="H198" s="962">
        <v>201.27</v>
      </c>
      <c r="I198" s="963">
        <v>234.03</v>
      </c>
      <c r="J198" s="964" t="str">
        <f>'League History BACKEND 2022'!J66</f>
        <v>MUTTS</v>
      </c>
      <c r="K198" s="965" t="str">
        <f t="shared" si="1"/>
        <v>MUTTS</v>
      </c>
      <c r="L198" s="966" t="str">
        <f t="shared" si="2"/>
        <v>METAMOOKDAWGS</v>
      </c>
      <c r="M198" s="967">
        <f t="array" ref="M198">IFERROR(IF(ABS(H198-I198)=0,Tie,ABS(H198-I198)),"UPCOMING")</f>
        <v>32.76</v>
      </c>
      <c r="N198" s="968">
        <f t="shared" si="3"/>
        <v>209</v>
      </c>
      <c r="O198" s="969">
        <f t="shared" si="4"/>
        <v>213</v>
      </c>
      <c r="P198" s="967">
        <f t="shared" si="5"/>
        <v>435.3</v>
      </c>
      <c r="Q198" s="968">
        <f t="shared" si="6"/>
        <v>17</v>
      </c>
      <c r="R198" s="967">
        <f t="shared" si="7"/>
        <v>113</v>
      </c>
      <c r="S198" s="970">
        <f t="shared" si="8"/>
        <v>51</v>
      </c>
      <c r="U198" s="13" t="str">
        <f>IFERROR(__xludf.DUMMYFUNCTION("IF($T198=""Y"",
  IFERROR(
    RANK.EQ($R198, FILTER($R:$R, $T:$T=""Y""), 1)
    + COUNTIFS($R:$R, $R198, $M:$M, ""&lt;""&amp;$M198, $T:$T, ""Y""),
    ""UPCOMING""
  ),
  ""NO REF""
)
"),"NO REF")</f>
        <v>NO REF</v>
      </c>
    </row>
    <row r="199" ht="15.75" customHeight="1">
      <c r="C199" s="13">
        <v>198.0</v>
      </c>
      <c r="D199" s="1464">
        <v>2022.0</v>
      </c>
      <c r="E199" s="217" t="s">
        <v>519</v>
      </c>
      <c r="F199" s="960" t="s">
        <v>663</v>
      </c>
      <c r="G199" s="961" t="str">
        <f>'League History BACKEND 2022'!G69</f>
        <v>DECOUPES</v>
      </c>
      <c r="H199" s="962">
        <v>224.54</v>
      </c>
      <c r="I199" s="963">
        <v>159.42</v>
      </c>
      <c r="J199" s="964" t="str">
        <f>'League History BACKEND 2022'!J69</f>
        <v>SAVAGES</v>
      </c>
      <c r="K199" s="965" t="str">
        <f t="shared" si="1"/>
        <v>DECOUPES</v>
      </c>
      <c r="L199" s="966" t="str">
        <f t="shared" si="2"/>
        <v>SAVAGES</v>
      </c>
      <c r="M199" s="967">
        <f t="array" ref="M199">IFERROR(IF(ABS(H199-I199)=0,Tie,ABS(H199-I199)),"UPCOMING")</f>
        <v>65.12</v>
      </c>
      <c r="N199" s="968">
        <f t="shared" si="3"/>
        <v>354</v>
      </c>
      <c r="O199" s="969">
        <f t="shared" si="4"/>
        <v>68</v>
      </c>
      <c r="P199" s="967">
        <f t="shared" si="5"/>
        <v>383.96</v>
      </c>
      <c r="Q199" s="968">
        <f t="shared" si="6"/>
        <v>79</v>
      </c>
      <c r="R199" s="967">
        <f t="shared" si="7"/>
        <v>216.5</v>
      </c>
      <c r="S199" s="970">
        <f t="shared" si="8"/>
        <v>222</v>
      </c>
      <c r="U199" s="13" t="str">
        <f>IFERROR(__xludf.DUMMYFUNCTION("IF($T199=""Y"",
  IFERROR(
    RANK.EQ($R199, FILTER($R:$R, $T:$T=""Y""), 1)
    + COUNTIFS($R:$R, $R199, $M:$M, ""&lt;""&amp;$M199, $T:$T, ""Y""),
    ""UPCOMING""
  ),
  ""NO REF""
)
"),"NO REF")</f>
        <v>NO REF</v>
      </c>
    </row>
    <row r="200" ht="15.75" customHeight="1">
      <c r="C200" s="13">
        <v>199.0</v>
      </c>
      <c r="D200" s="1464">
        <v>2022.0</v>
      </c>
      <c r="E200" s="217" t="s">
        <v>519</v>
      </c>
      <c r="F200" s="960" t="s">
        <v>665</v>
      </c>
      <c r="G200" s="961" t="str">
        <f>'League History BACKEND 2022'!G70</f>
        <v>CHAMPS</v>
      </c>
      <c r="H200" s="962">
        <v>205.36</v>
      </c>
      <c r="I200" s="963">
        <v>238.07</v>
      </c>
      <c r="J200" s="964" t="str">
        <f>'League History BACKEND 2022'!J70</f>
        <v>MUTTS</v>
      </c>
      <c r="K200" s="965" t="str">
        <f t="shared" si="1"/>
        <v>MUTTS</v>
      </c>
      <c r="L200" s="966" t="str">
        <f t="shared" si="2"/>
        <v>CHAMPS</v>
      </c>
      <c r="M200" s="967">
        <f t="array" ref="M200">IFERROR(IF(ABS(H200-I200)=0,Tie,ABS(H200-I200)),"UPCOMING")</f>
        <v>32.71</v>
      </c>
      <c r="N200" s="968">
        <f t="shared" si="3"/>
        <v>208</v>
      </c>
      <c r="O200" s="969">
        <f t="shared" si="4"/>
        <v>214</v>
      </c>
      <c r="P200" s="967">
        <f t="shared" si="5"/>
        <v>443.43</v>
      </c>
      <c r="Q200" s="968">
        <f t="shared" si="6"/>
        <v>14</v>
      </c>
      <c r="R200" s="967">
        <f t="shared" si="7"/>
        <v>111</v>
      </c>
      <c r="S200" s="970">
        <f t="shared" si="8"/>
        <v>47</v>
      </c>
      <c r="T200" s="18" t="s">
        <v>1160</v>
      </c>
      <c r="U200" s="13">
        <f>IFERROR(__xludf.DUMMYFUNCTION("IF($T200=""Y"",
  IFERROR(
    RANK.EQ($R200, FILTER($R:$R, $T:$T=""Y""), 1)
    + COUNTIFS($R:$R, $R200, $M:$M, ""&lt;""&amp;$M200, $T:$T, ""Y""),
    ""UPCOMING""
  ),
  ""NO REF""
)
"),5.0)</f>
        <v>5</v>
      </c>
    </row>
    <row r="201" ht="15.75" customHeight="1">
      <c r="C201" s="13">
        <v>200.0</v>
      </c>
      <c r="D201" s="1464">
        <v>2022.0</v>
      </c>
      <c r="E201" s="217" t="s">
        <v>519</v>
      </c>
      <c r="F201" s="960" t="s">
        <v>670</v>
      </c>
      <c r="G201" s="961" t="str">
        <f>'League History BACKEND 2022'!G72</f>
        <v>POPEYES</v>
      </c>
      <c r="H201" s="962">
        <v>189.82</v>
      </c>
      <c r="I201" s="963">
        <v>280.22</v>
      </c>
      <c r="J201" s="964" t="str">
        <f>'League History BACKEND 2022'!J72</f>
        <v>GREEN</v>
      </c>
      <c r="K201" s="965" t="str">
        <f t="shared" si="1"/>
        <v>GREEN</v>
      </c>
      <c r="L201" s="966" t="str">
        <f t="shared" si="2"/>
        <v>POPEYES</v>
      </c>
      <c r="M201" s="967">
        <f t="array" ref="M201">IFERROR(IF(ABS(H201-I201)=0,Tie,ABS(H201-I201)),"UPCOMING")</f>
        <v>90.4</v>
      </c>
      <c r="N201" s="968">
        <f t="shared" si="3"/>
        <v>402</v>
      </c>
      <c r="O201" s="969">
        <f t="shared" si="4"/>
        <v>20</v>
      </c>
      <c r="P201" s="967">
        <f t="shared" si="5"/>
        <v>470.04</v>
      </c>
      <c r="Q201" s="968">
        <f t="shared" si="6"/>
        <v>3</v>
      </c>
      <c r="R201" s="967">
        <f t="shared" si="7"/>
        <v>202.5</v>
      </c>
      <c r="S201" s="970">
        <f t="shared" si="8"/>
        <v>187</v>
      </c>
      <c r="U201" s="13" t="str">
        <f>IFERROR(__xludf.DUMMYFUNCTION("IF($T201=""Y"",
  IFERROR(
    RANK.EQ($R201, FILTER($R:$R, $T:$T=""Y""), 1)
    + COUNTIFS($R:$R, $R201, $M:$M, ""&lt;""&amp;$M201, $T:$T, ""Y""),
    ""UPCOMING""
  ),
  ""NO REF""
)
"),"NO REF")</f>
        <v>NO REF</v>
      </c>
    </row>
    <row r="202" ht="15.75" customHeight="1">
      <c r="C202" s="13">
        <v>201.0</v>
      </c>
      <c r="D202" s="1464">
        <v>2022.0</v>
      </c>
      <c r="E202" s="217" t="s">
        <v>519</v>
      </c>
      <c r="F202" s="960" t="s">
        <v>671</v>
      </c>
      <c r="G202" s="961" t="str">
        <f>'League History BACKEND 2022'!G73</f>
        <v>METAMOOKDAWGS</v>
      </c>
      <c r="H202" s="962">
        <v>98.7</v>
      </c>
      <c r="I202" s="963">
        <v>199.09</v>
      </c>
      <c r="J202" s="964" t="str">
        <f>'League History BACKEND 2022'!J73</f>
        <v>YARDIES</v>
      </c>
      <c r="K202" s="965" t="str">
        <f t="shared" si="1"/>
        <v>YARDIES</v>
      </c>
      <c r="L202" s="966" t="str">
        <f t="shared" si="2"/>
        <v>METAMOOKDAWGS</v>
      </c>
      <c r="M202" s="967">
        <f t="array" ref="M202">IFERROR(IF(ABS(H202-I202)=0,Tie,ABS(H202-I202)),"UPCOMING")</f>
        <v>100.39</v>
      </c>
      <c r="N202" s="968">
        <f t="shared" si="3"/>
        <v>408</v>
      </c>
      <c r="O202" s="969">
        <f t="shared" si="4"/>
        <v>14</v>
      </c>
      <c r="P202" s="967">
        <f t="shared" si="5"/>
        <v>297.79</v>
      </c>
      <c r="Q202" s="968">
        <f t="shared" si="6"/>
        <v>310</v>
      </c>
      <c r="R202" s="967">
        <f t="shared" si="7"/>
        <v>359</v>
      </c>
      <c r="S202" s="970">
        <f t="shared" si="8"/>
        <v>412</v>
      </c>
      <c r="U202" s="13" t="str">
        <f>IFERROR(__xludf.DUMMYFUNCTION("IF($T202=""Y"",
  IFERROR(
    RANK.EQ($R202, FILTER($R:$R, $T:$T=""Y""), 1)
    + COUNTIFS($R:$R, $R202, $M:$M, ""&lt;""&amp;$M202, $T:$T, ""Y""),
    ""UPCOMING""
  ),
  ""NO REF""
)
"),"NO REF")</f>
        <v>NO REF</v>
      </c>
    </row>
    <row r="203" ht="15.75" customHeight="1">
      <c r="C203" s="13">
        <v>202.0</v>
      </c>
      <c r="D203" s="1464">
        <v>2022.0</v>
      </c>
      <c r="E203" s="217" t="s">
        <v>520</v>
      </c>
      <c r="F203" s="960" t="s">
        <v>663</v>
      </c>
      <c r="G203" s="961" t="str">
        <f>'League History BACKEND 2022'!G76</f>
        <v>DECOUPES</v>
      </c>
      <c r="H203" s="962">
        <v>203.49</v>
      </c>
      <c r="I203" s="963">
        <v>212.37</v>
      </c>
      <c r="J203" s="964" t="str">
        <f>'League History BACKEND 2022'!J76</f>
        <v>METAMOOKDAWGS</v>
      </c>
      <c r="K203" s="965" t="str">
        <f t="shared" si="1"/>
        <v>METAMOOKDAWGS</v>
      </c>
      <c r="L203" s="966" t="str">
        <f t="shared" si="2"/>
        <v>DECOUPES</v>
      </c>
      <c r="M203" s="967">
        <f t="array" ref="M203">IFERROR(IF(ABS(H203-I203)=0,Tie,ABS(H203-I203)),"UPCOMING")</f>
        <v>8.88</v>
      </c>
      <c r="N203" s="968">
        <f t="shared" si="3"/>
        <v>68</v>
      </c>
      <c r="O203" s="969">
        <f t="shared" si="4"/>
        <v>354</v>
      </c>
      <c r="P203" s="967">
        <f t="shared" si="5"/>
        <v>415.86</v>
      </c>
      <c r="Q203" s="968">
        <f t="shared" si="6"/>
        <v>35</v>
      </c>
      <c r="R203" s="967">
        <f t="shared" si="7"/>
        <v>51.5</v>
      </c>
      <c r="S203" s="970">
        <f t="shared" si="8"/>
        <v>14</v>
      </c>
      <c r="U203" s="13" t="str">
        <f>IFERROR(__xludf.DUMMYFUNCTION("IF($T203=""Y"",
  IFERROR(
    RANK.EQ($R203, FILTER($R:$R, $T:$T=""Y""), 1)
    + COUNTIFS($R:$R, $R203, $M:$M, ""&lt;""&amp;$M203, $T:$T, ""Y""),
    ""UPCOMING""
  ),
  ""NO REF""
)
"),"NO REF")</f>
        <v>NO REF</v>
      </c>
    </row>
    <row r="204" ht="15.75" customHeight="1">
      <c r="C204" s="13">
        <v>203.0</v>
      </c>
      <c r="D204" s="1464">
        <v>2022.0</v>
      </c>
      <c r="E204" s="217" t="s">
        <v>520</v>
      </c>
      <c r="F204" s="960" t="s">
        <v>665</v>
      </c>
      <c r="G204" s="961" t="str">
        <f>'League History BACKEND 2022'!G77</f>
        <v>POPEYES</v>
      </c>
      <c r="H204" s="962">
        <v>150.9</v>
      </c>
      <c r="I204" s="963">
        <v>195.2</v>
      </c>
      <c r="J204" s="964" t="str">
        <f>'League History BACKEND 2022'!J77</f>
        <v>YARDIES</v>
      </c>
      <c r="K204" s="965" t="str">
        <f t="shared" si="1"/>
        <v>YARDIES</v>
      </c>
      <c r="L204" s="966" t="str">
        <f t="shared" si="2"/>
        <v>POPEYES</v>
      </c>
      <c r="M204" s="967">
        <f t="array" ref="M204">IFERROR(IF(ABS(H204-I204)=0,Tie,ABS(H204-I204)),"UPCOMING")</f>
        <v>44.3</v>
      </c>
      <c r="N204" s="968">
        <f t="shared" si="3"/>
        <v>277</v>
      </c>
      <c r="O204" s="969">
        <f t="shared" si="4"/>
        <v>145</v>
      </c>
      <c r="P204" s="967">
        <f t="shared" si="5"/>
        <v>346.1</v>
      </c>
      <c r="Q204" s="968">
        <f t="shared" si="6"/>
        <v>175</v>
      </c>
      <c r="R204" s="967">
        <f t="shared" si="7"/>
        <v>226</v>
      </c>
      <c r="S204" s="970">
        <f t="shared" si="8"/>
        <v>244</v>
      </c>
      <c r="U204" s="13" t="str">
        <f>IFERROR(__xludf.DUMMYFUNCTION("IF($T204=""Y"",
  IFERROR(
    RANK.EQ($R204, FILTER($R:$R, $T:$T=""Y""), 1)
    + COUNTIFS($R:$R, $R204, $M:$M, ""&lt;""&amp;$M204, $T:$T, ""Y""),
    ""UPCOMING""
  ),
  ""NO REF""
)
"),"NO REF")</f>
        <v>NO REF</v>
      </c>
    </row>
    <row r="205" ht="15.75" customHeight="1">
      <c r="C205" s="13">
        <v>204.0</v>
      </c>
      <c r="D205" s="1464">
        <v>2022.0</v>
      </c>
      <c r="E205" s="217" t="s">
        <v>520</v>
      </c>
      <c r="F205" s="960" t="s">
        <v>670</v>
      </c>
      <c r="G205" s="961" t="str">
        <f>'League History BACKEND 2022'!G78</f>
        <v>GREEN</v>
      </c>
      <c r="H205" s="962">
        <v>161.2</v>
      </c>
      <c r="I205" s="963">
        <v>208.29</v>
      </c>
      <c r="J205" s="964" t="str">
        <f>'League History BACKEND 2022'!J78</f>
        <v>MUTTS</v>
      </c>
      <c r="K205" s="965" t="str">
        <f t="shared" si="1"/>
        <v>MUTTS</v>
      </c>
      <c r="L205" s="966" t="str">
        <f t="shared" si="2"/>
        <v>GREEN</v>
      </c>
      <c r="M205" s="967">
        <f t="array" ref="M205">IFERROR(IF(ABS(H205-I205)=0,Tie,ABS(H205-I205)),"UPCOMING")</f>
        <v>47.09</v>
      </c>
      <c r="N205" s="968">
        <f t="shared" si="3"/>
        <v>298</v>
      </c>
      <c r="O205" s="969">
        <f t="shared" si="4"/>
        <v>124</v>
      </c>
      <c r="P205" s="967">
        <f t="shared" si="5"/>
        <v>369.49</v>
      </c>
      <c r="Q205" s="968">
        <f t="shared" si="6"/>
        <v>116</v>
      </c>
      <c r="R205" s="967">
        <f t="shared" si="7"/>
        <v>207</v>
      </c>
      <c r="S205" s="970">
        <f t="shared" si="8"/>
        <v>198</v>
      </c>
      <c r="T205" s="18" t="s">
        <v>1160</v>
      </c>
      <c r="U205" s="13">
        <f>IFERROR(__xludf.DUMMYFUNCTION("IF($T205=""Y"",
  IFERROR(
    RANK.EQ($R205, FILTER($R:$R, $T:$T=""Y""), 1)
    + COUNTIFS($R:$R, $R205, $M:$M, ""&lt;""&amp;$M205, $T:$T, ""Y""),
    ""UPCOMING""
  ),
  ""NO REF""
)
"),35.0)</f>
        <v>35</v>
      </c>
    </row>
    <row r="206" ht="15.75" customHeight="1">
      <c r="C206" s="13">
        <v>205.0</v>
      </c>
      <c r="D206" s="1464">
        <v>2022.0</v>
      </c>
      <c r="E206" s="217" t="s">
        <v>520</v>
      </c>
      <c r="F206" s="960" t="s">
        <v>671</v>
      </c>
      <c r="G206" s="961" t="str">
        <f>'League History BACKEND 2022'!G79</f>
        <v>SAVAGES</v>
      </c>
      <c r="H206" s="962">
        <v>215.36</v>
      </c>
      <c r="I206" s="963">
        <v>131.89</v>
      </c>
      <c r="J206" s="964" t="str">
        <f>'League History BACKEND 2022'!J79</f>
        <v>CHAMPS</v>
      </c>
      <c r="K206" s="965" t="str">
        <f t="shared" si="1"/>
        <v>SAVAGES</v>
      </c>
      <c r="L206" s="966" t="str">
        <f t="shared" si="2"/>
        <v>CHAMPS</v>
      </c>
      <c r="M206" s="967">
        <f t="array" ref="M206">IFERROR(IF(ABS(H206-I206)=0,Tie,ABS(H206-I206)),"UPCOMING")</f>
        <v>83.47</v>
      </c>
      <c r="N206" s="968">
        <f t="shared" si="3"/>
        <v>395</v>
      </c>
      <c r="O206" s="969">
        <f t="shared" si="4"/>
        <v>27</v>
      </c>
      <c r="P206" s="967">
        <f t="shared" si="5"/>
        <v>347.25</v>
      </c>
      <c r="Q206" s="968">
        <f t="shared" si="6"/>
        <v>170</v>
      </c>
      <c r="R206" s="967">
        <f t="shared" si="7"/>
        <v>282.5</v>
      </c>
      <c r="S206" s="970">
        <f t="shared" si="8"/>
        <v>336</v>
      </c>
      <c r="U206" s="13" t="str">
        <f>IFERROR(__xludf.DUMMYFUNCTION("IF($T206=""Y"",
  IFERROR(
    RANK.EQ($R206, FILTER($R:$R, $T:$T=""Y""), 1)
    + COUNTIFS($R:$R, $R206, $M:$M, ""&lt;""&amp;$M206, $T:$T, ""Y""),
    ""UPCOMING""
  ),
  ""NO REF""
)
"),"NO REF")</f>
        <v>NO REF</v>
      </c>
    </row>
    <row r="207" ht="15.75" customHeight="1">
      <c r="C207" s="13">
        <v>206.0</v>
      </c>
      <c r="D207" s="1464">
        <v>2022.0</v>
      </c>
      <c r="E207" s="217" t="s">
        <v>521</v>
      </c>
      <c r="F207" s="960" t="s">
        <v>663</v>
      </c>
      <c r="G207" s="961" t="str">
        <f>'League History BACKEND 2022'!G83</f>
        <v>DECOUPES</v>
      </c>
      <c r="H207" s="962">
        <v>186.65</v>
      </c>
      <c r="I207" s="963">
        <v>141.13</v>
      </c>
      <c r="J207" s="964" t="str">
        <f>'League History BACKEND 2022'!J83</f>
        <v>POPEYES</v>
      </c>
      <c r="K207" s="965" t="str">
        <f t="shared" si="1"/>
        <v>DECOUPES</v>
      </c>
      <c r="L207" s="966" t="str">
        <f t="shared" si="2"/>
        <v>POPEYES</v>
      </c>
      <c r="M207" s="967">
        <f t="array" ref="M207">IFERROR(IF(ABS(H207-I207)=0,Tie,ABS(H207-I207)),"UPCOMING")</f>
        <v>45.52</v>
      </c>
      <c r="N207" s="968">
        <f t="shared" si="3"/>
        <v>288</v>
      </c>
      <c r="O207" s="969">
        <f t="shared" si="4"/>
        <v>134</v>
      </c>
      <c r="P207" s="967">
        <f t="shared" si="5"/>
        <v>327.78</v>
      </c>
      <c r="Q207" s="968">
        <f t="shared" si="6"/>
        <v>224</v>
      </c>
      <c r="R207" s="967">
        <f t="shared" si="7"/>
        <v>256</v>
      </c>
      <c r="S207" s="970">
        <f t="shared" si="8"/>
        <v>297</v>
      </c>
      <c r="U207" s="13" t="str">
        <f>IFERROR(__xludf.DUMMYFUNCTION("IF($T207=""Y"",
  IFERROR(
    RANK.EQ($R207, FILTER($R:$R, $T:$T=""Y""), 1)
    + COUNTIFS($R:$R, $R207, $M:$M, ""&lt;""&amp;$M207, $T:$T, ""Y""),
    ""UPCOMING""
  ),
  ""NO REF""
)
"),"NO REF")</f>
        <v>NO REF</v>
      </c>
    </row>
    <row r="208" ht="15.75" customHeight="1">
      <c r="C208" s="13">
        <v>207.0</v>
      </c>
      <c r="D208" s="1464">
        <v>2022.0</v>
      </c>
      <c r="E208" s="217" t="s">
        <v>521</v>
      </c>
      <c r="F208" s="960" t="s">
        <v>665</v>
      </c>
      <c r="G208" s="961" t="str">
        <f>'League History BACKEND 2022'!G84</f>
        <v>CHAMPS</v>
      </c>
      <c r="H208" s="962">
        <v>140.76</v>
      </c>
      <c r="I208" s="963">
        <v>205.17</v>
      </c>
      <c r="J208" s="964" t="str">
        <f>'League History BACKEND 2022'!J84</f>
        <v>METAMOOKDAWGS</v>
      </c>
      <c r="K208" s="965" t="str">
        <f t="shared" si="1"/>
        <v>METAMOOKDAWGS</v>
      </c>
      <c r="L208" s="966" t="str">
        <f t="shared" si="2"/>
        <v>CHAMPS</v>
      </c>
      <c r="M208" s="967">
        <f t="array" ref="M208">IFERROR(IF(ABS(H208-I208)=0,Tie,ABS(H208-I208)),"UPCOMING")</f>
        <v>64.41</v>
      </c>
      <c r="N208" s="968">
        <f t="shared" si="3"/>
        <v>351</v>
      </c>
      <c r="O208" s="969">
        <f t="shared" si="4"/>
        <v>71</v>
      </c>
      <c r="P208" s="967">
        <f t="shared" si="5"/>
        <v>345.93</v>
      </c>
      <c r="Q208" s="968">
        <f t="shared" si="6"/>
        <v>176</v>
      </c>
      <c r="R208" s="967">
        <f t="shared" si="7"/>
        <v>263.5</v>
      </c>
      <c r="S208" s="970">
        <f t="shared" si="8"/>
        <v>310</v>
      </c>
      <c r="U208" s="13" t="str">
        <f>IFERROR(__xludf.DUMMYFUNCTION("IF($T208=""Y"",
  IFERROR(
    RANK.EQ($R208, FILTER($R:$R, $T:$T=""Y""), 1)
    + COUNTIFS($R:$R, $R208, $M:$M, ""&lt;""&amp;$M208, $T:$T, ""Y""),
    ""UPCOMING""
  ),
  ""NO REF""
)
"),"NO REF")</f>
        <v>NO REF</v>
      </c>
    </row>
    <row r="209" ht="15.75" customHeight="1">
      <c r="C209" s="13">
        <v>208.0</v>
      </c>
      <c r="D209" s="1464">
        <v>2022.0</v>
      </c>
      <c r="E209" s="217" t="s">
        <v>521</v>
      </c>
      <c r="F209" s="960" t="s">
        <v>670</v>
      </c>
      <c r="G209" s="961" t="str">
        <f>'League History BACKEND 2022'!G86</f>
        <v>GREEN</v>
      </c>
      <c r="H209" s="962">
        <v>188.93</v>
      </c>
      <c r="I209" s="963">
        <v>156.88</v>
      </c>
      <c r="J209" s="964" t="str">
        <f>'League History BACKEND 2022'!J86</f>
        <v>SAVAGES</v>
      </c>
      <c r="K209" s="965" t="str">
        <f t="shared" si="1"/>
        <v>GREEN</v>
      </c>
      <c r="L209" s="966" t="str">
        <f t="shared" si="2"/>
        <v>SAVAGES</v>
      </c>
      <c r="M209" s="967">
        <f t="array" ref="M209">IFERROR(IF(ABS(H209-I209)=0,Tie,ABS(H209-I209)),"UPCOMING")</f>
        <v>32.05</v>
      </c>
      <c r="N209" s="968">
        <f t="shared" si="3"/>
        <v>205</v>
      </c>
      <c r="O209" s="969">
        <f t="shared" si="4"/>
        <v>217</v>
      </c>
      <c r="P209" s="967">
        <f t="shared" si="5"/>
        <v>345.81</v>
      </c>
      <c r="Q209" s="968">
        <f t="shared" si="6"/>
        <v>178</v>
      </c>
      <c r="R209" s="967">
        <f t="shared" si="7"/>
        <v>191.5</v>
      </c>
      <c r="S209" s="970">
        <f t="shared" si="8"/>
        <v>166</v>
      </c>
      <c r="U209" s="13" t="str">
        <f>IFERROR(__xludf.DUMMYFUNCTION("IF($T209=""Y"",
  IFERROR(
    RANK.EQ($R209, FILTER($R:$R, $T:$T=""Y""), 1)
    + COUNTIFS($R:$R, $R209, $M:$M, ""&lt;""&amp;$M209, $T:$T, ""Y""),
    ""UPCOMING""
  ),
  ""NO REF""
)
"),"NO REF")</f>
        <v>NO REF</v>
      </c>
    </row>
    <row r="210" ht="15.75" customHeight="1">
      <c r="C210" s="13">
        <v>209.0</v>
      </c>
      <c r="D210" s="1464">
        <v>2022.0</v>
      </c>
      <c r="E210" s="217" t="s">
        <v>521</v>
      </c>
      <c r="F210" s="960" t="s">
        <v>671</v>
      </c>
      <c r="G210" s="961" t="str">
        <f>'League History BACKEND 2022'!G87</f>
        <v>YARDIES</v>
      </c>
      <c r="H210" s="962">
        <v>178.13</v>
      </c>
      <c r="I210" s="963">
        <v>168.76</v>
      </c>
      <c r="J210" s="964" t="str">
        <f>'League History BACKEND 2022'!J87</f>
        <v>MUTTS</v>
      </c>
      <c r="K210" s="965" t="str">
        <f t="shared" si="1"/>
        <v>YARDIES</v>
      </c>
      <c r="L210" s="966" t="str">
        <f t="shared" si="2"/>
        <v>MUTTS</v>
      </c>
      <c r="M210" s="967">
        <f t="array" ref="M210">IFERROR(IF(ABS(H210-I210)=0,Tie,ABS(H210-I210)),"UPCOMING")</f>
        <v>9.37</v>
      </c>
      <c r="N210" s="968">
        <f t="shared" si="3"/>
        <v>72</v>
      </c>
      <c r="O210" s="969">
        <f t="shared" si="4"/>
        <v>350</v>
      </c>
      <c r="P210" s="967">
        <f t="shared" si="5"/>
        <v>346.89</v>
      </c>
      <c r="Q210" s="968">
        <f t="shared" si="6"/>
        <v>172</v>
      </c>
      <c r="R210" s="967">
        <f t="shared" si="7"/>
        <v>122</v>
      </c>
      <c r="S210" s="970">
        <f t="shared" si="8"/>
        <v>63</v>
      </c>
      <c r="T210" s="18" t="s">
        <v>1160</v>
      </c>
      <c r="U210" s="13">
        <f>IFERROR(__xludf.DUMMYFUNCTION("IF($T210=""Y"",
  IFERROR(
    RANK.EQ($R210, FILTER($R:$R, $T:$T=""Y""), 1)
    + COUNTIFS($R:$R, $R210, $M:$M, ""&lt;""&amp;$M210, $T:$T, ""Y""),
    ""UPCOMING""
  ),
  ""NO REF""
)
"),8.0)</f>
        <v>8</v>
      </c>
    </row>
    <row r="211" ht="15.75" customHeight="1">
      <c r="C211" s="13">
        <v>210.0</v>
      </c>
      <c r="D211" s="1464">
        <v>2022.0</v>
      </c>
      <c r="E211" s="217" t="s">
        <v>522</v>
      </c>
      <c r="F211" s="960" t="s">
        <v>663</v>
      </c>
      <c r="G211" s="961" t="str">
        <f>'League History BACKEND 2022'!G90</f>
        <v>DECOUPES</v>
      </c>
      <c r="H211" s="962">
        <v>170.12</v>
      </c>
      <c r="I211" s="963">
        <v>167.81</v>
      </c>
      <c r="J211" s="964" t="str">
        <f>'League History BACKEND 2022'!J90</f>
        <v>CHAMPS</v>
      </c>
      <c r="K211" s="965" t="str">
        <f t="shared" si="1"/>
        <v>DECOUPES</v>
      </c>
      <c r="L211" s="966" t="str">
        <f t="shared" si="2"/>
        <v>CHAMPS</v>
      </c>
      <c r="M211" s="967">
        <f t="array" ref="M211">IFERROR(IF(ABS(H211-I211)=0,Tie,ABS(H211-I211)),"UPCOMING")</f>
        <v>2.31</v>
      </c>
      <c r="N211" s="968">
        <f t="shared" si="3"/>
        <v>24</v>
      </c>
      <c r="O211" s="969">
        <f t="shared" si="4"/>
        <v>398</v>
      </c>
      <c r="P211" s="967">
        <f t="shared" si="5"/>
        <v>337.93</v>
      </c>
      <c r="Q211" s="968">
        <f t="shared" si="6"/>
        <v>197</v>
      </c>
      <c r="R211" s="967">
        <f t="shared" si="7"/>
        <v>110.5</v>
      </c>
      <c r="S211" s="970">
        <f t="shared" si="8"/>
        <v>45</v>
      </c>
      <c r="U211" s="13" t="str">
        <f>IFERROR(__xludf.DUMMYFUNCTION("IF($T211=""Y"",
  IFERROR(
    RANK.EQ($R211, FILTER($R:$R, $T:$T=""Y""), 1)
    + COUNTIFS($R:$R, $R211, $M:$M, ""&lt;""&amp;$M211, $T:$T, ""Y""),
    ""UPCOMING""
  ),
  ""NO REF""
)
"),"NO REF")</f>
        <v>NO REF</v>
      </c>
    </row>
    <row r="212" ht="15.75" customHeight="1">
      <c r="C212" s="13">
        <v>211.0</v>
      </c>
      <c r="D212" s="1464">
        <v>2022.0</v>
      </c>
      <c r="E212" s="217" t="s">
        <v>522</v>
      </c>
      <c r="F212" s="960" t="s">
        <v>665</v>
      </c>
      <c r="G212" s="961" t="str">
        <f>'League History BACKEND 2022'!G92</f>
        <v>POPEYES</v>
      </c>
      <c r="H212" s="962">
        <v>205.02</v>
      </c>
      <c r="I212" s="963">
        <v>190.33</v>
      </c>
      <c r="J212" s="964" t="str">
        <f>'League History BACKEND 2022'!J92</f>
        <v>METAMOOKDAWGS</v>
      </c>
      <c r="K212" s="965" t="str">
        <f t="shared" si="1"/>
        <v>POPEYES</v>
      </c>
      <c r="L212" s="966" t="str">
        <f t="shared" si="2"/>
        <v>METAMOOKDAWGS</v>
      </c>
      <c r="M212" s="967">
        <f t="array" ref="M212">IFERROR(IF(ABS(H212-I212)=0,Tie,ABS(H212-I212)),"UPCOMING")</f>
        <v>14.69</v>
      </c>
      <c r="N212" s="968">
        <f t="shared" si="3"/>
        <v>112</v>
      </c>
      <c r="O212" s="969">
        <f t="shared" si="4"/>
        <v>310</v>
      </c>
      <c r="P212" s="967">
        <f t="shared" si="5"/>
        <v>395.35</v>
      </c>
      <c r="Q212" s="968">
        <f t="shared" si="6"/>
        <v>60</v>
      </c>
      <c r="R212" s="967">
        <f t="shared" si="7"/>
        <v>86</v>
      </c>
      <c r="S212" s="970">
        <f t="shared" si="8"/>
        <v>26</v>
      </c>
      <c r="U212" s="13" t="str">
        <f>IFERROR(__xludf.DUMMYFUNCTION("IF($T212=""Y"",
  IFERROR(
    RANK.EQ($R212, FILTER($R:$R, $T:$T=""Y""), 1)
    + COUNTIFS($R:$R, $R212, $M:$M, ""&lt;""&amp;$M212, $T:$T, ""Y""),
    ""UPCOMING""
  ),
  ""NO REF""
)
"),"NO REF")</f>
        <v>NO REF</v>
      </c>
    </row>
    <row r="213" ht="15.75" customHeight="1">
      <c r="C213" s="13">
        <v>212.0</v>
      </c>
      <c r="D213" s="1464">
        <v>2022.0</v>
      </c>
      <c r="E213" s="217" t="s">
        <v>522</v>
      </c>
      <c r="F213" s="960" t="s">
        <v>670</v>
      </c>
      <c r="G213" s="961" t="str">
        <f>'League History BACKEND 2022'!G93</f>
        <v>GREEN</v>
      </c>
      <c r="H213" s="962">
        <v>147.58</v>
      </c>
      <c r="I213" s="963">
        <v>227.53</v>
      </c>
      <c r="J213" s="964" t="str">
        <f>'League History BACKEND 2022'!J93</f>
        <v>YARDIES</v>
      </c>
      <c r="K213" s="965" t="str">
        <f t="shared" si="1"/>
        <v>YARDIES</v>
      </c>
      <c r="L213" s="966" t="str">
        <f t="shared" si="2"/>
        <v>GREEN</v>
      </c>
      <c r="M213" s="967">
        <f t="array" ref="M213">IFERROR(IF(ABS(H213-I213)=0,Tie,ABS(H213-I213)),"UPCOMING")</f>
        <v>79.95</v>
      </c>
      <c r="N213" s="968">
        <f t="shared" si="3"/>
        <v>389</v>
      </c>
      <c r="O213" s="969">
        <f t="shared" si="4"/>
        <v>33</v>
      </c>
      <c r="P213" s="967">
        <f t="shared" si="5"/>
        <v>375.11</v>
      </c>
      <c r="Q213" s="968">
        <f t="shared" si="6"/>
        <v>105</v>
      </c>
      <c r="R213" s="967">
        <f t="shared" si="7"/>
        <v>247</v>
      </c>
      <c r="S213" s="970">
        <f t="shared" si="8"/>
        <v>285</v>
      </c>
      <c r="T213" s="18" t="s">
        <v>1160</v>
      </c>
      <c r="U213" s="13">
        <f>IFERROR(__xludf.DUMMYFUNCTION("IF($T213=""Y"",
  IFERROR(
    RANK.EQ($R213, FILTER($R:$R, $T:$T=""Y""), 1)
    + COUNTIFS($R:$R, $R213, $M:$M, ""&lt;""&amp;$M213, $T:$T, ""Y""),
    ""UPCOMING""
  ),
  ""NO REF""
)
"),48.0)</f>
        <v>48</v>
      </c>
    </row>
    <row r="214" ht="15.75" customHeight="1">
      <c r="C214" s="13">
        <v>213.0</v>
      </c>
      <c r="D214" s="1464">
        <v>2022.0</v>
      </c>
      <c r="E214" s="217" t="s">
        <v>522</v>
      </c>
      <c r="F214" s="960" t="s">
        <v>671</v>
      </c>
      <c r="G214" s="961" t="str">
        <f>'League History BACKEND 2022'!G94</f>
        <v>SAVAGES</v>
      </c>
      <c r="H214" s="962">
        <v>149.3</v>
      </c>
      <c r="I214" s="963">
        <v>201.55</v>
      </c>
      <c r="J214" s="964" t="str">
        <f>'League History BACKEND 2022'!J94</f>
        <v>MUTTS</v>
      </c>
      <c r="K214" s="965" t="str">
        <f t="shared" si="1"/>
        <v>MUTTS</v>
      </c>
      <c r="L214" s="966" t="str">
        <f t="shared" si="2"/>
        <v>SAVAGES</v>
      </c>
      <c r="M214" s="967">
        <f t="array" ref="M214">IFERROR(IF(ABS(H214-I214)=0,Tie,ABS(H214-I214)),"UPCOMING")</f>
        <v>52.25</v>
      </c>
      <c r="N214" s="968">
        <f t="shared" si="3"/>
        <v>315</v>
      </c>
      <c r="O214" s="969">
        <f t="shared" si="4"/>
        <v>107</v>
      </c>
      <c r="P214" s="967">
        <f t="shared" si="5"/>
        <v>350.85</v>
      </c>
      <c r="Q214" s="968">
        <f t="shared" si="6"/>
        <v>161</v>
      </c>
      <c r="R214" s="967">
        <f t="shared" si="7"/>
        <v>238</v>
      </c>
      <c r="S214" s="970">
        <f t="shared" si="8"/>
        <v>264</v>
      </c>
      <c r="U214" s="13" t="str">
        <f>IFERROR(__xludf.DUMMYFUNCTION("IF($T214=""Y"",
  IFERROR(
    RANK.EQ($R214, FILTER($R:$R, $T:$T=""Y""), 1)
    + COUNTIFS($R:$R, $R214, $M:$M, ""&lt;""&amp;$M214, $T:$T, ""Y""),
    ""UPCOMING""
  ),
  ""NO REF""
)
"),"NO REF")</f>
        <v>NO REF</v>
      </c>
    </row>
    <row r="215" ht="15.75" customHeight="1">
      <c r="C215" s="13">
        <v>214.0</v>
      </c>
      <c r="D215" s="1464">
        <v>2022.0</v>
      </c>
      <c r="E215" s="217" t="s">
        <v>523</v>
      </c>
      <c r="F215" s="960" t="s">
        <v>663</v>
      </c>
      <c r="G215" s="961" t="str">
        <f>'League History BACKEND 2022'!G97</f>
        <v>DECOUPES</v>
      </c>
      <c r="H215" s="962">
        <v>192.21</v>
      </c>
      <c r="I215" s="963">
        <v>215.62</v>
      </c>
      <c r="J215" s="964" t="str">
        <f>'League History BACKEND 2022'!J97</f>
        <v>SAVAGES</v>
      </c>
      <c r="K215" s="965" t="str">
        <f t="shared" si="1"/>
        <v>SAVAGES</v>
      </c>
      <c r="L215" s="966" t="str">
        <f t="shared" si="2"/>
        <v>DECOUPES</v>
      </c>
      <c r="M215" s="967">
        <f t="array" ref="M215">IFERROR(IF(ABS(H215-I215)=0,Tie,ABS(H215-I215)),"UPCOMING")</f>
        <v>23.41</v>
      </c>
      <c r="N215" s="968">
        <f t="shared" si="3"/>
        <v>165</v>
      </c>
      <c r="O215" s="969">
        <f t="shared" si="4"/>
        <v>257</v>
      </c>
      <c r="P215" s="967">
        <f t="shared" si="5"/>
        <v>407.83</v>
      </c>
      <c r="Q215" s="968">
        <f t="shared" si="6"/>
        <v>44</v>
      </c>
      <c r="R215" s="967">
        <f t="shared" si="7"/>
        <v>104.5</v>
      </c>
      <c r="S215" s="970">
        <f t="shared" si="8"/>
        <v>41</v>
      </c>
      <c r="T215" s="18" t="s">
        <v>1160</v>
      </c>
      <c r="U215" s="13">
        <f>IFERROR(__xludf.DUMMYFUNCTION("IF($T215=""Y"",
  IFERROR(
    RANK.EQ($R215, FILTER($R:$R, $T:$T=""Y""), 1)
    + COUNTIFS($R:$R, $R215, $M:$M, ""&lt;""&amp;$M215, $T:$T, ""Y""),
    ""UPCOMING""
  ),
  ""NO REF""
)
"),4.0)</f>
        <v>4</v>
      </c>
    </row>
    <row r="216" ht="15.75" customHeight="1">
      <c r="C216" s="13">
        <v>215.0</v>
      </c>
      <c r="D216" s="1464">
        <v>2022.0</v>
      </c>
      <c r="E216" s="217" t="s">
        <v>523</v>
      </c>
      <c r="F216" s="960" t="s">
        <v>665</v>
      </c>
      <c r="G216" s="961" t="str">
        <f>'League History BACKEND 2022'!G98</f>
        <v>CHAMPS</v>
      </c>
      <c r="H216" s="962">
        <v>169.84</v>
      </c>
      <c r="I216" s="963">
        <v>213.11</v>
      </c>
      <c r="J216" s="964" t="str">
        <f>'League History BACKEND 2022'!J98</f>
        <v>MUTTS</v>
      </c>
      <c r="K216" s="965" t="str">
        <f t="shared" si="1"/>
        <v>MUTTS</v>
      </c>
      <c r="L216" s="966" t="str">
        <f t="shared" si="2"/>
        <v>CHAMPS</v>
      </c>
      <c r="M216" s="967">
        <f t="array" ref="M216">IFERROR(IF(ABS(H216-I216)=0,Tie,ABS(H216-I216)),"UPCOMING")</f>
        <v>43.27</v>
      </c>
      <c r="N216" s="968">
        <f t="shared" si="3"/>
        <v>275</v>
      </c>
      <c r="O216" s="969">
        <f t="shared" si="4"/>
        <v>147</v>
      </c>
      <c r="P216" s="967">
        <f t="shared" si="5"/>
        <v>382.95</v>
      </c>
      <c r="Q216" s="968">
        <f t="shared" si="6"/>
        <v>83</v>
      </c>
      <c r="R216" s="967">
        <f t="shared" si="7"/>
        <v>179</v>
      </c>
      <c r="S216" s="970">
        <f t="shared" si="8"/>
        <v>140</v>
      </c>
      <c r="U216" s="13" t="str">
        <f>IFERROR(__xludf.DUMMYFUNCTION("IF($T216=""Y"",
  IFERROR(
    RANK.EQ($R216, FILTER($R:$R, $T:$T=""Y""), 1)
    + COUNTIFS($R:$R, $R216, $M:$M, ""&lt;""&amp;$M216, $T:$T, ""Y""),
    ""UPCOMING""
  ),
  ""NO REF""
)
"),"NO REF")</f>
        <v>NO REF</v>
      </c>
    </row>
    <row r="217" ht="15.75" customHeight="1">
      <c r="C217" s="13">
        <v>216.0</v>
      </c>
      <c r="D217" s="1464">
        <v>2022.0</v>
      </c>
      <c r="E217" s="217" t="s">
        <v>523</v>
      </c>
      <c r="F217" s="960" t="s">
        <v>670</v>
      </c>
      <c r="G217" s="961" t="str">
        <f>'League History BACKEND 2022'!G100</f>
        <v>POPEYES</v>
      </c>
      <c r="H217" s="962">
        <v>180.07</v>
      </c>
      <c r="I217" s="963">
        <v>193.87</v>
      </c>
      <c r="J217" s="964" t="str">
        <f>'League History BACKEND 2022'!J100</f>
        <v>GREEN</v>
      </c>
      <c r="K217" s="965" t="str">
        <f t="shared" si="1"/>
        <v>GREEN</v>
      </c>
      <c r="L217" s="966" t="str">
        <f t="shared" si="2"/>
        <v>POPEYES</v>
      </c>
      <c r="M217" s="967">
        <f t="array" ref="M217">IFERROR(IF(ABS(H217-I217)=0,Tie,ABS(H217-I217)),"UPCOMING")</f>
        <v>13.8</v>
      </c>
      <c r="N217" s="968">
        <f t="shared" si="3"/>
        <v>104</v>
      </c>
      <c r="O217" s="969">
        <f t="shared" si="4"/>
        <v>318</v>
      </c>
      <c r="P217" s="967">
        <f t="shared" si="5"/>
        <v>373.94</v>
      </c>
      <c r="Q217" s="968">
        <f t="shared" si="6"/>
        <v>109</v>
      </c>
      <c r="R217" s="967">
        <f t="shared" si="7"/>
        <v>106.5</v>
      </c>
      <c r="S217" s="970">
        <f t="shared" si="8"/>
        <v>43</v>
      </c>
      <c r="U217" s="13" t="str">
        <f>IFERROR(__xludf.DUMMYFUNCTION("IF($T217=""Y"",
  IFERROR(
    RANK.EQ($R217, FILTER($R:$R, $T:$T=""Y""), 1)
    + COUNTIFS($R:$R, $R217, $M:$M, ""&lt;""&amp;$M217, $T:$T, ""Y""),
    ""UPCOMING""
  ),
  ""NO REF""
)
"),"NO REF")</f>
        <v>NO REF</v>
      </c>
    </row>
    <row r="218" ht="15.75" customHeight="1">
      <c r="C218" s="13">
        <v>217.0</v>
      </c>
      <c r="D218" s="1464">
        <v>2022.0</v>
      </c>
      <c r="E218" s="217" t="s">
        <v>523</v>
      </c>
      <c r="F218" s="960" t="s">
        <v>671</v>
      </c>
      <c r="G218" s="961" t="str">
        <f>'League History BACKEND 2022'!G101</f>
        <v>METAMOOKDAWGS</v>
      </c>
      <c r="H218" s="962">
        <v>171.11</v>
      </c>
      <c r="I218" s="963">
        <v>182.89</v>
      </c>
      <c r="J218" s="964" t="str">
        <f>'League History BACKEND 2022'!J101</f>
        <v>YARDIES</v>
      </c>
      <c r="K218" s="965" t="str">
        <f t="shared" si="1"/>
        <v>YARDIES</v>
      </c>
      <c r="L218" s="966" t="str">
        <f t="shared" si="2"/>
        <v>METAMOOKDAWGS</v>
      </c>
      <c r="M218" s="967">
        <f t="array" ref="M218">IFERROR(IF(ABS(H218-I218)=0,Tie,ABS(H218-I218)),"UPCOMING")</f>
        <v>11.78</v>
      </c>
      <c r="N218" s="968">
        <f t="shared" si="3"/>
        <v>91</v>
      </c>
      <c r="O218" s="969">
        <f t="shared" si="4"/>
        <v>331</v>
      </c>
      <c r="P218" s="967">
        <f t="shared" si="5"/>
        <v>354</v>
      </c>
      <c r="Q218" s="968">
        <f t="shared" si="6"/>
        <v>154</v>
      </c>
      <c r="R218" s="967">
        <f t="shared" si="7"/>
        <v>122.5</v>
      </c>
      <c r="S218" s="970">
        <f t="shared" si="8"/>
        <v>65</v>
      </c>
      <c r="U218" s="13" t="str">
        <f>IFERROR(__xludf.DUMMYFUNCTION("IF($T218=""Y"",
  IFERROR(
    RANK.EQ($R218, FILTER($R:$R, $T:$T=""Y""), 1)
    + COUNTIFS($R:$R, $R218, $M:$M, ""&lt;""&amp;$M218, $T:$T, ""Y""),
    ""UPCOMING""
  ),
  ""NO REF""
)
"),"NO REF")</f>
        <v>NO REF</v>
      </c>
    </row>
    <row r="219" ht="15.75" customHeight="1">
      <c r="C219" s="13">
        <v>218.0</v>
      </c>
      <c r="D219" s="1464">
        <v>2022.0</v>
      </c>
      <c r="E219" s="217" t="s">
        <v>524</v>
      </c>
      <c r="F219" s="960" t="s">
        <v>663</v>
      </c>
      <c r="G219" s="961" t="str">
        <f>'League History BACKEND 2022'!G104</f>
        <v>DECOUPES</v>
      </c>
      <c r="H219" s="962">
        <v>180.68</v>
      </c>
      <c r="I219" s="963">
        <v>228.85</v>
      </c>
      <c r="J219" s="964" t="str">
        <f>'League History BACKEND 2022'!J104</f>
        <v>GREEN</v>
      </c>
      <c r="K219" s="965" t="str">
        <f t="shared" si="1"/>
        <v>GREEN</v>
      </c>
      <c r="L219" s="966" t="str">
        <f t="shared" si="2"/>
        <v>DECOUPES</v>
      </c>
      <c r="M219" s="967">
        <f t="array" ref="M219">IFERROR(IF(ABS(H219-I219)=0,Tie,ABS(H219-I219)),"UPCOMING")</f>
        <v>48.17</v>
      </c>
      <c r="N219" s="968">
        <f t="shared" si="3"/>
        <v>302</v>
      </c>
      <c r="O219" s="969">
        <f t="shared" si="4"/>
        <v>120</v>
      </c>
      <c r="P219" s="967">
        <f t="shared" si="5"/>
        <v>409.53</v>
      </c>
      <c r="Q219" s="968">
        <f t="shared" si="6"/>
        <v>40</v>
      </c>
      <c r="R219" s="967">
        <f t="shared" si="7"/>
        <v>171</v>
      </c>
      <c r="S219" s="970">
        <f t="shared" si="8"/>
        <v>126</v>
      </c>
      <c r="U219" s="13" t="str">
        <f>IFERROR(__xludf.DUMMYFUNCTION("IF($T219=""Y"",
  IFERROR(
    RANK.EQ($R219, FILTER($R:$R, $T:$T=""Y""), 1)
    + COUNTIFS($R:$R, $R219, $M:$M, ""&lt;""&amp;$M219, $T:$T, ""Y""),
    ""UPCOMING""
  ),
  ""NO REF""
)
"),"NO REF")</f>
        <v>NO REF</v>
      </c>
    </row>
    <row r="220" ht="15.75" customHeight="1">
      <c r="C220" s="13">
        <v>219.0</v>
      </c>
      <c r="D220" s="1464">
        <v>2022.0</v>
      </c>
      <c r="E220" s="217" t="s">
        <v>524</v>
      </c>
      <c r="F220" s="960" t="s">
        <v>665</v>
      </c>
      <c r="G220" s="961" t="str">
        <f>'League History BACKEND 2022'!G105</f>
        <v>CHAMPS</v>
      </c>
      <c r="H220" s="962">
        <v>187.29</v>
      </c>
      <c r="I220" s="963">
        <v>203.79</v>
      </c>
      <c r="J220" s="964" t="str">
        <f>'League History BACKEND 2022'!J105</f>
        <v>YARDIES</v>
      </c>
      <c r="K220" s="965" t="str">
        <f t="shared" si="1"/>
        <v>YARDIES</v>
      </c>
      <c r="L220" s="966" t="str">
        <f t="shared" si="2"/>
        <v>CHAMPS</v>
      </c>
      <c r="M220" s="967">
        <f t="array" ref="M220">IFERROR(IF(ABS(H220-I220)=0,Tie,ABS(H220-I220)),"UPCOMING")</f>
        <v>16.5</v>
      </c>
      <c r="N220" s="968">
        <f t="shared" si="3"/>
        <v>122</v>
      </c>
      <c r="O220" s="969">
        <f t="shared" si="4"/>
        <v>300</v>
      </c>
      <c r="P220" s="967">
        <f t="shared" si="5"/>
        <v>391.08</v>
      </c>
      <c r="Q220" s="968">
        <f t="shared" si="6"/>
        <v>68</v>
      </c>
      <c r="R220" s="967">
        <f t="shared" si="7"/>
        <v>95</v>
      </c>
      <c r="S220" s="970">
        <f t="shared" si="8"/>
        <v>33</v>
      </c>
      <c r="U220" s="13" t="str">
        <f>IFERROR(__xludf.DUMMYFUNCTION("IF($T220=""Y"",
  IFERROR(
    RANK.EQ($R220, FILTER($R:$R, $T:$T=""Y""), 1)
    + COUNTIFS($R:$R, $R220, $M:$M, ""&lt;""&amp;$M220, $T:$T, ""Y""),
    ""UPCOMING""
  ),
  ""NO REF""
)
"),"NO REF")</f>
        <v>NO REF</v>
      </c>
    </row>
    <row r="221" ht="15.75" customHeight="1">
      <c r="C221" s="13">
        <v>220.0</v>
      </c>
      <c r="D221" s="1464">
        <v>2022.0</v>
      </c>
      <c r="E221" s="217" t="s">
        <v>524</v>
      </c>
      <c r="F221" s="960" t="s">
        <v>670</v>
      </c>
      <c r="G221" s="961" t="str">
        <f>'League History BACKEND 2022'!G107</f>
        <v>POPEYES</v>
      </c>
      <c r="H221" s="962">
        <v>194.52</v>
      </c>
      <c r="I221" s="963">
        <v>166.9</v>
      </c>
      <c r="J221" s="964" t="str">
        <f>'League History BACKEND 2022'!J107</f>
        <v>SAVAGES</v>
      </c>
      <c r="K221" s="965" t="str">
        <f t="shared" si="1"/>
        <v>POPEYES</v>
      </c>
      <c r="L221" s="966" t="str">
        <f t="shared" si="2"/>
        <v>SAVAGES</v>
      </c>
      <c r="M221" s="967">
        <f t="array" ref="M221">IFERROR(IF(ABS(H221-I221)=0,Tie,ABS(H221-I221)),"UPCOMING")</f>
        <v>27.62</v>
      </c>
      <c r="N221" s="968">
        <f t="shared" si="3"/>
        <v>186</v>
      </c>
      <c r="O221" s="969">
        <f t="shared" si="4"/>
        <v>236</v>
      </c>
      <c r="P221" s="967">
        <f t="shared" si="5"/>
        <v>361.42</v>
      </c>
      <c r="Q221" s="968">
        <f t="shared" si="6"/>
        <v>136</v>
      </c>
      <c r="R221" s="967">
        <f t="shared" si="7"/>
        <v>161</v>
      </c>
      <c r="S221" s="970">
        <f t="shared" si="8"/>
        <v>111</v>
      </c>
      <c r="T221" s="18" t="s">
        <v>1160</v>
      </c>
      <c r="U221" s="13">
        <f>IFERROR(__xludf.DUMMYFUNCTION("IF($T221=""Y"",
  IFERROR(
    RANK.EQ($R221, FILTER($R:$R, $T:$T=""Y""), 1)
    + COUNTIFS($R:$R, $R221, $M:$M, ""&lt;""&amp;$M221, $T:$T, ""Y""),
    ""UPCOMING""
  ),
  ""NO REF""
)
"),19.0)</f>
        <v>19</v>
      </c>
    </row>
    <row r="222" ht="15.75" customHeight="1">
      <c r="C222" s="13">
        <v>221.0</v>
      </c>
      <c r="D222" s="1464">
        <v>2022.0</v>
      </c>
      <c r="E222" s="217" t="s">
        <v>524</v>
      </c>
      <c r="F222" s="960" t="s">
        <v>671</v>
      </c>
      <c r="G222" s="961" t="str">
        <f>'League History BACKEND 2022'!G108</f>
        <v>METAMOOKDAWGS</v>
      </c>
      <c r="H222" s="962">
        <v>211.52</v>
      </c>
      <c r="I222" s="963">
        <v>129.48</v>
      </c>
      <c r="J222" s="964" t="str">
        <f>'League History BACKEND 2022'!J108</f>
        <v>MUTTS</v>
      </c>
      <c r="K222" s="965" t="str">
        <f t="shared" si="1"/>
        <v>METAMOOKDAWGS</v>
      </c>
      <c r="L222" s="966" t="str">
        <f t="shared" si="2"/>
        <v>MUTTS</v>
      </c>
      <c r="M222" s="967">
        <f t="array" ref="M222">IFERROR(IF(ABS(H222-I222)=0,Tie,ABS(H222-I222)),"UPCOMING")</f>
        <v>82.04</v>
      </c>
      <c r="N222" s="968">
        <f t="shared" si="3"/>
        <v>393</v>
      </c>
      <c r="O222" s="969">
        <f t="shared" si="4"/>
        <v>29</v>
      </c>
      <c r="P222" s="967">
        <f t="shared" si="5"/>
        <v>341</v>
      </c>
      <c r="Q222" s="968">
        <f t="shared" si="6"/>
        <v>192</v>
      </c>
      <c r="R222" s="967">
        <f t="shared" si="7"/>
        <v>292.5</v>
      </c>
      <c r="S222" s="970">
        <f t="shared" si="8"/>
        <v>350</v>
      </c>
      <c r="U222" s="13" t="str">
        <f>IFERROR(__xludf.DUMMYFUNCTION("IF($T222=""Y"",
  IFERROR(
    RANK.EQ($R222, FILTER($R:$R, $T:$T=""Y""), 1)
    + COUNTIFS($R:$R, $R222, $M:$M, ""&lt;""&amp;$M222, $T:$T, ""Y""),
    ""UPCOMING""
  ),
  ""NO REF""
)
"),"NO REF")</f>
        <v>NO REF</v>
      </c>
    </row>
    <row r="223" ht="15.75" customHeight="1">
      <c r="C223" s="13">
        <v>222.0</v>
      </c>
      <c r="D223" s="1464">
        <v>2022.0</v>
      </c>
      <c r="E223" s="217" t="s">
        <v>525</v>
      </c>
      <c r="F223" s="960" t="s">
        <v>663</v>
      </c>
      <c r="G223" s="961" t="str">
        <f>'League History BACKEND 2022'!G111</f>
        <v>DECOUPES</v>
      </c>
      <c r="H223" s="962">
        <v>147.35</v>
      </c>
      <c r="I223" s="963">
        <v>127.86</v>
      </c>
      <c r="J223" s="964" t="str">
        <f>'League History BACKEND 2022'!J111</f>
        <v>POPEYES</v>
      </c>
      <c r="K223" s="965" t="str">
        <f t="shared" si="1"/>
        <v>DECOUPES</v>
      </c>
      <c r="L223" s="966" t="str">
        <f t="shared" si="2"/>
        <v>POPEYES</v>
      </c>
      <c r="M223" s="967">
        <f t="array" ref="M223">IFERROR(IF(ABS(H223-I223)=0,Tie,ABS(H223-I223)),"UPCOMING")</f>
        <v>19.49</v>
      </c>
      <c r="N223" s="968">
        <f t="shared" si="3"/>
        <v>141</v>
      </c>
      <c r="O223" s="969">
        <f t="shared" si="4"/>
        <v>281</v>
      </c>
      <c r="P223" s="967">
        <f t="shared" si="5"/>
        <v>275.21</v>
      </c>
      <c r="Q223" s="968">
        <f t="shared" si="6"/>
        <v>364</v>
      </c>
      <c r="R223" s="967">
        <f t="shared" si="7"/>
        <v>252.5</v>
      </c>
      <c r="S223" s="970">
        <f t="shared" si="8"/>
        <v>294</v>
      </c>
      <c r="U223" s="13" t="str">
        <f>IFERROR(__xludf.DUMMYFUNCTION("IF($T223=""Y"",
  IFERROR(
    RANK.EQ($R223, FILTER($R:$R, $T:$T=""Y""), 1)
    + COUNTIFS($R:$R, $R223, $M:$M, ""&lt;""&amp;$M223, $T:$T, ""Y""),
    ""UPCOMING""
  ),
  ""NO REF""
)
"),"NO REF")</f>
        <v>NO REF</v>
      </c>
    </row>
    <row r="224" ht="15.75" customHeight="1">
      <c r="C224" s="13">
        <v>223.0</v>
      </c>
      <c r="D224" s="1464">
        <v>2022.0</v>
      </c>
      <c r="E224" s="217" t="s">
        <v>525</v>
      </c>
      <c r="F224" s="960" t="s">
        <v>665</v>
      </c>
      <c r="G224" s="961" t="str">
        <f>'League History BACKEND 2022'!G112</f>
        <v>CHAMPS</v>
      </c>
      <c r="H224" s="962">
        <v>181.68</v>
      </c>
      <c r="I224" s="963">
        <v>146.76</v>
      </c>
      <c r="J224" s="964" t="str">
        <f>'League History BACKEND 2022'!J112</f>
        <v>METAMOOKDAWGS</v>
      </c>
      <c r="K224" s="965" t="str">
        <f t="shared" si="1"/>
        <v>CHAMPS</v>
      </c>
      <c r="L224" s="966" t="str">
        <f t="shared" si="2"/>
        <v>METAMOOKDAWGS</v>
      </c>
      <c r="M224" s="967">
        <f t="array" ref="M224">IFERROR(IF(ABS(H224-I224)=0,Tie,ABS(H224-I224)),"UPCOMING")</f>
        <v>34.92</v>
      </c>
      <c r="N224" s="968">
        <f t="shared" si="3"/>
        <v>223</v>
      </c>
      <c r="O224" s="969">
        <f t="shared" si="4"/>
        <v>199</v>
      </c>
      <c r="P224" s="967">
        <f t="shared" si="5"/>
        <v>328.44</v>
      </c>
      <c r="Q224" s="968">
        <f t="shared" si="6"/>
        <v>222</v>
      </c>
      <c r="R224" s="967">
        <f t="shared" si="7"/>
        <v>222.5</v>
      </c>
      <c r="S224" s="970">
        <f t="shared" si="8"/>
        <v>235</v>
      </c>
      <c r="T224" s="18" t="s">
        <v>1160</v>
      </c>
      <c r="U224" s="13">
        <f>IFERROR(__xludf.DUMMYFUNCTION("IF($T224=""Y"",
  IFERROR(
    RANK.EQ($R224, FILTER($R:$R, $T:$T=""Y""), 1)
    + COUNTIFS($R:$R, $R224, $M:$M, ""&lt;""&amp;$M224, $T:$T, ""Y""),
    ""UPCOMING""
  ),
  ""NO REF""
)
"),39.0)</f>
        <v>39</v>
      </c>
    </row>
    <row r="225" ht="15.75" customHeight="1">
      <c r="C225" s="13">
        <v>224.0</v>
      </c>
      <c r="D225" s="1464">
        <v>2022.0</v>
      </c>
      <c r="E225" s="217" t="s">
        <v>525</v>
      </c>
      <c r="F225" s="960" t="s">
        <v>670</v>
      </c>
      <c r="G225" s="961" t="str">
        <f>'League History BACKEND 2022'!G114</f>
        <v>GREEN</v>
      </c>
      <c r="H225" s="962">
        <v>199.57</v>
      </c>
      <c r="I225" s="963">
        <v>126.19</v>
      </c>
      <c r="J225" s="964" t="str">
        <f>'League History BACKEND 2022'!J114</f>
        <v>SAVAGES</v>
      </c>
      <c r="K225" s="965" t="str">
        <f t="shared" si="1"/>
        <v>GREEN</v>
      </c>
      <c r="L225" s="966" t="str">
        <f t="shared" si="2"/>
        <v>SAVAGES</v>
      </c>
      <c r="M225" s="967">
        <f t="array" ref="M225">IFERROR(IF(ABS(H225-I225)=0,Tie,ABS(H225-I225)),"UPCOMING")</f>
        <v>73.38</v>
      </c>
      <c r="N225" s="968">
        <f t="shared" si="3"/>
        <v>373</v>
      </c>
      <c r="O225" s="969">
        <f t="shared" si="4"/>
        <v>49</v>
      </c>
      <c r="P225" s="967">
        <f t="shared" si="5"/>
        <v>325.76</v>
      </c>
      <c r="Q225" s="968">
        <f t="shared" si="6"/>
        <v>230</v>
      </c>
      <c r="R225" s="967">
        <f t="shared" si="7"/>
        <v>301.5</v>
      </c>
      <c r="S225" s="970">
        <f t="shared" si="8"/>
        <v>363</v>
      </c>
      <c r="U225" s="13" t="str">
        <f>IFERROR(__xludf.DUMMYFUNCTION("IF($T225=""Y"",
  IFERROR(
    RANK.EQ($R225, FILTER($R:$R, $T:$T=""Y""), 1)
    + COUNTIFS($R:$R, $R225, $M:$M, ""&lt;""&amp;$M225, $T:$T, ""Y""),
    ""UPCOMING""
  ),
  ""NO REF""
)
"),"NO REF")</f>
        <v>NO REF</v>
      </c>
    </row>
    <row r="226" ht="15.75" customHeight="1">
      <c r="C226" s="13">
        <v>225.0</v>
      </c>
      <c r="D226" s="1516">
        <v>2022.0</v>
      </c>
      <c r="E226" s="1005" t="s">
        <v>525</v>
      </c>
      <c r="F226" s="1269" t="s">
        <v>671</v>
      </c>
      <c r="G226" s="1517" t="str">
        <f>'League History BACKEND 2022'!G115</f>
        <v>YARDIES</v>
      </c>
      <c r="H226" s="1519">
        <v>151.68</v>
      </c>
      <c r="I226" s="1520">
        <v>279.74</v>
      </c>
      <c r="J226" s="1521" t="str">
        <f>'League History BACKEND 2022'!J115</f>
        <v>MUTTS</v>
      </c>
      <c r="K226" s="1278" t="str">
        <f t="shared" si="1"/>
        <v>MUTTS</v>
      </c>
      <c r="L226" s="1280" t="str">
        <f t="shared" si="2"/>
        <v>YARDIES</v>
      </c>
      <c r="M226" s="1283">
        <f t="array" ref="M226">IFERROR(IF(ABS(H226-I226)=0,Tie,ABS(H226-I226)),"UPCOMING")</f>
        <v>128.06</v>
      </c>
      <c r="N226" s="1522">
        <f t="shared" si="3"/>
        <v>417</v>
      </c>
      <c r="O226" s="1523">
        <f t="shared" si="4"/>
        <v>5</v>
      </c>
      <c r="P226" s="1283">
        <f t="shared" si="5"/>
        <v>431.42</v>
      </c>
      <c r="Q226" s="1522">
        <f t="shared" si="6"/>
        <v>21</v>
      </c>
      <c r="R226" s="1283">
        <f t="shared" si="7"/>
        <v>219</v>
      </c>
      <c r="S226" s="970">
        <f t="shared" si="8"/>
        <v>229</v>
      </c>
      <c r="U226" s="13" t="str">
        <f>IFERROR(__xludf.DUMMYFUNCTION("IF($T226=""Y"",
  IFERROR(
    RANK.EQ($R226, FILTER($R:$R, $T:$T=""Y""), 1)
    + COUNTIFS($R:$R, $R226, $M:$M, ""&lt;""&amp;$M226, $T:$T, ""Y""),
    ""UPCOMING""
  ),
  ""NO REF""
)
"),"NO REF")</f>
        <v>NO REF</v>
      </c>
    </row>
    <row r="227" ht="15.75" customHeight="1">
      <c r="C227" s="13">
        <v>226.0</v>
      </c>
      <c r="D227" s="1525">
        <v>2023.0</v>
      </c>
      <c r="E227" s="217" t="s">
        <v>512</v>
      </c>
      <c r="F227" s="960" t="s">
        <v>663</v>
      </c>
      <c r="G227" s="961" t="str">
        <f>'League History BACKEND 2023'!G20</f>
        <v>GREEN</v>
      </c>
      <c r="H227" s="962">
        <v>224.74</v>
      </c>
      <c r="I227" s="963">
        <v>157.83</v>
      </c>
      <c r="J227" s="964" t="str">
        <f>'League History BACKEND 2023'!J20</f>
        <v>MUTTS</v>
      </c>
      <c r="K227" s="965" t="str">
        <f t="shared" si="1"/>
        <v>GREEN</v>
      </c>
      <c r="L227" s="966" t="str">
        <f t="shared" si="2"/>
        <v>MUTTS</v>
      </c>
      <c r="M227" s="967">
        <f t="array" ref="M227">IFERROR(IF(ABS(H227-I227)=0,Tie,ABS(H227-I227)),"UPCOMING")</f>
        <v>66.91</v>
      </c>
      <c r="N227" s="968">
        <f t="shared" si="3"/>
        <v>361</v>
      </c>
      <c r="O227" s="969">
        <f t="shared" si="4"/>
        <v>61</v>
      </c>
      <c r="P227" s="967">
        <f t="shared" si="5"/>
        <v>382.57</v>
      </c>
      <c r="Q227" s="968">
        <f t="shared" si="6"/>
        <v>85</v>
      </c>
      <c r="R227" s="967">
        <f t="shared" si="7"/>
        <v>223</v>
      </c>
      <c r="S227" s="968">
        <f t="shared" si="8"/>
        <v>236</v>
      </c>
      <c r="T227" s="18" t="s">
        <v>1160</v>
      </c>
      <c r="U227" s="13">
        <f>IFERROR(__xludf.DUMMYFUNCTION("IF($T227=""Y"",
  IFERROR(
    RANK.EQ($R227, FILTER($R:$R, $T:$T=""Y""), 1)
    + COUNTIFS($R:$R, $R227, $M:$M, ""&lt;""&amp;$M227, $T:$T, ""Y""),
    ""UPCOMING""
  ),
  ""NO REF""
)
"),40.0)</f>
        <v>40</v>
      </c>
    </row>
    <row r="228" ht="15.75" customHeight="1">
      <c r="C228" s="13">
        <v>227.0</v>
      </c>
      <c r="D228" s="1525">
        <v>2023.0</v>
      </c>
      <c r="E228" s="217" t="s">
        <v>512</v>
      </c>
      <c r="F228" s="960" t="s">
        <v>665</v>
      </c>
      <c r="G228" s="961" t="str">
        <f>'League History BACKEND 2023'!G21</f>
        <v>YARDIES</v>
      </c>
      <c r="H228" s="962">
        <v>198.1</v>
      </c>
      <c r="I228" s="963">
        <v>135.94</v>
      </c>
      <c r="J228" s="964" t="str">
        <f>'League History BACKEND 2023'!J21</f>
        <v>POPEYES</v>
      </c>
      <c r="K228" s="965" t="str">
        <f t="shared" si="1"/>
        <v>YARDIES</v>
      </c>
      <c r="L228" s="966" t="str">
        <f t="shared" si="2"/>
        <v>POPEYES</v>
      </c>
      <c r="M228" s="967">
        <f t="array" ref="M228">IFERROR(IF(ABS(H228-I228)=0,Tie,ABS(H228-I228)),"UPCOMING")</f>
        <v>62.16</v>
      </c>
      <c r="N228" s="968">
        <f t="shared" si="3"/>
        <v>345</v>
      </c>
      <c r="O228" s="969">
        <f t="shared" si="4"/>
        <v>77</v>
      </c>
      <c r="P228" s="967">
        <f t="shared" si="5"/>
        <v>334.04</v>
      </c>
      <c r="Q228" s="968">
        <f t="shared" si="6"/>
        <v>206</v>
      </c>
      <c r="R228" s="967">
        <f t="shared" si="7"/>
        <v>275.5</v>
      </c>
      <c r="S228" s="968">
        <f t="shared" si="8"/>
        <v>323</v>
      </c>
      <c r="U228" s="13" t="str">
        <f>IFERROR(__xludf.DUMMYFUNCTION("IF($T228=""Y"",
  IFERROR(
    RANK.EQ($R228, FILTER($R:$R, $T:$T=""Y""), 1)
    + COUNTIFS($R:$R, $R228, $M:$M, ""&lt;""&amp;$M228, $T:$T, ""Y""),
    ""UPCOMING""
  ),
  ""NO REF""
)
"),"NO REF")</f>
        <v>NO REF</v>
      </c>
    </row>
    <row r="229" ht="15.75" customHeight="1">
      <c r="C229" s="13">
        <v>228.0</v>
      </c>
      <c r="D229" s="1525">
        <v>2023.0</v>
      </c>
      <c r="E229" s="217" t="s">
        <v>512</v>
      </c>
      <c r="F229" s="960" t="s">
        <v>670</v>
      </c>
      <c r="G229" s="961" t="str">
        <f>'League History BACKEND 2023'!G22</f>
        <v>CHAMPS</v>
      </c>
      <c r="H229" s="1528">
        <v>180.47</v>
      </c>
      <c r="I229" s="1529">
        <v>171.78</v>
      </c>
      <c r="J229" s="964" t="str">
        <f>'League History BACKEND 2023'!J22</f>
        <v>DECOUPES</v>
      </c>
      <c r="K229" s="965" t="str">
        <f t="shared" si="1"/>
        <v>CHAMPS</v>
      </c>
      <c r="L229" s="966" t="str">
        <f t="shared" si="2"/>
        <v>DECOUPES</v>
      </c>
      <c r="M229" s="967">
        <f t="array" ref="M229">IFERROR(IF(ABS(H229-I229)=0,Tie,ABS(H229-I229)),"UPCOMING")</f>
        <v>8.69</v>
      </c>
      <c r="N229" s="968">
        <f t="shared" si="3"/>
        <v>64</v>
      </c>
      <c r="O229" s="969">
        <f t="shared" si="4"/>
        <v>358</v>
      </c>
      <c r="P229" s="967">
        <f t="shared" si="5"/>
        <v>352.25</v>
      </c>
      <c r="Q229" s="968">
        <f t="shared" si="6"/>
        <v>157</v>
      </c>
      <c r="R229" s="967">
        <f t="shared" si="7"/>
        <v>110.5</v>
      </c>
      <c r="S229" s="968">
        <f t="shared" si="8"/>
        <v>46</v>
      </c>
      <c r="U229" s="13" t="str">
        <f>IFERROR(__xludf.DUMMYFUNCTION("IF($T229=""Y"",
  IFERROR(
    RANK.EQ($R229, FILTER($R:$R, $T:$T=""Y""), 1)
    + COUNTIFS($R:$R, $R229, $M:$M, ""&lt;""&amp;$M229, $T:$T, ""Y""),
    ""UPCOMING""
  ),
  ""NO REF""
)
"),"NO REF")</f>
        <v>NO REF</v>
      </c>
    </row>
    <row r="230" ht="15.75" customHeight="1">
      <c r="C230" s="13">
        <v>229.0</v>
      </c>
      <c r="D230" s="1525">
        <v>2023.0</v>
      </c>
      <c r="E230" s="217" t="s">
        <v>512</v>
      </c>
      <c r="F230" s="960" t="s">
        <v>671</v>
      </c>
      <c r="G230" s="961" t="str">
        <f>'League History BACKEND 2023'!G23</f>
        <v>SAVAGES</v>
      </c>
      <c r="H230" s="962">
        <v>169.18</v>
      </c>
      <c r="I230" s="963">
        <v>162.32</v>
      </c>
      <c r="J230" s="964" t="str">
        <f>'League History BACKEND 2023'!J23</f>
        <v>METAMOOKDAWGS</v>
      </c>
      <c r="K230" s="965" t="str">
        <f t="shared" si="1"/>
        <v>SAVAGES</v>
      </c>
      <c r="L230" s="966" t="str">
        <f t="shared" si="2"/>
        <v>METAMOOKDAWGS</v>
      </c>
      <c r="M230" s="967">
        <f t="array" ref="M230">IFERROR(IF(ABS(H230-I230)=0,Tie,ABS(H230-I230)),"UPCOMING")</f>
        <v>6.86</v>
      </c>
      <c r="N230" s="968">
        <f t="shared" si="3"/>
        <v>55</v>
      </c>
      <c r="O230" s="969">
        <f t="shared" si="4"/>
        <v>367</v>
      </c>
      <c r="P230" s="967">
        <f t="shared" si="5"/>
        <v>331.5</v>
      </c>
      <c r="Q230" s="968">
        <f t="shared" si="6"/>
        <v>213</v>
      </c>
      <c r="R230" s="967">
        <f t="shared" si="7"/>
        <v>134</v>
      </c>
      <c r="S230" s="968">
        <f t="shared" si="8"/>
        <v>76</v>
      </c>
      <c r="U230" s="13" t="str">
        <f>IFERROR(__xludf.DUMMYFUNCTION("IF($T230=""Y"",
  IFERROR(
    RANK.EQ($R230, FILTER($R:$R, $T:$T=""Y""), 1)
    + COUNTIFS($R:$R, $R230, $M:$M, ""&lt;""&amp;$M230, $T:$T, ""Y""),
    ""UPCOMING""
  ),
  ""NO REF""
)
"),"NO REF")</f>
        <v>NO REF</v>
      </c>
    </row>
    <row r="231" ht="15.75" customHeight="1">
      <c r="C231" s="13">
        <v>230.0</v>
      </c>
      <c r="D231" s="1525">
        <v>2023.0</v>
      </c>
      <c r="E231" s="217" t="s">
        <v>513</v>
      </c>
      <c r="F231" s="960" t="s">
        <v>663</v>
      </c>
      <c r="G231" s="961" t="str">
        <f>'League History BACKEND 2023'!G27</f>
        <v>GREEN</v>
      </c>
      <c r="H231" s="962">
        <v>218.82</v>
      </c>
      <c r="I231" s="963">
        <v>212.81</v>
      </c>
      <c r="J231" s="964" t="str">
        <f>'League History BACKEND 2023'!J27</f>
        <v>POPEYES</v>
      </c>
      <c r="K231" s="965" t="str">
        <f t="shared" si="1"/>
        <v>GREEN</v>
      </c>
      <c r="L231" s="966" t="str">
        <f t="shared" si="2"/>
        <v>POPEYES</v>
      </c>
      <c r="M231" s="967">
        <f t="array" ref="M231">IFERROR(IF(ABS(H231-I231)=0,Tie,ABS(H231-I231)),"UPCOMING")</f>
        <v>6.01</v>
      </c>
      <c r="N231" s="968">
        <f t="shared" si="3"/>
        <v>45</v>
      </c>
      <c r="O231" s="969">
        <f t="shared" si="4"/>
        <v>377</v>
      </c>
      <c r="P231" s="967">
        <f t="shared" si="5"/>
        <v>431.63</v>
      </c>
      <c r="Q231" s="968">
        <f t="shared" si="6"/>
        <v>20</v>
      </c>
      <c r="R231" s="967">
        <f t="shared" si="7"/>
        <v>32.5</v>
      </c>
      <c r="S231" s="968">
        <f t="shared" si="8"/>
        <v>7</v>
      </c>
      <c r="U231" s="13" t="str">
        <f>IFERROR(__xludf.DUMMYFUNCTION("IF($T231=""Y"",
  IFERROR(
    RANK.EQ($R231, FILTER($R:$R, $T:$T=""Y""), 1)
    + COUNTIFS($R:$R, $R231, $M:$M, ""&lt;""&amp;$M231, $T:$T, ""Y""),
    ""UPCOMING""
  ),
  ""NO REF""
)
"),"NO REF")</f>
        <v>NO REF</v>
      </c>
    </row>
    <row r="232" ht="15.75" customHeight="1">
      <c r="C232" s="13">
        <v>231.0</v>
      </c>
      <c r="D232" s="1525">
        <v>2023.0</v>
      </c>
      <c r="E232" s="217" t="s">
        <v>513</v>
      </c>
      <c r="F232" s="960" t="s">
        <v>665</v>
      </c>
      <c r="G232" s="961" t="str">
        <f>'League History BACKEND 2023'!G28</f>
        <v>MUTTS</v>
      </c>
      <c r="H232" s="962">
        <v>249.78</v>
      </c>
      <c r="I232" s="963">
        <v>168.46</v>
      </c>
      <c r="J232" s="964" t="str">
        <f>'League History BACKEND 2023'!J28</f>
        <v>YARDIES</v>
      </c>
      <c r="K232" s="965" t="str">
        <f t="shared" si="1"/>
        <v>MUTTS</v>
      </c>
      <c r="L232" s="966" t="str">
        <f t="shared" si="2"/>
        <v>YARDIES</v>
      </c>
      <c r="M232" s="967">
        <f t="array" ref="M232">IFERROR(IF(ABS(H232-I232)=0,Tie,ABS(H232-I232)),"UPCOMING")</f>
        <v>81.32</v>
      </c>
      <c r="N232" s="968">
        <f t="shared" si="3"/>
        <v>392</v>
      </c>
      <c r="O232" s="969">
        <f t="shared" si="4"/>
        <v>30</v>
      </c>
      <c r="P232" s="967">
        <f t="shared" si="5"/>
        <v>418.24</v>
      </c>
      <c r="Q232" s="968">
        <f t="shared" si="6"/>
        <v>30</v>
      </c>
      <c r="R232" s="967">
        <f t="shared" si="7"/>
        <v>211</v>
      </c>
      <c r="S232" s="968">
        <f t="shared" si="8"/>
        <v>207</v>
      </c>
      <c r="U232" s="13" t="str">
        <f>IFERROR(__xludf.DUMMYFUNCTION("IF($T232=""Y"",
  IFERROR(
    RANK.EQ($R232, FILTER($R:$R, $T:$T=""Y""), 1)
    + COUNTIFS($R:$R, $R232, $M:$M, ""&lt;""&amp;$M232, $T:$T, ""Y""),
    ""UPCOMING""
  ),
  ""NO REF""
)
"),"NO REF")</f>
        <v>NO REF</v>
      </c>
    </row>
    <row r="233" ht="15.75" customHeight="1">
      <c r="C233" s="13">
        <v>232.0</v>
      </c>
      <c r="D233" s="1525">
        <v>2023.0</v>
      </c>
      <c r="E233" s="217" t="s">
        <v>513</v>
      </c>
      <c r="F233" s="960" t="s">
        <v>670</v>
      </c>
      <c r="G233" s="961" t="str">
        <f>'League History BACKEND 2023'!$G$31</f>
        <v>CHAMPS</v>
      </c>
      <c r="H233" s="962">
        <v>205.4</v>
      </c>
      <c r="I233" s="963">
        <v>208.54</v>
      </c>
      <c r="J233" s="964" t="str">
        <f>'League History BACKEND 2023'!$J$31</f>
        <v>METAMOOKDAWGS</v>
      </c>
      <c r="K233" s="965" t="str">
        <f t="shared" si="1"/>
        <v>METAMOOKDAWGS</v>
      </c>
      <c r="L233" s="966" t="str">
        <f t="shared" si="2"/>
        <v>CHAMPS</v>
      </c>
      <c r="M233" s="967">
        <f t="array" ref="M233">IFERROR(IF(ABS(H233-I233)=0,Tie,ABS(H233-I233)),"UPCOMING")</f>
        <v>3.14</v>
      </c>
      <c r="N233" s="968">
        <f t="shared" si="3"/>
        <v>29</v>
      </c>
      <c r="O233" s="969">
        <f t="shared" si="4"/>
        <v>393</v>
      </c>
      <c r="P233" s="967">
        <f t="shared" si="5"/>
        <v>413.94</v>
      </c>
      <c r="Q233" s="968">
        <f t="shared" si="6"/>
        <v>36</v>
      </c>
      <c r="R233" s="967">
        <f t="shared" si="7"/>
        <v>32.5</v>
      </c>
      <c r="S233" s="968">
        <f t="shared" si="8"/>
        <v>6</v>
      </c>
      <c r="U233" s="13" t="str">
        <f>IFERROR(__xludf.DUMMYFUNCTION("IF($T233=""Y"",
  IFERROR(
    RANK.EQ($R233, FILTER($R:$R, $T:$T=""Y""), 1)
    + COUNTIFS($R:$R, $R233, $M:$M, ""&lt;""&amp;$M233, $T:$T, ""Y""),
    ""UPCOMING""
  ),
  ""NO REF""
)
"),"NO REF")</f>
        <v>NO REF</v>
      </c>
    </row>
    <row r="234" ht="15.75" customHeight="1">
      <c r="C234" s="13">
        <v>233.0</v>
      </c>
      <c r="D234" s="1525">
        <v>2023.0</v>
      </c>
      <c r="E234" s="217" t="s">
        <v>513</v>
      </c>
      <c r="F234" s="960" t="s">
        <v>671</v>
      </c>
      <c r="G234" s="961" t="str">
        <f>'League History BACKEND 2023'!$G$33</f>
        <v>DECOUPES</v>
      </c>
      <c r="H234" s="962">
        <v>201.11</v>
      </c>
      <c r="I234" s="963">
        <v>114.25</v>
      </c>
      <c r="J234" s="964" t="str">
        <f>'League History BACKEND 2023'!$J$33</f>
        <v>SAVAGES</v>
      </c>
      <c r="K234" s="965" t="str">
        <f t="shared" si="1"/>
        <v>DECOUPES</v>
      </c>
      <c r="L234" s="966" t="str">
        <f t="shared" si="2"/>
        <v>SAVAGES</v>
      </c>
      <c r="M234" s="967">
        <f t="array" ref="M234">IFERROR(IF(ABS(H234-I234)=0,Tie,ABS(H234-I234)),"UPCOMING")</f>
        <v>86.86</v>
      </c>
      <c r="N234" s="968">
        <f t="shared" si="3"/>
        <v>401</v>
      </c>
      <c r="O234" s="969">
        <f t="shared" si="4"/>
        <v>21</v>
      </c>
      <c r="P234" s="967">
        <f t="shared" si="5"/>
        <v>315.36</v>
      </c>
      <c r="Q234" s="968">
        <f t="shared" si="6"/>
        <v>259</v>
      </c>
      <c r="R234" s="967">
        <f t="shared" si="7"/>
        <v>330</v>
      </c>
      <c r="S234" s="968">
        <f t="shared" si="8"/>
        <v>392</v>
      </c>
      <c r="T234" s="18" t="s">
        <v>1160</v>
      </c>
      <c r="U234" s="13">
        <f>IFERROR(__xludf.DUMMYFUNCTION("IF($T234=""Y"",
  IFERROR(
    RANK.EQ($R234, FILTER($R:$R, $T:$T=""Y""), 1)
    + COUNTIFS($R:$R, $R234, $M:$M, ""&lt;""&amp;$M234, $T:$T, ""Y""),
    ""UPCOMING""
  ),
  ""NO REF""
)
"),54.0)</f>
        <v>54</v>
      </c>
    </row>
    <row r="235" ht="15.75" customHeight="1">
      <c r="C235" s="13">
        <v>234.0</v>
      </c>
      <c r="D235" s="1525">
        <v>2023.0</v>
      </c>
      <c r="E235" s="217" t="s">
        <v>514</v>
      </c>
      <c r="F235" s="960" t="s">
        <v>663</v>
      </c>
      <c r="G235" s="961" t="str">
        <f>'League History BACKEND 2023'!$G$37</f>
        <v>GREEN</v>
      </c>
      <c r="H235" s="962">
        <v>180.46</v>
      </c>
      <c r="I235" s="963">
        <v>218.94</v>
      </c>
      <c r="J235" s="964" t="str">
        <f>'League History BACKEND 2023'!$J$37</f>
        <v>METAMOOKDAWGS</v>
      </c>
      <c r="K235" s="965" t="str">
        <f t="shared" si="1"/>
        <v>METAMOOKDAWGS</v>
      </c>
      <c r="L235" s="966" t="str">
        <f t="shared" si="2"/>
        <v>GREEN</v>
      </c>
      <c r="M235" s="967">
        <f t="array" ref="M235">IFERROR(IF(ABS(H235-I235)=0,Tie,ABS(H235-I235)),"UPCOMING")</f>
        <v>38.48</v>
      </c>
      <c r="N235" s="968">
        <f t="shared" si="3"/>
        <v>249</v>
      </c>
      <c r="O235" s="969">
        <f t="shared" si="4"/>
        <v>173</v>
      </c>
      <c r="P235" s="967">
        <f t="shared" si="5"/>
        <v>399.4</v>
      </c>
      <c r="Q235" s="968">
        <f t="shared" si="6"/>
        <v>55</v>
      </c>
      <c r="R235" s="967">
        <f t="shared" si="7"/>
        <v>152</v>
      </c>
      <c r="S235" s="968">
        <f t="shared" si="8"/>
        <v>105</v>
      </c>
      <c r="T235" s="18" t="s">
        <v>1160</v>
      </c>
      <c r="U235" s="13">
        <f>IFERROR(__xludf.DUMMYFUNCTION("IF($T235=""Y"",
  IFERROR(
    RANK.EQ($R235, FILTER($R:$R, $T:$T=""Y""), 1)
    + COUNTIFS($R:$R, $R235, $M:$M, ""&lt;""&amp;$M235, $T:$T, ""Y""),
    ""UPCOMING""
  ),
  ""NO REF""
)
"),16.0)</f>
        <v>16</v>
      </c>
    </row>
    <row r="236" ht="15.75" customHeight="1">
      <c r="C236" s="13">
        <v>235.0</v>
      </c>
      <c r="D236" s="1525">
        <v>2023.0</v>
      </c>
      <c r="E236" s="217" t="s">
        <v>514</v>
      </c>
      <c r="F236" s="960" t="s">
        <v>665</v>
      </c>
      <c r="G236" s="961" t="str">
        <f>'League History BACKEND 2023'!$G$40</f>
        <v>MUTTS</v>
      </c>
      <c r="H236" s="962">
        <v>220.34</v>
      </c>
      <c r="I236" s="963">
        <v>186.93</v>
      </c>
      <c r="J236" s="964" t="str">
        <f>'League History BACKEND 2023'!$J$40</f>
        <v>SAVAGES</v>
      </c>
      <c r="K236" s="965" t="str">
        <f t="shared" si="1"/>
        <v>MUTTS</v>
      </c>
      <c r="L236" s="966" t="str">
        <f t="shared" si="2"/>
        <v>SAVAGES</v>
      </c>
      <c r="M236" s="967">
        <f t="array" ref="M236">IFERROR(IF(ABS(H236-I236)=0,Tie,ABS(H236-I236)),"UPCOMING")</f>
        <v>33.41</v>
      </c>
      <c r="N236" s="968">
        <f t="shared" si="3"/>
        <v>213</v>
      </c>
      <c r="O236" s="969">
        <f t="shared" si="4"/>
        <v>209</v>
      </c>
      <c r="P236" s="967">
        <f t="shared" si="5"/>
        <v>407.27</v>
      </c>
      <c r="Q236" s="968">
        <f t="shared" si="6"/>
        <v>45</v>
      </c>
      <c r="R236" s="967">
        <f t="shared" si="7"/>
        <v>129</v>
      </c>
      <c r="S236" s="968">
        <f t="shared" si="8"/>
        <v>70</v>
      </c>
      <c r="U236" s="13" t="str">
        <f>IFERROR(__xludf.DUMMYFUNCTION("IF($T236=""Y"",
  IFERROR(
    RANK.EQ($R236, FILTER($R:$R, $T:$T=""Y""), 1)
    + COUNTIFS($R:$R, $R236, $M:$M, ""&lt;""&amp;$M236, $T:$T, ""Y""),
    ""UPCOMING""
  ),
  ""NO REF""
)
"),"NO REF")</f>
        <v>NO REF</v>
      </c>
    </row>
    <row r="237" ht="15.75" customHeight="1">
      <c r="C237" s="13">
        <v>236.0</v>
      </c>
      <c r="D237" s="1525">
        <v>2023.0</v>
      </c>
      <c r="E237" s="217" t="s">
        <v>514</v>
      </c>
      <c r="F237" s="960" t="s">
        <v>670</v>
      </c>
      <c r="G237" s="961" t="str">
        <f>'League History BACKEND 2023'!$G$43</f>
        <v>YARDIES</v>
      </c>
      <c r="H237" s="962">
        <v>157.92</v>
      </c>
      <c r="I237" s="963">
        <v>286.44</v>
      </c>
      <c r="J237" s="964" t="str">
        <f>'League History BACKEND 2023'!$J$43</f>
        <v>DECOUPES</v>
      </c>
      <c r="K237" s="965" t="str">
        <f t="shared" si="1"/>
        <v>DECOUPES</v>
      </c>
      <c r="L237" s="966" t="str">
        <f t="shared" si="2"/>
        <v>YARDIES</v>
      </c>
      <c r="M237" s="967">
        <f t="array" ref="M237">IFERROR(IF(ABS(H237-I237)=0,Tie,ABS(H237-I237)),"UPCOMING")</f>
        <v>128.52</v>
      </c>
      <c r="N237" s="968">
        <f t="shared" si="3"/>
        <v>418</v>
      </c>
      <c r="O237" s="969">
        <f t="shared" si="4"/>
        <v>4</v>
      </c>
      <c r="P237" s="967">
        <f t="shared" si="5"/>
        <v>444.36</v>
      </c>
      <c r="Q237" s="968">
        <f t="shared" si="6"/>
        <v>13</v>
      </c>
      <c r="R237" s="967">
        <f t="shared" si="7"/>
        <v>215.5</v>
      </c>
      <c r="S237" s="968">
        <f t="shared" si="8"/>
        <v>217</v>
      </c>
      <c r="U237" s="13" t="str">
        <f>IFERROR(__xludf.DUMMYFUNCTION("IF($T237=""Y"",
  IFERROR(
    RANK.EQ($R237, FILTER($R:$R, $T:$T=""Y""), 1)
    + COUNTIFS($R:$R, $R237, $M:$M, ""&lt;""&amp;$M237, $T:$T, ""Y""),
    ""UPCOMING""
  ),
  ""NO REF""
)
"),"NO REF")</f>
        <v>NO REF</v>
      </c>
    </row>
    <row r="238" ht="15.75" customHeight="1">
      <c r="C238" s="13">
        <v>237.0</v>
      </c>
      <c r="D238" s="1525">
        <v>2023.0</v>
      </c>
      <c r="E238" s="217" t="s">
        <v>514</v>
      </c>
      <c r="F238" s="960" t="s">
        <v>671</v>
      </c>
      <c r="G238" s="961" t="str">
        <f>'League History BACKEND 2023'!$G$45</f>
        <v>POPEYES</v>
      </c>
      <c r="H238" s="962">
        <v>197.51</v>
      </c>
      <c r="I238" s="963">
        <v>235.31</v>
      </c>
      <c r="J238" s="964" t="str">
        <f>'League History BACKEND 2023'!$J$45</f>
        <v>CHAMPS</v>
      </c>
      <c r="K238" s="965" t="str">
        <f t="shared" si="1"/>
        <v>CHAMPS</v>
      </c>
      <c r="L238" s="966" t="str">
        <f t="shared" si="2"/>
        <v>POPEYES</v>
      </c>
      <c r="M238" s="967">
        <f t="array" ref="M238">IFERROR(IF(ABS(H238-I238)=0,Tie,ABS(H238-I238)),"UPCOMING")</f>
        <v>37.8</v>
      </c>
      <c r="N238" s="968">
        <f t="shared" si="3"/>
        <v>245</v>
      </c>
      <c r="O238" s="969">
        <f t="shared" si="4"/>
        <v>177</v>
      </c>
      <c r="P238" s="967">
        <f t="shared" si="5"/>
        <v>432.82</v>
      </c>
      <c r="Q238" s="968">
        <f t="shared" si="6"/>
        <v>19</v>
      </c>
      <c r="R238" s="967">
        <f t="shared" si="7"/>
        <v>132</v>
      </c>
      <c r="S238" s="968">
        <f t="shared" si="8"/>
        <v>75</v>
      </c>
      <c r="U238" s="13" t="str">
        <f>IFERROR(__xludf.DUMMYFUNCTION("IF($T238=""Y"",
  IFERROR(
    RANK.EQ($R238, FILTER($R:$R, $T:$T=""Y""), 1)
    + COUNTIFS($R:$R, $R238, $M:$M, ""&lt;""&amp;$M238, $T:$T, ""Y""),
    ""UPCOMING""
  ),
  ""NO REF""
)
"),"NO REF")</f>
        <v>NO REF</v>
      </c>
    </row>
    <row r="239" ht="15.75" customHeight="1">
      <c r="C239" s="13">
        <v>238.0</v>
      </c>
      <c r="D239" s="1525">
        <v>2023.0</v>
      </c>
      <c r="E239" s="217" t="s">
        <v>515</v>
      </c>
      <c r="F239" s="960" t="s">
        <v>663</v>
      </c>
      <c r="G239" s="961" t="str">
        <f>'League History BACKEND 2023'!$G$49</f>
        <v>GREEN</v>
      </c>
      <c r="H239" s="962">
        <v>206.94</v>
      </c>
      <c r="I239" s="963">
        <v>180.56</v>
      </c>
      <c r="J239" s="964" t="str">
        <f>'League History BACKEND 2023'!$J$49</f>
        <v>DECOUPES</v>
      </c>
      <c r="K239" s="965" t="str">
        <f t="shared" si="1"/>
        <v>GREEN</v>
      </c>
      <c r="L239" s="966" t="str">
        <f t="shared" si="2"/>
        <v>DECOUPES</v>
      </c>
      <c r="M239" s="967">
        <f t="array" ref="M239">IFERROR(IF(ABS(H239-I239)=0,Tie,ABS(H239-I239)),"UPCOMING")</f>
        <v>26.38</v>
      </c>
      <c r="N239" s="968">
        <f t="shared" si="3"/>
        <v>178</v>
      </c>
      <c r="O239" s="969">
        <f t="shared" si="4"/>
        <v>243</v>
      </c>
      <c r="P239" s="967">
        <f t="shared" si="5"/>
        <v>387.5</v>
      </c>
      <c r="Q239" s="968">
        <f t="shared" si="6"/>
        <v>71</v>
      </c>
      <c r="R239" s="967">
        <f t="shared" si="7"/>
        <v>124.5</v>
      </c>
      <c r="S239" s="968">
        <f t="shared" si="8"/>
        <v>66</v>
      </c>
      <c r="T239" s="18" t="s">
        <v>1160</v>
      </c>
      <c r="U239" s="13">
        <f>IFERROR(__xludf.DUMMYFUNCTION("IF($T239=""Y"",
  IFERROR(
    RANK.EQ($R239, FILTER($R:$R, $T:$T=""Y""), 1)
    + COUNTIFS($R:$R, $R239, $M:$M, ""&lt;""&amp;$M239, $T:$T, ""Y""),
    ""UPCOMING""
  ),
  ""NO REF""
)
"),9.0)</f>
        <v>9</v>
      </c>
    </row>
    <row r="240" ht="15.75" customHeight="1">
      <c r="C240" s="13">
        <v>239.0</v>
      </c>
      <c r="D240" s="1525">
        <v>2023.0</v>
      </c>
      <c r="E240" s="217" t="s">
        <v>515</v>
      </c>
      <c r="F240" s="960" t="s">
        <v>665</v>
      </c>
      <c r="G240" s="961" t="str">
        <f>'League History BACKEND 2023'!$G$52</f>
        <v>MUTTS</v>
      </c>
      <c r="H240" s="962">
        <v>137.84</v>
      </c>
      <c r="I240" s="963">
        <v>207.67</v>
      </c>
      <c r="J240" s="964" t="str">
        <f>'League History BACKEND 2023'!$J$52</f>
        <v>CHAMPS</v>
      </c>
      <c r="K240" s="965" t="str">
        <f t="shared" si="1"/>
        <v>CHAMPS</v>
      </c>
      <c r="L240" s="966" t="str">
        <f t="shared" si="2"/>
        <v>MUTTS</v>
      </c>
      <c r="M240" s="967">
        <f t="array" ref="M240">IFERROR(IF(ABS(H240-I240)=0,Tie,ABS(H240-I240)),"UPCOMING")</f>
        <v>69.83</v>
      </c>
      <c r="N240" s="968">
        <f t="shared" si="3"/>
        <v>367</v>
      </c>
      <c r="O240" s="969">
        <f t="shared" si="4"/>
        <v>55</v>
      </c>
      <c r="P240" s="967">
        <f t="shared" si="5"/>
        <v>345.51</v>
      </c>
      <c r="Q240" s="968">
        <f t="shared" si="6"/>
        <v>179</v>
      </c>
      <c r="R240" s="967">
        <f t="shared" si="7"/>
        <v>273</v>
      </c>
      <c r="S240" s="968">
        <f t="shared" si="8"/>
        <v>320</v>
      </c>
      <c r="U240" s="13" t="str">
        <f>IFERROR(__xludf.DUMMYFUNCTION("IF($T240=""Y"",
  IFERROR(
    RANK.EQ($R240, FILTER($R:$R, $T:$T=""Y""), 1)
    + COUNTIFS($R:$R, $R240, $M:$M, ""&lt;""&amp;$M240, $T:$T, ""Y""),
    ""UPCOMING""
  ),
  ""NO REF""
)
"),"NO REF")</f>
        <v>NO REF</v>
      </c>
    </row>
    <row r="241" ht="15.75" customHeight="1">
      <c r="C241" s="13">
        <v>240.0</v>
      </c>
      <c r="D241" s="1525">
        <v>2023.0</v>
      </c>
      <c r="E241" s="217" t="s">
        <v>515</v>
      </c>
      <c r="F241" s="960" t="s">
        <v>670</v>
      </c>
      <c r="G241" s="961" t="str">
        <f>'League History BACKEND 2023'!$G$55</f>
        <v>YARDIES</v>
      </c>
      <c r="H241" s="962">
        <v>271.44</v>
      </c>
      <c r="I241" s="963">
        <v>145.64</v>
      </c>
      <c r="J241" s="964" t="str">
        <f>'League History BACKEND 2023'!$J$55</f>
        <v>METAMOOKDAWGS</v>
      </c>
      <c r="K241" s="965" t="str">
        <f t="shared" si="1"/>
        <v>YARDIES</v>
      </c>
      <c r="L241" s="966" t="str">
        <f t="shared" si="2"/>
        <v>METAMOOKDAWGS</v>
      </c>
      <c r="M241" s="967">
        <f t="array" ref="M241">IFERROR(IF(ABS(H241-I241)=0,Tie,ABS(H241-I241)),"UPCOMING")</f>
        <v>125.8</v>
      </c>
      <c r="N241" s="968">
        <f t="shared" si="3"/>
        <v>415</v>
      </c>
      <c r="O241" s="969">
        <f t="shared" si="4"/>
        <v>7</v>
      </c>
      <c r="P241" s="967">
        <f t="shared" si="5"/>
        <v>417.08</v>
      </c>
      <c r="Q241" s="968">
        <f t="shared" si="6"/>
        <v>33</v>
      </c>
      <c r="R241" s="967">
        <f t="shared" si="7"/>
        <v>224</v>
      </c>
      <c r="S241" s="968">
        <f t="shared" si="8"/>
        <v>237</v>
      </c>
      <c r="U241" s="13" t="str">
        <f>IFERROR(__xludf.DUMMYFUNCTION("IF($T241=""Y"",
  IFERROR(
    RANK.EQ($R241, FILTER($R:$R, $T:$T=""Y""), 1)
    + COUNTIFS($R:$R, $R241, $M:$M, ""&lt;""&amp;$M241, $T:$T, ""Y""),
    ""UPCOMING""
  ),
  ""NO REF""
)
"),"NO REF")</f>
        <v>NO REF</v>
      </c>
    </row>
    <row r="242" ht="15.75" customHeight="1">
      <c r="C242" s="13">
        <v>241.0</v>
      </c>
      <c r="D242" s="1525">
        <v>2023.0</v>
      </c>
      <c r="E242" s="217" t="s">
        <v>515</v>
      </c>
      <c r="F242" s="960" t="s">
        <v>671</v>
      </c>
      <c r="G242" s="961" t="str">
        <f>'League History BACKEND 2023'!$G$57</f>
        <v>POPEYES</v>
      </c>
      <c r="H242" s="962">
        <v>179.73</v>
      </c>
      <c r="I242" s="963">
        <v>168.78</v>
      </c>
      <c r="J242" s="964" t="str">
        <f>'League History BACKEND 2023'!$J$57</f>
        <v>SAVAGES</v>
      </c>
      <c r="K242" s="965" t="str">
        <f t="shared" si="1"/>
        <v>POPEYES</v>
      </c>
      <c r="L242" s="966" t="str">
        <f t="shared" si="2"/>
        <v>SAVAGES</v>
      </c>
      <c r="M242" s="967">
        <f t="array" ref="M242">IFERROR(IF(ABS(H242-I242)=0,Tie,ABS(H242-I242)),"UPCOMING")</f>
        <v>10.95</v>
      </c>
      <c r="N242" s="968">
        <f t="shared" si="3"/>
        <v>83</v>
      </c>
      <c r="O242" s="969">
        <f t="shared" si="4"/>
        <v>339</v>
      </c>
      <c r="P242" s="967">
        <f t="shared" si="5"/>
        <v>348.51</v>
      </c>
      <c r="Q242" s="968">
        <f t="shared" si="6"/>
        <v>167</v>
      </c>
      <c r="R242" s="967">
        <f t="shared" si="7"/>
        <v>125</v>
      </c>
      <c r="S242" s="968">
        <f t="shared" si="8"/>
        <v>67</v>
      </c>
      <c r="U242" s="13" t="str">
        <f>IFERROR(__xludf.DUMMYFUNCTION("IF($T242=""Y"",
  IFERROR(
    RANK.EQ($R242, FILTER($R:$R, $T:$T=""Y""), 1)
    + COUNTIFS($R:$R, $R242, $M:$M, ""&lt;""&amp;$M242, $T:$T, ""Y""),
    ""UPCOMING""
  ),
  ""NO REF""
)
"),"NO REF")</f>
        <v>NO REF</v>
      </c>
    </row>
    <row r="243" ht="15.75" customHeight="1">
      <c r="C243" s="13">
        <v>242.0</v>
      </c>
      <c r="D243" s="1525">
        <v>2023.0</v>
      </c>
      <c r="E243" s="217" t="s">
        <v>516</v>
      </c>
      <c r="F243" s="960" t="s">
        <v>663</v>
      </c>
      <c r="G243" s="961" t="str">
        <f>'League History BACKEND 2023'!$G$61</f>
        <v>GREEN</v>
      </c>
      <c r="H243" s="962">
        <v>148.78</v>
      </c>
      <c r="I243" s="963">
        <v>222.61</v>
      </c>
      <c r="J243" s="964" t="str">
        <f>'League History BACKEND 2023'!$J$61</f>
        <v>SAVAGES</v>
      </c>
      <c r="K243" s="965" t="str">
        <f t="shared" si="1"/>
        <v>SAVAGES</v>
      </c>
      <c r="L243" s="966" t="str">
        <f t="shared" si="2"/>
        <v>GREEN</v>
      </c>
      <c r="M243" s="967">
        <f t="array" ref="M243">IFERROR(IF(ABS(H243-I243)=0,Tie,ABS(H243-I243)),"UPCOMING")</f>
        <v>73.83</v>
      </c>
      <c r="N243" s="968">
        <f t="shared" si="3"/>
        <v>375</v>
      </c>
      <c r="O243" s="969">
        <f t="shared" si="4"/>
        <v>47</v>
      </c>
      <c r="P243" s="967">
        <f t="shared" si="5"/>
        <v>371.39</v>
      </c>
      <c r="Q243" s="968">
        <f t="shared" si="6"/>
        <v>113</v>
      </c>
      <c r="R243" s="967">
        <f t="shared" si="7"/>
        <v>244</v>
      </c>
      <c r="S243" s="968">
        <f t="shared" si="8"/>
        <v>278</v>
      </c>
      <c r="U243" s="13" t="str">
        <f>IFERROR(__xludf.DUMMYFUNCTION("IF($T243=""Y"",
  IFERROR(
    RANK.EQ($R243, FILTER($R:$R, $T:$T=""Y""), 1)
    + COUNTIFS($R:$R, $R243, $M:$M, ""&lt;""&amp;$M243, $T:$T, ""Y""),
    ""UPCOMING""
  ),
  ""NO REF""
)
"),"NO REF")</f>
        <v>NO REF</v>
      </c>
    </row>
    <row r="244" ht="15.75" customHeight="1">
      <c r="C244" s="13">
        <v>243.0</v>
      </c>
      <c r="D244" s="1525">
        <v>2023.0</v>
      </c>
      <c r="E244" s="217" t="s">
        <v>516</v>
      </c>
      <c r="F244" s="960" t="s">
        <v>665</v>
      </c>
      <c r="G244" s="961" t="str">
        <f>'League History BACKEND 2023'!$G$64</f>
        <v>MUTTS</v>
      </c>
      <c r="H244" s="962">
        <v>170.58</v>
      </c>
      <c r="I244" s="963">
        <v>215.66</v>
      </c>
      <c r="J244" s="964" t="str">
        <f>'League History BACKEND 2023'!$J$64</f>
        <v>METAMOOKDAWGS</v>
      </c>
      <c r="K244" s="965" t="str">
        <f t="shared" si="1"/>
        <v>METAMOOKDAWGS</v>
      </c>
      <c r="L244" s="966" t="str">
        <f t="shared" si="2"/>
        <v>MUTTS</v>
      </c>
      <c r="M244" s="967">
        <f t="array" ref="M244">IFERROR(IF(ABS(H244-I244)=0,Tie,ABS(H244-I244)),"UPCOMING")</f>
        <v>45.08</v>
      </c>
      <c r="N244" s="968">
        <f t="shared" si="3"/>
        <v>284</v>
      </c>
      <c r="O244" s="969">
        <f t="shared" si="4"/>
        <v>138</v>
      </c>
      <c r="P244" s="967">
        <f t="shared" si="5"/>
        <v>386.24</v>
      </c>
      <c r="Q244" s="968">
        <f t="shared" si="6"/>
        <v>75</v>
      </c>
      <c r="R244" s="967">
        <f t="shared" si="7"/>
        <v>179.5</v>
      </c>
      <c r="S244" s="968">
        <f t="shared" si="8"/>
        <v>141</v>
      </c>
      <c r="U244" s="13" t="str">
        <f>IFERROR(__xludf.DUMMYFUNCTION("IF($T244=""Y"",
  IFERROR(
    RANK.EQ($R244, FILTER($R:$R, $T:$T=""Y""), 1)
    + COUNTIFS($R:$R, $R244, $M:$M, ""&lt;""&amp;$M244, $T:$T, ""Y""),
    ""UPCOMING""
  ),
  ""NO REF""
)
"),"NO REF")</f>
        <v>NO REF</v>
      </c>
    </row>
    <row r="245" ht="15.75" customHeight="1">
      <c r="C245" s="13">
        <v>244.0</v>
      </c>
      <c r="D245" s="1525">
        <v>2023.0</v>
      </c>
      <c r="E245" s="217" t="s">
        <v>516</v>
      </c>
      <c r="F245" s="960" t="s">
        <v>670</v>
      </c>
      <c r="G245" s="961" t="str">
        <f>'League History BACKEND 2023'!$G$67</f>
        <v>YARDIES</v>
      </c>
      <c r="H245" s="962">
        <v>206.71</v>
      </c>
      <c r="I245" s="963">
        <v>170.76</v>
      </c>
      <c r="J245" s="964" t="str">
        <f>'League History BACKEND 2023'!$J$67</f>
        <v>CHAMPS</v>
      </c>
      <c r="K245" s="965" t="str">
        <f t="shared" si="1"/>
        <v>YARDIES</v>
      </c>
      <c r="L245" s="966" t="str">
        <f t="shared" si="2"/>
        <v>CHAMPS</v>
      </c>
      <c r="M245" s="967">
        <f t="array" ref="M245">IFERROR(IF(ABS(H245-I245)=0,Tie,ABS(H245-I245)),"UPCOMING")</f>
        <v>35.95</v>
      </c>
      <c r="N245" s="968">
        <f t="shared" si="3"/>
        <v>231</v>
      </c>
      <c r="O245" s="969">
        <f t="shared" si="4"/>
        <v>191</v>
      </c>
      <c r="P245" s="967">
        <f t="shared" si="5"/>
        <v>377.47</v>
      </c>
      <c r="Q245" s="968">
        <f t="shared" si="6"/>
        <v>100</v>
      </c>
      <c r="R245" s="967">
        <f t="shared" si="7"/>
        <v>165.5</v>
      </c>
      <c r="S245" s="968">
        <f t="shared" si="8"/>
        <v>119</v>
      </c>
      <c r="T245" s="18" t="s">
        <v>1160</v>
      </c>
      <c r="U245" s="13">
        <f>IFERROR(__xludf.DUMMYFUNCTION("IF($T245=""Y"",
  IFERROR(
    RANK.EQ($R245, FILTER($R:$R, $T:$T=""Y""), 1)
    + COUNTIFS($R:$R, $R245, $M:$M, ""&lt;""&amp;$M245, $T:$T, ""Y""),
    ""UPCOMING""
  ),
  ""NO REF""
)
"),22.0)</f>
        <v>22</v>
      </c>
    </row>
    <row r="246" ht="15.75" customHeight="1">
      <c r="C246" s="13">
        <v>245.0</v>
      </c>
      <c r="D246" s="1525">
        <v>2023.0</v>
      </c>
      <c r="E246" s="217" t="s">
        <v>516</v>
      </c>
      <c r="F246" s="960" t="s">
        <v>671</v>
      </c>
      <c r="G246" s="961" t="str">
        <f>'League History BACKEND 2023'!$G$69</f>
        <v>POPEYES</v>
      </c>
      <c r="H246" s="962">
        <v>192.75</v>
      </c>
      <c r="I246" s="963">
        <v>225.06</v>
      </c>
      <c r="J246" s="964" t="str">
        <f>'League History BACKEND 2023'!$J$69</f>
        <v>DECOUPES</v>
      </c>
      <c r="K246" s="965" t="str">
        <f t="shared" si="1"/>
        <v>DECOUPES</v>
      </c>
      <c r="L246" s="966" t="str">
        <f t="shared" si="2"/>
        <v>POPEYES</v>
      </c>
      <c r="M246" s="967">
        <f t="array" ref="M246">IFERROR(IF(ABS(H246-I246)=0,Tie,ABS(H246-I246)),"UPCOMING")</f>
        <v>32.31</v>
      </c>
      <c r="N246" s="968">
        <f t="shared" si="3"/>
        <v>207</v>
      </c>
      <c r="O246" s="969">
        <f t="shared" si="4"/>
        <v>215</v>
      </c>
      <c r="P246" s="967">
        <f t="shared" si="5"/>
        <v>417.81</v>
      </c>
      <c r="Q246" s="968">
        <f t="shared" si="6"/>
        <v>31</v>
      </c>
      <c r="R246" s="967">
        <f t="shared" si="7"/>
        <v>119</v>
      </c>
      <c r="S246" s="968">
        <f t="shared" si="8"/>
        <v>57</v>
      </c>
      <c r="U246" s="13" t="str">
        <f>IFERROR(__xludf.DUMMYFUNCTION("IF($T246=""Y"",
  IFERROR(
    RANK.EQ($R246, FILTER($R:$R, $T:$T=""Y""), 1)
    + COUNTIFS($R:$R, $R246, $M:$M, ""&lt;""&amp;$M246, $T:$T, ""Y""),
    ""UPCOMING""
  ),
  ""NO REF""
)
"),"NO REF")</f>
        <v>NO REF</v>
      </c>
    </row>
    <row r="247" ht="15.75" customHeight="1">
      <c r="C247" s="13">
        <v>246.0</v>
      </c>
      <c r="D247" s="1525">
        <v>2023.0</v>
      </c>
      <c r="E247" s="217" t="s">
        <v>517</v>
      </c>
      <c r="F247" s="960" t="s">
        <v>663</v>
      </c>
      <c r="G247" s="961" t="str">
        <f>'League History BACKEND 2023'!$G$73</f>
        <v>GREEN</v>
      </c>
      <c r="H247" s="962">
        <v>231.65</v>
      </c>
      <c r="I247" s="963">
        <v>151.71</v>
      </c>
      <c r="J247" s="964" t="str">
        <f>'League History BACKEND 2023'!$J$73</f>
        <v>YARDIES</v>
      </c>
      <c r="K247" s="965" t="str">
        <f t="shared" si="1"/>
        <v>GREEN</v>
      </c>
      <c r="L247" s="966" t="str">
        <f t="shared" si="2"/>
        <v>YARDIES</v>
      </c>
      <c r="M247" s="967">
        <f t="array" ref="M247">IFERROR(IF(ABS(H247-I247)=0,Tie,ABS(H247-I247)),"UPCOMING")</f>
        <v>79.94</v>
      </c>
      <c r="N247" s="968">
        <f t="shared" si="3"/>
        <v>388</v>
      </c>
      <c r="O247" s="969">
        <f t="shared" si="4"/>
        <v>34</v>
      </c>
      <c r="P247" s="967">
        <f t="shared" si="5"/>
        <v>383.36</v>
      </c>
      <c r="Q247" s="968">
        <f t="shared" si="6"/>
        <v>81</v>
      </c>
      <c r="R247" s="967">
        <f t="shared" si="7"/>
        <v>234.5</v>
      </c>
      <c r="S247" s="968">
        <f t="shared" si="8"/>
        <v>257</v>
      </c>
      <c r="T247" s="18" t="s">
        <v>1160</v>
      </c>
      <c r="U247" s="13">
        <f>IFERROR(__xludf.DUMMYFUNCTION("IF($T247=""Y"",
  IFERROR(
    RANK.EQ($R247, FILTER($R:$R, $T:$T=""Y""), 1)
    + COUNTIFS($R:$R, $R247, $M:$M, ""&lt;""&amp;$M247, $T:$T, ""Y""),
    ""UPCOMING""
  ),
  ""NO REF""
)
"),43.0)</f>
        <v>43</v>
      </c>
    </row>
    <row r="248" ht="15.75" customHeight="1">
      <c r="C248" s="13">
        <v>247.0</v>
      </c>
      <c r="D248" s="1525">
        <v>2023.0</v>
      </c>
      <c r="E248" s="217" t="s">
        <v>517</v>
      </c>
      <c r="F248" s="960" t="s">
        <v>665</v>
      </c>
      <c r="G248" s="961" t="str">
        <f>'League History BACKEND 2023'!$G$76</f>
        <v>MUTTS</v>
      </c>
      <c r="H248" s="962">
        <v>202.82</v>
      </c>
      <c r="I248" s="963">
        <v>148.18</v>
      </c>
      <c r="J248" s="964" t="str">
        <f>'League History BACKEND 2023'!$J$76</f>
        <v>DECOUPES</v>
      </c>
      <c r="K248" s="965" t="str">
        <f t="shared" si="1"/>
        <v>MUTTS</v>
      </c>
      <c r="L248" s="966" t="str">
        <f t="shared" si="2"/>
        <v>DECOUPES</v>
      </c>
      <c r="M248" s="967">
        <f t="array" ref="M248">IFERROR(IF(ABS(H248-I248)=0,Tie,ABS(H248-I248)),"UPCOMING")</f>
        <v>54.64</v>
      </c>
      <c r="N248" s="968">
        <f t="shared" si="3"/>
        <v>325</v>
      </c>
      <c r="O248" s="969">
        <f t="shared" si="4"/>
        <v>97</v>
      </c>
      <c r="P248" s="967">
        <f t="shared" si="5"/>
        <v>351</v>
      </c>
      <c r="Q248" s="968">
        <f t="shared" si="6"/>
        <v>160</v>
      </c>
      <c r="R248" s="967">
        <f t="shared" si="7"/>
        <v>242.5</v>
      </c>
      <c r="S248" s="968">
        <f t="shared" si="8"/>
        <v>272</v>
      </c>
      <c r="U248" s="13" t="str">
        <f>IFERROR(__xludf.DUMMYFUNCTION("IF($T248=""Y"",
  IFERROR(
    RANK.EQ($R248, FILTER($R:$R, $T:$T=""Y""), 1)
    + COUNTIFS($R:$R, $R248, $M:$M, ""&lt;""&amp;$M248, $T:$T, ""Y""),
    ""UPCOMING""
  ),
  ""NO REF""
)
"),"NO REF")</f>
        <v>NO REF</v>
      </c>
    </row>
    <row r="249" ht="15.75" customHeight="1">
      <c r="C249" s="13">
        <v>248.0</v>
      </c>
      <c r="D249" s="1525">
        <v>2023.0</v>
      </c>
      <c r="E249" s="217" t="s">
        <v>517</v>
      </c>
      <c r="F249" s="960" t="s">
        <v>670</v>
      </c>
      <c r="G249" s="961" t="str">
        <f>'League History BACKEND 2023'!$G$79</f>
        <v>POPEYES</v>
      </c>
      <c r="H249" s="962">
        <v>189.38</v>
      </c>
      <c r="I249" s="963">
        <v>113.93</v>
      </c>
      <c r="J249" s="964" t="str">
        <f>'League History BACKEND 2023'!$J$79</f>
        <v>METAMOOKDAWGS</v>
      </c>
      <c r="K249" s="965" t="str">
        <f t="shared" si="1"/>
        <v>POPEYES</v>
      </c>
      <c r="L249" s="966" t="str">
        <f t="shared" si="2"/>
        <v>METAMOOKDAWGS</v>
      </c>
      <c r="M249" s="967">
        <f t="array" ref="M249">IFERROR(IF(ABS(H249-I249)=0,Tie,ABS(H249-I249)),"UPCOMING")</f>
        <v>75.45</v>
      </c>
      <c r="N249" s="968">
        <f t="shared" si="3"/>
        <v>381</v>
      </c>
      <c r="O249" s="969">
        <f t="shared" si="4"/>
        <v>41</v>
      </c>
      <c r="P249" s="967">
        <f t="shared" si="5"/>
        <v>303.31</v>
      </c>
      <c r="Q249" s="968">
        <f t="shared" si="6"/>
        <v>297</v>
      </c>
      <c r="R249" s="967">
        <f t="shared" si="7"/>
        <v>339</v>
      </c>
      <c r="S249" s="968">
        <f t="shared" si="8"/>
        <v>401</v>
      </c>
      <c r="U249" s="13" t="str">
        <f>IFERROR(__xludf.DUMMYFUNCTION("IF($T249=""Y"",
  IFERROR(
    RANK.EQ($R249, FILTER($R:$R, $T:$T=""Y""), 1)
    + COUNTIFS($R:$R, $R249, $M:$M, ""&lt;""&amp;$M249, $T:$T, ""Y""),
    ""UPCOMING""
  ),
  ""NO REF""
)
"),"NO REF")</f>
        <v>NO REF</v>
      </c>
    </row>
    <row r="250" ht="15.75" customHeight="1">
      <c r="C250" s="13">
        <v>249.0</v>
      </c>
      <c r="D250" s="1525">
        <v>2023.0</v>
      </c>
      <c r="E250" s="217" t="s">
        <v>517</v>
      </c>
      <c r="F250" s="960" t="s">
        <v>671</v>
      </c>
      <c r="G250" s="961" t="str">
        <f>'League History BACKEND 2023'!$G$81</f>
        <v>CHAMPS</v>
      </c>
      <c r="H250" s="962">
        <v>174.47</v>
      </c>
      <c r="I250" s="963">
        <v>193.26</v>
      </c>
      <c r="J250" s="964" t="str">
        <f>'League History BACKEND 2023'!$J$81</f>
        <v>SAVAGES</v>
      </c>
      <c r="K250" s="965" t="str">
        <f t="shared" si="1"/>
        <v>SAVAGES</v>
      </c>
      <c r="L250" s="966" t="str">
        <f t="shared" si="2"/>
        <v>CHAMPS</v>
      </c>
      <c r="M250" s="967">
        <f t="array" ref="M250">IFERROR(IF(ABS(H250-I250)=0,Tie,ABS(H250-I250)),"UPCOMING")</f>
        <v>18.79</v>
      </c>
      <c r="N250" s="968">
        <f t="shared" si="3"/>
        <v>138</v>
      </c>
      <c r="O250" s="969">
        <f t="shared" si="4"/>
        <v>284</v>
      </c>
      <c r="P250" s="967">
        <f t="shared" si="5"/>
        <v>367.73</v>
      </c>
      <c r="Q250" s="968">
        <f t="shared" si="6"/>
        <v>119</v>
      </c>
      <c r="R250" s="967">
        <f t="shared" si="7"/>
        <v>128.5</v>
      </c>
      <c r="S250" s="968">
        <f t="shared" si="8"/>
        <v>69</v>
      </c>
      <c r="U250" s="13" t="str">
        <f>IFERROR(__xludf.DUMMYFUNCTION("IF($T250=""Y"",
  IFERROR(
    RANK.EQ($R250, FILTER($R:$R, $T:$T=""Y""), 1)
    + COUNTIFS($R:$R, $R250, $M:$M, ""&lt;""&amp;$M250, $T:$T, ""Y""),
    ""UPCOMING""
  ),
  ""NO REF""
)
"),"NO REF")</f>
        <v>NO REF</v>
      </c>
    </row>
    <row r="251" ht="15.75" customHeight="1">
      <c r="C251" s="13">
        <v>250.0</v>
      </c>
      <c r="D251" s="1525">
        <v>2023.0</v>
      </c>
      <c r="E251" s="217" t="s">
        <v>518</v>
      </c>
      <c r="F251" s="960" t="s">
        <v>663</v>
      </c>
      <c r="G251" s="961" t="str">
        <f>'League History BACKEND 2023'!$G$85</f>
        <v>GREEN</v>
      </c>
      <c r="H251" s="962">
        <v>205.68</v>
      </c>
      <c r="I251" s="963">
        <v>198.16</v>
      </c>
      <c r="J251" s="964" t="str">
        <f>'League History BACKEND 2023'!$J$85</f>
        <v>DECOUPES</v>
      </c>
      <c r="K251" s="965" t="str">
        <f t="shared" si="1"/>
        <v>GREEN</v>
      </c>
      <c r="L251" s="966" t="str">
        <f t="shared" si="2"/>
        <v>DECOUPES</v>
      </c>
      <c r="M251" s="967">
        <f t="array" ref="M251">IFERROR(IF(ABS(H251-I251)=0,Tie,ABS(H251-I251)),"UPCOMING")</f>
        <v>7.52</v>
      </c>
      <c r="N251" s="968">
        <f t="shared" si="3"/>
        <v>59</v>
      </c>
      <c r="O251" s="969">
        <f t="shared" si="4"/>
        <v>363</v>
      </c>
      <c r="P251" s="967">
        <f t="shared" si="5"/>
        <v>403.84</v>
      </c>
      <c r="Q251" s="968">
        <f t="shared" si="6"/>
        <v>48</v>
      </c>
      <c r="R251" s="967">
        <f t="shared" si="7"/>
        <v>53.5</v>
      </c>
      <c r="S251" s="968">
        <f t="shared" si="8"/>
        <v>16</v>
      </c>
      <c r="T251" s="18" t="s">
        <v>1160</v>
      </c>
      <c r="U251" s="13">
        <f>IFERROR(__xludf.DUMMYFUNCTION("IF($T251=""Y"",
  IFERROR(
    RANK.EQ($R251, FILTER($R:$R, $T:$T=""Y""), 1)
    + COUNTIFS($R:$R, $R251, $M:$M, ""&lt;""&amp;$M251, $T:$T, ""Y""),
    ""UPCOMING""
  ),
  ""NO REF""
)
"),1.0)</f>
        <v>1</v>
      </c>
    </row>
    <row r="252" ht="15.75" customHeight="1">
      <c r="C252" s="13">
        <v>251.0</v>
      </c>
      <c r="D252" s="1525">
        <v>2023.0</v>
      </c>
      <c r="E252" s="217" t="s">
        <v>518</v>
      </c>
      <c r="F252" s="960" t="s">
        <v>665</v>
      </c>
      <c r="G252" s="961" t="str">
        <f>'League History BACKEND 2023'!$G$88</f>
        <v>MUTTS</v>
      </c>
      <c r="H252" s="962">
        <v>177.2</v>
      </c>
      <c r="I252" s="963">
        <v>139.6</v>
      </c>
      <c r="J252" s="964" t="str">
        <f>'League History BACKEND 2023'!$J$88</f>
        <v>CHAMPS</v>
      </c>
      <c r="K252" s="965" t="str">
        <f t="shared" si="1"/>
        <v>MUTTS</v>
      </c>
      <c r="L252" s="966" t="str">
        <f t="shared" si="2"/>
        <v>CHAMPS</v>
      </c>
      <c r="M252" s="967">
        <f t="array" ref="M252">IFERROR(IF(ABS(H252-I252)=0,Tie,ABS(H252-I252)),"UPCOMING")</f>
        <v>37.6</v>
      </c>
      <c r="N252" s="968">
        <f t="shared" si="3"/>
        <v>243</v>
      </c>
      <c r="O252" s="969">
        <f t="shared" si="4"/>
        <v>179</v>
      </c>
      <c r="P252" s="967">
        <f t="shared" si="5"/>
        <v>316.8</v>
      </c>
      <c r="Q252" s="968">
        <f t="shared" si="6"/>
        <v>257</v>
      </c>
      <c r="R252" s="967">
        <f t="shared" si="7"/>
        <v>250</v>
      </c>
      <c r="S252" s="968">
        <f t="shared" si="8"/>
        <v>292</v>
      </c>
      <c r="U252" s="13" t="str">
        <f>IFERROR(__xludf.DUMMYFUNCTION("IF($T252=""Y"",
  IFERROR(
    RANK.EQ($R252, FILTER($R:$R, $T:$T=""Y""), 1)
    + COUNTIFS($R:$R, $R252, $M:$M, ""&lt;""&amp;$M252, $T:$T, ""Y""),
    ""UPCOMING""
  ),
  ""NO REF""
)
"),"NO REF")</f>
        <v>NO REF</v>
      </c>
    </row>
    <row r="253" ht="15.75" customHeight="1">
      <c r="C253" s="13">
        <v>252.0</v>
      </c>
      <c r="D253" s="1525">
        <v>2023.0</v>
      </c>
      <c r="E253" s="217" t="s">
        <v>518</v>
      </c>
      <c r="F253" s="960" t="s">
        <v>670</v>
      </c>
      <c r="G253" s="961" t="str">
        <f>'League History BACKEND 2023'!$G$91</f>
        <v>YARDIES</v>
      </c>
      <c r="H253" s="962">
        <v>205.94</v>
      </c>
      <c r="I253" s="963">
        <v>175.06</v>
      </c>
      <c r="J253" s="964" t="str">
        <f>'League History BACKEND 2023'!$J$91</f>
        <v>METAMOOKDAWGS</v>
      </c>
      <c r="K253" s="965" t="str">
        <f t="shared" si="1"/>
        <v>YARDIES</v>
      </c>
      <c r="L253" s="966" t="str">
        <f t="shared" si="2"/>
        <v>METAMOOKDAWGS</v>
      </c>
      <c r="M253" s="967">
        <f t="array" ref="M253">IFERROR(IF(ABS(H253-I253)=0,Tie,ABS(H253-I253)),"UPCOMING")</f>
        <v>30.88</v>
      </c>
      <c r="N253" s="968">
        <f t="shared" si="3"/>
        <v>201</v>
      </c>
      <c r="O253" s="969">
        <f t="shared" si="4"/>
        <v>221</v>
      </c>
      <c r="P253" s="967">
        <f t="shared" si="5"/>
        <v>381</v>
      </c>
      <c r="Q253" s="968">
        <f t="shared" si="6"/>
        <v>91</v>
      </c>
      <c r="R253" s="967">
        <f t="shared" si="7"/>
        <v>146</v>
      </c>
      <c r="S253" s="968">
        <f t="shared" si="8"/>
        <v>96</v>
      </c>
      <c r="U253" s="13" t="str">
        <f>IFERROR(__xludf.DUMMYFUNCTION("IF($T253=""Y"",
  IFERROR(
    RANK.EQ($R253, FILTER($R:$R, $T:$T=""Y""), 1)
    + COUNTIFS($R:$R, $R253, $M:$M, ""&lt;""&amp;$M253, $T:$T, ""Y""),
    ""UPCOMING""
  ),
  ""NO REF""
)
"),"NO REF")</f>
        <v>NO REF</v>
      </c>
    </row>
    <row r="254" ht="15.75" customHeight="1">
      <c r="C254" s="13">
        <v>253.0</v>
      </c>
      <c r="D254" s="1525">
        <v>2023.0</v>
      </c>
      <c r="E254" s="217" t="s">
        <v>518</v>
      </c>
      <c r="F254" s="960" t="s">
        <v>671</v>
      </c>
      <c r="G254" s="961" t="str">
        <f>'League History BACKEND 2023'!$G$93</f>
        <v>POPEYES</v>
      </c>
      <c r="H254" s="962">
        <v>160.14</v>
      </c>
      <c r="I254" s="963">
        <v>152.93</v>
      </c>
      <c r="J254" s="964" t="str">
        <f>'League History BACKEND 2023'!$J$93</f>
        <v>SAVAGES</v>
      </c>
      <c r="K254" s="965" t="str">
        <f t="shared" si="1"/>
        <v>POPEYES</v>
      </c>
      <c r="L254" s="966" t="str">
        <f t="shared" si="2"/>
        <v>SAVAGES</v>
      </c>
      <c r="M254" s="967">
        <f t="array" ref="M254">IFERROR(IF(ABS(H254-I254)=0,Tie,ABS(H254-I254)),"UPCOMING")</f>
        <v>7.21</v>
      </c>
      <c r="N254" s="968">
        <f t="shared" si="3"/>
        <v>57</v>
      </c>
      <c r="O254" s="969">
        <f t="shared" si="4"/>
        <v>365</v>
      </c>
      <c r="P254" s="967">
        <f t="shared" si="5"/>
        <v>313.07</v>
      </c>
      <c r="Q254" s="968">
        <f t="shared" si="6"/>
        <v>269</v>
      </c>
      <c r="R254" s="967">
        <f t="shared" si="7"/>
        <v>163</v>
      </c>
      <c r="S254" s="968">
        <f t="shared" si="8"/>
        <v>114</v>
      </c>
      <c r="U254" s="13" t="str">
        <f>IFERROR(__xludf.DUMMYFUNCTION("IF($T254=""Y"",
  IFERROR(
    RANK.EQ($R254, FILTER($R:$R, $T:$T=""Y""), 1)
    + COUNTIFS($R:$R, $R254, $M:$M, ""&lt;""&amp;$M254, $T:$T, ""Y""),
    ""UPCOMING""
  ),
  ""NO REF""
)
"),"NO REF")</f>
        <v>NO REF</v>
      </c>
    </row>
    <row r="255" ht="15.75" customHeight="1">
      <c r="C255" s="13">
        <v>254.0</v>
      </c>
      <c r="D255" s="1525">
        <v>2023.0</v>
      </c>
      <c r="E255" s="217" t="s">
        <v>519</v>
      </c>
      <c r="F255" s="960" t="s">
        <v>663</v>
      </c>
      <c r="G255" s="961" t="str">
        <f>'League History BACKEND 2023'!$G$97</f>
        <v>GREEN</v>
      </c>
      <c r="H255" s="962">
        <v>166.26</v>
      </c>
      <c r="I255" s="963">
        <v>171.95</v>
      </c>
      <c r="J255" s="964" t="str">
        <f>'League History BACKEND 2023'!$J$97</f>
        <v>SAVAGES</v>
      </c>
      <c r="K255" s="965" t="str">
        <f t="shared" si="1"/>
        <v>SAVAGES</v>
      </c>
      <c r="L255" s="966" t="str">
        <f t="shared" si="2"/>
        <v>GREEN</v>
      </c>
      <c r="M255" s="967">
        <f t="array" ref="M255">IFERROR(IF(ABS(H255-I255)=0,Tie,ABS(H255-I255)),"UPCOMING")</f>
        <v>5.69</v>
      </c>
      <c r="N255" s="968">
        <f t="shared" si="3"/>
        <v>43</v>
      </c>
      <c r="O255" s="969">
        <f t="shared" si="4"/>
        <v>379</v>
      </c>
      <c r="P255" s="967">
        <f t="shared" si="5"/>
        <v>338.21</v>
      </c>
      <c r="Q255" s="968">
        <f t="shared" si="6"/>
        <v>196</v>
      </c>
      <c r="R255" s="967">
        <f t="shared" si="7"/>
        <v>119.5</v>
      </c>
      <c r="S255" s="968">
        <f t="shared" si="8"/>
        <v>58</v>
      </c>
      <c r="U255" s="13" t="str">
        <f>IFERROR(__xludf.DUMMYFUNCTION("IF($T255=""Y"",
  IFERROR(
    RANK.EQ($R255, FILTER($R:$R, $T:$T=""Y""), 1)
    + COUNTIFS($R:$R, $R255, $M:$M, ""&lt;""&amp;$M255, $T:$T, ""Y""),
    ""UPCOMING""
  ),
  ""NO REF""
)
"),"NO REF")</f>
        <v>NO REF</v>
      </c>
    </row>
    <row r="256" ht="15.75" customHeight="1">
      <c r="C256" s="13">
        <v>255.0</v>
      </c>
      <c r="D256" s="1525">
        <v>2023.0</v>
      </c>
      <c r="E256" s="217" t="s">
        <v>519</v>
      </c>
      <c r="F256" s="960" t="s">
        <v>665</v>
      </c>
      <c r="G256" s="961" t="str">
        <f>'League History BACKEND 2023'!$G$100</f>
        <v>MUTTS</v>
      </c>
      <c r="H256" s="962">
        <v>195.62</v>
      </c>
      <c r="I256" s="963">
        <v>150.7</v>
      </c>
      <c r="J256" s="964" t="str">
        <f>'League History BACKEND 2023'!$J$100</f>
        <v>METAMOOKDAWGS</v>
      </c>
      <c r="K256" s="965" t="str">
        <f t="shared" si="1"/>
        <v>MUTTS</v>
      </c>
      <c r="L256" s="966" t="str">
        <f t="shared" si="2"/>
        <v>METAMOOKDAWGS</v>
      </c>
      <c r="M256" s="967">
        <f t="array" ref="M256">IFERROR(IF(ABS(H256-I256)=0,Tie,ABS(H256-I256)),"UPCOMING")</f>
        <v>44.92</v>
      </c>
      <c r="N256" s="968">
        <f t="shared" si="3"/>
        <v>280</v>
      </c>
      <c r="O256" s="969">
        <f t="shared" si="4"/>
        <v>142</v>
      </c>
      <c r="P256" s="967">
        <f t="shared" si="5"/>
        <v>346.32</v>
      </c>
      <c r="Q256" s="968">
        <f t="shared" si="6"/>
        <v>174</v>
      </c>
      <c r="R256" s="967">
        <f t="shared" si="7"/>
        <v>227</v>
      </c>
      <c r="S256" s="968">
        <f t="shared" si="8"/>
        <v>246</v>
      </c>
      <c r="U256" s="13" t="str">
        <f>IFERROR(__xludf.DUMMYFUNCTION("IF($T256=""Y"",
  IFERROR(
    RANK.EQ($R256, FILTER($R:$R, $T:$T=""Y""), 1)
    + COUNTIFS($R:$R, $R256, $M:$M, ""&lt;""&amp;$M256, $T:$T, ""Y""),
    ""UPCOMING""
  ),
  ""NO REF""
)
"),"NO REF")</f>
        <v>NO REF</v>
      </c>
    </row>
    <row r="257" ht="15.75" customHeight="1">
      <c r="C257" s="13">
        <v>256.0</v>
      </c>
      <c r="D257" s="1525">
        <v>2023.0</v>
      </c>
      <c r="E257" s="217" t="s">
        <v>519</v>
      </c>
      <c r="F257" s="960" t="s">
        <v>670</v>
      </c>
      <c r="G257" s="961" t="str">
        <f>'League History BACKEND 2023'!$G$103</f>
        <v>YARDIES</v>
      </c>
      <c r="H257" s="962">
        <v>227.66</v>
      </c>
      <c r="I257" s="963">
        <v>205.96</v>
      </c>
      <c r="J257" s="964" t="str">
        <f>'League History BACKEND 2023'!$J$103</f>
        <v>CHAMPS</v>
      </c>
      <c r="K257" s="965" t="str">
        <f t="shared" si="1"/>
        <v>YARDIES</v>
      </c>
      <c r="L257" s="966" t="str">
        <f t="shared" si="2"/>
        <v>CHAMPS</v>
      </c>
      <c r="M257" s="967">
        <f t="array" ref="M257">IFERROR(IF(ABS(H257-I257)=0,Tie,ABS(H257-I257)),"UPCOMING")</f>
        <v>21.7</v>
      </c>
      <c r="N257" s="968">
        <f t="shared" si="3"/>
        <v>149</v>
      </c>
      <c r="O257" s="969">
        <f t="shared" si="4"/>
        <v>273</v>
      </c>
      <c r="P257" s="967">
        <f t="shared" si="5"/>
        <v>433.62</v>
      </c>
      <c r="Q257" s="968">
        <f t="shared" si="6"/>
        <v>18</v>
      </c>
      <c r="R257" s="967">
        <f t="shared" si="7"/>
        <v>83.5</v>
      </c>
      <c r="S257" s="968">
        <f t="shared" si="8"/>
        <v>24</v>
      </c>
      <c r="U257" s="13" t="str">
        <f>IFERROR(__xludf.DUMMYFUNCTION("IF($T257=""Y"",
  IFERROR(
    RANK.EQ($R257, FILTER($R:$R, $T:$T=""Y""), 1)
    + COUNTIFS($R:$R, $R257, $M:$M, ""&lt;""&amp;$M257, $T:$T, ""Y""),
    ""UPCOMING""
  ),
  ""NO REF""
)
"),"NO REF")</f>
        <v>NO REF</v>
      </c>
    </row>
    <row r="258" ht="15.75" customHeight="1">
      <c r="C258" s="13">
        <v>257.0</v>
      </c>
      <c r="D258" s="1525">
        <v>2023.0</v>
      </c>
      <c r="E258" s="217" t="s">
        <v>519</v>
      </c>
      <c r="F258" s="960" t="s">
        <v>671</v>
      </c>
      <c r="G258" s="961" t="str">
        <f>'League History BACKEND 2023'!$G$105</f>
        <v>POPEYES</v>
      </c>
      <c r="H258" s="962">
        <v>184.69</v>
      </c>
      <c r="I258" s="963">
        <v>233.65</v>
      </c>
      <c r="J258" s="964" t="str">
        <f>'League History BACKEND 2023'!$J$105</f>
        <v>DECOUPES</v>
      </c>
      <c r="K258" s="965" t="str">
        <f t="shared" si="1"/>
        <v>DECOUPES</v>
      </c>
      <c r="L258" s="966" t="str">
        <f t="shared" si="2"/>
        <v>POPEYES</v>
      </c>
      <c r="M258" s="967">
        <f t="array" ref="M258">IFERROR(IF(ABS(H258-I258)=0,Tie,ABS(H258-I258)),"UPCOMING")</f>
        <v>48.96</v>
      </c>
      <c r="N258" s="968">
        <f t="shared" si="3"/>
        <v>305</v>
      </c>
      <c r="O258" s="969">
        <f t="shared" si="4"/>
        <v>117</v>
      </c>
      <c r="P258" s="967">
        <f t="shared" si="5"/>
        <v>418.34</v>
      </c>
      <c r="Q258" s="968">
        <f t="shared" si="6"/>
        <v>29</v>
      </c>
      <c r="R258" s="967">
        <f t="shared" si="7"/>
        <v>167</v>
      </c>
      <c r="S258" s="968">
        <f t="shared" si="8"/>
        <v>120</v>
      </c>
      <c r="T258" s="18" t="s">
        <v>1160</v>
      </c>
      <c r="U258" s="13">
        <f>IFERROR(__xludf.DUMMYFUNCTION("IF($T258=""Y"",
  IFERROR(
    RANK.EQ($R258, FILTER($R:$R, $T:$T=""Y""), 1)
    + COUNTIFS($R:$R, $R258, $M:$M, ""&lt;""&amp;$M258, $T:$T, ""Y""),
    ""UPCOMING""
  ),
  ""NO REF""
)
"),23.0)</f>
        <v>23</v>
      </c>
    </row>
    <row r="259" ht="15.75" customHeight="1">
      <c r="C259" s="13">
        <v>258.0</v>
      </c>
      <c r="D259" s="1525">
        <v>2023.0</v>
      </c>
      <c r="E259" s="217" t="s">
        <v>520</v>
      </c>
      <c r="F259" s="960" t="s">
        <v>663</v>
      </c>
      <c r="G259" s="961" t="str">
        <f>'League History BACKEND 2023'!$G$109</f>
        <v>GREEN</v>
      </c>
      <c r="H259" s="962">
        <v>199.26</v>
      </c>
      <c r="I259" s="963">
        <v>188.12</v>
      </c>
      <c r="J259" s="964" t="str">
        <f>'League History BACKEND 2023'!$J$109</f>
        <v>CHAMPS</v>
      </c>
      <c r="K259" s="965" t="str">
        <f t="shared" si="1"/>
        <v>GREEN</v>
      </c>
      <c r="L259" s="966" t="str">
        <f t="shared" si="2"/>
        <v>CHAMPS</v>
      </c>
      <c r="M259" s="967">
        <f t="array" ref="M259">IFERROR(IF(ABS(H259-I259)=0,Tie,ABS(H259-I259)),"UPCOMING")</f>
        <v>11.14</v>
      </c>
      <c r="N259" s="968">
        <f t="shared" si="3"/>
        <v>85</v>
      </c>
      <c r="O259" s="969">
        <f t="shared" si="4"/>
        <v>337</v>
      </c>
      <c r="P259" s="967">
        <f t="shared" si="5"/>
        <v>387.38</v>
      </c>
      <c r="Q259" s="968">
        <f t="shared" si="6"/>
        <v>72</v>
      </c>
      <c r="R259" s="967">
        <f t="shared" si="7"/>
        <v>78.5</v>
      </c>
      <c r="S259" s="968">
        <f t="shared" si="8"/>
        <v>21</v>
      </c>
      <c r="U259" s="13" t="str">
        <f>IFERROR(__xludf.DUMMYFUNCTION("IF($T259=""Y"",
  IFERROR(
    RANK.EQ($R259, FILTER($R:$R, $T:$T=""Y""), 1)
    + COUNTIFS($R:$R, $R259, $M:$M, ""&lt;""&amp;$M259, $T:$T, ""Y""),
    ""UPCOMING""
  ),
  ""NO REF""
)
"),"NO REF")</f>
        <v>NO REF</v>
      </c>
    </row>
    <row r="260" ht="15.75" customHeight="1">
      <c r="C260" s="13">
        <v>259.0</v>
      </c>
      <c r="D260" s="1525">
        <v>2023.0</v>
      </c>
      <c r="E260" s="217" t="s">
        <v>520</v>
      </c>
      <c r="F260" s="960" t="s">
        <v>665</v>
      </c>
      <c r="G260" s="961" t="str">
        <f>'League History BACKEND 2023'!$G$112</f>
        <v>MUTTS</v>
      </c>
      <c r="H260" s="962">
        <v>206.02</v>
      </c>
      <c r="I260" s="963">
        <v>168.78</v>
      </c>
      <c r="J260" s="964" t="str">
        <f>'League History BACKEND 2023'!$J$112</f>
        <v>POPEYES</v>
      </c>
      <c r="K260" s="965" t="str">
        <f t="shared" si="1"/>
        <v>MUTTS</v>
      </c>
      <c r="L260" s="966" t="str">
        <f t="shared" si="2"/>
        <v>POPEYES</v>
      </c>
      <c r="M260" s="967">
        <f t="array" ref="M260">IFERROR(IF(ABS(H260-I260)=0,Tie,ABS(H260-I260)),"UPCOMING")</f>
        <v>37.24</v>
      </c>
      <c r="N260" s="968">
        <f t="shared" si="3"/>
        <v>240</v>
      </c>
      <c r="O260" s="969">
        <f t="shared" si="4"/>
        <v>182</v>
      </c>
      <c r="P260" s="967">
        <f t="shared" si="5"/>
        <v>374.8</v>
      </c>
      <c r="Q260" s="968">
        <f t="shared" si="6"/>
        <v>106</v>
      </c>
      <c r="R260" s="967">
        <f t="shared" si="7"/>
        <v>173</v>
      </c>
      <c r="S260" s="968">
        <f t="shared" si="8"/>
        <v>133</v>
      </c>
      <c r="T260" s="18" t="s">
        <v>1160</v>
      </c>
      <c r="U260" s="13">
        <f>IFERROR(__xludf.DUMMYFUNCTION("IF($T260=""Y"",
  IFERROR(
    RANK.EQ($R260, FILTER($R:$R, $T:$T=""Y""), 1)
    + COUNTIFS($R:$R, $R260, $M:$M, ""&lt;""&amp;$M260, $T:$T, ""Y""),
    ""UPCOMING""
  ),
  ""NO REF""
)
"),27.0)</f>
        <v>27</v>
      </c>
    </row>
    <row r="261" ht="15.75" customHeight="1">
      <c r="C261" s="13">
        <v>260.0</v>
      </c>
      <c r="D261" s="1525">
        <v>2023.0</v>
      </c>
      <c r="E261" s="217" t="s">
        <v>520</v>
      </c>
      <c r="F261" s="960" t="s">
        <v>670</v>
      </c>
      <c r="G261" s="961" t="str">
        <f>'League History BACKEND 2023'!$G$115</f>
        <v>YARDIES</v>
      </c>
      <c r="H261" s="962">
        <v>213.46</v>
      </c>
      <c r="I261" s="963">
        <v>119.54</v>
      </c>
      <c r="J261" s="964" t="str">
        <f>'League History BACKEND 2023'!$J$115</f>
        <v>SAVAGES</v>
      </c>
      <c r="K261" s="965" t="str">
        <f t="shared" si="1"/>
        <v>YARDIES</v>
      </c>
      <c r="L261" s="966" t="str">
        <f t="shared" si="2"/>
        <v>SAVAGES</v>
      </c>
      <c r="M261" s="967">
        <f t="array" ref="M261">IFERROR(IF(ABS(H261-I261)=0,Tie,ABS(H261-I261)),"UPCOMING")</f>
        <v>93.92</v>
      </c>
      <c r="N261" s="968">
        <f t="shared" si="3"/>
        <v>404</v>
      </c>
      <c r="O261" s="969">
        <f t="shared" si="4"/>
        <v>18</v>
      </c>
      <c r="P261" s="967">
        <f t="shared" si="5"/>
        <v>333</v>
      </c>
      <c r="Q261" s="968">
        <f t="shared" si="6"/>
        <v>209</v>
      </c>
      <c r="R261" s="967">
        <f t="shared" si="7"/>
        <v>306.5</v>
      </c>
      <c r="S261" s="968">
        <f t="shared" si="8"/>
        <v>370</v>
      </c>
      <c r="U261" s="13" t="str">
        <f>IFERROR(__xludf.DUMMYFUNCTION("IF($T261=""Y"",
  IFERROR(
    RANK.EQ($R261, FILTER($R:$R, $T:$T=""Y""), 1)
    + COUNTIFS($R:$R, $R261, $M:$M, ""&lt;""&amp;$M261, $T:$T, ""Y""),
    ""UPCOMING""
  ),
  ""NO REF""
)
"),"NO REF")</f>
        <v>NO REF</v>
      </c>
    </row>
    <row r="262" ht="15.75" customHeight="1">
      <c r="C262" s="13">
        <v>261.0</v>
      </c>
      <c r="D262" s="1525">
        <v>2023.0</v>
      </c>
      <c r="E262" s="217" t="s">
        <v>520</v>
      </c>
      <c r="F262" s="960" t="s">
        <v>671</v>
      </c>
      <c r="G262" s="961" t="str">
        <f>'League History BACKEND 2023'!$G$117</f>
        <v>DECOUPES</v>
      </c>
      <c r="H262" s="962">
        <v>147.34</v>
      </c>
      <c r="I262" s="963">
        <v>161.01</v>
      </c>
      <c r="J262" s="964" t="str">
        <f>'League History BACKEND 2023'!$J$117</f>
        <v>METAMOOKDAWGS</v>
      </c>
      <c r="K262" s="965" t="str">
        <f t="shared" si="1"/>
        <v>METAMOOKDAWGS</v>
      </c>
      <c r="L262" s="966" t="str">
        <f t="shared" si="2"/>
        <v>DECOUPES</v>
      </c>
      <c r="M262" s="967">
        <f t="array" ref="M262">IFERROR(IF(ABS(H262-I262)=0,Tie,ABS(H262-I262)),"UPCOMING")</f>
        <v>13.67</v>
      </c>
      <c r="N262" s="968">
        <f t="shared" si="3"/>
        <v>103</v>
      </c>
      <c r="O262" s="969">
        <f t="shared" si="4"/>
        <v>319</v>
      </c>
      <c r="P262" s="967">
        <f t="shared" si="5"/>
        <v>308.35</v>
      </c>
      <c r="Q262" s="968">
        <f t="shared" si="6"/>
        <v>285</v>
      </c>
      <c r="R262" s="967">
        <f t="shared" si="7"/>
        <v>194</v>
      </c>
      <c r="S262" s="968">
        <f t="shared" si="8"/>
        <v>168</v>
      </c>
      <c r="U262" s="13" t="str">
        <f>IFERROR(__xludf.DUMMYFUNCTION("IF($T262=""Y"",
  IFERROR(
    RANK.EQ($R262, FILTER($R:$R, $T:$T=""Y""), 1)
    + COUNTIFS($R:$R, $R262, $M:$M, ""&lt;""&amp;$M262, $T:$T, ""Y""),
    ""UPCOMING""
  ),
  ""NO REF""
)
"),"NO REF")</f>
        <v>NO REF</v>
      </c>
    </row>
    <row r="263" ht="15.75" customHeight="1">
      <c r="C263" s="13">
        <v>262.0</v>
      </c>
      <c r="D263" s="1525">
        <v>2023.0</v>
      </c>
      <c r="E263" s="217" t="s">
        <v>521</v>
      </c>
      <c r="F263" s="960" t="s">
        <v>663</v>
      </c>
      <c r="G263" s="961" t="str">
        <f>'League History BACKEND 2023'!$G$121</f>
        <v>GREEN</v>
      </c>
      <c r="H263" s="962">
        <v>188.03</v>
      </c>
      <c r="I263" s="963">
        <v>158.98</v>
      </c>
      <c r="J263" s="964" t="str">
        <f>'League History BACKEND 2023'!$J$121</f>
        <v>POPEYES</v>
      </c>
      <c r="K263" s="965" t="str">
        <f t="shared" si="1"/>
        <v>GREEN</v>
      </c>
      <c r="L263" s="966" t="str">
        <f t="shared" si="2"/>
        <v>POPEYES</v>
      </c>
      <c r="M263" s="967">
        <f t="array" ref="M263">IFERROR(IF(ABS(H263-I263)=0,Tie,ABS(H263-I263)),"UPCOMING")</f>
        <v>29.05</v>
      </c>
      <c r="N263" s="968">
        <f t="shared" si="3"/>
        <v>191</v>
      </c>
      <c r="O263" s="969">
        <f t="shared" si="4"/>
        <v>231</v>
      </c>
      <c r="P263" s="967">
        <f t="shared" si="5"/>
        <v>347.01</v>
      </c>
      <c r="Q263" s="968">
        <f t="shared" si="6"/>
        <v>171</v>
      </c>
      <c r="R263" s="967">
        <f t="shared" si="7"/>
        <v>181</v>
      </c>
      <c r="S263" s="968">
        <f t="shared" si="8"/>
        <v>145</v>
      </c>
      <c r="U263" s="13" t="str">
        <f>IFERROR(__xludf.DUMMYFUNCTION("IF($T263=""Y"",
  IFERROR(
    RANK.EQ($R263, FILTER($R:$R, $T:$T=""Y""), 1)
    + COUNTIFS($R:$R, $R263, $M:$M, ""&lt;""&amp;$M263, $T:$T, ""Y""),
    ""UPCOMING""
  ),
  ""NO REF""
)
"),"NO REF")</f>
        <v>NO REF</v>
      </c>
    </row>
    <row r="264" ht="15.75" customHeight="1">
      <c r="C264" s="13">
        <v>263.0</v>
      </c>
      <c r="D264" s="1525">
        <v>2023.0</v>
      </c>
      <c r="E264" s="217" t="s">
        <v>521</v>
      </c>
      <c r="F264" s="960" t="s">
        <v>665</v>
      </c>
      <c r="G264" s="961" t="str">
        <f>'League History BACKEND 2023'!$G$124</f>
        <v>MUTTS</v>
      </c>
      <c r="H264" s="962">
        <v>228.23</v>
      </c>
      <c r="I264" s="963">
        <v>188.45</v>
      </c>
      <c r="J264" s="964" t="str">
        <f>'League History BACKEND 2023'!$J$124</f>
        <v>YARDIES</v>
      </c>
      <c r="K264" s="965" t="str">
        <f t="shared" si="1"/>
        <v>MUTTS</v>
      </c>
      <c r="L264" s="966" t="str">
        <f t="shared" si="2"/>
        <v>YARDIES</v>
      </c>
      <c r="M264" s="967">
        <f t="array" ref="M264">IFERROR(IF(ABS(H264-I264)=0,Tie,ABS(H264-I264)),"UPCOMING")</f>
        <v>39.78</v>
      </c>
      <c r="N264" s="968">
        <f t="shared" si="3"/>
        <v>254</v>
      </c>
      <c r="O264" s="969">
        <f t="shared" si="4"/>
        <v>168</v>
      </c>
      <c r="P264" s="967">
        <f t="shared" si="5"/>
        <v>416.68</v>
      </c>
      <c r="Q264" s="968">
        <f t="shared" si="6"/>
        <v>34</v>
      </c>
      <c r="R264" s="967">
        <f t="shared" si="7"/>
        <v>144</v>
      </c>
      <c r="S264" s="968">
        <f t="shared" si="8"/>
        <v>94</v>
      </c>
      <c r="T264" s="18" t="s">
        <v>1160</v>
      </c>
      <c r="U264" s="13">
        <f>IFERROR(__xludf.DUMMYFUNCTION("IF($T264=""Y"",
  IFERROR(
    RANK.EQ($R264, FILTER($R:$R, $T:$T=""Y""), 1)
    + COUNTIFS($R:$R, $R264, $M:$M, ""&lt;""&amp;$M264, $T:$T, ""Y""),
    ""UPCOMING""
  ),
  ""NO REF""
)
"),14.0)</f>
        <v>14</v>
      </c>
    </row>
    <row r="265" ht="15.75" customHeight="1">
      <c r="C265" s="13">
        <v>264.0</v>
      </c>
      <c r="D265" s="1525">
        <v>2023.0</v>
      </c>
      <c r="E265" s="217" t="s">
        <v>521</v>
      </c>
      <c r="F265" s="960" t="s">
        <v>670</v>
      </c>
      <c r="G265" s="961" t="str">
        <f>'League History BACKEND 2023'!$G$127</f>
        <v>CHAMPS</v>
      </c>
      <c r="H265" s="962">
        <v>209.72</v>
      </c>
      <c r="I265" s="963">
        <v>192.62</v>
      </c>
      <c r="J265" s="964" t="str">
        <f>'League History BACKEND 2023'!$J$127</f>
        <v>METAMOOKDAWGS</v>
      </c>
      <c r="K265" s="965" t="str">
        <f t="shared" si="1"/>
        <v>CHAMPS</v>
      </c>
      <c r="L265" s="966" t="str">
        <f t="shared" si="2"/>
        <v>METAMOOKDAWGS</v>
      </c>
      <c r="M265" s="967">
        <f t="array" ref="M265">IFERROR(IF(ABS(H265-I265)=0,Tie,ABS(H265-I265)),"UPCOMING")</f>
        <v>17.1</v>
      </c>
      <c r="N265" s="968">
        <f t="shared" si="3"/>
        <v>127</v>
      </c>
      <c r="O265" s="969">
        <f t="shared" si="4"/>
        <v>295</v>
      </c>
      <c r="P265" s="967">
        <f t="shared" si="5"/>
        <v>402.34</v>
      </c>
      <c r="Q265" s="968">
        <f t="shared" si="6"/>
        <v>49</v>
      </c>
      <c r="R265" s="967">
        <f t="shared" si="7"/>
        <v>88</v>
      </c>
      <c r="S265" s="968">
        <f t="shared" si="8"/>
        <v>27</v>
      </c>
      <c r="U265" s="13" t="str">
        <f>IFERROR(__xludf.DUMMYFUNCTION("IF($T265=""Y"",
  IFERROR(
    RANK.EQ($R265, FILTER($R:$R, $T:$T=""Y""), 1)
    + COUNTIFS($R:$R, $R265, $M:$M, ""&lt;""&amp;$M265, $T:$T, ""Y""),
    ""UPCOMING""
  ),
  ""NO REF""
)
"),"NO REF")</f>
        <v>NO REF</v>
      </c>
    </row>
    <row r="266" ht="15.75" customHeight="1">
      <c r="C266" s="13">
        <v>265.0</v>
      </c>
      <c r="D266" s="1525">
        <v>2023.0</v>
      </c>
      <c r="E266" s="217" t="s">
        <v>521</v>
      </c>
      <c r="F266" s="960" t="s">
        <v>671</v>
      </c>
      <c r="G266" s="961" t="str">
        <f>'League History BACKEND 2023'!$G$129</f>
        <v>DECOUPES</v>
      </c>
      <c r="H266" s="962">
        <v>179.73</v>
      </c>
      <c r="I266" s="963">
        <v>152.57</v>
      </c>
      <c r="J266" s="964" t="str">
        <f>'League History BACKEND 2023'!$J$129</f>
        <v>SAVAGES</v>
      </c>
      <c r="K266" s="965" t="str">
        <f t="shared" si="1"/>
        <v>DECOUPES</v>
      </c>
      <c r="L266" s="966" t="str">
        <f t="shared" si="2"/>
        <v>SAVAGES</v>
      </c>
      <c r="M266" s="967">
        <f t="array" ref="M266">IFERROR(IF(ABS(H266-I266)=0,Tie,ABS(H266-I266)),"UPCOMING")</f>
        <v>27.16</v>
      </c>
      <c r="N266" s="968">
        <f t="shared" si="3"/>
        <v>184</v>
      </c>
      <c r="O266" s="969">
        <f t="shared" si="4"/>
        <v>238</v>
      </c>
      <c r="P266" s="967">
        <f t="shared" si="5"/>
        <v>332.3</v>
      </c>
      <c r="Q266" s="968">
        <f t="shared" si="6"/>
        <v>210</v>
      </c>
      <c r="R266" s="967">
        <f t="shared" si="7"/>
        <v>197</v>
      </c>
      <c r="S266" s="968">
        <f t="shared" si="8"/>
        <v>173</v>
      </c>
      <c r="U266" s="13" t="str">
        <f>IFERROR(__xludf.DUMMYFUNCTION("IF($T266=""Y"",
  IFERROR(
    RANK.EQ($R266, FILTER($R:$R, $T:$T=""Y""), 1)
    + COUNTIFS($R:$R, $R266, $M:$M, ""&lt;""&amp;$M266, $T:$T, ""Y""),
    ""UPCOMING""
  ),
  ""NO REF""
)
"),"NO REF")</f>
        <v>NO REF</v>
      </c>
    </row>
    <row r="267" ht="15.75" customHeight="1">
      <c r="C267" s="13">
        <v>266.0</v>
      </c>
      <c r="D267" s="1525">
        <v>2023.0</v>
      </c>
      <c r="E267" s="217" t="s">
        <v>522</v>
      </c>
      <c r="F267" s="960" t="s">
        <v>663</v>
      </c>
      <c r="G267" s="961" t="str">
        <f>'League History BACKEND 2023'!$G$133</f>
        <v>GREEN</v>
      </c>
      <c r="H267" s="962">
        <v>165.94</v>
      </c>
      <c r="I267" s="963">
        <v>200.2</v>
      </c>
      <c r="J267" s="964" t="str">
        <f>'League History BACKEND 2023'!$J$133</f>
        <v>MUTTS</v>
      </c>
      <c r="K267" s="965" t="str">
        <f t="shared" si="1"/>
        <v>MUTTS</v>
      </c>
      <c r="L267" s="966" t="str">
        <f t="shared" si="2"/>
        <v>GREEN</v>
      </c>
      <c r="M267" s="967">
        <f t="array" ref="M267">IFERROR(IF(ABS(H267-I267)=0,Tie,ABS(H267-I267)),"UPCOMING")</f>
        <v>34.26</v>
      </c>
      <c r="N267" s="968">
        <f t="shared" si="3"/>
        <v>220</v>
      </c>
      <c r="O267" s="969">
        <f t="shared" si="4"/>
        <v>202</v>
      </c>
      <c r="P267" s="967">
        <f t="shared" si="5"/>
        <v>366.14</v>
      </c>
      <c r="Q267" s="968">
        <f t="shared" si="6"/>
        <v>122</v>
      </c>
      <c r="R267" s="967">
        <f t="shared" si="7"/>
        <v>171</v>
      </c>
      <c r="S267" s="968">
        <f t="shared" si="8"/>
        <v>125</v>
      </c>
      <c r="T267" s="18" t="s">
        <v>1160</v>
      </c>
      <c r="U267" s="13">
        <f>IFERROR(__xludf.DUMMYFUNCTION("IF($T267=""Y"",
  IFERROR(
    RANK.EQ($R267, FILTER($R:$R, $T:$T=""Y""), 1)
    + COUNTIFS($R:$R, $R267, $M:$M, ""&lt;""&amp;$M267, $T:$T, ""Y""),
    ""UPCOMING""
  ),
  ""NO REF""
)
"),24.0)</f>
        <v>24</v>
      </c>
    </row>
    <row r="268" ht="15.75" customHeight="1">
      <c r="C268" s="13">
        <v>267.0</v>
      </c>
      <c r="D268" s="1525">
        <v>2023.0</v>
      </c>
      <c r="E268" s="217" t="s">
        <v>522</v>
      </c>
      <c r="F268" s="960" t="s">
        <v>665</v>
      </c>
      <c r="G268" s="961" t="str">
        <f>'League History BACKEND 2023'!$G$136</f>
        <v>YARDIES</v>
      </c>
      <c r="H268" s="962">
        <v>208.02</v>
      </c>
      <c r="I268" s="963">
        <v>183.26</v>
      </c>
      <c r="J268" s="964" t="str">
        <f>'League History BACKEND 2023'!$J$136</f>
        <v>POPEYES</v>
      </c>
      <c r="K268" s="965" t="str">
        <f t="shared" si="1"/>
        <v>YARDIES</v>
      </c>
      <c r="L268" s="966" t="str">
        <f t="shared" si="2"/>
        <v>POPEYES</v>
      </c>
      <c r="M268" s="967">
        <f t="array" ref="M268">IFERROR(IF(ABS(H268-I268)=0,Tie,ABS(H268-I268)),"UPCOMING")</f>
        <v>24.76</v>
      </c>
      <c r="N268" s="968">
        <f t="shared" si="3"/>
        <v>172</v>
      </c>
      <c r="O268" s="969">
        <f t="shared" si="4"/>
        <v>250</v>
      </c>
      <c r="P268" s="967">
        <f t="shared" si="5"/>
        <v>391.28</v>
      </c>
      <c r="Q268" s="968">
        <f t="shared" si="6"/>
        <v>67</v>
      </c>
      <c r="R268" s="967">
        <f t="shared" si="7"/>
        <v>119.5</v>
      </c>
      <c r="S268" s="968">
        <f t="shared" si="8"/>
        <v>61</v>
      </c>
      <c r="U268" s="13" t="str">
        <f>IFERROR(__xludf.DUMMYFUNCTION("IF($T268=""Y"",
  IFERROR(
    RANK.EQ($R268, FILTER($R:$R, $T:$T=""Y""), 1)
    + COUNTIFS($R:$R, $R268, $M:$M, ""&lt;""&amp;$M268, $T:$T, ""Y""),
    ""UPCOMING""
  ),
  ""NO REF""
)
"),"NO REF")</f>
        <v>NO REF</v>
      </c>
    </row>
    <row r="269" ht="15.75" customHeight="1">
      <c r="C269" s="13">
        <v>268.0</v>
      </c>
      <c r="D269" s="1525">
        <v>2023.0</v>
      </c>
      <c r="E269" s="217" t="s">
        <v>522</v>
      </c>
      <c r="F269" s="960" t="s">
        <v>670</v>
      </c>
      <c r="G269" s="961" t="str">
        <f>'League History BACKEND 2023'!$G$138</f>
        <v>CHAMPS</v>
      </c>
      <c r="H269" s="962">
        <v>181.65</v>
      </c>
      <c r="I269" s="963">
        <v>197.39</v>
      </c>
      <c r="J269" s="964" t="str">
        <f>'League History BACKEND 2023'!$J$138</f>
        <v>DECOUPES</v>
      </c>
      <c r="K269" s="965" t="str">
        <f t="shared" si="1"/>
        <v>DECOUPES</v>
      </c>
      <c r="L269" s="966" t="str">
        <f t="shared" si="2"/>
        <v>CHAMPS</v>
      </c>
      <c r="M269" s="967">
        <f t="array" ref="M269">IFERROR(IF(ABS(H269-I269)=0,Tie,ABS(H269-I269)),"UPCOMING")</f>
        <v>15.74</v>
      </c>
      <c r="N269" s="968">
        <f t="shared" si="3"/>
        <v>117</v>
      </c>
      <c r="O269" s="969">
        <f t="shared" si="4"/>
        <v>305</v>
      </c>
      <c r="P269" s="967">
        <f t="shared" si="5"/>
        <v>379.04</v>
      </c>
      <c r="Q269" s="968">
        <f t="shared" si="6"/>
        <v>96</v>
      </c>
      <c r="R269" s="967">
        <f t="shared" si="7"/>
        <v>106.5</v>
      </c>
      <c r="S269" s="968">
        <f t="shared" si="8"/>
        <v>44</v>
      </c>
      <c r="U269" s="13" t="str">
        <f>IFERROR(__xludf.DUMMYFUNCTION("IF($T269=""Y"",
  IFERROR(
    RANK.EQ($R269, FILTER($R:$R, $T:$T=""Y""), 1)
    + COUNTIFS($R:$R, $R269, $M:$M, ""&lt;""&amp;$M269, $T:$T, ""Y""),
    ""UPCOMING""
  ),
  ""NO REF""
)
"),"NO REF")</f>
        <v>NO REF</v>
      </c>
    </row>
    <row r="270" ht="15.75" customHeight="1">
      <c r="C270" s="13">
        <v>269.0</v>
      </c>
      <c r="D270" s="1525">
        <v>2023.0</v>
      </c>
      <c r="E270" s="217" t="s">
        <v>522</v>
      </c>
      <c r="F270" s="960" t="s">
        <v>671</v>
      </c>
      <c r="G270" s="961" t="str">
        <f>'League History BACKEND 2023'!$G$140</f>
        <v>SAVAGES</v>
      </c>
      <c r="H270" s="962">
        <v>224.3</v>
      </c>
      <c r="I270" s="963">
        <v>114.18</v>
      </c>
      <c r="J270" s="964" t="str">
        <f>'League History BACKEND 2023'!$J$140</f>
        <v>METAMOOKDAWGS</v>
      </c>
      <c r="K270" s="965" t="str">
        <f t="shared" si="1"/>
        <v>SAVAGES</v>
      </c>
      <c r="L270" s="966" t="str">
        <f t="shared" si="2"/>
        <v>METAMOOKDAWGS</v>
      </c>
      <c r="M270" s="967">
        <f t="array" ref="M270">IFERROR(IF(ABS(H270-I270)=0,Tie,ABS(H270-I270)),"UPCOMING")</f>
        <v>110.12</v>
      </c>
      <c r="N270" s="968">
        <f t="shared" si="3"/>
        <v>411</v>
      </c>
      <c r="O270" s="969">
        <f t="shared" si="4"/>
        <v>11</v>
      </c>
      <c r="P270" s="967">
        <f t="shared" si="5"/>
        <v>338.48</v>
      </c>
      <c r="Q270" s="968">
        <f t="shared" si="6"/>
        <v>193</v>
      </c>
      <c r="R270" s="967">
        <f t="shared" si="7"/>
        <v>302</v>
      </c>
      <c r="S270" s="968">
        <f t="shared" si="8"/>
        <v>366</v>
      </c>
      <c r="U270" s="13" t="str">
        <f>IFERROR(__xludf.DUMMYFUNCTION("IF($T270=""Y"",
  IFERROR(
    RANK.EQ($R270, FILTER($R:$R, $T:$T=""Y""), 1)
    + COUNTIFS($R:$R, $R270, $M:$M, ""&lt;""&amp;$M270, $T:$T, ""Y""),
    ""UPCOMING""
  ),
  ""NO REF""
)
"),"NO REF")</f>
        <v>NO REF</v>
      </c>
    </row>
    <row r="271" ht="15.75" customHeight="1">
      <c r="C271" s="13">
        <v>270.0</v>
      </c>
      <c r="D271" s="1525">
        <v>2023.0</v>
      </c>
      <c r="E271" s="217" t="s">
        <v>523</v>
      </c>
      <c r="F271" s="960" t="s">
        <v>663</v>
      </c>
      <c r="G271" s="961" t="str">
        <f>'League History BACKEND 2023'!$G$144</f>
        <v>GREEN</v>
      </c>
      <c r="H271" s="962">
        <v>204.87</v>
      </c>
      <c r="I271" s="963">
        <v>120.39</v>
      </c>
      <c r="J271" s="964" t="str">
        <f>'League History BACKEND 2023'!$J$144</f>
        <v>SAVAGES</v>
      </c>
      <c r="K271" s="965" t="str">
        <f t="shared" si="1"/>
        <v>GREEN</v>
      </c>
      <c r="L271" s="966" t="str">
        <f t="shared" si="2"/>
        <v>SAVAGES</v>
      </c>
      <c r="M271" s="967">
        <f t="array" ref="M271">IFERROR(IF(ABS(H271-I271)=0,Tie,ABS(H271-I271)),"UPCOMING")</f>
        <v>84.48</v>
      </c>
      <c r="N271" s="968">
        <f t="shared" si="3"/>
        <v>398</v>
      </c>
      <c r="O271" s="969">
        <f t="shared" si="4"/>
        <v>24</v>
      </c>
      <c r="P271" s="967">
        <f t="shared" si="5"/>
        <v>325.26</v>
      </c>
      <c r="Q271" s="968">
        <f t="shared" si="6"/>
        <v>231</v>
      </c>
      <c r="R271" s="967">
        <f t="shared" si="7"/>
        <v>314.5</v>
      </c>
      <c r="S271" s="968">
        <f t="shared" si="8"/>
        <v>374</v>
      </c>
      <c r="T271" s="18" t="s">
        <v>1160</v>
      </c>
      <c r="U271" s="13">
        <f>IFERROR(__xludf.DUMMYFUNCTION("IF($T271=""Y"",
  IFERROR(
    RANK.EQ($R271, FILTER($R:$R, $T:$T=""Y""), 1)
    + COUNTIFS($R:$R, $R271, $M:$M, ""&lt;""&amp;$M271, $T:$T, ""Y""),
    ""UPCOMING""
  ),
  ""NO REF""
)
"),53.0)</f>
        <v>53</v>
      </c>
    </row>
    <row r="272" ht="15.75" customHeight="1">
      <c r="C272" s="13">
        <v>271.0</v>
      </c>
      <c r="D272" s="1525">
        <v>2023.0</v>
      </c>
      <c r="E272" s="217" t="s">
        <v>523</v>
      </c>
      <c r="F272" s="960" t="s">
        <v>665</v>
      </c>
      <c r="G272" s="961" t="str">
        <f>'League History BACKEND 2023'!$G$147</f>
        <v>MUTTS</v>
      </c>
      <c r="H272" s="962">
        <v>224.96</v>
      </c>
      <c r="I272" s="963">
        <v>230.52</v>
      </c>
      <c r="J272" s="964" t="str">
        <f>'League History BACKEND 2023'!$J$147</f>
        <v>METAMOOKDAWGS</v>
      </c>
      <c r="K272" s="965" t="str">
        <f t="shared" si="1"/>
        <v>METAMOOKDAWGS</v>
      </c>
      <c r="L272" s="966" t="str">
        <f t="shared" si="2"/>
        <v>MUTTS</v>
      </c>
      <c r="M272" s="967">
        <f t="array" ref="M272">IFERROR(IF(ABS(H272-I272)=0,Tie,ABS(H272-I272)),"UPCOMING")</f>
        <v>5.56</v>
      </c>
      <c r="N272" s="968">
        <f t="shared" si="3"/>
        <v>41</v>
      </c>
      <c r="O272" s="969">
        <f t="shared" si="4"/>
        <v>380</v>
      </c>
      <c r="P272" s="967">
        <f t="shared" si="5"/>
        <v>455.48</v>
      </c>
      <c r="Q272" s="968">
        <f t="shared" si="6"/>
        <v>7</v>
      </c>
      <c r="R272" s="967">
        <f t="shared" si="7"/>
        <v>24</v>
      </c>
      <c r="S272" s="968">
        <f t="shared" si="8"/>
        <v>4</v>
      </c>
      <c r="U272" s="13" t="str">
        <f>IFERROR(__xludf.DUMMYFUNCTION("IF($T272=""Y"",
  IFERROR(
    RANK.EQ($R272, FILTER($R:$R, $T:$T=""Y""), 1)
    + COUNTIFS($R:$R, $R272, $M:$M, ""&lt;""&amp;$M272, $T:$T, ""Y""),
    ""UPCOMING""
  ),
  ""NO REF""
)
"),"NO REF")</f>
        <v>NO REF</v>
      </c>
    </row>
    <row r="273" ht="15.75" customHeight="1">
      <c r="C273" s="13">
        <v>272.0</v>
      </c>
      <c r="D273" s="1525">
        <v>2023.0</v>
      </c>
      <c r="E273" s="217" t="s">
        <v>523</v>
      </c>
      <c r="F273" s="960" t="s">
        <v>670</v>
      </c>
      <c r="G273" s="961" t="str">
        <f>'League History BACKEND 2023'!$G$150</f>
        <v>YARDIES</v>
      </c>
      <c r="H273" s="962">
        <v>201.86</v>
      </c>
      <c r="I273" s="963">
        <v>208.6</v>
      </c>
      <c r="J273" s="964" t="str">
        <f>'League History BACKEND 2023'!$J$150</f>
        <v>CHAMPS</v>
      </c>
      <c r="K273" s="965" t="str">
        <f t="shared" si="1"/>
        <v>CHAMPS</v>
      </c>
      <c r="L273" s="966" t="str">
        <f t="shared" si="2"/>
        <v>YARDIES</v>
      </c>
      <c r="M273" s="967">
        <f t="array" ref="M273">IFERROR(IF(ABS(H273-I273)=0,Tie,ABS(H273-I273)),"UPCOMING")</f>
        <v>6.74</v>
      </c>
      <c r="N273" s="968">
        <f t="shared" si="3"/>
        <v>54</v>
      </c>
      <c r="O273" s="969">
        <f t="shared" si="4"/>
        <v>368</v>
      </c>
      <c r="P273" s="967">
        <f t="shared" si="5"/>
        <v>410.46</v>
      </c>
      <c r="Q273" s="968">
        <f t="shared" si="6"/>
        <v>39</v>
      </c>
      <c r="R273" s="967">
        <f t="shared" si="7"/>
        <v>46.5</v>
      </c>
      <c r="S273" s="968">
        <f t="shared" si="8"/>
        <v>9</v>
      </c>
      <c r="U273" s="13" t="str">
        <f>IFERROR(__xludf.DUMMYFUNCTION("IF($T273=""Y"",
  IFERROR(
    RANK.EQ($R273, FILTER($R:$R, $T:$T=""Y""), 1)
    + COUNTIFS($R:$R, $R273, $M:$M, ""&lt;""&amp;$M273, $T:$T, ""Y""),
    ""UPCOMING""
  ),
  ""NO REF""
)
"),"NO REF")</f>
        <v>NO REF</v>
      </c>
    </row>
    <row r="274" ht="15.75" customHeight="1">
      <c r="C274" s="13">
        <v>273.0</v>
      </c>
      <c r="D274" s="1525">
        <v>2023.0</v>
      </c>
      <c r="E274" s="217" t="s">
        <v>523</v>
      </c>
      <c r="F274" s="960" t="s">
        <v>671</v>
      </c>
      <c r="G274" s="961" t="str">
        <f>'League History BACKEND 2023'!$G$152</f>
        <v>POPEYES</v>
      </c>
      <c r="H274" s="962">
        <v>226.26</v>
      </c>
      <c r="I274" s="963">
        <v>166.76</v>
      </c>
      <c r="J274" s="964" t="str">
        <f>'League History BACKEND 2023'!$J$152</f>
        <v>DECOUPES</v>
      </c>
      <c r="K274" s="965" t="str">
        <f t="shared" si="1"/>
        <v>POPEYES</v>
      </c>
      <c r="L274" s="966" t="str">
        <f t="shared" si="2"/>
        <v>DECOUPES</v>
      </c>
      <c r="M274" s="967">
        <f t="array" ref="M274">IFERROR(IF(ABS(H274-I274)=0,Tie,ABS(H274-I274)),"UPCOMING")</f>
        <v>59.5</v>
      </c>
      <c r="N274" s="968">
        <f t="shared" si="3"/>
        <v>335</v>
      </c>
      <c r="O274" s="969">
        <f t="shared" si="4"/>
        <v>87</v>
      </c>
      <c r="P274" s="967">
        <f t="shared" si="5"/>
        <v>393.02</v>
      </c>
      <c r="Q274" s="968">
        <f t="shared" si="6"/>
        <v>65</v>
      </c>
      <c r="R274" s="967">
        <f t="shared" si="7"/>
        <v>200</v>
      </c>
      <c r="S274" s="968">
        <f t="shared" si="8"/>
        <v>183</v>
      </c>
      <c r="U274" s="13" t="str">
        <f>IFERROR(__xludf.DUMMYFUNCTION("IF($T274=""Y"",
  IFERROR(
    RANK.EQ($R274, FILTER($R:$R, $T:$T=""Y""), 1)
    + COUNTIFS($R:$R, $R274, $M:$M, ""&lt;""&amp;$M274, $T:$T, ""Y""),
    ""UPCOMING""
  ),
  ""NO REF""
)
"),"NO REF")</f>
        <v>NO REF</v>
      </c>
    </row>
    <row r="275" ht="15.75" customHeight="1">
      <c r="C275" s="13">
        <v>274.0</v>
      </c>
      <c r="D275" s="1525">
        <v>2023.0</v>
      </c>
      <c r="E275" s="217" t="s">
        <v>524</v>
      </c>
      <c r="F275" s="960" t="s">
        <v>663</v>
      </c>
      <c r="G275" s="961" t="str">
        <f>'League History BACKEND 2023'!$G$156</f>
        <v>GREEN</v>
      </c>
      <c r="H275" s="962">
        <v>189.42</v>
      </c>
      <c r="I275" s="963">
        <v>256.0</v>
      </c>
      <c r="J275" s="964" t="str">
        <f>'League History BACKEND 2023'!$J$156</f>
        <v>DECOUPES</v>
      </c>
      <c r="K275" s="965" t="str">
        <f t="shared" si="1"/>
        <v>DECOUPES</v>
      </c>
      <c r="L275" s="966" t="str">
        <f t="shared" si="2"/>
        <v>GREEN</v>
      </c>
      <c r="M275" s="967">
        <f t="array" ref="M275">IFERROR(IF(ABS(H275-I275)=0,Tie,ABS(H275-I275)),"UPCOMING")</f>
        <v>66.58</v>
      </c>
      <c r="N275" s="968">
        <f t="shared" si="3"/>
        <v>359</v>
      </c>
      <c r="O275" s="969">
        <f t="shared" si="4"/>
        <v>63</v>
      </c>
      <c r="P275" s="967">
        <f t="shared" si="5"/>
        <v>445.42</v>
      </c>
      <c r="Q275" s="968">
        <f t="shared" si="6"/>
        <v>12</v>
      </c>
      <c r="R275" s="967">
        <f t="shared" si="7"/>
        <v>185.5</v>
      </c>
      <c r="S275" s="968">
        <f t="shared" si="8"/>
        <v>155</v>
      </c>
      <c r="T275" s="18" t="s">
        <v>1160</v>
      </c>
      <c r="U275" s="13">
        <f>IFERROR(__xludf.DUMMYFUNCTION("IF($T275=""Y"",
  IFERROR(
    RANK.EQ($R275, FILTER($R:$R, $T:$T=""Y""), 1)
    + COUNTIFS($R:$R, $R275, $M:$M, ""&lt;""&amp;$M275, $T:$T, ""Y""),
    ""UPCOMING""
  ),
  ""NO REF""
)
"),31.0)</f>
        <v>31</v>
      </c>
    </row>
    <row r="276" ht="15.75" customHeight="1">
      <c r="C276" s="13">
        <v>275.0</v>
      </c>
      <c r="D276" s="1525">
        <v>2023.0</v>
      </c>
      <c r="E276" s="217" t="s">
        <v>524</v>
      </c>
      <c r="F276" s="960" t="s">
        <v>665</v>
      </c>
      <c r="G276" s="961" t="str">
        <f>'League History BACKEND 2023'!$G$159</f>
        <v>MUTTS</v>
      </c>
      <c r="H276" s="962">
        <v>217.26</v>
      </c>
      <c r="I276" s="963">
        <v>182.3</v>
      </c>
      <c r="J276" s="964" t="str">
        <f>'League History BACKEND 2023'!$J$159</f>
        <v>CHAMPS</v>
      </c>
      <c r="K276" s="965" t="str">
        <f t="shared" si="1"/>
        <v>MUTTS</v>
      </c>
      <c r="L276" s="966" t="str">
        <f t="shared" si="2"/>
        <v>CHAMPS</v>
      </c>
      <c r="M276" s="967">
        <f t="array" ref="M276">IFERROR(IF(ABS(H276-I276)=0,Tie,ABS(H276-I276)),"UPCOMING")</f>
        <v>34.96</v>
      </c>
      <c r="N276" s="968">
        <f t="shared" si="3"/>
        <v>226</v>
      </c>
      <c r="O276" s="969">
        <f t="shared" si="4"/>
        <v>196</v>
      </c>
      <c r="P276" s="967">
        <f t="shared" si="5"/>
        <v>399.56</v>
      </c>
      <c r="Q276" s="968">
        <f t="shared" si="6"/>
        <v>54</v>
      </c>
      <c r="R276" s="967">
        <f t="shared" si="7"/>
        <v>140</v>
      </c>
      <c r="S276" s="968">
        <f t="shared" si="8"/>
        <v>88</v>
      </c>
      <c r="U276" s="13" t="str">
        <f>IFERROR(__xludf.DUMMYFUNCTION("IF($T276=""Y"",
  IFERROR(
    RANK.EQ($R276, FILTER($R:$R, $T:$T=""Y""), 1)
    + COUNTIFS($R:$R, $R276, $M:$M, ""&lt;""&amp;$M276, $T:$T, ""Y""),
    ""UPCOMING""
  ),
  ""NO REF""
)
"),"NO REF")</f>
        <v>NO REF</v>
      </c>
    </row>
    <row r="277" ht="15.75" customHeight="1">
      <c r="C277" s="13">
        <v>276.0</v>
      </c>
      <c r="D277" s="1525">
        <v>2023.0</v>
      </c>
      <c r="E277" s="217" t="s">
        <v>524</v>
      </c>
      <c r="F277" s="960" t="s">
        <v>670</v>
      </c>
      <c r="G277" s="961" t="str">
        <f>'League History BACKEND 2023'!$G$162</f>
        <v>YARDIES</v>
      </c>
      <c r="H277" s="962">
        <v>189.91</v>
      </c>
      <c r="I277" s="963">
        <v>139.14</v>
      </c>
      <c r="J277" s="964" t="str">
        <f>'League History BACKEND 2023'!$J$162</f>
        <v>METAMOOKDAWGS</v>
      </c>
      <c r="K277" s="965" t="str">
        <f t="shared" si="1"/>
        <v>YARDIES</v>
      </c>
      <c r="L277" s="966" t="str">
        <f t="shared" si="2"/>
        <v>METAMOOKDAWGS</v>
      </c>
      <c r="M277" s="967">
        <f t="array" ref="M277">IFERROR(IF(ABS(H277-I277)=0,Tie,ABS(H277-I277)),"UPCOMING")</f>
        <v>50.77</v>
      </c>
      <c r="N277" s="968">
        <f t="shared" si="3"/>
        <v>312</v>
      </c>
      <c r="O277" s="969">
        <f t="shared" si="4"/>
        <v>110</v>
      </c>
      <c r="P277" s="967">
        <f t="shared" si="5"/>
        <v>329.05</v>
      </c>
      <c r="Q277" s="968">
        <f t="shared" si="6"/>
        <v>219</v>
      </c>
      <c r="R277" s="967">
        <f t="shared" si="7"/>
        <v>265.5</v>
      </c>
      <c r="S277" s="968">
        <f t="shared" si="8"/>
        <v>311</v>
      </c>
      <c r="U277" s="13" t="str">
        <f>IFERROR(__xludf.DUMMYFUNCTION("IF($T277=""Y"",
  IFERROR(
    RANK.EQ($R277, FILTER($R:$R, $T:$T=""Y""), 1)
    + COUNTIFS($R:$R, $R277, $M:$M, ""&lt;""&amp;$M277, $T:$T, ""Y""),
    ""UPCOMING""
  ),
  ""NO REF""
)
"),"NO REF")</f>
        <v>NO REF</v>
      </c>
    </row>
    <row r="278" ht="15.75" customHeight="1">
      <c r="C278" s="13">
        <v>277.0</v>
      </c>
      <c r="D278" s="1525">
        <v>2023.0</v>
      </c>
      <c r="E278" s="217" t="s">
        <v>524</v>
      </c>
      <c r="F278" s="960" t="s">
        <v>671</v>
      </c>
      <c r="G278" s="961" t="str">
        <f>'League History BACKEND 2023'!$G$164</f>
        <v>POPEYES</v>
      </c>
      <c r="H278" s="962">
        <v>219.36</v>
      </c>
      <c r="I278" s="963">
        <v>125.3</v>
      </c>
      <c r="J278" s="964" t="str">
        <f>'League History BACKEND 2023'!$J$164</f>
        <v>SAVAGES</v>
      </c>
      <c r="K278" s="965" t="str">
        <f t="shared" si="1"/>
        <v>POPEYES</v>
      </c>
      <c r="L278" s="966" t="str">
        <f t="shared" si="2"/>
        <v>SAVAGES</v>
      </c>
      <c r="M278" s="967">
        <f t="array" ref="M278">IFERROR(IF(ABS(H278-I278)=0,Tie,ABS(H278-I278)),"UPCOMING")</f>
        <v>94.06</v>
      </c>
      <c r="N278" s="968">
        <f t="shared" si="3"/>
        <v>405</v>
      </c>
      <c r="O278" s="969">
        <f t="shared" si="4"/>
        <v>17</v>
      </c>
      <c r="P278" s="967">
        <f t="shared" si="5"/>
        <v>344.66</v>
      </c>
      <c r="Q278" s="968">
        <f t="shared" si="6"/>
        <v>183</v>
      </c>
      <c r="R278" s="967">
        <f t="shared" si="7"/>
        <v>294</v>
      </c>
      <c r="S278" s="968">
        <f t="shared" si="8"/>
        <v>352</v>
      </c>
      <c r="U278" s="13" t="str">
        <f>IFERROR(__xludf.DUMMYFUNCTION("IF($T278=""Y"",
  IFERROR(
    RANK.EQ($R278, FILTER($R:$R, $T:$T=""Y""), 1)
    + COUNTIFS($R:$R, $R278, $M:$M, ""&lt;""&amp;$M278, $T:$T, ""Y""),
    ""UPCOMING""
  ),
  ""NO REF""
)
"),"NO REF")</f>
        <v>NO REF</v>
      </c>
    </row>
    <row r="279" ht="15.75" customHeight="1">
      <c r="C279" s="13">
        <v>278.0</v>
      </c>
      <c r="D279" s="1525">
        <v>2023.0</v>
      </c>
      <c r="E279" s="217" t="s">
        <v>525</v>
      </c>
      <c r="F279" s="960" t="s">
        <v>663</v>
      </c>
      <c r="G279" s="961" t="str">
        <f>'League History BACKEND 2023'!$G$168</f>
        <v>GREEN</v>
      </c>
      <c r="H279" s="962">
        <v>159.65</v>
      </c>
      <c r="I279" s="963">
        <v>223.14</v>
      </c>
      <c r="J279" s="964" t="str">
        <f>'League History BACKEND 2023'!$J$168</f>
        <v>POPEYES</v>
      </c>
      <c r="K279" s="965" t="str">
        <f t="shared" si="1"/>
        <v>POPEYES</v>
      </c>
      <c r="L279" s="966" t="str">
        <f t="shared" si="2"/>
        <v>GREEN</v>
      </c>
      <c r="M279" s="967">
        <f t="array" ref="M279">IFERROR(IF(ABS(H279-I279)=0,Tie,ABS(H279-I279)),"UPCOMING")</f>
        <v>63.49</v>
      </c>
      <c r="N279" s="968">
        <f t="shared" si="3"/>
        <v>349</v>
      </c>
      <c r="O279" s="969">
        <f t="shared" si="4"/>
        <v>73</v>
      </c>
      <c r="P279" s="967">
        <f t="shared" si="5"/>
        <v>382.79</v>
      </c>
      <c r="Q279" s="968">
        <f t="shared" si="6"/>
        <v>84</v>
      </c>
      <c r="R279" s="967">
        <f t="shared" si="7"/>
        <v>216.5</v>
      </c>
      <c r="S279" s="968">
        <f t="shared" si="8"/>
        <v>221</v>
      </c>
      <c r="U279" s="13" t="str">
        <f>IFERROR(__xludf.DUMMYFUNCTION("IF($T279=""Y"",
  IFERROR(
    RANK.EQ($R279, FILTER($R:$R, $T:$T=""Y""), 1)
    + COUNTIFS($R:$R, $R279, $M:$M, ""&lt;""&amp;$M279, $T:$T, ""Y""),
    ""UPCOMING""
  ),
  ""NO REF""
)
"),"NO REF")</f>
        <v>NO REF</v>
      </c>
    </row>
    <row r="280" ht="15.75" customHeight="1">
      <c r="C280" s="13">
        <v>279.0</v>
      </c>
      <c r="D280" s="1525">
        <v>2023.0</v>
      </c>
      <c r="E280" s="217" t="s">
        <v>525</v>
      </c>
      <c r="F280" s="960" t="s">
        <v>665</v>
      </c>
      <c r="G280" s="961" t="str">
        <f>'League History BACKEND 2023'!$G$171</f>
        <v>MUTTS</v>
      </c>
      <c r="H280" s="962">
        <v>180.71</v>
      </c>
      <c r="I280" s="963">
        <v>200.52</v>
      </c>
      <c r="J280" s="964" t="str">
        <f>'League History BACKEND 2023'!$J$171</f>
        <v>YARDIES</v>
      </c>
      <c r="K280" s="965" t="str">
        <f t="shared" si="1"/>
        <v>YARDIES</v>
      </c>
      <c r="L280" s="966" t="str">
        <f t="shared" si="2"/>
        <v>MUTTS</v>
      </c>
      <c r="M280" s="967">
        <f t="array" ref="M280">IFERROR(IF(ABS(H280-I280)=0,Tie,ABS(H280-I280)),"UPCOMING")</f>
        <v>19.81</v>
      </c>
      <c r="N280" s="968">
        <f t="shared" si="3"/>
        <v>142</v>
      </c>
      <c r="O280" s="969">
        <f t="shared" si="4"/>
        <v>280</v>
      </c>
      <c r="P280" s="967">
        <f t="shared" si="5"/>
        <v>381.23</v>
      </c>
      <c r="Q280" s="968">
        <f t="shared" si="6"/>
        <v>89</v>
      </c>
      <c r="R280" s="967">
        <f t="shared" si="7"/>
        <v>115.5</v>
      </c>
      <c r="S280" s="968">
        <f t="shared" si="8"/>
        <v>54</v>
      </c>
      <c r="T280" s="18" t="s">
        <v>1160</v>
      </c>
      <c r="U280" s="13">
        <f>IFERROR(__xludf.DUMMYFUNCTION("IF($T280=""Y"",
  IFERROR(
    RANK.EQ($R280, FILTER($R:$R, $T:$T=""Y""), 1)
    + COUNTIFS($R:$R, $R280, $M:$M, ""&lt;""&amp;$M280, $T:$T, ""Y""),
    ""UPCOMING""
  ),
  ""NO REF""
)
"),6.0)</f>
        <v>6</v>
      </c>
    </row>
    <row r="281" ht="15.75" customHeight="1">
      <c r="C281" s="13">
        <v>280.0</v>
      </c>
      <c r="D281" s="1525">
        <v>2023.0</v>
      </c>
      <c r="E281" s="217" t="s">
        <v>525</v>
      </c>
      <c r="F281" s="960" t="s">
        <v>670</v>
      </c>
      <c r="G281" s="961" t="str">
        <f>'League History BACKEND 2023'!$G$174</f>
        <v>CHAMPS</v>
      </c>
      <c r="H281" s="962">
        <v>186.01</v>
      </c>
      <c r="I281" s="963">
        <v>168.9</v>
      </c>
      <c r="J281" s="964" t="str">
        <f>'League History BACKEND 2023'!$J$174</f>
        <v>METAMOOKDAWGS</v>
      </c>
      <c r="K281" s="965" t="str">
        <f t="shared" si="1"/>
        <v>CHAMPS</v>
      </c>
      <c r="L281" s="966" t="str">
        <f t="shared" si="2"/>
        <v>METAMOOKDAWGS</v>
      </c>
      <c r="M281" s="967">
        <f t="array" ref="M281">IFERROR(IF(ABS(H281-I281)=0,Tie,ABS(H281-I281)),"UPCOMING")</f>
        <v>17.11</v>
      </c>
      <c r="N281" s="968">
        <f t="shared" si="3"/>
        <v>128</v>
      </c>
      <c r="O281" s="969">
        <f t="shared" si="4"/>
        <v>294</v>
      </c>
      <c r="P281" s="967">
        <f t="shared" si="5"/>
        <v>354.91</v>
      </c>
      <c r="Q281" s="968">
        <f t="shared" si="6"/>
        <v>150</v>
      </c>
      <c r="R281" s="967">
        <f t="shared" si="7"/>
        <v>139</v>
      </c>
      <c r="S281" s="968">
        <f t="shared" si="8"/>
        <v>85</v>
      </c>
      <c r="U281" s="13" t="str">
        <f>IFERROR(__xludf.DUMMYFUNCTION("IF($T281=""Y"",
  IFERROR(
    RANK.EQ($R281, FILTER($R:$R, $T:$T=""Y""), 1)
    + COUNTIFS($R:$R, $R281, $M:$M, ""&lt;""&amp;$M281, $T:$T, ""Y""),
    ""UPCOMING""
  ),
  ""NO REF""
)
"),"NO REF")</f>
        <v>NO REF</v>
      </c>
    </row>
    <row r="282" ht="15.75" customHeight="1">
      <c r="C282" s="13">
        <v>281.0</v>
      </c>
      <c r="D282" s="1525">
        <v>2023.0</v>
      </c>
      <c r="E282" s="217" t="s">
        <v>525</v>
      </c>
      <c r="F282" s="960" t="s">
        <v>671</v>
      </c>
      <c r="G282" s="961" t="s">
        <v>493</v>
      </c>
      <c r="H282" s="962">
        <v>205.02</v>
      </c>
      <c r="I282" s="963">
        <v>93.03</v>
      </c>
      <c r="J282" s="964" t="s">
        <v>497</v>
      </c>
      <c r="K282" s="965" t="str">
        <f t="shared" si="1"/>
        <v>DECOUPES</v>
      </c>
      <c r="L282" s="966" t="str">
        <f t="shared" si="2"/>
        <v>SAVAGES</v>
      </c>
      <c r="M282" s="967">
        <f t="array" ref="M282">IFERROR(IF(ABS(H282-I282)=0,Tie,ABS(H282-I282)),"UPCOMING")</f>
        <v>111.99</v>
      </c>
      <c r="N282" s="968">
        <f t="shared" si="3"/>
        <v>413</v>
      </c>
      <c r="O282" s="969">
        <f t="shared" si="4"/>
        <v>9</v>
      </c>
      <c r="P282" s="967">
        <f t="shared" si="5"/>
        <v>298.05</v>
      </c>
      <c r="Q282" s="968">
        <f t="shared" si="6"/>
        <v>309</v>
      </c>
      <c r="R282" s="967">
        <f t="shared" si="7"/>
        <v>361</v>
      </c>
      <c r="S282" s="968">
        <f t="shared" si="8"/>
        <v>415</v>
      </c>
      <c r="U282" s="13" t="str">
        <f>IFERROR(__xludf.DUMMYFUNCTION("IF($T282=""Y"",
  IFERROR(
    RANK.EQ($R282, FILTER($R:$R, $T:$T=""Y""), 1)
    + COUNTIFS($R:$R, $R282, $M:$M, ""&lt;""&amp;$M282, $T:$T, ""Y""),
    ""UPCOMING""
  ),
  ""NO REF""
)
"),"NO REF")</f>
        <v>NO REF</v>
      </c>
    </row>
    <row r="283" ht="15.75" customHeight="1">
      <c r="C283" s="13">
        <v>282.0</v>
      </c>
      <c r="D283" s="1567">
        <v>2024.0</v>
      </c>
      <c r="E283" s="217" t="s">
        <v>512</v>
      </c>
      <c r="F283" s="960" t="s">
        <v>1120</v>
      </c>
      <c r="G283" s="961" t="s">
        <v>494</v>
      </c>
      <c r="H283" s="1568">
        <v>177.68</v>
      </c>
      <c r="I283" s="1569">
        <v>104.82999999999998</v>
      </c>
      <c r="J283" s="964" t="s">
        <v>536</v>
      </c>
      <c r="K283" s="965" t="s">
        <v>494</v>
      </c>
      <c r="L283" s="966" t="str">
        <f t="shared" si="2"/>
        <v>CHAMPS</v>
      </c>
      <c r="M283" s="967">
        <f t="array" ref="M283">IFERROR(IF(ABS(H283-I283)=0,Tie,ABS(H283-I283)),"UPCOMING")</f>
        <v>72.85</v>
      </c>
      <c r="N283" s="968">
        <f t="shared" si="3"/>
        <v>372</v>
      </c>
      <c r="O283" s="969">
        <f t="shared" si="4"/>
        <v>50</v>
      </c>
      <c r="P283" s="967">
        <f t="shared" si="5"/>
        <v>282.51</v>
      </c>
      <c r="Q283" s="968">
        <f t="shared" si="6"/>
        <v>343</v>
      </c>
      <c r="R283" s="967">
        <f t="shared" si="7"/>
        <v>357.5</v>
      </c>
      <c r="S283" s="968">
        <f t="shared" si="8"/>
        <v>411</v>
      </c>
      <c r="U283" s="13" t="str">
        <f>IFERROR(__xludf.DUMMYFUNCTION("IF($T283=""Y"",
  IFERROR(
    RANK.EQ($R283, FILTER($R:$R, $T:$T=""Y""), 1)
    + COUNTIFS($R:$R, $R283, $M:$M, ""&lt;""&amp;$M283, $T:$T, ""Y""),
    ""UPCOMING""
  ),
  ""NO REF""
)
"),"NO REF")</f>
        <v>NO REF</v>
      </c>
    </row>
    <row r="284" ht="15.75" customHeight="1">
      <c r="C284" s="13">
        <v>283.0</v>
      </c>
      <c r="D284" s="1567">
        <v>2024.0</v>
      </c>
      <c r="E284" s="217" t="s">
        <v>512</v>
      </c>
      <c r="F284" s="960" t="s">
        <v>1125</v>
      </c>
      <c r="G284" s="961" t="s">
        <v>493</v>
      </c>
      <c r="H284" s="1568">
        <v>124.66000000000003</v>
      </c>
      <c r="I284" s="1569">
        <v>125.7</v>
      </c>
      <c r="J284" s="964" t="s">
        <v>477</v>
      </c>
      <c r="K284" s="965" t="s">
        <v>477</v>
      </c>
      <c r="L284" s="966" t="str">
        <f t="shared" si="2"/>
        <v>DECOUPES</v>
      </c>
      <c r="M284" s="967">
        <f t="array" ref="M284">IFERROR(IF(ABS(H284-I284)=0,Tie,ABS(H284-I284)),"UPCOMING")</f>
        <v>1.04</v>
      </c>
      <c r="N284" s="968">
        <f t="shared" si="3"/>
        <v>14</v>
      </c>
      <c r="O284" s="969">
        <f t="shared" si="4"/>
        <v>408</v>
      </c>
      <c r="P284" s="967">
        <f t="shared" si="5"/>
        <v>250.36</v>
      </c>
      <c r="Q284" s="968">
        <f t="shared" si="6"/>
        <v>400</v>
      </c>
      <c r="R284" s="967">
        <f t="shared" si="7"/>
        <v>207</v>
      </c>
      <c r="S284" s="968">
        <f t="shared" si="8"/>
        <v>196</v>
      </c>
      <c r="T284" s="18" t="s">
        <v>1160</v>
      </c>
      <c r="U284" s="13">
        <f>IFERROR(__xludf.DUMMYFUNCTION("IF($T284=""Y"",
  IFERROR(
    RANK.EQ($R284, FILTER($R:$R, $T:$T=""Y""), 1)
    + COUNTIFS($R:$R, $R284, $M:$M, ""&lt;""&amp;$M284, $T:$T, ""Y""),
    ""UPCOMING""
  ),
  ""NO REF""
)
"),34.0)</f>
        <v>34</v>
      </c>
    </row>
    <row r="285" ht="15.75" customHeight="1">
      <c r="C285" s="13">
        <v>284.0</v>
      </c>
      <c r="D285" s="1567">
        <v>2024.0</v>
      </c>
      <c r="E285" s="217" t="s">
        <v>512</v>
      </c>
      <c r="F285" s="960" t="s">
        <v>1126</v>
      </c>
      <c r="G285" s="961" t="s">
        <v>495</v>
      </c>
      <c r="H285" s="1568">
        <v>163.72</v>
      </c>
      <c r="I285" s="1569">
        <v>166.2</v>
      </c>
      <c r="J285" s="964" t="s">
        <v>497</v>
      </c>
      <c r="K285" s="965" t="s">
        <v>497</v>
      </c>
      <c r="L285" s="966" t="str">
        <f t="shared" si="2"/>
        <v>GREEN</v>
      </c>
      <c r="M285" s="967">
        <f t="array" ref="M285">IFERROR(IF(ABS(H285-I285)=0,Tie,ABS(H285-I285)),"UPCOMING")</f>
        <v>2.48</v>
      </c>
      <c r="N285" s="968">
        <f t="shared" si="3"/>
        <v>25</v>
      </c>
      <c r="O285" s="969">
        <f t="shared" si="4"/>
        <v>397</v>
      </c>
      <c r="P285" s="967">
        <f t="shared" si="5"/>
        <v>329.92</v>
      </c>
      <c r="Q285" s="968">
        <f t="shared" si="6"/>
        <v>218</v>
      </c>
      <c r="R285" s="967">
        <f t="shared" si="7"/>
        <v>121.5</v>
      </c>
      <c r="S285" s="968">
        <f t="shared" si="8"/>
        <v>62</v>
      </c>
      <c r="U285" s="13" t="str">
        <f>IFERROR(__xludf.DUMMYFUNCTION("IF($T285=""Y"",
  IFERROR(
    RANK.EQ($R285, FILTER($R:$R, $T:$T=""Y""), 1)
    + COUNTIFS($R:$R, $R285, $M:$M, ""&lt;""&amp;$M285, $T:$T, ""Y""),
    ""UPCOMING""
  ),
  ""NO REF""
)
"),"NO REF")</f>
        <v>NO REF</v>
      </c>
    </row>
    <row r="286" ht="15.75" customHeight="1">
      <c r="C286" s="13">
        <v>285.0</v>
      </c>
      <c r="D286" s="1567">
        <v>2024.0</v>
      </c>
      <c r="E286" s="217" t="s">
        <v>512</v>
      </c>
      <c r="F286" s="960" t="s">
        <v>1127</v>
      </c>
      <c r="G286" s="961" t="s">
        <v>537</v>
      </c>
      <c r="H286" s="1568">
        <v>147.47000000000003</v>
      </c>
      <c r="I286" s="1569">
        <v>166.11999999999998</v>
      </c>
      <c r="J286" s="964" t="s">
        <v>478</v>
      </c>
      <c r="K286" s="965" t="s">
        <v>478</v>
      </c>
      <c r="L286" s="966" t="str">
        <f t="shared" si="2"/>
        <v>YARDIES</v>
      </c>
      <c r="M286" s="967">
        <f t="array" ref="M286">IFERROR(IF(ABS(H286-I286)=0,Tie,ABS(H286-I286)),"UPCOMING")</f>
        <v>18.65</v>
      </c>
      <c r="N286" s="968">
        <f t="shared" si="3"/>
        <v>137</v>
      </c>
      <c r="O286" s="969">
        <f t="shared" si="4"/>
        <v>285</v>
      </c>
      <c r="P286" s="967">
        <f t="shared" si="5"/>
        <v>313.59</v>
      </c>
      <c r="Q286" s="968">
        <f t="shared" si="6"/>
        <v>266</v>
      </c>
      <c r="R286" s="967">
        <f t="shared" si="7"/>
        <v>201.5</v>
      </c>
      <c r="S286" s="968">
        <f t="shared" si="8"/>
        <v>185</v>
      </c>
      <c r="U286" s="13" t="str">
        <f>IFERROR(__xludf.DUMMYFUNCTION("IF($T286=""Y"",
  IFERROR(
    RANK.EQ($R286, FILTER($R:$R, $T:$T=""Y""), 1)
    + COUNTIFS($R:$R, $R286, $M:$M, ""&lt;""&amp;$M286, $T:$T, ""Y""),
    ""UPCOMING""
  ),
  ""NO REF""
)
"),"NO REF")</f>
        <v>NO REF</v>
      </c>
    </row>
    <row r="287" ht="15.75" customHeight="1">
      <c r="C287" s="13">
        <v>286.0</v>
      </c>
      <c r="D287" s="1567">
        <v>2024.0</v>
      </c>
      <c r="E287" s="217" t="s">
        <v>512</v>
      </c>
      <c r="F287" s="960" t="s">
        <v>1128</v>
      </c>
      <c r="G287" s="961" t="s">
        <v>538</v>
      </c>
      <c r="H287" s="1568">
        <v>194.0</v>
      </c>
      <c r="I287" s="1569">
        <v>126.3</v>
      </c>
      <c r="J287" s="964" t="s">
        <v>578</v>
      </c>
      <c r="K287" s="965" t="s">
        <v>538</v>
      </c>
      <c r="L287" s="966" t="str">
        <f t="shared" si="2"/>
        <v>METAMOOKDAWGS</v>
      </c>
      <c r="M287" s="967">
        <f t="array" ref="M287">IFERROR(IF(ABS(H287-I287)=0,Tie,ABS(H287-I287)),"UPCOMING")</f>
        <v>67.7</v>
      </c>
      <c r="N287" s="968">
        <f t="shared" si="3"/>
        <v>365</v>
      </c>
      <c r="O287" s="969">
        <f t="shared" si="4"/>
        <v>57</v>
      </c>
      <c r="P287" s="967">
        <f t="shared" si="5"/>
        <v>320.3</v>
      </c>
      <c r="Q287" s="968">
        <f t="shared" si="6"/>
        <v>247</v>
      </c>
      <c r="R287" s="967">
        <f t="shared" si="7"/>
        <v>306</v>
      </c>
      <c r="S287" s="968">
        <f t="shared" si="8"/>
        <v>369</v>
      </c>
      <c r="U287" s="13" t="str">
        <f>IFERROR(__xludf.DUMMYFUNCTION("IF($T287=""Y"",
  IFERROR(
    RANK.EQ($R287, FILTER($R:$R, $T:$T=""Y""), 1)
    + COUNTIFS($R:$R, $R287, $M:$M, ""&lt;""&amp;$M287, $T:$T, ""Y""),
    ""UPCOMING""
  ),
  ""NO REF""
)
"),"NO REF")</f>
        <v>NO REF</v>
      </c>
    </row>
    <row r="288" ht="15.75" customHeight="1">
      <c r="C288" s="13">
        <v>287.0</v>
      </c>
      <c r="D288" s="1567">
        <v>2024.0</v>
      </c>
      <c r="E288" s="217" t="s">
        <v>513</v>
      </c>
      <c r="F288" s="960" t="s">
        <v>1120</v>
      </c>
      <c r="G288" s="961" t="s">
        <v>536</v>
      </c>
      <c r="H288" s="1568">
        <v>147.37</v>
      </c>
      <c r="I288" s="1569">
        <v>135.6</v>
      </c>
      <c r="J288" s="964" t="s">
        <v>578</v>
      </c>
      <c r="K288" s="965" t="s">
        <v>536</v>
      </c>
      <c r="L288" s="966" t="str">
        <f t="shared" si="2"/>
        <v>METAMOOKDAWGS</v>
      </c>
      <c r="M288" s="967">
        <f t="array" ref="M288">IFERROR(IF(ABS(H288-I288)=0,Tie,ABS(H288-I288)),"UPCOMING")</f>
        <v>11.77</v>
      </c>
      <c r="N288" s="968">
        <f t="shared" si="3"/>
        <v>90</v>
      </c>
      <c r="O288" s="969">
        <f t="shared" si="4"/>
        <v>332</v>
      </c>
      <c r="P288" s="967">
        <f t="shared" si="5"/>
        <v>282.97</v>
      </c>
      <c r="Q288" s="968">
        <f t="shared" si="6"/>
        <v>341</v>
      </c>
      <c r="R288" s="967">
        <f t="shared" si="7"/>
        <v>215.5</v>
      </c>
      <c r="S288" s="968">
        <f t="shared" si="8"/>
        <v>215</v>
      </c>
      <c r="U288" s="13" t="str">
        <f>IFERROR(__xludf.DUMMYFUNCTION("IF($T288=""Y"",
  IFERROR(
    RANK.EQ($R288, FILTER($R:$R, $T:$T=""Y""), 1)
    + COUNTIFS($R:$R, $R288, $M:$M, ""&lt;""&amp;$M288, $T:$T, ""Y""),
    ""UPCOMING""
  ),
  ""NO REF""
)
"),"NO REF")</f>
        <v>NO REF</v>
      </c>
    </row>
    <row r="289" ht="15.75" customHeight="1">
      <c r="C289" s="13">
        <v>288.0</v>
      </c>
      <c r="D289" s="1567">
        <v>2024.0</v>
      </c>
      <c r="E289" s="217" t="s">
        <v>513</v>
      </c>
      <c r="F289" s="960" t="s">
        <v>1125</v>
      </c>
      <c r="G289" s="961" t="s">
        <v>497</v>
      </c>
      <c r="H289" s="1568">
        <v>116.22999999999998</v>
      </c>
      <c r="I289" s="1569">
        <v>161.44</v>
      </c>
      <c r="J289" s="964" t="s">
        <v>477</v>
      </c>
      <c r="K289" s="965" t="s">
        <v>477</v>
      </c>
      <c r="L289" s="966" t="str">
        <f t="shared" si="2"/>
        <v>SAVAGES</v>
      </c>
      <c r="M289" s="967">
        <f t="array" ref="M289">IFERROR(IF(ABS(H289-I289)=0,Tie,ABS(H289-I289)),"UPCOMING")</f>
        <v>45.21</v>
      </c>
      <c r="N289" s="968">
        <f t="shared" si="3"/>
        <v>286</v>
      </c>
      <c r="O289" s="969">
        <f t="shared" si="4"/>
        <v>136</v>
      </c>
      <c r="P289" s="967">
        <f t="shared" si="5"/>
        <v>277.67</v>
      </c>
      <c r="Q289" s="968">
        <f t="shared" si="6"/>
        <v>360</v>
      </c>
      <c r="R289" s="967">
        <f t="shared" si="7"/>
        <v>323</v>
      </c>
      <c r="S289" s="968">
        <f t="shared" si="8"/>
        <v>383</v>
      </c>
      <c r="U289" s="13" t="str">
        <f>IFERROR(__xludf.DUMMYFUNCTION("IF($T289=""Y"",
  IFERROR(
    RANK.EQ($R289, FILTER($R:$R, $T:$T=""Y""), 1)
    + COUNTIFS($R:$R, $R289, $M:$M, ""&lt;""&amp;$M289, $T:$T, ""Y""),
    ""UPCOMING""
  ),
  ""NO REF""
)
"),"NO REF")</f>
        <v>NO REF</v>
      </c>
    </row>
    <row r="290" ht="15.75" customHeight="1">
      <c r="C290" s="13">
        <v>289.0</v>
      </c>
      <c r="D290" s="1567">
        <v>2024.0</v>
      </c>
      <c r="E290" s="217" t="s">
        <v>513</v>
      </c>
      <c r="F290" s="960" t="s">
        <v>1126</v>
      </c>
      <c r="G290" s="961" t="s">
        <v>538</v>
      </c>
      <c r="H290" s="1568">
        <v>107.41</v>
      </c>
      <c r="I290" s="1569">
        <v>210.67</v>
      </c>
      <c r="J290" s="964" t="s">
        <v>478</v>
      </c>
      <c r="K290" s="965" t="s">
        <v>478</v>
      </c>
      <c r="L290" s="966" t="str">
        <f t="shared" si="2"/>
        <v>MUTTS</v>
      </c>
      <c r="M290" s="967">
        <f t="array" ref="M290">IFERROR(IF(ABS(H290-I290)=0,Tie,ABS(H290-I290)),"UPCOMING")</f>
        <v>103.26</v>
      </c>
      <c r="N290" s="968">
        <f t="shared" si="3"/>
        <v>410</v>
      </c>
      <c r="O290" s="969">
        <f t="shared" si="4"/>
        <v>12</v>
      </c>
      <c r="P290" s="967">
        <f t="shared" si="5"/>
        <v>318.08</v>
      </c>
      <c r="Q290" s="968">
        <f t="shared" si="6"/>
        <v>252</v>
      </c>
      <c r="R290" s="967">
        <f t="shared" si="7"/>
        <v>331</v>
      </c>
      <c r="S290" s="968">
        <f t="shared" si="8"/>
        <v>394</v>
      </c>
      <c r="T290" s="18" t="s">
        <v>1160</v>
      </c>
      <c r="U290" s="13">
        <f>IFERROR(__xludf.DUMMYFUNCTION("IF($T290=""Y"",
  IFERROR(
    RANK.EQ($R290, FILTER($R:$R, $T:$T=""Y""), 1)
    + COUNTIFS($R:$R, $R290, $M:$M, ""&lt;""&amp;$M290, $T:$T, ""Y""),
    ""UPCOMING""
  ),
  ""NO REF""
)
"),55.0)</f>
        <v>55</v>
      </c>
    </row>
    <row r="291" ht="15.75" customHeight="1">
      <c r="C291" s="13">
        <v>290.0</v>
      </c>
      <c r="D291" s="1567">
        <v>2024.0</v>
      </c>
      <c r="E291" s="217" t="s">
        <v>513</v>
      </c>
      <c r="F291" s="960" t="s">
        <v>1127</v>
      </c>
      <c r="G291" s="961" t="s">
        <v>494</v>
      </c>
      <c r="H291" s="1568">
        <v>194.83</v>
      </c>
      <c r="I291" s="1569">
        <v>176.31</v>
      </c>
      <c r="J291" s="964" t="s">
        <v>495</v>
      </c>
      <c r="K291" s="965" t="s">
        <v>494</v>
      </c>
      <c r="L291" s="966" t="str">
        <f t="shared" si="2"/>
        <v>GREEN</v>
      </c>
      <c r="M291" s="967">
        <f t="array" ref="M291">IFERROR(IF(ABS(H291-I291)=0,Tie,ABS(H291-I291)),"UPCOMING")</f>
        <v>18.52</v>
      </c>
      <c r="N291" s="968">
        <f t="shared" si="3"/>
        <v>136</v>
      </c>
      <c r="O291" s="969">
        <f t="shared" si="4"/>
        <v>286</v>
      </c>
      <c r="P291" s="967">
        <f t="shared" si="5"/>
        <v>371.14</v>
      </c>
      <c r="Q291" s="968">
        <f t="shared" si="6"/>
        <v>114</v>
      </c>
      <c r="R291" s="967">
        <f t="shared" si="7"/>
        <v>125</v>
      </c>
      <c r="S291" s="968">
        <f t="shared" si="8"/>
        <v>68</v>
      </c>
      <c r="U291" s="13" t="str">
        <f>IFERROR(__xludf.DUMMYFUNCTION("IF($T291=""Y"",
  IFERROR(
    RANK.EQ($R291, FILTER($R:$R, $T:$T=""Y""), 1)
    + COUNTIFS($R:$R, $R291, $M:$M, ""&lt;""&amp;$M291, $T:$T, ""Y""),
    ""UPCOMING""
  ),
  ""NO REF""
)
"),"NO REF")</f>
        <v>NO REF</v>
      </c>
    </row>
    <row r="292" ht="15.75" customHeight="1">
      <c r="C292" s="13">
        <v>291.0</v>
      </c>
      <c r="D292" s="1567">
        <v>2024.0</v>
      </c>
      <c r="E292" s="217" t="s">
        <v>513</v>
      </c>
      <c r="F292" s="960" t="s">
        <v>1128</v>
      </c>
      <c r="G292" s="961" t="s">
        <v>493</v>
      </c>
      <c r="H292" s="1568">
        <v>181.54999999999998</v>
      </c>
      <c r="I292" s="1569">
        <v>155.19</v>
      </c>
      <c r="J292" s="964" t="s">
        <v>537</v>
      </c>
      <c r="K292" s="965" t="s">
        <v>493</v>
      </c>
      <c r="L292" s="966" t="str">
        <f t="shared" si="2"/>
        <v>YARDIES</v>
      </c>
      <c r="M292" s="967">
        <f t="array" ref="M292">IFERROR(IF(ABS(H292-I292)=0,Tie,ABS(H292-I292)),"UPCOMING")</f>
        <v>26.36</v>
      </c>
      <c r="N292" s="968">
        <f t="shared" si="3"/>
        <v>176</v>
      </c>
      <c r="O292" s="969">
        <f t="shared" si="4"/>
        <v>245</v>
      </c>
      <c r="P292" s="967">
        <f t="shared" si="5"/>
        <v>336.74</v>
      </c>
      <c r="Q292" s="968">
        <f t="shared" si="6"/>
        <v>200</v>
      </c>
      <c r="R292" s="967">
        <f t="shared" si="7"/>
        <v>188</v>
      </c>
      <c r="S292" s="968">
        <f t="shared" si="8"/>
        <v>159</v>
      </c>
      <c r="U292" s="13" t="str">
        <f>IFERROR(__xludf.DUMMYFUNCTION("IF($T292=""Y"",
  IFERROR(
    RANK.EQ($R292, FILTER($R:$R, $T:$T=""Y""), 1)
    + COUNTIFS($R:$R, $R292, $M:$M, ""&lt;""&amp;$M292, $T:$T, ""Y""),
    ""UPCOMING""
  ),
  ""NO REF""
)
"),"NO REF")</f>
        <v>NO REF</v>
      </c>
    </row>
    <row r="293" ht="15.75" customHeight="1">
      <c r="C293" s="13">
        <v>292.0</v>
      </c>
      <c r="D293" s="1567">
        <v>2024.0</v>
      </c>
      <c r="E293" s="217" t="s">
        <v>514</v>
      </c>
      <c r="F293" s="960" t="s">
        <v>1120</v>
      </c>
      <c r="G293" s="961" t="s">
        <v>537</v>
      </c>
      <c r="H293" s="1568">
        <v>154.58</v>
      </c>
      <c r="I293" s="1569">
        <v>148.18</v>
      </c>
      <c r="J293" s="964" t="s">
        <v>477</v>
      </c>
      <c r="K293" s="965" t="s">
        <v>537</v>
      </c>
      <c r="L293" s="966" t="str">
        <f t="shared" si="2"/>
        <v>KINGS</v>
      </c>
      <c r="M293" s="967">
        <f t="array" ref="M293">IFERROR(IF(ABS(H293-I293)=0,Tie,ABS(H293-I293)),"UPCOMING")</f>
        <v>6.4</v>
      </c>
      <c r="N293" s="968">
        <f t="shared" si="3"/>
        <v>49</v>
      </c>
      <c r="O293" s="969">
        <f t="shared" si="4"/>
        <v>373</v>
      </c>
      <c r="P293" s="967">
        <f t="shared" si="5"/>
        <v>302.76</v>
      </c>
      <c r="Q293" s="968">
        <f t="shared" si="6"/>
        <v>300</v>
      </c>
      <c r="R293" s="967">
        <f t="shared" si="7"/>
        <v>174.5</v>
      </c>
      <c r="S293" s="968">
        <f t="shared" si="8"/>
        <v>136</v>
      </c>
      <c r="U293" s="13" t="str">
        <f>IFERROR(__xludf.DUMMYFUNCTION("IF($T293=""Y"",
  IFERROR(
    RANK.EQ($R293, FILTER($R:$R, $T:$T=""Y""), 1)
    + COUNTIFS($R:$R, $R293, $M:$M, ""&lt;""&amp;$M293, $T:$T, ""Y""),
    ""UPCOMING""
  ),
  ""NO REF""
)
"),"NO REF")</f>
        <v>NO REF</v>
      </c>
    </row>
    <row r="294" ht="15.75" customHeight="1">
      <c r="C294" s="13">
        <v>293.0</v>
      </c>
      <c r="D294" s="1567">
        <v>2024.0</v>
      </c>
      <c r="E294" s="217" t="s">
        <v>514</v>
      </c>
      <c r="F294" s="960" t="s">
        <v>1125</v>
      </c>
      <c r="G294" s="961" t="s">
        <v>478</v>
      </c>
      <c r="H294" s="1568">
        <v>128.84</v>
      </c>
      <c r="I294" s="1569">
        <v>155.08</v>
      </c>
      <c r="J294" s="964" t="s">
        <v>495</v>
      </c>
      <c r="K294" s="965" t="s">
        <v>495</v>
      </c>
      <c r="L294" s="966" t="str">
        <f t="shared" si="2"/>
        <v>EAGLES</v>
      </c>
      <c r="M294" s="967">
        <f t="array" ref="M294">IFERROR(IF(ABS(H294-I294)=0,Tie,ABS(H294-I294)),"UPCOMING")</f>
        <v>26.24</v>
      </c>
      <c r="N294" s="968">
        <f t="shared" si="3"/>
        <v>175</v>
      </c>
      <c r="O294" s="969">
        <f t="shared" si="4"/>
        <v>247</v>
      </c>
      <c r="P294" s="967">
        <f t="shared" si="5"/>
        <v>283.92</v>
      </c>
      <c r="Q294" s="968">
        <f t="shared" si="6"/>
        <v>338</v>
      </c>
      <c r="R294" s="967">
        <f t="shared" si="7"/>
        <v>256.5</v>
      </c>
      <c r="S294" s="968">
        <f t="shared" si="8"/>
        <v>298</v>
      </c>
      <c r="U294" s="13" t="str">
        <f>IFERROR(__xludf.DUMMYFUNCTION("IF($T294=""Y"",
  IFERROR(
    RANK.EQ($R294, FILTER($R:$R, $T:$T=""Y""), 1)
    + COUNTIFS($R:$R, $R294, $M:$M, ""&lt;""&amp;$M294, $T:$T, ""Y""),
    ""UPCOMING""
  ),
  ""NO REF""
)
"),"NO REF")</f>
        <v>NO REF</v>
      </c>
    </row>
    <row r="295" ht="15.75" customHeight="1">
      <c r="C295" s="13">
        <v>294.0</v>
      </c>
      <c r="D295" s="1567">
        <v>2024.0</v>
      </c>
      <c r="E295" s="217" t="s">
        <v>514</v>
      </c>
      <c r="F295" s="960" t="s">
        <v>1126</v>
      </c>
      <c r="G295" s="961" t="s">
        <v>578</v>
      </c>
      <c r="H295" s="1568">
        <v>143.27999999999997</v>
      </c>
      <c r="I295" s="1569">
        <v>152.81</v>
      </c>
      <c r="J295" s="964" t="s">
        <v>494</v>
      </c>
      <c r="K295" s="965" t="s">
        <v>494</v>
      </c>
      <c r="L295" s="966" t="str">
        <f t="shared" si="2"/>
        <v>METAMOOKDAWGS</v>
      </c>
      <c r="M295" s="967">
        <f t="array" ref="M295">IFERROR(IF(ABS(H295-I295)=0,Tie,ABS(H295-I295)),"UPCOMING")</f>
        <v>9.53</v>
      </c>
      <c r="N295" s="968">
        <f t="shared" si="3"/>
        <v>74</v>
      </c>
      <c r="O295" s="969">
        <f t="shared" si="4"/>
        <v>348</v>
      </c>
      <c r="P295" s="967">
        <f t="shared" si="5"/>
        <v>296.09</v>
      </c>
      <c r="Q295" s="968">
        <f t="shared" si="6"/>
        <v>317</v>
      </c>
      <c r="R295" s="967">
        <f t="shared" si="7"/>
        <v>195.5</v>
      </c>
      <c r="S295" s="968">
        <f t="shared" si="8"/>
        <v>169</v>
      </c>
      <c r="U295" s="13" t="str">
        <f>IFERROR(__xludf.DUMMYFUNCTION("IF($T295=""Y"",
  IFERROR(
    RANK.EQ($R295, FILTER($R:$R, $T:$T=""Y""), 1)
    + COUNTIFS($R:$R, $R295, $M:$M, ""&lt;""&amp;$M295, $T:$T, ""Y""),
    ""UPCOMING""
  ),
  ""NO REF""
)
"),"NO REF")</f>
        <v>NO REF</v>
      </c>
    </row>
    <row r="296" ht="15.75" customHeight="1">
      <c r="C296" s="13">
        <v>295.0</v>
      </c>
      <c r="D296" s="1567">
        <v>2024.0</v>
      </c>
      <c r="E296" s="217" t="s">
        <v>514</v>
      </c>
      <c r="F296" s="960" t="s">
        <v>1127</v>
      </c>
      <c r="G296" s="961" t="s">
        <v>538</v>
      </c>
      <c r="H296" s="1568">
        <v>147.44</v>
      </c>
      <c r="I296" s="1569">
        <v>143.27</v>
      </c>
      <c r="J296" s="964" t="s">
        <v>493</v>
      </c>
      <c r="K296" s="965" t="s">
        <v>538</v>
      </c>
      <c r="L296" s="966" t="str">
        <f t="shared" si="2"/>
        <v>DECOUPES</v>
      </c>
      <c r="M296" s="967">
        <f t="array" ref="M296">IFERROR(IF(ABS(H296-I296)=0,Tie,ABS(H296-I296)),"UPCOMING")</f>
        <v>4.17</v>
      </c>
      <c r="N296" s="968">
        <f t="shared" si="3"/>
        <v>33</v>
      </c>
      <c r="O296" s="969">
        <f t="shared" si="4"/>
        <v>389</v>
      </c>
      <c r="P296" s="967">
        <f t="shared" si="5"/>
        <v>290.71</v>
      </c>
      <c r="Q296" s="968">
        <f t="shared" si="6"/>
        <v>328</v>
      </c>
      <c r="R296" s="967">
        <f t="shared" si="7"/>
        <v>180.5</v>
      </c>
      <c r="S296" s="968">
        <f t="shared" si="8"/>
        <v>143</v>
      </c>
      <c r="U296" s="13" t="str">
        <f>IFERROR(__xludf.DUMMYFUNCTION("IF($T296=""Y"",
  IFERROR(
    RANK.EQ($R296, FILTER($R:$R, $T:$T=""Y""), 1)
    + COUNTIFS($R:$R, $R296, $M:$M, ""&lt;""&amp;$M296, $T:$T, ""Y""),
    ""UPCOMING""
  ),
  ""NO REF""
)
"),"NO REF")</f>
        <v>NO REF</v>
      </c>
    </row>
    <row r="297" ht="15.75" customHeight="1">
      <c r="C297" s="13">
        <v>296.0</v>
      </c>
      <c r="D297" s="1567">
        <v>2024.0</v>
      </c>
      <c r="E297" s="217" t="s">
        <v>514</v>
      </c>
      <c r="F297" s="960" t="s">
        <v>1128</v>
      </c>
      <c r="G297" s="961" t="s">
        <v>497</v>
      </c>
      <c r="H297" s="1568">
        <v>132.26</v>
      </c>
      <c r="I297" s="1569">
        <v>213.55999999999997</v>
      </c>
      <c r="J297" s="964" t="s">
        <v>536</v>
      </c>
      <c r="K297" s="965" t="s">
        <v>536</v>
      </c>
      <c r="L297" s="966" t="str">
        <f t="shared" si="2"/>
        <v>SAVAGES</v>
      </c>
      <c r="M297" s="967">
        <f t="array" ref="M297">IFERROR(IF(ABS(H297-I297)=0,Tie,ABS(H297-I297)),"UPCOMING")</f>
        <v>81.3</v>
      </c>
      <c r="N297" s="968">
        <f t="shared" si="3"/>
        <v>391</v>
      </c>
      <c r="O297" s="969">
        <f t="shared" si="4"/>
        <v>31</v>
      </c>
      <c r="P297" s="967">
        <f t="shared" si="5"/>
        <v>345.82</v>
      </c>
      <c r="Q297" s="968">
        <f t="shared" si="6"/>
        <v>177</v>
      </c>
      <c r="R297" s="967">
        <f t="shared" si="7"/>
        <v>284</v>
      </c>
      <c r="S297" s="968">
        <f t="shared" si="8"/>
        <v>337</v>
      </c>
      <c r="T297" s="18" t="s">
        <v>1160</v>
      </c>
      <c r="U297" s="13">
        <f>IFERROR(__xludf.DUMMYFUNCTION("IF($T297=""Y"",
  IFERROR(
    RANK.EQ($R297, FILTER($R:$R, $T:$T=""Y""), 1)
    + COUNTIFS($R:$R, $R297, $M:$M, ""&lt;""&amp;$M297, $T:$T, ""Y""),
    ""UPCOMING""
  ),
  ""NO REF""
)
"),51.0)</f>
        <v>51</v>
      </c>
    </row>
    <row r="298" ht="15.75" customHeight="1">
      <c r="C298" s="13">
        <v>297.0</v>
      </c>
      <c r="D298" s="1567">
        <v>2024.0</v>
      </c>
      <c r="E298" s="217" t="s">
        <v>515</v>
      </c>
      <c r="F298" s="960" t="s">
        <v>1120</v>
      </c>
      <c r="G298" s="961" t="s">
        <v>537</v>
      </c>
      <c r="H298" s="1568">
        <v>149.51999999999998</v>
      </c>
      <c r="I298" s="1569">
        <v>144.65</v>
      </c>
      <c r="J298" s="964" t="s">
        <v>497</v>
      </c>
      <c r="K298" s="965" t="s">
        <v>537</v>
      </c>
      <c r="L298" s="966" t="str">
        <f t="shared" si="2"/>
        <v>SAVAGES</v>
      </c>
      <c r="M298" s="967">
        <f t="array" ref="M298">IFERROR(IF(ABS(H298-I298)=0,Tie,ABS(H298-I298)),"UPCOMING")</f>
        <v>4.87</v>
      </c>
      <c r="N298" s="968">
        <f t="shared" si="3"/>
        <v>38</v>
      </c>
      <c r="O298" s="969">
        <f t="shared" si="4"/>
        <v>384</v>
      </c>
      <c r="P298" s="967">
        <f t="shared" si="5"/>
        <v>294.17</v>
      </c>
      <c r="Q298" s="968">
        <f t="shared" si="6"/>
        <v>320</v>
      </c>
      <c r="R298" s="967">
        <f t="shared" si="7"/>
        <v>179</v>
      </c>
      <c r="S298" s="968">
        <f t="shared" si="8"/>
        <v>139</v>
      </c>
      <c r="T298" s="18" t="s">
        <v>1160</v>
      </c>
      <c r="U298" s="13">
        <f>IFERROR(__xludf.DUMMYFUNCTION("IF($T298=""Y"",
  IFERROR(
    RANK.EQ($R298, FILTER($R:$R, $T:$T=""Y""), 1)
    + COUNTIFS($R:$R, $R298, $M:$M, ""&lt;""&amp;$M298, $T:$T, ""Y""),
    ""UPCOMING""
  ),
  ""NO REF""
)
"),29.0)</f>
        <v>29</v>
      </c>
    </row>
    <row r="299" ht="15.75" customHeight="1">
      <c r="C299" s="13">
        <v>298.0</v>
      </c>
      <c r="D299" s="1567">
        <v>2024.0</v>
      </c>
      <c r="E299" s="217" t="s">
        <v>515</v>
      </c>
      <c r="F299" s="960" t="s">
        <v>1125</v>
      </c>
      <c r="G299" s="961" t="s">
        <v>478</v>
      </c>
      <c r="H299" s="1568">
        <v>140.68</v>
      </c>
      <c r="I299" s="1569">
        <v>140.15</v>
      </c>
      <c r="J299" s="964" t="s">
        <v>493</v>
      </c>
      <c r="K299" s="965" t="s">
        <v>478</v>
      </c>
      <c r="L299" s="966" t="str">
        <f t="shared" si="2"/>
        <v>DECOUPES</v>
      </c>
      <c r="M299" s="967">
        <f t="array" ref="M299">IFERROR(IF(ABS(H299-I299)=0,Tie,ABS(H299-I299)),"UPCOMING")</f>
        <v>0.53</v>
      </c>
      <c r="N299" s="968">
        <f t="shared" si="3"/>
        <v>10</v>
      </c>
      <c r="O299" s="969">
        <f t="shared" si="4"/>
        <v>412</v>
      </c>
      <c r="P299" s="967">
        <f t="shared" si="5"/>
        <v>280.83</v>
      </c>
      <c r="Q299" s="968">
        <f t="shared" si="6"/>
        <v>347</v>
      </c>
      <c r="R299" s="967">
        <f t="shared" si="7"/>
        <v>178.5</v>
      </c>
      <c r="S299" s="968">
        <f t="shared" si="8"/>
        <v>137</v>
      </c>
      <c r="U299" s="13" t="str">
        <f>IFERROR(__xludf.DUMMYFUNCTION("IF($T299=""Y"",
  IFERROR(
    RANK.EQ($R299, FILTER($R:$R, $T:$T=""Y""), 1)
    + COUNTIFS($R:$R, $R299, $M:$M, ""&lt;""&amp;$M299, $T:$T, ""Y""),
    ""UPCOMING""
  ),
  ""NO REF""
)
"),"NO REF")</f>
        <v>NO REF</v>
      </c>
    </row>
    <row r="300" ht="15.75" customHeight="1">
      <c r="C300" s="13">
        <v>299.0</v>
      </c>
      <c r="D300" s="1567">
        <v>2024.0</v>
      </c>
      <c r="E300" s="217" t="s">
        <v>515</v>
      </c>
      <c r="F300" s="960" t="s">
        <v>1126</v>
      </c>
      <c r="G300" s="961" t="s">
        <v>538</v>
      </c>
      <c r="H300" s="1568">
        <v>185.73</v>
      </c>
      <c r="I300" s="1569">
        <v>167.73</v>
      </c>
      <c r="J300" s="964" t="s">
        <v>494</v>
      </c>
      <c r="K300" s="965" t="s">
        <v>538</v>
      </c>
      <c r="L300" s="966" t="str">
        <f t="shared" si="2"/>
        <v>POPEYES</v>
      </c>
      <c r="M300" s="967">
        <f t="array" ref="M300">IFERROR(IF(ABS(H300-I300)=0,Tie,ABS(H300-I300)),"UPCOMING")</f>
        <v>18</v>
      </c>
      <c r="N300" s="968">
        <f t="shared" si="3"/>
        <v>131</v>
      </c>
      <c r="O300" s="969">
        <f t="shared" si="4"/>
        <v>291</v>
      </c>
      <c r="P300" s="967">
        <f t="shared" si="5"/>
        <v>353.46</v>
      </c>
      <c r="Q300" s="968">
        <f t="shared" si="6"/>
        <v>155</v>
      </c>
      <c r="R300" s="967">
        <f t="shared" si="7"/>
        <v>143</v>
      </c>
      <c r="S300" s="968">
        <f t="shared" si="8"/>
        <v>93</v>
      </c>
      <c r="U300" s="13" t="str">
        <f>IFERROR(__xludf.DUMMYFUNCTION("IF($T300=""Y"",
  IFERROR(
    RANK.EQ($R300, FILTER($R:$R, $T:$T=""Y""), 1)
    + COUNTIFS($R:$R, $R300, $M:$M, ""&lt;""&amp;$M300, $T:$T, ""Y""),
    ""UPCOMING""
  ),
  ""NO REF""
)
"),"NO REF")</f>
        <v>NO REF</v>
      </c>
    </row>
    <row r="301" ht="15.75" customHeight="1">
      <c r="C301" s="13">
        <v>300.0</v>
      </c>
      <c r="D301" s="1567">
        <v>2024.0</v>
      </c>
      <c r="E301" s="217" t="s">
        <v>515</v>
      </c>
      <c r="F301" s="960" t="s">
        <v>1127</v>
      </c>
      <c r="G301" s="961" t="s">
        <v>536</v>
      </c>
      <c r="H301" s="1568">
        <v>174.32</v>
      </c>
      <c r="I301" s="1569">
        <v>109.60000000000001</v>
      </c>
      <c r="J301" s="964" t="s">
        <v>495</v>
      </c>
      <c r="K301" s="965" t="s">
        <v>536</v>
      </c>
      <c r="L301" s="966" t="str">
        <f t="shared" si="2"/>
        <v>GREEN</v>
      </c>
      <c r="M301" s="967">
        <f t="array" ref="M301">IFERROR(IF(ABS(H301-I301)=0,Tie,ABS(H301-I301)),"UPCOMING")</f>
        <v>64.72</v>
      </c>
      <c r="N301" s="968">
        <f t="shared" si="3"/>
        <v>353</v>
      </c>
      <c r="O301" s="969">
        <f t="shared" si="4"/>
        <v>69</v>
      </c>
      <c r="P301" s="967">
        <f t="shared" si="5"/>
        <v>283.92</v>
      </c>
      <c r="Q301" s="968">
        <f t="shared" si="6"/>
        <v>339</v>
      </c>
      <c r="R301" s="967">
        <f t="shared" si="7"/>
        <v>346</v>
      </c>
      <c r="S301" s="968">
        <f t="shared" si="8"/>
        <v>404</v>
      </c>
      <c r="U301" s="13" t="str">
        <f>IFERROR(__xludf.DUMMYFUNCTION("IF($T301=""Y"",
  IFERROR(
    RANK.EQ($R301, FILTER($R:$R, $T:$T=""Y""), 1)
    + COUNTIFS($R:$R, $R301, $M:$M, ""&lt;""&amp;$M301, $T:$T, ""Y""),
    ""UPCOMING""
  ),
  ""NO REF""
)
"),"NO REF")</f>
        <v>NO REF</v>
      </c>
    </row>
    <row r="302" ht="15.75" customHeight="1">
      <c r="C302" s="13">
        <v>301.0</v>
      </c>
      <c r="D302" s="1567">
        <v>2024.0</v>
      </c>
      <c r="E302" s="217" t="s">
        <v>515</v>
      </c>
      <c r="F302" s="960" t="s">
        <v>1128</v>
      </c>
      <c r="G302" s="961" t="s">
        <v>578</v>
      </c>
      <c r="H302" s="1568">
        <v>119.7</v>
      </c>
      <c r="I302" s="1569">
        <v>141.48</v>
      </c>
      <c r="J302" s="964" t="s">
        <v>477</v>
      </c>
      <c r="K302" s="965" t="s">
        <v>477</v>
      </c>
      <c r="L302" s="966" t="str">
        <f t="shared" si="2"/>
        <v>METAMOOKDAWGS</v>
      </c>
      <c r="M302" s="967">
        <f t="array" ref="M302">IFERROR(IF(ABS(H302-I302)=0,Tie,ABS(H302-I302)),"UPCOMING")</f>
        <v>21.78</v>
      </c>
      <c r="N302" s="968">
        <f t="shared" si="3"/>
        <v>150</v>
      </c>
      <c r="O302" s="969">
        <f t="shared" si="4"/>
        <v>272</v>
      </c>
      <c r="P302" s="967">
        <f t="shared" si="5"/>
        <v>261.18</v>
      </c>
      <c r="Q302" s="968">
        <f t="shared" si="6"/>
        <v>385</v>
      </c>
      <c r="R302" s="967">
        <f t="shared" si="7"/>
        <v>267.5</v>
      </c>
      <c r="S302" s="968">
        <f t="shared" si="8"/>
        <v>312</v>
      </c>
      <c r="U302" s="13" t="str">
        <f>IFERROR(__xludf.DUMMYFUNCTION("IF($T302=""Y"",
  IFERROR(
    RANK.EQ($R302, FILTER($R:$R, $T:$T=""Y""), 1)
    + COUNTIFS($R:$R, $R302, $M:$M, ""&lt;""&amp;$M302, $T:$T, ""Y""),
    ""UPCOMING""
  ),
  ""NO REF""
)
"),"NO REF")</f>
        <v>NO REF</v>
      </c>
    </row>
    <row r="303" ht="15.75" customHeight="1">
      <c r="C303" s="13">
        <v>302.0</v>
      </c>
      <c r="D303" s="1567">
        <v>2024.0</v>
      </c>
      <c r="E303" s="217" t="s">
        <v>516</v>
      </c>
      <c r="F303" s="960" t="s">
        <v>1120</v>
      </c>
      <c r="G303" s="961" t="s">
        <v>495</v>
      </c>
      <c r="H303" s="1568">
        <v>130.36</v>
      </c>
      <c r="I303" s="1569">
        <v>141.63</v>
      </c>
      <c r="J303" s="964" t="s">
        <v>494</v>
      </c>
      <c r="K303" s="965" t="s">
        <v>494</v>
      </c>
      <c r="L303" s="966" t="str">
        <f t="shared" si="2"/>
        <v>GREEN</v>
      </c>
      <c r="M303" s="967">
        <f t="array" ref="M303">IFERROR(IF(ABS(H303-I303)=0,Tie,ABS(H303-I303)),"UPCOMING")</f>
        <v>11.27</v>
      </c>
      <c r="N303" s="968">
        <f t="shared" si="3"/>
        <v>86</v>
      </c>
      <c r="O303" s="969">
        <f t="shared" si="4"/>
        <v>336</v>
      </c>
      <c r="P303" s="967">
        <f t="shared" si="5"/>
        <v>271.99</v>
      </c>
      <c r="Q303" s="968">
        <f t="shared" si="6"/>
        <v>371</v>
      </c>
      <c r="R303" s="967">
        <f t="shared" si="7"/>
        <v>228.5</v>
      </c>
      <c r="S303" s="968">
        <f t="shared" si="8"/>
        <v>249</v>
      </c>
      <c r="U303" s="13" t="str">
        <f>IFERROR(__xludf.DUMMYFUNCTION("IF($T303=""Y"",
  IFERROR(
    RANK.EQ($R303, FILTER($R:$R, $T:$T=""Y""), 1)
    + COUNTIFS($R:$R, $R303, $M:$M, ""&lt;""&amp;$M303, $T:$T, ""Y""),
    ""UPCOMING""
  ),
  ""NO REF""
)
"),"NO REF")</f>
        <v>NO REF</v>
      </c>
    </row>
    <row r="304" ht="15.75" customHeight="1">
      <c r="C304" s="13">
        <v>303.0</v>
      </c>
      <c r="D304" s="1567">
        <v>2024.0</v>
      </c>
      <c r="E304" s="217" t="s">
        <v>516</v>
      </c>
      <c r="F304" s="960" t="s">
        <v>1125</v>
      </c>
      <c r="G304" s="961" t="s">
        <v>478</v>
      </c>
      <c r="H304" s="1568">
        <v>207.10999999999999</v>
      </c>
      <c r="I304" s="1569">
        <v>140.92</v>
      </c>
      <c r="J304" s="964" t="s">
        <v>497</v>
      </c>
      <c r="K304" s="965" t="s">
        <v>478</v>
      </c>
      <c r="L304" s="966" t="str">
        <f t="shared" si="2"/>
        <v>SAVAGES</v>
      </c>
      <c r="M304" s="967">
        <f t="array" ref="M304">IFERROR(IF(ABS(H304-I304)=0,Tie,ABS(H304-I304)),"UPCOMING")</f>
        <v>66.19</v>
      </c>
      <c r="N304" s="968">
        <f t="shared" si="3"/>
        <v>356</v>
      </c>
      <c r="O304" s="969">
        <f t="shared" si="4"/>
        <v>66</v>
      </c>
      <c r="P304" s="967">
        <f t="shared" si="5"/>
        <v>348.03</v>
      </c>
      <c r="Q304" s="968">
        <f t="shared" si="6"/>
        <v>168</v>
      </c>
      <c r="R304" s="967">
        <f t="shared" si="7"/>
        <v>262</v>
      </c>
      <c r="S304" s="968">
        <f t="shared" si="8"/>
        <v>308</v>
      </c>
      <c r="U304" s="13" t="str">
        <f>IFERROR(__xludf.DUMMYFUNCTION("IF($T304=""Y"",
  IFERROR(
    RANK.EQ($R304, FILTER($R:$R, $T:$T=""Y""), 1)
    + COUNTIFS($R:$R, $R304, $M:$M, ""&lt;""&amp;$M304, $T:$T, ""Y""),
    ""UPCOMING""
  ),
  ""NO REF""
)
"),"NO REF")</f>
        <v>NO REF</v>
      </c>
    </row>
    <row r="305" ht="15.75" customHeight="1">
      <c r="C305" s="13">
        <v>304.0</v>
      </c>
      <c r="D305" s="1567">
        <v>2024.0</v>
      </c>
      <c r="E305" s="217" t="s">
        <v>516</v>
      </c>
      <c r="F305" s="960" t="s">
        <v>1126</v>
      </c>
      <c r="G305" s="961" t="s">
        <v>578</v>
      </c>
      <c r="H305" s="1568">
        <v>139.92000000000002</v>
      </c>
      <c r="I305" s="1569">
        <v>163.07999999999998</v>
      </c>
      <c r="J305" s="964" t="s">
        <v>536</v>
      </c>
      <c r="K305" s="965" t="s">
        <v>536</v>
      </c>
      <c r="L305" s="966" t="str">
        <f t="shared" si="2"/>
        <v>METAMOOKDAWGS</v>
      </c>
      <c r="M305" s="967">
        <f t="array" ref="M305">IFERROR(IF(ABS(H305-I305)=0,Tie,ABS(H305-I305)),"UPCOMING")</f>
        <v>23.16</v>
      </c>
      <c r="N305" s="968">
        <f t="shared" si="3"/>
        <v>163</v>
      </c>
      <c r="O305" s="969">
        <f t="shared" si="4"/>
        <v>259</v>
      </c>
      <c r="P305" s="967">
        <f t="shared" si="5"/>
        <v>303</v>
      </c>
      <c r="Q305" s="968">
        <f t="shared" si="6"/>
        <v>299</v>
      </c>
      <c r="R305" s="967">
        <f t="shared" si="7"/>
        <v>231</v>
      </c>
      <c r="S305" s="968">
        <f t="shared" si="8"/>
        <v>253</v>
      </c>
      <c r="U305" s="13" t="str">
        <f>IFERROR(__xludf.DUMMYFUNCTION("IF($T305=""Y"",
  IFERROR(
    RANK.EQ($R305, FILTER($R:$R, $T:$T=""Y""), 1)
    + COUNTIFS($R:$R, $R305, $M:$M, ""&lt;""&amp;$M305, $T:$T, ""Y""),
    ""UPCOMING""
  ),
  ""NO REF""
)
"),"NO REF")</f>
        <v>NO REF</v>
      </c>
    </row>
    <row r="306" ht="15.75" customHeight="1">
      <c r="C306" s="13">
        <v>305.0</v>
      </c>
      <c r="D306" s="1567">
        <v>2024.0</v>
      </c>
      <c r="E306" s="217" t="s">
        <v>516</v>
      </c>
      <c r="F306" s="960" t="s">
        <v>1127</v>
      </c>
      <c r="G306" s="961" t="s">
        <v>538</v>
      </c>
      <c r="H306" s="1568">
        <v>149.14000000000001</v>
      </c>
      <c r="I306" s="1569">
        <v>165.63</v>
      </c>
      <c r="J306" s="964" t="s">
        <v>537</v>
      </c>
      <c r="K306" s="965" t="s">
        <v>537</v>
      </c>
      <c r="L306" s="966" t="str">
        <f t="shared" si="2"/>
        <v>MUTTS</v>
      </c>
      <c r="M306" s="967">
        <f t="array" ref="M306">IFERROR(IF(ABS(H306-I306)=0,Tie,ABS(H306-I306)),"UPCOMING")</f>
        <v>16.49</v>
      </c>
      <c r="N306" s="968">
        <f t="shared" si="3"/>
        <v>121</v>
      </c>
      <c r="O306" s="969">
        <f t="shared" si="4"/>
        <v>301</v>
      </c>
      <c r="P306" s="967">
        <f t="shared" si="5"/>
        <v>314.77</v>
      </c>
      <c r="Q306" s="968">
        <f t="shared" si="6"/>
        <v>260</v>
      </c>
      <c r="R306" s="967">
        <f t="shared" si="7"/>
        <v>190.5</v>
      </c>
      <c r="S306" s="968">
        <f t="shared" si="8"/>
        <v>163</v>
      </c>
      <c r="T306" s="18" t="s">
        <v>1160</v>
      </c>
      <c r="U306" s="13">
        <f>IFERROR(__xludf.DUMMYFUNCTION("IF($T306=""Y"",
  IFERROR(
    RANK.EQ($R306, FILTER($R:$R, $T:$T=""Y""), 1)
    + COUNTIFS($R:$R, $R306, $M:$M, ""&lt;""&amp;$M306, $T:$T, ""Y""),
    ""UPCOMING""
  ),
  ""NO REF""
)
"),32.0)</f>
        <v>32</v>
      </c>
    </row>
    <row r="307" ht="15.75" customHeight="1">
      <c r="C307" s="13">
        <v>306.0</v>
      </c>
      <c r="D307" s="1567">
        <v>2024.0</v>
      </c>
      <c r="E307" s="217" t="s">
        <v>516</v>
      </c>
      <c r="F307" s="960" t="s">
        <v>1128</v>
      </c>
      <c r="G307" s="961" t="s">
        <v>477</v>
      </c>
      <c r="H307" s="1568">
        <v>148.53</v>
      </c>
      <c r="I307" s="1569">
        <v>194.73999999999998</v>
      </c>
      <c r="J307" s="964" t="s">
        <v>493</v>
      </c>
      <c r="K307" s="965" t="s">
        <v>493</v>
      </c>
      <c r="L307" s="966" t="str">
        <f t="shared" si="2"/>
        <v>KINGS</v>
      </c>
      <c r="M307" s="967">
        <f t="array" ref="M307">IFERROR(IF(ABS(H307-I307)=0,Tie,ABS(H307-I307)),"UPCOMING")</f>
        <v>46.21</v>
      </c>
      <c r="N307" s="968">
        <f t="shared" si="3"/>
        <v>290</v>
      </c>
      <c r="O307" s="969">
        <f t="shared" si="4"/>
        <v>132</v>
      </c>
      <c r="P307" s="967">
        <f t="shared" si="5"/>
        <v>343.27</v>
      </c>
      <c r="Q307" s="968">
        <f t="shared" si="6"/>
        <v>186</v>
      </c>
      <c r="R307" s="967">
        <f t="shared" si="7"/>
        <v>238</v>
      </c>
      <c r="S307" s="968">
        <f t="shared" si="8"/>
        <v>263</v>
      </c>
      <c r="U307" s="13" t="str">
        <f>IFERROR(__xludf.DUMMYFUNCTION("IF($T307=""Y"",
  IFERROR(
    RANK.EQ($R307, FILTER($R:$R, $T:$T=""Y""), 1)
    + COUNTIFS($R:$R, $R307, $M:$M, ""&lt;""&amp;$M307, $T:$T, ""Y""),
    ""UPCOMING""
  ),
  ""NO REF""
)
"),"NO REF")</f>
        <v>NO REF</v>
      </c>
    </row>
    <row r="308" ht="15.75" customHeight="1">
      <c r="C308" s="13">
        <v>307.0</v>
      </c>
      <c r="D308" s="1567">
        <v>2024.0</v>
      </c>
      <c r="E308" s="217" t="s">
        <v>517</v>
      </c>
      <c r="F308" s="960" t="s">
        <v>1120</v>
      </c>
      <c r="G308" s="961" t="s">
        <v>478</v>
      </c>
      <c r="H308" s="1568">
        <v>183.81</v>
      </c>
      <c r="I308" s="1569">
        <v>198.10000000000002</v>
      </c>
      <c r="J308" s="964" t="s">
        <v>537</v>
      </c>
      <c r="K308" s="965" t="s">
        <v>537</v>
      </c>
      <c r="L308" s="966" t="str">
        <f t="shared" si="2"/>
        <v>EAGLES</v>
      </c>
      <c r="M308" s="967">
        <f t="array" ref="M308">IFERROR(IF(ABS(H308-I308)=0,Tie,ABS(H308-I308)),"UPCOMING")</f>
        <v>14.29</v>
      </c>
      <c r="N308" s="968">
        <f t="shared" si="3"/>
        <v>110</v>
      </c>
      <c r="O308" s="969">
        <f t="shared" si="4"/>
        <v>312</v>
      </c>
      <c r="P308" s="967">
        <f t="shared" si="5"/>
        <v>381.91</v>
      </c>
      <c r="Q308" s="968">
        <f t="shared" si="6"/>
        <v>88</v>
      </c>
      <c r="R308" s="967">
        <f t="shared" si="7"/>
        <v>99</v>
      </c>
      <c r="S308" s="968">
        <f t="shared" si="8"/>
        <v>35</v>
      </c>
      <c r="U308" s="13" t="str">
        <f>IFERROR(__xludf.DUMMYFUNCTION("IF($T308=""Y"",
  IFERROR(
    RANK.EQ($R308, FILTER($R:$R, $T:$T=""Y""), 1)
    + COUNTIFS($R:$R, $R308, $M:$M, ""&lt;""&amp;$M308, $T:$T, ""Y""),
    ""UPCOMING""
  ),
  ""NO REF""
)
"),"NO REF")</f>
        <v>NO REF</v>
      </c>
    </row>
    <row r="309" ht="15.75" customHeight="1">
      <c r="C309" s="13">
        <v>308.0</v>
      </c>
      <c r="D309" s="1567">
        <v>2024.0</v>
      </c>
      <c r="E309" s="217" t="s">
        <v>517</v>
      </c>
      <c r="F309" s="960" t="s">
        <v>1125</v>
      </c>
      <c r="G309" s="961" t="s">
        <v>477</v>
      </c>
      <c r="H309" s="1568">
        <v>121.27000000000001</v>
      </c>
      <c r="I309" s="1569">
        <v>133.65</v>
      </c>
      <c r="J309" s="964" t="s">
        <v>578</v>
      </c>
      <c r="K309" s="965" t="s">
        <v>578</v>
      </c>
      <c r="L309" s="966" t="str">
        <f t="shared" si="2"/>
        <v>KINGS</v>
      </c>
      <c r="M309" s="967">
        <f t="array" ref="M309">IFERROR(IF(ABS(H309-I309)=0,Tie,ABS(H309-I309)),"UPCOMING")</f>
        <v>12.38</v>
      </c>
      <c r="N309" s="968">
        <f t="shared" si="3"/>
        <v>97</v>
      </c>
      <c r="O309" s="969">
        <f t="shared" si="4"/>
        <v>325</v>
      </c>
      <c r="P309" s="967">
        <f t="shared" si="5"/>
        <v>254.92</v>
      </c>
      <c r="Q309" s="968">
        <f t="shared" si="6"/>
        <v>391</v>
      </c>
      <c r="R309" s="967">
        <f t="shared" si="7"/>
        <v>244</v>
      </c>
      <c r="S309" s="968">
        <f t="shared" si="8"/>
        <v>276</v>
      </c>
      <c r="U309" s="13" t="str">
        <f>IFERROR(__xludf.DUMMYFUNCTION("IF($T309=""Y"",
  IFERROR(
    RANK.EQ($R309, FILTER($R:$R, $T:$T=""Y""), 1)
    + COUNTIFS($R:$R, $R309, $M:$M, ""&lt;""&amp;$M309, $T:$T, ""Y""),
    ""UPCOMING""
  ),
  ""NO REF""
)
"),"NO REF")</f>
        <v>NO REF</v>
      </c>
    </row>
    <row r="310" ht="15.75" customHeight="1">
      <c r="C310" s="13">
        <v>309.0</v>
      </c>
      <c r="D310" s="1567">
        <v>2024.0</v>
      </c>
      <c r="E310" s="217" t="s">
        <v>517</v>
      </c>
      <c r="F310" s="960" t="s">
        <v>1126</v>
      </c>
      <c r="G310" s="961" t="s">
        <v>538</v>
      </c>
      <c r="H310" s="1568">
        <v>175.95</v>
      </c>
      <c r="I310" s="1569">
        <v>103.77999999999999</v>
      </c>
      <c r="J310" s="964" t="s">
        <v>536</v>
      </c>
      <c r="K310" s="965" t="s">
        <v>538</v>
      </c>
      <c r="L310" s="966" t="str">
        <f t="shared" si="2"/>
        <v>CHAMPS</v>
      </c>
      <c r="M310" s="967">
        <f t="array" ref="M310">IFERROR(IF(ABS(H310-I310)=0,Tie,ABS(H310-I310)),"UPCOMING")</f>
        <v>72.17</v>
      </c>
      <c r="N310" s="968">
        <f t="shared" si="3"/>
        <v>370</v>
      </c>
      <c r="O310" s="969">
        <f t="shared" si="4"/>
        <v>52</v>
      </c>
      <c r="P310" s="967">
        <f t="shared" si="5"/>
        <v>279.73</v>
      </c>
      <c r="Q310" s="968">
        <f t="shared" si="6"/>
        <v>352</v>
      </c>
      <c r="R310" s="967">
        <f t="shared" si="7"/>
        <v>361</v>
      </c>
      <c r="S310" s="968">
        <f t="shared" si="8"/>
        <v>414</v>
      </c>
      <c r="T310" s="18" t="s">
        <v>1160</v>
      </c>
      <c r="U310" s="13">
        <f>IFERROR(__xludf.DUMMYFUNCTION("IF($T310=""Y"",
  IFERROR(
    RANK.EQ($R310, FILTER($R:$R, $T:$T=""Y""), 1)
    + COUNTIFS($R:$R, $R310, $M:$M, ""&lt;""&amp;$M310, $T:$T, ""Y""),
    ""UPCOMING""
  ),
  ""NO REF""
)
"),56.0)</f>
        <v>56</v>
      </c>
    </row>
    <row r="311" ht="15.75" customHeight="1">
      <c r="C311" s="13">
        <v>310.0</v>
      </c>
      <c r="D311" s="1567">
        <v>2024.0</v>
      </c>
      <c r="E311" s="217" t="s">
        <v>517</v>
      </c>
      <c r="F311" s="960" t="s">
        <v>1127</v>
      </c>
      <c r="G311" s="961" t="s">
        <v>495</v>
      </c>
      <c r="H311" s="1568">
        <v>160.41000000000003</v>
      </c>
      <c r="I311" s="1569">
        <v>202.15</v>
      </c>
      <c r="J311" s="964" t="s">
        <v>493</v>
      </c>
      <c r="K311" s="965" t="s">
        <v>493</v>
      </c>
      <c r="L311" s="966" t="str">
        <f t="shared" si="2"/>
        <v>GREEN</v>
      </c>
      <c r="M311" s="967">
        <f t="array" ref="M311">IFERROR(IF(ABS(H311-I311)=0,Tie,ABS(H311-I311)),"UPCOMING")</f>
        <v>41.74</v>
      </c>
      <c r="N311" s="968">
        <f t="shared" si="3"/>
        <v>264</v>
      </c>
      <c r="O311" s="969">
        <f t="shared" si="4"/>
        <v>158</v>
      </c>
      <c r="P311" s="967">
        <f t="shared" si="5"/>
        <v>362.56</v>
      </c>
      <c r="Q311" s="968">
        <f t="shared" si="6"/>
        <v>133</v>
      </c>
      <c r="R311" s="967">
        <f t="shared" si="7"/>
        <v>198.5</v>
      </c>
      <c r="S311" s="968">
        <f t="shared" si="8"/>
        <v>180</v>
      </c>
      <c r="U311" s="13" t="str">
        <f>IFERROR(__xludf.DUMMYFUNCTION("IF($T311=""Y"",
  IFERROR(
    RANK.EQ($R311, FILTER($R:$R, $T:$T=""Y""), 1)
    + COUNTIFS($R:$R, $R311, $M:$M, ""&lt;""&amp;$M311, $T:$T, ""Y""),
    ""UPCOMING""
  ),
  ""NO REF""
)
"),"NO REF")</f>
        <v>NO REF</v>
      </c>
    </row>
    <row r="312" ht="15.75" customHeight="1">
      <c r="C312" s="13">
        <v>311.0</v>
      </c>
      <c r="D312" s="1567">
        <v>2024.0</v>
      </c>
      <c r="E312" s="217" t="s">
        <v>517</v>
      </c>
      <c r="F312" s="960" t="s">
        <v>1128</v>
      </c>
      <c r="G312" s="961" t="s">
        <v>497</v>
      </c>
      <c r="H312" s="1568">
        <v>167.77</v>
      </c>
      <c r="I312" s="1569">
        <v>145.21</v>
      </c>
      <c r="J312" s="964" t="s">
        <v>494</v>
      </c>
      <c r="K312" s="965" t="s">
        <v>497</v>
      </c>
      <c r="L312" s="966" t="str">
        <f t="shared" si="2"/>
        <v>POPEYES</v>
      </c>
      <c r="M312" s="967">
        <f t="array" ref="M312">IFERROR(IF(ABS(H312-I312)=0,Tie,ABS(H312-I312)),"UPCOMING")</f>
        <v>22.56</v>
      </c>
      <c r="N312" s="968">
        <f t="shared" si="3"/>
        <v>158</v>
      </c>
      <c r="O312" s="969">
        <f t="shared" si="4"/>
        <v>264</v>
      </c>
      <c r="P312" s="967">
        <f t="shared" si="5"/>
        <v>312.98</v>
      </c>
      <c r="Q312" s="968">
        <f t="shared" si="6"/>
        <v>271</v>
      </c>
      <c r="R312" s="967">
        <f t="shared" si="7"/>
        <v>214.5</v>
      </c>
      <c r="S312" s="968">
        <f t="shared" si="8"/>
        <v>214</v>
      </c>
      <c r="U312" s="13" t="str">
        <f>IFERROR(__xludf.DUMMYFUNCTION("IF($T312=""Y"",
  IFERROR(
    RANK.EQ($R312, FILTER($R:$R, $T:$T=""Y""), 1)
    + COUNTIFS($R:$R, $R312, $M:$M, ""&lt;""&amp;$M312, $T:$T, ""Y""),
    ""UPCOMING""
  ),
  ""NO REF""
)
"),"NO REF")</f>
        <v>NO REF</v>
      </c>
    </row>
    <row r="313" ht="15.75" customHeight="1">
      <c r="C313" s="13">
        <v>312.0</v>
      </c>
      <c r="D313" s="1567">
        <v>2024.0</v>
      </c>
      <c r="E313" s="217" t="s">
        <v>518</v>
      </c>
      <c r="F313" s="960" t="s">
        <v>1120</v>
      </c>
      <c r="G313" s="961" t="s">
        <v>477</v>
      </c>
      <c r="H313" s="1568">
        <v>126.78</v>
      </c>
      <c r="I313" s="1569">
        <v>98.88</v>
      </c>
      <c r="J313" s="964" t="s">
        <v>497</v>
      </c>
      <c r="K313" s="965" t="s">
        <v>477</v>
      </c>
      <c r="L313" s="966" t="str">
        <f t="shared" si="2"/>
        <v>SAVAGES</v>
      </c>
      <c r="M313" s="967">
        <f t="array" ref="M313">IFERROR(IF(ABS(H313-I313)=0,Tie,ABS(H313-I313)),"UPCOMING")</f>
        <v>27.9</v>
      </c>
      <c r="N313" s="968">
        <f t="shared" si="3"/>
        <v>188</v>
      </c>
      <c r="O313" s="969">
        <f t="shared" si="4"/>
        <v>235</v>
      </c>
      <c r="P313" s="967">
        <f t="shared" si="5"/>
        <v>225.66</v>
      </c>
      <c r="Q313" s="968">
        <f t="shared" si="6"/>
        <v>413</v>
      </c>
      <c r="R313" s="967">
        <f t="shared" si="7"/>
        <v>300.5</v>
      </c>
      <c r="S313" s="968">
        <f t="shared" si="8"/>
        <v>360</v>
      </c>
      <c r="U313" s="13" t="str">
        <f>IFERROR(__xludf.DUMMYFUNCTION("IF($T313=""Y"",
  IFERROR(
    RANK.EQ($R313, FILTER($R:$R, $T:$T=""Y""), 1)
    + COUNTIFS($R:$R, $R313, $M:$M, ""&lt;""&amp;$M313, $T:$T, ""Y""),
    ""UPCOMING""
  ),
  ""NO REF""
)
"),"NO REF")</f>
        <v>NO REF</v>
      </c>
    </row>
    <row r="314" ht="15.75" customHeight="1">
      <c r="C314" s="13">
        <v>313.0</v>
      </c>
      <c r="D314" s="1567">
        <v>2024.0</v>
      </c>
      <c r="E314" s="217" t="s">
        <v>518</v>
      </c>
      <c r="F314" s="960" t="s">
        <v>1125</v>
      </c>
      <c r="G314" s="961" t="s">
        <v>538</v>
      </c>
      <c r="H314" s="1568">
        <v>136.75</v>
      </c>
      <c r="I314" s="1569">
        <v>114.74000000000001</v>
      </c>
      <c r="J314" s="964" t="s">
        <v>495</v>
      </c>
      <c r="K314" s="965" t="s">
        <v>538</v>
      </c>
      <c r="L314" s="966" t="str">
        <f t="shared" si="2"/>
        <v>GREEN</v>
      </c>
      <c r="M314" s="967">
        <f t="array" ref="M314">IFERROR(IF(ABS(H314-I314)=0,Tie,ABS(H314-I314)),"UPCOMING")</f>
        <v>22.01</v>
      </c>
      <c r="N314" s="968">
        <f t="shared" si="3"/>
        <v>153</v>
      </c>
      <c r="O314" s="969">
        <f t="shared" si="4"/>
        <v>269</v>
      </c>
      <c r="P314" s="967">
        <f t="shared" si="5"/>
        <v>251.49</v>
      </c>
      <c r="Q314" s="968">
        <f t="shared" si="6"/>
        <v>398</v>
      </c>
      <c r="R314" s="967">
        <f t="shared" si="7"/>
        <v>275.5</v>
      </c>
      <c r="S314" s="968">
        <f t="shared" si="8"/>
        <v>322</v>
      </c>
      <c r="U314" s="13" t="str">
        <f>IFERROR(__xludf.DUMMYFUNCTION("IF($T314=""Y"",
  IFERROR(
    RANK.EQ($R314, FILTER($R:$R, $T:$T=""Y""), 1)
    + COUNTIFS($R:$R, $R314, $M:$M, ""&lt;""&amp;$M314, $T:$T, ""Y""),
    ""UPCOMING""
  ),
  ""NO REF""
)
"),"NO REF")</f>
        <v>NO REF</v>
      </c>
    </row>
    <row r="315" ht="15.75" customHeight="1">
      <c r="C315" s="13">
        <v>314.0</v>
      </c>
      <c r="D315" s="1567">
        <v>2024.0</v>
      </c>
      <c r="E315" s="217" t="s">
        <v>518</v>
      </c>
      <c r="F315" s="960" t="s">
        <v>1126</v>
      </c>
      <c r="G315" s="961" t="s">
        <v>493</v>
      </c>
      <c r="H315" s="1568">
        <v>206.02999999999997</v>
      </c>
      <c r="I315" s="1569">
        <v>159.7</v>
      </c>
      <c r="J315" s="964" t="s">
        <v>494</v>
      </c>
      <c r="K315" s="965" t="s">
        <v>493</v>
      </c>
      <c r="L315" s="966" t="str">
        <f t="shared" si="2"/>
        <v>POPEYES</v>
      </c>
      <c r="M315" s="967">
        <f t="array" ref="M315">IFERROR(IF(ABS(H315-I315)=0,Tie,ABS(H315-I315)),"UPCOMING")</f>
        <v>46.33</v>
      </c>
      <c r="N315" s="968">
        <f t="shared" si="3"/>
        <v>293</v>
      </c>
      <c r="O315" s="969">
        <f t="shared" si="4"/>
        <v>129</v>
      </c>
      <c r="P315" s="967">
        <f t="shared" si="5"/>
        <v>365.73</v>
      </c>
      <c r="Q315" s="968">
        <f t="shared" si="6"/>
        <v>124</v>
      </c>
      <c r="R315" s="967">
        <f t="shared" si="7"/>
        <v>208.5</v>
      </c>
      <c r="S315" s="968">
        <f t="shared" si="8"/>
        <v>202</v>
      </c>
      <c r="U315" s="13" t="str">
        <f>IFERROR(__xludf.DUMMYFUNCTION("IF($T315=""Y"",
  IFERROR(
    RANK.EQ($R315, FILTER($R:$R, $T:$T=""Y""), 1)
    + COUNTIFS($R:$R, $R315, $M:$M, ""&lt;""&amp;$M315, $T:$T, ""Y""),
    ""UPCOMING""
  ),
  ""NO REF""
)
"),"NO REF")</f>
        <v>NO REF</v>
      </c>
    </row>
    <row r="316" ht="15.75" customHeight="1">
      <c r="C316" s="13">
        <v>315.0</v>
      </c>
      <c r="D316" s="1567">
        <v>2024.0</v>
      </c>
      <c r="E316" s="217" t="s">
        <v>518</v>
      </c>
      <c r="F316" s="960" t="s">
        <v>1127</v>
      </c>
      <c r="G316" s="961" t="s">
        <v>537</v>
      </c>
      <c r="H316" s="1568">
        <v>202.48000000000002</v>
      </c>
      <c r="I316" s="1569">
        <v>147.3</v>
      </c>
      <c r="J316" s="964" t="s">
        <v>536</v>
      </c>
      <c r="K316" s="965" t="s">
        <v>537</v>
      </c>
      <c r="L316" s="966" t="str">
        <f t="shared" si="2"/>
        <v>CHAMPS</v>
      </c>
      <c r="M316" s="967">
        <f t="array" ref="M316">IFERROR(IF(ABS(H316-I316)=0,Tie,ABS(H316-I316)),"UPCOMING")</f>
        <v>55.18</v>
      </c>
      <c r="N316" s="968">
        <f t="shared" si="3"/>
        <v>327</v>
      </c>
      <c r="O316" s="969">
        <f t="shared" si="4"/>
        <v>95</v>
      </c>
      <c r="P316" s="967">
        <f t="shared" si="5"/>
        <v>349.78</v>
      </c>
      <c r="Q316" s="968">
        <f t="shared" si="6"/>
        <v>163</v>
      </c>
      <c r="R316" s="967">
        <f t="shared" si="7"/>
        <v>245</v>
      </c>
      <c r="S316" s="968">
        <f t="shared" si="8"/>
        <v>281</v>
      </c>
      <c r="T316" s="18" t="s">
        <v>1160</v>
      </c>
      <c r="U316" s="13">
        <f>IFERROR(__xludf.DUMMYFUNCTION("IF($T316=""Y"",
  IFERROR(
    RANK.EQ($R316, FILTER($R:$R, $T:$T=""Y""), 1)
    + COUNTIFS($R:$R, $R316, $M:$M, ""&lt;""&amp;$M316, $T:$T, ""Y""),
    ""UPCOMING""
  ),
  ""NO REF""
)
"),46.0)</f>
        <v>46</v>
      </c>
    </row>
    <row r="317" ht="15.75" customHeight="1">
      <c r="C317" s="13">
        <v>316.0</v>
      </c>
      <c r="D317" s="1567">
        <v>2024.0</v>
      </c>
      <c r="E317" s="217" t="s">
        <v>518</v>
      </c>
      <c r="F317" s="960" t="s">
        <v>1128</v>
      </c>
      <c r="G317" s="961" t="s">
        <v>478</v>
      </c>
      <c r="H317" s="1568">
        <v>155.85</v>
      </c>
      <c r="I317" s="1569">
        <v>109.58</v>
      </c>
      <c r="J317" s="964" t="s">
        <v>578</v>
      </c>
      <c r="K317" s="965" t="s">
        <v>478</v>
      </c>
      <c r="L317" s="966" t="str">
        <f t="shared" si="2"/>
        <v>METAMOOKDAWGS</v>
      </c>
      <c r="M317" s="967">
        <f t="array" ref="M317">IFERROR(IF(ABS(H317-I317)=0,Tie,ABS(H317-I317)),"UPCOMING")</f>
        <v>46.27</v>
      </c>
      <c r="N317" s="968">
        <f t="shared" si="3"/>
        <v>291</v>
      </c>
      <c r="O317" s="969">
        <f t="shared" si="4"/>
        <v>131</v>
      </c>
      <c r="P317" s="967">
        <f t="shared" si="5"/>
        <v>265.43</v>
      </c>
      <c r="Q317" s="968">
        <f t="shared" si="6"/>
        <v>380</v>
      </c>
      <c r="R317" s="967">
        <f t="shared" si="7"/>
        <v>335.5</v>
      </c>
      <c r="S317" s="968">
        <f t="shared" si="8"/>
        <v>398</v>
      </c>
      <c r="U317" s="13" t="str">
        <f>IFERROR(__xludf.DUMMYFUNCTION("IF($T317=""Y"",
  IFERROR(
    RANK.EQ($R317, FILTER($R:$R, $T:$T=""Y""), 1)
    + COUNTIFS($R:$R, $R317, $M:$M, ""&lt;""&amp;$M317, $T:$T, ""Y""),
    ""UPCOMING""
  ),
  ""NO REF""
)
"),"NO REF")</f>
        <v>NO REF</v>
      </c>
    </row>
    <row r="318" ht="15.75" customHeight="1">
      <c r="C318" s="13">
        <v>317.0</v>
      </c>
      <c r="D318" s="1567">
        <v>2024.0</v>
      </c>
      <c r="E318" s="217" t="s">
        <v>519</v>
      </c>
      <c r="F318" s="960" t="s">
        <v>1120</v>
      </c>
      <c r="G318" s="961" t="s">
        <v>477</v>
      </c>
      <c r="H318" s="1568">
        <v>152.11</v>
      </c>
      <c r="I318" s="1569">
        <v>156.06</v>
      </c>
      <c r="J318" s="964" t="s">
        <v>494</v>
      </c>
      <c r="K318" s="965" t="s">
        <v>494</v>
      </c>
      <c r="L318" s="966" t="str">
        <f t="shared" si="2"/>
        <v>KINGS</v>
      </c>
      <c r="M318" s="967">
        <f t="array" ref="M318">IFERROR(IF(ABS(H318-I318)=0,Tie,ABS(H318-I318)),"UPCOMING")</f>
        <v>3.95</v>
      </c>
      <c r="N318" s="968">
        <f t="shared" si="3"/>
        <v>31</v>
      </c>
      <c r="O318" s="969">
        <f t="shared" si="4"/>
        <v>391</v>
      </c>
      <c r="P318" s="967">
        <f t="shared" si="5"/>
        <v>308.17</v>
      </c>
      <c r="Q318" s="968">
        <f t="shared" si="6"/>
        <v>286</v>
      </c>
      <c r="R318" s="967">
        <f t="shared" si="7"/>
        <v>158.5</v>
      </c>
      <c r="S318" s="968">
        <f t="shared" si="8"/>
        <v>108</v>
      </c>
      <c r="U318" s="13" t="str">
        <f>IFERROR(__xludf.DUMMYFUNCTION("IF($T318=""Y"",
  IFERROR(
    RANK.EQ($R318, FILTER($R:$R, $T:$T=""Y""), 1)
    + COUNTIFS($R:$R, $R318, $M:$M, ""&lt;""&amp;$M318, $T:$T, ""Y""),
    ""UPCOMING""
  ),
  ""NO REF""
)
"),"NO REF")</f>
        <v>NO REF</v>
      </c>
    </row>
    <row r="319" ht="15.75" customHeight="1">
      <c r="C319" s="13">
        <v>318.0</v>
      </c>
      <c r="D319" s="1567">
        <v>2024.0</v>
      </c>
      <c r="E319" s="217" t="s">
        <v>519</v>
      </c>
      <c r="F319" s="960" t="s">
        <v>1125</v>
      </c>
      <c r="G319" s="961" t="s">
        <v>497</v>
      </c>
      <c r="H319" s="1568">
        <v>148.64000000000001</v>
      </c>
      <c r="I319" s="1569">
        <v>200.89999999999998</v>
      </c>
      <c r="J319" s="964" t="s">
        <v>495</v>
      </c>
      <c r="K319" s="965" t="s">
        <v>495</v>
      </c>
      <c r="L319" s="966" t="str">
        <f t="shared" si="2"/>
        <v>SAVAGES</v>
      </c>
      <c r="M319" s="967">
        <f t="array" ref="M319">IFERROR(IF(ABS(H319-I319)=0,Tie,ABS(H319-I319)),"UPCOMING")</f>
        <v>52.26</v>
      </c>
      <c r="N319" s="968">
        <f t="shared" si="3"/>
        <v>316</v>
      </c>
      <c r="O319" s="969">
        <f t="shared" si="4"/>
        <v>106</v>
      </c>
      <c r="P319" s="967">
        <f t="shared" si="5"/>
        <v>349.54</v>
      </c>
      <c r="Q319" s="968">
        <f t="shared" si="6"/>
        <v>164</v>
      </c>
      <c r="R319" s="967">
        <f t="shared" si="7"/>
        <v>240</v>
      </c>
      <c r="S319" s="968">
        <f t="shared" si="8"/>
        <v>269</v>
      </c>
      <c r="U319" s="13" t="str">
        <f>IFERROR(__xludf.DUMMYFUNCTION("IF($T319=""Y"",
  IFERROR(
    RANK.EQ($R319, FILTER($R:$R, $T:$T=""Y""), 1)
    + COUNTIFS($R:$R, $R319, $M:$M, ""&lt;""&amp;$M319, $T:$T, ""Y""),
    ""UPCOMING""
  ),
  ""NO REF""
)
"),"NO REF")</f>
        <v>NO REF</v>
      </c>
    </row>
    <row r="320" ht="15.75" customHeight="1">
      <c r="C320" s="13">
        <v>319.0</v>
      </c>
      <c r="D320" s="1567">
        <v>2024.0</v>
      </c>
      <c r="E320" s="217" t="s">
        <v>519</v>
      </c>
      <c r="F320" s="960" t="s">
        <v>1126</v>
      </c>
      <c r="G320" s="961" t="s">
        <v>578</v>
      </c>
      <c r="H320" s="1568">
        <v>156.57999999999998</v>
      </c>
      <c r="I320" s="1569">
        <v>156.43</v>
      </c>
      <c r="J320" s="964" t="s">
        <v>538</v>
      </c>
      <c r="K320" s="965" t="s">
        <v>578</v>
      </c>
      <c r="L320" s="966" t="str">
        <f t="shared" si="2"/>
        <v>MUTTS</v>
      </c>
      <c r="M320" s="967">
        <f t="array" ref="M320">IFERROR(IF(ABS(H320-I320)=0,Tie,ABS(H320-I320)),"UPCOMING")</f>
        <v>0.15</v>
      </c>
      <c r="N320" s="968">
        <f t="shared" si="3"/>
        <v>3</v>
      </c>
      <c r="O320" s="969">
        <f t="shared" si="4"/>
        <v>419</v>
      </c>
      <c r="P320" s="967">
        <f t="shared" si="5"/>
        <v>313.01</v>
      </c>
      <c r="Q320" s="968">
        <f t="shared" si="6"/>
        <v>270</v>
      </c>
      <c r="R320" s="967">
        <f t="shared" si="7"/>
        <v>136.5</v>
      </c>
      <c r="S320" s="968">
        <f t="shared" si="8"/>
        <v>82</v>
      </c>
      <c r="U320" s="13" t="str">
        <f>IFERROR(__xludf.DUMMYFUNCTION("IF($T320=""Y"",
  IFERROR(
    RANK.EQ($R320, FILTER($R:$R, $T:$T=""Y""), 1)
    + COUNTIFS($R:$R, $R320, $M:$M, ""&lt;""&amp;$M320, $T:$T, ""Y""),
    ""UPCOMING""
  ),
  ""NO REF""
)
"),"NO REF")</f>
        <v>NO REF</v>
      </c>
    </row>
    <row r="321" ht="15.75" customHeight="1">
      <c r="C321" s="13">
        <v>320.0</v>
      </c>
      <c r="D321" s="1567">
        <v>2024.0</v>
      </c>
      <c r="E321" s="217" t="s">
        <v>519</v>
      </c>
      <c r="F321" s="960" t="s">
        <v>1127</v>
      </c>
      <c r="G321" s="961" t="s">
        <v>537</v>
      </c>
      <c r="H321" s="1568">
        <v>195.26000000000002</v>
      </c>
      <c r="I321" s="1569">
        <v>154.79000000000002</v>
      </c>
      <c r="J321" s="964" t="s">
        <v>493</v>
      </c>
      <c r="K321" s="965" t="s">
        <v>537</v>
      </c>
      <c r="L321" s="966" t="str">
        <f t="shared" si="2"/>
        <v>DECOUPES</v>
      </c>
      <c r="M321" s="967">
        <f t="array" ref="M321">IFERROR(IF(ABS(H321-I321)=0,Tie,ABS(H321-I321)),"UPCOMING")</f>
        <v>40.47</v>
      </c>
      <c r="N321" s="968">
        <f t="shared" si="3"/>
        <v>257</v>
      </c>
      <c r="O321" s="969">
        <f t="shared" si="4"/>
        <v>165</v>
      </c>
      <c r="P321" s="967">
        <f t="shared" si="5"/>
        <v>350.05</v>
      </c>
      <c r="Q321" s="968">
        <f t="shared" si="6"/>
        <v>162</v>
      </c>
      <c r="R321" s="967">
        <f t="shared" si="7"/>
        <v>209.5</v>
      </c>
      <c r="S321" s="968">
        <f t="shared" si="8"/>
        <v>205</v>
      </c>
      <c r="T321" s="18" t="s">
        <v>1160</v>
      </c>
      <c r="U321" s="13">
        <f>IFERROR(__xludf.DUMMYFUNCTION("IF($T321=""Y"",
  IFERROR(
    RANK.EQ($R321, FILTER($R:$R, $T:$T=""Y""), 1)
    + COUNTIFS($R:$R, $R321, $M:$M, ""&lt;""&amp;$M321, $T:$T, ""Y""),
    ""UPCOMING""
  ),
  ""NO REF""
)
"),37.0)</f>
        <v>37</v>
      </c>
    </row>
    <row r="322" ht="15.75" customHeight="1">
      <c r="C322" s="13">
        <v>321.0</v>
      </c>
      <c r="D322" s="1567">
        <v>2024.0</v>
      </c>
      <c r="E322" s="217" t="s">
        <v>519</v>
      </c>
      <c r="F322" s="960" t="s">
        <v>1128</v>
      </c>
      <c r="G322" s="961" t="s">
        <v>478</v>
      </c>
      <c r="H322" s="1568">
        <v>188.89000000000001</v>
      </c>
      <c r="I322" s="1569">
        <v>134.61</v>
      </c>
      <c r="J322" s="964" t="s">
        <v>536</v>
      </c>
      <c r="K322" s="965" t="s">
        <v>478</v>
      </c>
      <c r="L322" s="966" t="str">
        <f t="shared" si="2"/>
        <v>CHAMPS</v>
      </c>
      <c r="M322" s="967">
        <f t="array" ref="M322">IFERROR(IF(ABS(H322-I322)=0,Tie,ABS(H322-I322)),"UPCOMING")</f>
        <v>54.28</v>
      </c>
      <c r="N322" s="968">
        <f t="shared" si="3"/>
        <v>323</v>
      </c>
      <c r="O322" s="969">
        <f t="shared" si="4"/>
        <v>99</v>
      </c>
      <c r="P322" s="967">
        <f t="shared" si="5"/>
        <v>323.5</v>
      </c>
      <c r="Q322" s="968">
        <f t="shared" si="6"/>
        <v>239</v>
      </c>
      <c r="R322" s="967">
        <f t="shared" si="7"/>
        <v>281</v>
      </c>
      <c r="S322" s="968">
        <f t="shared" si="8"/>
        <v>334</v>
      </c>
      <c r="U322" s="13" t="str">
        <f>IFERROR(__xludf.DUMMYFUNCTION("IF($T322=""Y"",
  IFERROR(
    RANK.EQ($R322, FILTER($R:$R, $T:$T=""Y""), 1)
    + COUNTIFS($R:$R, $R322, $M:$M, ""&lt;""&amp;$M322, $T:$T, ""Y""),
    ""UPCOMING""
  ),
  ""NO REF""
)
"),"NO REF")</f>
        <v>NO REF</v>
      </c>
    </row>
    <row r="323" ht="15.75" customHeight="1">
      <c r="C323" s="13">
        <v>322.0</v>
      </c>
      <c r="D323" s="1567">
        <v>2024.0</v>
      </c>
      <c r="E323" s="217" t="s">
        <v>520</v>
      </c>
      <c r="F323" s="960" t="s">
        <v>1120</v>
      </c>
      <c r="G323" s="961" t="s">
        <v>477</v>
      </c>
      <c r="H323" s="1568">
        <v>157.32</v>
      </c>
      <c r="I323" s="1569">
        <v>198.03</v>
      </c>
      <c r="J323" s="964" t="s">
        <v>495</v>
      </c>
      <c r="K323" s="965" t="s">
        <v>495</v>
      </c>
      <c r="L323" s="966" t="str">
        <f t="shared" si="2"/>
        <v>KINGS</v>
      </c>
      <c r="M323" s="967">
        <f t="array" ref="M323">IFERROR(IF(ABS(H323-I323)=0,Tie,ABS(H323-I323)),"UPCOMING")</f>
        <v>40.71</v>
      </c>
      <c r="N323" s="968">
        <f t="shared" si="3"/>
        <v>258</v>
      </c>
      <c r="O323" s="969">
        <f t="shared" si="4"/>
        <v>164</v>
      </c>
      <c r="P323" s="967">
        <f t="shared" si="5"/>
        <v>355.35</v>
      </c>
      <c r="Q323" s="968">
        <f t="shared" si="6"/>
        <v>148</v>
      </c>
      <c r="R323" s="967">
        <f t="shared" si="7"/>
        <v>203</v>
      </c>
      <c r="S323" s="968">
        <f t="shared" si="8"/>
        <v>188</v>
      </c>
      <c r="U323" s="13" t="str">
        <f>IFERROR(__xludf.DUMMYFUNCTION("IF($T323=""Y"",
  IFERROR(
    RANK.EQ($R323, FILTER($R:$R, $T:$T=""Y""), 1)
    + COUNTIFS($R:$R, $R323, $M:$M, ""&lt;""&amp;$M323, $T:$T, ""Y""),
    ""UPCOMING""
  ),
  ""NO REF""
)
"),"NO REF")</f>
        <v>NO REF</v>
      </c>
    </row>
    <row r="324" ht="15.75" customHeight="1">
      <c r="C324" s="13">
        <v>323.0</v>
      </c>
      <c r="D324" s="1567">
        <v>2024.0</v>
      </c>
      <c r="E324" s="217" t="s">
        <v>520</v>
      </c>
      <c r="F324" s="960" t="s">
        <v>1125</v>
      </c>
      <c r="G324" s="961" t="s">
        <v>478</v>
      </c>
      <c r="H324" s="1568">
        <v>139.23999999999998</v>
      </c>
      <c r="I324" s="1569">
        <v>174.64</v>
      </c>
      <c r="J324" s="964" t="s">
        <v>538</v>
      </c>
      <c r="K324" s="965" t="s">
        <v>538</v>
      </c>
      <c r="L324" s="966" t="str">
        <f t="shared" si="2"/>
        <v>EAGLES</v>
      </c>
      <c r="M324" s="967">
        <f t="array" ref="M324">IFERROR(IF(ABS(H324-I324)=0,Tie,ABS(H324-I324)),"UPCOMING")</f>
        <v>35.4</v>
      </c>
      <c r="N324" s="968">
        <f t="shared" si="3"/>
        <v>228</v>
      </c>
      <c r="O324" s="969">
        <f t="shared" si="4"/>
        <v>194</v>
      </c>
      <c r="P324" s="967">
        <f t="shared" si="5"/>
        <v>313.88</v>
      </c>
      <c r="Q324" s="968">
        <f t="shared" si="6"/>
        <v>264</v>
      </c>
      <c r="R324" s="967">
        <f t="shared" si="7"/>
        <v>246</v>
      </c>
      <c r="S324" s="968">
        <f t="shared" si="8"/>
        <v>283</v>
      </c>
      <c r="T324" s="18" t="s">
        <v>1160</v>
      </c>
      <c r="U324" s="13">
        <f>IFERROR(__xludf.DUMMYFUNCTION("IF($T324=""Y"",
  IFERROR(
    RANK.EQ($R324, FILTER($R:$R, $T:$T=""Y""), 1)
    + COUNTIFS($R:$R, $R324, $M:$M, ""&lt;""&amp;$M324, $T:$T, ""Y""),
    ""UPCOMING""
  ),
  ""NO REF""
)
"),47.0)</f>
        <v>47</v>
      </c>
    </row>
    <row r="325" ht="15.75" customHeight="1">
      <c r="C325" s="13">
        <v>324.0</v>
      </c>
      <c r="D325" s="1567">
        <v>2024.0</v>
      </c>
      <c r="E325" s="217" t="s">
        <v>520</v>
      </c>
      <c r="F325" s="960" t="s">
        <v>1126</v>
      </c>
      <c r="G325" s="961" t="s">
        <v>537</v>
      </c>
      <c r="H325" s="1568">
        <v>173.35999999999999</v>
      </c>
      <c r="I325" s="1569">
        <v>161.37</v>
      </c>
      <c r="J325" s="964" t="s">
        <v>578</v>
      </c>
      <c r="K325" s="965" t="s">
        <v>537</v>
      </c>
      <c r="L325" s="966" t="str">
        <f t="shared" si="2"/>
        <v>METAMOOKDAWGS</v>
      </c>
      <c r="M325" s="967">
        <f t="array" ref="M325">IFERROR(IF(ABS(H325-I325)=0,Tie,ABS(H325-I325)),"UPCOMING")</f>
        <v>11.99</v>
      </c>
      <c r="N325" s="968">
        <f t="shared" si="3"/>
        <v>94</v>
      </c>
      <c r="O325" s="969">
        <f t="shared" si="4"/>
        <v>328</v>
      </c>
      <c r="P325" s="967">
        <f t="shared" si="5"/>
        <v>334.73</v>
      </c>
      <c r="Q325" s="968">
        <f t="shared" si="6"/>
        <v>205</v>
      </c>
      <c r="R325" s="967">
        <f t="shared" si="7"/>
        <v>149.5</v>
      </c>
      <c r="S325" s="968">
        <f t="shared" si="8"/>
        <v>102</v>
      </c>
      <c r="U325" s="13" t="str">
        <f>IFERROR(__xludf.DUMMYFUNCTION("IF($T325=""Y"",
  IFERROR(
    RANK.EQ($R325, FILTER($R:$R, $T:$T=""Y""), 1)
    + COUNTIFS($R:$R, $R325, $M:$M, ""&lt;""&amp;$M325, $T:$T, ""Y""),
    ""UPCOMING""
  ),
  ""NO REF""
)
"),"NO REF")</f>
        <v>NO REF</v>
      </c>
    </row>
    <row r="326" ht="15.75" customHeight="1">
      <c r="C326" s="13">
        <v>325.0</v>
      </c>
      <c r="D326" s="1567">
        <v>2024.0</v>
      </c>
      <c r="E326" s="217" t="s">
        <v>520</v>
      </c>
      <c r="F326" s="960" t="s">
        <v>1127</v>
      </c>
      <c r="G326" s="961" t="s">
        <v>493</v>
      </c>
      <c r="H326" s="1568">
        <v>142.79</v>
      </c>
      <c r="I326" s="1569">
        <v>179.77999999999997</v>
      </c>
      <c r="J326" s="964" t="s">
        <v>497</v>
      </c>
      <c r="K326" s="965" t="s">
        <v>497</v>
      </c>
      <c r="L326" s="966" t="str">
        <f t="shared" si="2"/>
        <v>DECOUPES</v>
      </c>
      <c r="M326" s="967">
        <f t="array" ref="M326">IFERROR(IF(ABS(H326-I326)=0,Tie,ABS(H326-I326)),"UPCOMING")</f>
        <v>36.99</v>
      </c>
      <c r="N326" s="968">
        <f t="shared" si="3"/>
        <v>239</v>
      </c>
      <c r="O326" s="969">
        <f t="shared" si="4"/>
        <v>183</v>
      </c>
      <c r="P326" s="967">
        <f t="shared" si="5"/>
        <v>322.57</v>
      </c>
      <c r="Q326" s="968">
        <f t="shared" si="6"/>
        <v>240</v>
      </c>
      <c r="R326" s="967">
        <f t="shared" si="7"/>
        <v>239.5</v>
      </c>
      <c r="S326" s="968">
        <f t="shared" si="8"/>
        <v>267</v>
      </c>
      <c r="U326" s="13" t="str">
        <f>IFERROR(__xludf.DUMMYFUNCTION("IF($T326=""Y"",
  IFERROR(
    RANK.EQ($R326, FILTER($R:$R, $T:$T=""Y""), 1)
    + COUNTIFS($R:$R, $R326, $M:$M, ""&lt;""&amp;$M326, $T:$T, ""Y""),
    ""UPCOMING""
  ),
  ""NO REF""
)
"),"NO REF")</f>
        <v>NO REF</v>
      </c>
    </row>
    <row r="327" ht="15.75" customHeight="1">
      <c r="C327" s="13">
        <v>326.0</v>
      </c>
      <c r="D327" s="1567">
        <v>2024.0</v>
      </c>
      <c r="E327" s="217" t="s">
        <v>520</v>
      </c>
      <c r="F327" s="960" t="s">
        <v>1128</v>
      </c>
      <c r="G327" s="961" t="s">
        <v>536</v>
      </c>
      <c r="H327" s="1568">
        <v>127.80000000000001</v>
      </c>
      <c r="I327" s="1569">
        <v>164.34</v>
      </c>
      <c r="J327" s="964" t="s">
        <v>494</v>
      </c>
      <c r="K327" s="965" t="s">
        <v>494</v>
      </c>
      <c r="L327" s="966" t="str">
        <f t="shared" si="2"/>
        <v>CHAMPS</v>
      </c>
      <c r="M327" s="967">
        <f t="array" ref="M327">IFERROR(IF(ABS(H327-I327)=0,Tie,ABS(H327-I327)),"UPCOMING")</f>
        <v>36.54</v>
      </c>
      <c r="N327" s="968">
        <f t="shared" si="3"/>
        <v>236</v>
      </c>
      <c r="O327" s="969">
        <f t="shared" si="4"/>
        <v>186</v>
      </c>
      <c r="P327" s="967">
        <f t="shared" si="5"/>
        <v>292.14</v>
      </c>
      <c r="Q327" s="968">
        <f t="shared" si="6"/>
        <v>326</v>
      </c>
      <c r="R327" s="967">
        <f t="shared" si="7"/>
        <v>281</v>
      </c>
      <c r="S327" s="968">
        <f t="shared" si="8"/>
        <v>333</v>
      </c>
      <c r="U327" s="13" t="str">
        <f>IFERROR(__xludf.DUMMYFUNCTION("IF($T327=""Y"",
  IFERROR(
    RANK.EQ($R327, FILTER($R:$R, $T:$T=""Y""), 1)
    + COUNTIFS($R:$R, $R327, $M:$M, ""&lt;""&amp;$M327, $T:$T, ""Y""),
    ""UPCOMING""
  ),
  ""NO REF""
)
"),"NO REF")</f>
        <v>NO REF</v>
      </c>
    </row>
    <row r="328" ht="15.75" customHeight="1">
      <c r="C328" s="13">
        <v>327.0</v>
      </c>
      <c r="D328" s="1567">
        <v>2024.0</v>
      </c>
      <c r="E328" s="217" t="s">
        <v>521</v>
      </c>
      <c r="F328" s="960" t="s">
        <v>1120</v>
      </c>
      <c r="G328" s="961" t="s">
        <v>538</v>
      </c>
      <c r="H328" s="1568">
        <v>138.29</v>
      </c>
      <c r="I328" s="1569">
        <v>181.49999999999997</v>
      </c>
      <c r="J328" s="964" t="s">
        <v>477</v>
      </c>
      <c r="K328" s="965" t="s">
        <v>477</v>
      </c>
      <c r="L328" s="966" t="str">
        <f t="shared" si="2"/>
        <v>MUTTS</v>
      </c>
      <c r="M328" s="967">
        <f t="array" ref="M328">IFERROR(IF(ABS(H328-I328)=0,Tie,ABS(H328-I328)),"UPCOMING")</f>
        <v>43.21</v>
      </c>
      <c r="N328" s="968">
        <f t="shared" si="3"/>
        <v>274</v>
      </c>
      <c r="O328" s="969">
        <f t="shared" si="4"/>
        <v>148</v>
      </c>
      <c r="P328" s="967">
        <f t="shared" si="5"/>
        <v>319.79</v>
      </c>
      <c r="Q328" s="968">
        <f t="shared" si="6"/>
        <v>249</v>
      </c>
      <c r="R328" s="967">
        <f t="shared" si="7"/>
        <v>261.5</v>
      </c>
      <c r="S328" s="968">
        <f t="shared" si="8"/>
        <v>305</v>
      </c>
      <c r="U328" s="13" t="str">
        <f>IFERROR(__xludf.DUMMYFUNCTION("IF($T328=""Y"",
  IFERROR(
    RANK.EQ($R328, FILTER($R:$R, $T:$T=""Y""), 1)
    + COUNTIFS($R:$R, $R328, $M:$M, ""&lt;""&amp;$M328, $T:$T, ""Y""),
    ""UPCOMING""
  ),
  ""NO REF""
)
"),"NO REF")</f>
        <v>NO REF</v>
      </c>
    </row>
    <row r="329" ht="15.75" customHeight="1">
      <c r="C329" s="13">
        <v>328.0</v>
      </c>
      <c r="D329" s="1567">
        <v>2024.0</v>
      </c>
      <c r="E329" s="217" t="s">
        <v>521</v>
      </c>
      <c r="F329" s="960" t="s">
        <v>1125</v>
      </c>
      <c r="G329" s="961" t="s">
        <v>537</v>
      </c>
      <c r="H329" s="1568">
        <v>159.59000000000003</v>
      </c>
      <c r="I329" s="1569">
        <v>157.81</v>
      </c>
      <c r="J329" s="964" t="s">
        <v>495</v>
      </c>
      <c r="K329" s="965" t="s">
        <v>537</v>
      </c>
      <c r="L329" s="966" t="str">
        <f t="shared" si="2"/>
        <v>GREEN</v>
      </c>
      <c r="M329" s="967">
        <f t="array" ref="M329">IFERROR(IF(ABS(H329-I329)=0,Tie,ABS(H329-I329)),"UPCOMING")</f>
        <v>1.78</v>
      </c>
      <c r="N329" s="968">
        <f t="shared" si="3"/>
        <v>20</v>
      </c>
      <c r="O329" s="969">
        <f t="shared" si="4"/>
        <v>402</v>
      </c>
      <c r="P329" s="967">
        <f t="shared" si="5"/>
        <v>317.4</v>
      </c>
      <c r="Q329" s="968">
        <f t="shared" si="6"/>
        <v>253</v>
      </c>
      <c r="R329" s="967">
        <f t="shared" si="7"/>
        <v>136.5</v>
      </c>
      <c r="S329" s="968">
        <f t="shared" si="8"/>
        <v>83</v>
      </c>
      <c r="U329" s="13" t="str">
        <f>IFERROR(__xludf.DUMMYFUNCTION("IF($T329=""Y"",
  IFERROR(
    RANK.EQ($R329, FILTER($R:$R, $T:$T=""Y""), 1)
    + COUNTIFS($R:$R, $R329, $M:$M, ""&lt;""&amp;$M329, $T:$T, ""Y""),
    ""UPCOMING""
  ),
  ""NO REF""
)
"),"NO REF")</f>
        <v>NO REF</v>
      </c>
    </row>
    <row r="330" ht="15.75" customHeight="1">
      <c r="C330" s="13">
        <v>329.0</v>
      </c>
      <c r="D330" s="1567">
        <v>2024.0</v>
      </c>
      <c r="E330" s="217" t="s">
        <v>521</v>
      </c>
      <c r="F330" s="960" t="s">
        <v>1126</v>
      </c>
      <c r="G330" s="961" t="s">
        <v>478</v>
      </c>
      <c r="H330" s="1568">
        <v>152.78000000000003</v>
      </c>
      <c r="I330" s="1569">
        <v>164.36999999999998</v>
      </c>
      <c r="J330" s="964" t="s">
        <v>494</v>
      </c>
      <c r="K330" s="965" t="s">
        <v>494</v>
      </c>
      <c r="L330" s="966" t="str">
        <f t="shared" si="2"/>
        <v>EAGLES</v>
      </c>
      <c r="M330" s="967">
        <f t="array" ref="M330">IFERROR(IF(ABS(H330-I330)=0,Tie,ABS(H330-I330)),"UPCOMING")</f>
        <v>11.59</v>
      </c>
      <c r="N330" s="968">
        <f t="shared" si="3"/>
        <v>89</v>
      </c>
      <c r="O330" s="969">
        <f t="shared" si="4"/>
        <v>333</v>
      </c>
      <c r="P330" s="967">
        <f t="shared" si="5"/>
        <v>317.15</v>
      </c>
      <c r="Q330" s="968">
        <f t="shared" si="6"/>
        <v>255</v>
      </c>
      <c r="R330" s="967">
        <f t="shared" si="7"/>
        <v>172</v>
      </c>
      <c r="S330" s="968">
        <f t="shared" si="8"/>
        <v>129</v>
      </c>
      <c r="T330" s="18" t="s">
        <v>1160</v>
      </c>
      <c r="U330" s="13">
        <f>IFERROR(__xludf.DUMMYFUNCTION("IF($T330=""Y"",
  IFERROR(
    RANK.EQ($R330, FILTER($R:$R, $T:$T=""Y""), 1)
    + COUNTIFS($R:$R, $R330, $M:$M, ""&lt;""&amp;$M330, $T:$T, ""Y""),
    ""UPCOMING""
  ),
  ""NO REF""
)
"),25.0)</f>
        <v>25</v>
      </c>
    </row>
    <row r="331" ht="15.75" customHeight="1">
      <c r="C331" s="13">
        <v>330.0</v>
      </c>
      <c r="D331" s="1567">
        <v>2024.0</v>
      </c>
      <c r="E331" s="217" t="s">
        <v>521</v>
      </c>
      <c r="F331" s="960" t="s">
        <v>1127</v>
      </c>
      <c r="G331" s="961" t="s">
        <v>536</v>
      </c>
      <c r="H331" s="1568">
        <v>153.01</v>
      </c>
      <c r="I331" s="1569">
        <v>152.76</v>
      </c>
      <c r="J331" s="964" t="s">
        <v>493</v>
      </c>
      <c r="K331" s="965" t="s">
        <v>536</v>
      </c>
      <c r="L331" s="966" t="str">
        <f t="shared" si="2"/>
        <v>DECOUPES</v>
      </c>
      <c r="M331" s="967">
        <f t="array" ref="M331">IFERROR(IF(ABS(H331-I331)=0,Tie,ABS(H331-I331)),"UPCOMING")</f>
        <v>0.25</v>
      </c>
      <c r="N331" s="968">
        <f t="shared" si="3"/>
        <v>6</v>
      </c>
      <c r="O331" s="969">
        <f t="shared" si="4"/>
        <v>416</v>
      </c>
      <c r="P331" s="967">
        <f t="shared" si="5"/>
        <v>305.77</v>
      </c>
      <c r="Q331" s="968">
        <f t="shared" si="6"/>
        <v>290</v>
      </c>
      <c r="R331" s="967">
        <f t="shared" si="7"/>
        <v>148</v>
      </c>
      <c r="S331" s="968">
        <f t="shared" si="8"/>
        <v>98</v>
      </c>
      <c r="U331" s="13" t="str">
        <f>IFERROR(__xludf.DUMMYFUNCTION("IF($T331=""Y"",
  IFERROR(
    RANK.EQ($R331, FILTER($R:$R, $T:$T=""Y""), 1)
    + COUNTIFS($R:$R, $R331, $M:$M, ""&lt;""&amp;$M331, $T:$T, ""Y""),
    ""UPCOMING""
  ),
  ""NO REF""
)
"),"NO REF")</f>
        <v>NO REF</v>
      </c>
    </row>
    <row r="332" ht="15.75" customHeight="1">
      <c r="C332" s="13">
        <v>331.0</v>
      </c>
      <c r="D332" s="1567">
        <v>2024.0</v>
      </c>
      <c r="E332" s="217" t="s">
        <v>521</v>
      </c>
      <c r="F332" s="960" t="s">
        <v>1128</v>
      </c>
      <c r="G332" s="961" t="s">
        <v>578</v>
      </c>
      <c r="H332" s="1568">
        <v>94.04</v>
      </c>
      <c r="I332" s="1569">
        <v>138.45999999999998</v>
      </c>
      <c r="J332" s="964" t="s">
        <v>497</v>
      </c>
      <c r="K332" s="965" t="s">
        <v>497</v>
      </c>
      <c r="L332" s="966" t="str">
        <f t="shared" si="2"/>
        <v>METAMOOKDAWGS</v>
      </c>
      <c r="M332" s="967">
        <f t="array" ref="M332">IFERROR(IF(ABS(H332-I332)=0,Tie,ABS(H332-I332)),"UPCOMING")</f>
        <v>44.42</v>
      </c>
      <c r="N332" s="968">
        <f t="shared" si="3"/>
        <v>278</v>
      </c>
      <c r="O332" s="969">
        <f t="shared" si="4"/>
        <v>144</v>
      </c>
      <c r="P332" s="967">
        <f t="shared" si="5"/>
        <v>232.5</v>
      </c>
      <c r="Q332" s="968">
        <f t="shared" si="6"/>
        <v>409</v>
      </c>
      <c r="R332" s="967">
        <f t="shared" si="7"/>
        <v>343.5</v>
      </c>
      <c r="S332" s="968">
        <f t="shared" si="8"/>
        <v>403</v>
      </c>
      <c r="U332" s="13" t="str">
        <f>IFERROR(__xludf.DUMMYFUNCTION("IF($T332=""Y"",
  IFERROR(
    RANK.EQ($R332, FILTER($R:$R, $T:$T=""Y""), 1)
    + COUNTIFS($R:$R, $R332, $M:$M, ""&lt;""&amp;$M332, $T:$T, ""Y""),
    ""UPCOMING""
  ),
  ""NO REF""
)
"),"NO REF")</f>
        <v>NO REF</v>
      </c>
    </row>
    <row r="333" ht="15.75" customHeight="1">
      <c r="C333" s="13">
        <v>332.0</v>
      </c>
      <c r="D333" s="1567">
        <v>2024.0</v>
      </c>
      <c r="E333" s="217" t="s">
        <v>522</v>
      </c>
      <c r="F333" s="960" t="s">
        <v>1120</v>
      </c>
      <c r="G333" s="961" t="s">
        <v>495</v>
      </c>
      <c r="H333" s="1568">
        <v>185.38000000000002</v>
      </c>
      <c r="I333" s="1569">
        <v>174.09</v>
      </c>
      <c r="J333" s="964" t="s">
        <v>538</v>
      </c>
      <c r="K333" s="965" t="s">
        <v>495</v>
      </c>
      <c r="L333" s="966" t="str">
        <f t="shared" si="2"/>
        <v>MUTTS</v>
      </c>
      <c r="M333" s="967">
        <f t="array" ref="M333">IFERROR(IF(ABS(H333-I333)=0,Tie,ABS(H333-I333)),"UPCOMING")</f>
        <v>11.29</v>
      </c>
      <c r="N333" s="968">
        <f t="shared" si="3"/>
        <v>87</v>
      </c>
      <c r="O333" s="969">
        <f t="shared" si="4"/>
        <v>335</v>
      </c>
      <c r="P333" s="967">
        <f t="shared" si="5"/>
        <v>359.47</v>
      </c>
      <c r="Q333" s="968">
        <f t="shared" si="6"/>
        <v>139</v>
      </c>
      <c r="R333" s="967">
        <f t="shared" si="7"/>
        <v>113</v>
      </c>
      <c r="S333" s="968">
        <f t="shared" si="8"/>
        <v>50</v>
      </c>
      <c r="U333" s="13" t="str">
        <f>IFERROR(__xludf.DUMMYFUNCTION("IF($T333=""Y"",
  IFERROR(
    RANK.EQ($R333, FILTER($R:$R, $T:$T=""Y""), 1)
    + COUNTIFS($R:$R, $R333, $M:$M, ""&lt;""&amp;$M333, $T:$T, ""Y""),
    ""UPCOMING""
  ),
  ""NO REF""
)
"),"NO REF")</f>
        <v>NO REF</v>
      </c>
    </row>
    <row r="334" ht="15.75" customHeight="1">
      <c r="C334" s="13">
        <v>333.0</v>
      </c>
      <c r="D334" s="1567">
        <v>2024.0</v>
      </c>
      <c r="E334" s="217" t="s">
        <v>522</v>
      </c>
      <c r="F334" s="960" t="s">
        <v>1125</v>
      </c>
      <c r="G334" s="961" t="s">
        <v>537</v>
      </c>
      <c r="H334" s="1568">
        <v>172.88</v>
      </c>
      <c r="I334" s="1569">
        <v>191.15</v>
      </c>
      <c r="J334" s="964" t="s">
        <v>494</v>
      </c>
      <c r="K334" s="965" t="s">
        <v>494</v>
      </c>
      <c r="L334" s="966" t="str">
        <f t="shared" si="2"/>
        <v>YARDIES</v>
      </c>
      <c r="M334" s="967">
        <f t="array" ref="M334">IFERROR(IF(ABS(H334-I334)=0,Tie,ABS(H334-I334)),"UPCOMING")</f>
        <v>18.27</v>
      </c>
      <c r="N334" s="968">
        <f t="shared" si="3"/>
        <v>132</v>
      </c>
      <c r="O334" s="969">
        <f t="shared" si="4"/>
        <v>290</v>
      </c>
      <c r="P334" s="967">
        <f t="shared" si="5"/>
        <v>364.03</v>
      </c>
      <c r="Q334" s="968">
        <f t="shared" si="6"/>
        <v>128</v>
      </c>
      <c r="R334" s="967">
        <f t="shared" si="7"/>
        <v>130</v>
      </c>
      <c r="S334" s="968">
        <f t="shared" si="8"/>
        <v>72</v>
      </c>
      <c r="T334" s="18" t="s">
        <v>1160</v>
      </c>
      <c r="U334" s="13">
        <f>IFERROR(__xludf.DUMMYFUNCTION("IF($T334=""Y"",
  IFERROR(
    RANK.EQ($R334, FILTER($R:$R, $T:$T=""Y""), 1)
    + COUNTIFS($R:$R, $R334, $M:$M, ""&lt;""&amp;$M334, $T:$T, ""Y""),
    ""UPCOMING""
  ),
  ""NO REF""
)
"),10.0)</f>
        <v>10</v>
      </c>
    </row>
    <row r="335" ht="15.75" customHeight="1">
      <c r="C335" s="13">
        <v>334.0</v>
      </c>
      <c r="D335" s="1567">
        <v>2024.0</v>
      </c>
      <c r="E335" s="217" t="s">
        <v>522</v>
      </c>
      <c r="F335" s="960" t="s">
        <v>1126</v>
      </c>
      <c r="G335" s="961" t="s">
        <v>578</v>
      </c>
      <c r="H335" s="1568">
        <v>154.67999999999998</v>
      </c>
      <c r="I335" s="1569">
        <v>155.51000000000002</v>
      </c>
      <c r="J335" s="964" t="s">
        <v>493</v>
      </c>
      <c r="K335" s="965" t="s">
        <v>493</v>
      </c>
      <c r="L335" s="966" t="str">
        <f t="shared" si="2"/>
        <v>METAMOOKDAWGS</v>
      </c>
      <c r="M335" s="967">
        <f t="array" ref="M335">IFERROR(IF(ABS(H335-I335)=0,Tie,ABS(H335-I335)),"UPCOMING")</f>
        <v>0.83</v>
      </c>
      <c r="N335" s="968">
        <f t="shared" si="3"/>
        <v>11</v>
      </c>
      <c r="O335" s="969">
        <f t="shared" si="4"/>
        <v>411</v>
      </c>
      <c r="P335" s="967">
        <f t="shared" si="5"/>
        <v>310.19</v>
      </c>
      <c r="Q335" s="968">
        <f t="shared" si="6"/>
        <v>278</v>
      </c>
      <c r="R335" s="967">
        <f t="shared" si="7"/>
        <v>144.5</v>
      </c>
      <c r="S335" s="968">
        <f t="shared" si="8"/>
        <v>95</v>
      </c>
      <c r="U335" s="13" t="str">
        <f>IFERROR(__xludf.DUMMYFUNCTION("IF($T335=""Y"",
  IFERROR(
    RANK.EQ($R335, FILTER($R:$R, $T:$T=""Y""), 1)
    + COUNTIFS($R:$R, $R335, $M:$M, ""&lt;""&amp;$M335, $T:$T, ""Y""),
    ""UPCOMING""
  ),
  ""NO REF""
)
"),"NO REF")</f>
        <v>NO REF</v>
      </c>
    </row>
    <row r="336" ht="15.75" customHeight="1">
      <c r="C336" s="13">
        <v>335.0</v>
      </c>
      <c r="D336" s="1567">
        <v>2024.0</v>
      </c>
      <c r="E336" s="217" t="s">
        <v>522</v>
      </c>
      <c r="F336" s="960" t="s">
        <v>1127</v>
      </c>
      <c r="G336" s="961" t="s">
        <v>478</v>
      </c>
      <c r="H336" s="1568">
        <v>139.39000000000001</v>
      </c>
      <c r="I336" s="1569">
        <v>112.23</v>
      </c>
      <c r="J336" s="964" t="s">
        <v>497</v>
      </c>
      <c r="K336" s="965" t="s">
        <v>478</v>
      </c>
      <c r="L336" s="966" t="str">
        <f t="shared" si="2"/>
        <v>SAVAGES</v>
      </c>
      <c r="M336" s="967">
        <f t="array" ref="M336">IFERROR(IF(ABS(H336-I336)=0,Tie,ABS(H336-I336)),"UPCOMING")</f>
        <v>27.16</v>
      </c>
      <c r="N336" s="968">
        <f t="shared" si="3"/>
        <v>186</v>
      </c>
      <c r="O336" s="969">
        <f t="shared" si="4"/>
        <v>238</v>
      </c>
      <c r="P336" s="967">
        <f t="shared" si="5"/>
        <v>251.62</v>
      </c>
      <c r="Q336" s="968">
        <f t="shared" si="6"/>
        <v>397</v>
      </c>
      <c r="R336" s="967">
        <f t="shared" si="7"/>
        <v>291.5</v>
      </c>
      <c r="S336" s="968">
        <f t="shared" si="8"/>
        <v>348</v>
      </c>
      <c r="U336" s="13" t="str">
        <f>IFERROR(__xludf.DUMMYFUNCTION("IF($T336=""Y"",
  IFERROR(
    RANK.EQ($R336, FILTER($R:$R, $T:$T=""Y""), 1)
    + COUNTIFS($R:$R, $R336, $M:$M, ""&lt;""&amp;$M336, $T:$T, ""Y""),
    ""UPCOMING""
  ),
  ""NO REF""
)
"),"NO REF")</f>
        <v>NO REF</v>
      </c>
    </row>
    <row r="337" ht="15.75" customHeight="1">
      <c r="C337" s="13">
        <v>336.0</v>
      </c>
      <c r="D337" s="1567">
        <v>2024.0</v>
      </c>
      <c r="E337" s="217" t="s">
        <v>522</v>
      </c>
      <c r="F337" s="960" t="s">
        <v>1128</v>
      </c>
      <c r="G337" s="961" t="s">
        <v>536</v>
      </c>
      <c r="H337" s="1568">
        <v>117.96000000000002</v>
      </c>
      <c r="I337" s="1569">
        <v>150.83999999999997</v>
      </c>
      <c r="J337" s="964" t="s">
        <v>477</v>
      </c>
      <c r="K337" s="965" t="s">
        <v>477</v>
      </c>
      <c r="L337" s="966" t="str">
        <f t="shared" si="2"/>
        <v>CHAMPS</v>
      </c>
      <c r="M337" s="967">
        <f t="array" ref="M337">IFERROR(IF(ABS(H337-I337)=0,Tie,ABS(H337-I337)),"UPCOMING")</f>
        <v>32.88</v>
      </c>
      <c r="N337" s="968">
        <f t="shared" si="3"/>
        <v>210</v>
      </c>
      <c r="O337" s="969">
        <f t="shared" si="4"/>
        <v>212</v>
      </c>
      <c r="P337" s="967">
        <f t="shared" si="5"/>
        <v>268.8</v>
      </c>
      <c r="Q337" s="968">
        <f t="shared" si="6"/>
        <v>375</v>
      </c>
      <c r="R337" s="967">
        <f t="shared" si="7"/>
        <v>292.5</v>
      </c>
      <c r="S337" s="968">
        <f t="shared" si="8"/>
        <v>349</v>
      </c>
      <c r="U337" s="13" t="str">
        <f>IFERROR(__xludf.DUMMYFUNCTION("IF($T337=""Y"",
  IFERROR(
    RANK.EQ($R337, FILTER($R:$R, $T:$T=""Y""), 1)
    + COUNTIFS($R:$R, $R337, $M:$M, ""&lt;""&amp;$M337, $T:$T, ""Y""),
    ""UPCOMING""
  ),
  ""NO REF""
)
"),"NO REF")</f>
        <v>NO REF</v>
      </c>
    </row>
    <row r="338" ht="15.75" customHeight="1">
      <c r="C338" s="13">
        <v>337.0</v>
      </c>
      <c r="D338" s="1567">
        <v>2024.0</v>
      </c>
      <c r="E338" s="217" t="s">
        <v>523</v>
      </c>
      <c r="F338" s="960" t="s">
        <v>1120</v>
      </c>
      <c r="G338" s="961" t="s">
        <v>538</v>
      </c>
      <c r="H338" s="1568">
        <v>133.04999999999998</v>
      </c>
      <c r="I338" s="1569">
        <v>148.18</v>
      </c>
      <c r="J338" s="964" t="s">
        <v>537</v>
      </c>
      <c r="K338" s="965" t="s">
        <v>537</v>
      </c>
      <c r="L338" s="966" t="str">
        <f t="shared" si="2"/>
        <v>MUTTS</v>
      </c>
      <c r="M338" s="967">
        <f t="array" ref="M338">IFERROR(IF(ABS(H338-I338)=0,Tie,ABS(H338-I338)),"UPCOMING")</f>
        <v>15.13</v>
      </c>
      <c r="N338" s="968">
        <f t="shared" si="3"/>
        <v>114</v>
      </c>
      <c r="O338" s="969">
        <f t="shared" si="4"/>
        <v>308</v>
      </c>
      <c r="P338" s="967">
        <f t="shared" si="5"/>
        <v>281.23</v>
      </c>
      <c r="Q338" s="968">
        <f t="shared" si="6"/>
        <v>345</v>
      </c>
      <c r="R338" s="967">
        <f t="shared" si="7"/>
        <v>229.5</v>
      </c>
      <c r="S338" s="968">
        <f t="shared" si="8"/>
        <v>250</v>
      </c>
      <c r="U338" s="13" t="str">
        <f>IFERROR(__xludf.DUMMYFUNCTION("IF($T338=""Y"",
  IFERROR(
    RANK.EQ($R338, FILTER($R:$R, $T:$T=""Y""), 1)
    + COUNTIFS($R:$R, $R338, $M:$M, ""&lt;""&amp;$M338, $T:$T, ""Y""),
    ""UPCOMING""
  ),
  ""NO REF""
)
"),"NO REF")</f>
        <v>NO REF</v>
      </c>
    </row>
    <row r="339" ht="15.75" customHeight="1">
      <c r="C339" s="13">
        <v>338.0</v>
      </c>
      <c r="D339" s="1567">
        <v>2024.0</v>
      </c>
      <c r="E339" s="217" t="s">
        <v>523</v>
      </c>
      <c r="F339" s="960" t="s">
        <v>1125</v>
      </c>
      <c r="G339" s="961" t="s">
        <v>477</v>
      </c>
      <c r="H339" s="1568">
        <v>185.4</v>
      </c>
      <c r="I339" s="1569">
        <v>193.14000000000001</v>
      </c>
      <c r="J339" s="964" t="s">
        <v>494</v>
      </c>
      <c r="K339" s="965" t="s">
        <v>494</v>
      </c>
      <c r="L339" s="966" t="str">
        <f t="shared" si="2"/>
        <v>KINGS</v>
      </c>
      <c r="M339" s="967">
        <f t="array" ref="M339">IFERROR(IF(ABS(H339-I339)=0,Tie,ABS(H339-I339)),"UPCOMING")</f>
        <v>7.74</v>
      </c>
      <c r="N339" s="968">
        <f t="shared" si="3"/>
        <v>60</v>
      </c>
      <c r="O339" s="969">
        <f t="shared" si="4"/>
        <v>362</v>
      </c>
      <c r="P339" s="967">
        <f t="shared" si="5"/>
        <v>378.54</v>
      </c>
      <c r="Q339" s="968">
        <f t="shared" si="6"/>
        <v>97</v>
      </c>
      <c r="R339" s="967">
        <f t="shared" si="7"/>
        <v>78.5</v>
      </c>
      <c r="S339" s="968">
        <f t="shared" si="8"/>
        <v>20</v>
      </c>
      <c r="U339" s="13" t="str">
        <f>IFERROR(__xludf.DUMMYFUNCTION("IF($T339=""Y"",
  IFERROR(
    RANK.EQ($R339, FILTER($R:$R, $T:$T=""Y""), 1)
    + COUNTIFS($R:$R, $R339, $M:$M, ""&lt;""&amp;$M339, $T:$T, ""Y""),
    ""UPCOMING""
  ),
  ""NO REF""
)
"),"NO REF")</f>
        <v>NO REF</v>
      </c>
    </row>
    <row r="340" ht="15.75" customHeight="1">
      <c r="C340" s="13">
        <v>339.0</v>
      </c>
      <c r="D340" s="1567">
        <v>2024.0</v>
      </c>
      <c r="E340" s="217" t="s">
        <v>523</v>
      </c>
      <c r="F340" s="960" t="s">
        <v>1126</v>
      </c>
      <c r="G340" s="961" t="s">
        <v>497</v>
      </c>
      <c r="H340" s="1568">
        <v>155.62</v>
      </c>
      <c r="I340" s="1569">
        <v>189.16</v>
      </c>
      <c r="J340" s="964" t="s">
        <v>493</v>
      </c>
      <c r="K340" s="965" t="s">
        <v>493</v>
      </c>
      <c r="L340" s="966" t="str">
        <f t="shared" si="2"/>
        <v>SAVAGES</v>
      </c>
      <c r="M340" s="967">
        <f t="array" ref="M340">IFERROR(IF(ABS(H340-I340)=0,Tie,ABS(H340-I340)),"UPCOMING")</f>
        <v>33.54</v>
      </c>
      <c r="N340" s="968">
        <f t="shared" si="3"/>
        <v>214</v>
      </c>
      <c r="O340" s="969">
        <f t="shared" si="4"/>
        <v>208</v>
      </c>
      <c r="P340" s="967">
        <f t="shared" si="5"/>
        <v>344.78</v>
      </c>
      <c r="Q340" s="968">
        <f t="shared" si="6"/>
        <v>182</v>
      </c>
      <c r="R340" s="967">
        <f t="shared" si="7"/>
        <v>198</v>
      </c>
      <c r="S340" s="968">
        <f t="shared" si="8"/>
        <v>176</v>
      </c>
      <c r="T340" s="18" t="s">
        <v>1160</v>
      </c>
      <c r="U340" s="13">
        <f>IFERROR(__xludf.DUMMYFUNCTION("IF($T340=""Y"",
  IFERROR(
    RANK.EQ($R340, FILTER($R:$R, $T:$T=""Y""), 1)
    + COUNTIFS($R:$R, $R340, $M:$M, ""&lt;""&amp;$M340, $T:$T, ""Y""),
    ""UPCOMING""
  ),
  ""NO REF""
)
"),33.0)</f>
        <v>33</v>
      </c>
    </row>
    <row r="341" ht="15.75" customHeight="1">
      <c r="C341" s="13">
        <v>340.0</v>
      </c>
      <c r="D341" s="1567">
        <v>2024.0</v>
      </c>
      <c r="E341" s="217" t="s">
        <v>523</v>
      </c>
      <c r="F341" s="960" t="s">
        <v>1127</v>
      </c>
      <c r="G341" s="961" t="s">
        <v>478</v>
      </c>
      <c r="H341" s="1568">
        <v>207.57999999999998</v>
      </c>
      <c r="I341" s="1569">
        <v>106.45</v>
      </c>
      <c r="J341" s="964" t="s">
        <v>536</v>
      </c>
      <c r="K341" s="965" t="s">
        <v>478</v>
      </c>
      <c r="L341" s="966" t="str">
        <f t="shared" si="2"/>
        <v>CHAMPS</v>
      </c>
      <c r="M341" s="967">
        <f t="array" ref="M341">IFERROR(IF(ABS(H341-I341)=0,Tie,ABS(H341-I341)),"UPCOMING")</f>
        <v>101.13</v>
      </c>
      <c r="N341" s="968">
        <f t="shared" si="3"/>
        <v>409</v>
      </c>
      <c r="O341" s="969">
        <f t="shared" si="4"/>
        <v>13</v>
      </c>
      <c r="P341" s="967">
        <f t="shared" si="5"/>
        <v>314.03</v>
      </c>
      <c r="Q341" s="968">
        <f t="shared" si="6"/>
        <v>263</v>
      </c>
      <c r="R341" s="967">
        <f t="shared" si="7"/>
        <v>336</v>
      </c>
      <c r="S341" s="968">
        <f t="shared" si="8"/>
        <v>399</v>
      </c>
      <c r="U341" s="13" t="str">
        <f>IFERROR(__xludf.DUMMYFUNCTION("IF($T341=""Y"",
  IFERROR(
    RANK.EQ($R341, FILTER($R:$R, $T:$T=""Y""), 1)
    + COUNTIFS($R:$R, $R341, $M:$M, ""&lt;""&amp;$M341, $T:$T, ""Y""),
    ""UPCOMING""
  ),
  ""NO REF""
)
"),"NO REF")</f>
        <v>NO REF</v>
      </c>
    </row>
    <row r="342" ht="15.75" customHeight="1">
      <c r="C342" s="13">
        <v>341.0</v>
      </c>
      <c r="D342" s="1567">
        <v>2024.0</v>
      </c>
      <c r="E342" s="217" t="s">
        <v>523</v>
      </c>
      <c r="F342" s="960" t="s">
        <v>1128</v>
      </c>
      <c r="G342" s="961" t="s">
        <v>578</v>
      </c>
      <c r="H342" s="1568">
        <v>144.31</v>
      </c>
      <c r="I342" s="1569">
        <v>185.84</v>
      </c>
      <c r="J342" s="964" t="s">
        <v>495</v>
      </c>
      <c r="K342" s="965" t="s">
        <v>495</v>
      </c>
      <c r="L342" s="966" t="str">
        <f t="shared" si="2"/>
        <v>METAMOOKDAWGS</v>
      </c>
      <c r="M342" s="967">
        <f t="array" ref="M342">IFERROR(IF(ABS(H342-I342)=0,Tie,ABS(H342-I342)),"UPCOMING")</f>
        <v>41.53</v>
      </c>
      <c r="N342" s="968">
        <f t="shared" si="3"/>
        <v>262</v>
      </c>
      <c r="O342" s="969">
        <f t="shared" si="4"/>
        <v>160</v>
      </c>
      <c r="P342" s="967">
        <f t="shared" si="5"/>
        <v>330.15</v>
      </c>
      <c r="Q342" s="968">
        <f t="shared" si="6"/>
        <v>215</v>
      </c>
      <c r="R342" s="967">
        <f t="shared" si="7"/>
        <v>238.5</v>
      </c>
      <c r="S342" s="968">
        <f t="shared" si="8"/>
        <v>265</v>
      </c>
      <c r="U342" s="13" t="str">
        <f>IFERROR(__xludf.DUMMYFUNCTION("IF($T342=""Y"",
  IFERROR(
    RANK.EQ($R342, FILTER($R:$R, $T:$T=""Y""), 1)
    + COUNTIFS($R:$R, $R342, $M:$M, ""&lt;""&amp;$M342, $T:$T, ""Y""),
    ""UPCOMING""
  ),
  ""NO REF""
)
"),"NO REF")</f>
        <v>NO REF</v>
      </c>
    </row>
    <row r="343" ht="15.75" customHeight="1">
      <c r="C343" s="13">
        <v>342.0</v>
      </c>
      <c r="D343" s="1567">
        <v>2024.0</v>
      </c>
      <c r="E343" s="217" t="s">
        <v>524</v>
      </c>
      <c r="F343" s="960" t="s">
        <v>1120</v>
      </c>
      <c r="G343" s="961" t="s">
        <v>493</v>
      </c>
      <c r="H343" s="1568">
        <v>127.89999999999999</v>
      </c>
      <c r="I343" s="1569">
        <v>174.40000000000003</v>
      </c>
      <c r="J343" s="964" t="s">
        <v>494</v>
      </c>
      <c r="K343" s="965" t="s">
        <v>494</v>
      </c>
      <c r="L343" s="966" t="str">
        <f t="shared" si="2"/>
        <v>DECOUPES</v>
      </c>
      <c r="M343" s="967">
        <f t="array" ref="M343">IFERROR(IF(ABS(H343-I343)=0,Tie,ABS(H343-I343)),"UPCOMING")</f>
        <v>46.5</v>
      </c>
      <c r="N343" s="968">
        <f t="shared" si="3"/>
        <v>294</v>
      </c>
      <c r="O343" s="969">
        <f t="shared" si="4"/>
        <v>128</v>
      </c>
      <c r="P343" s="967">
        <f t="shared" si="5"/>
        <v>302.3</v>
      </c>
      <c r="Q343" s="968">
        <f t="shared" si="6"/>
        <v>302</v>
      </c>
      <c r="R343" s="967">
        <f t="shared" si="7"/>
        <v>298</v>
      </c>
      <c r="S343" s="968">
        <f t="shared" si="8"/>
        <v>357</v>
      </c>
      <c r="U343" s="13" t="str">
        <f>IFERROR(__xludf.DUMMYFUNCTION("IF($T343=""Y"",
  IFERROR(
    RANK.EQ($R343, FILTER($R:$R, $T:$T=""Y""), 1)
    + COUNTIFS($R:$R, $R343, $M:$M, ""&lt;""&amp;$M343, $T:$T, ""Y""),
    ""UPCOMING""
  ),
  ""NO REF""
)
"),"NO REF")</f>
        <v>NO REF</v>
      </c>
    </row>
    <row r="344" ht="15.75" customHeight="1">
      <c r="C344" s="13">
        <v>343.0</v>
      </c>
      <c r="D344" s="1567">
        <v>2024.0</v>
      </c>
      <c r="E344" s="217" t="s">
        <v>524</v>
      </c>
      <c r="F344" s="960" t="s">
        <v>1125</v>
      </c>
      <c r="G344" s="961" t="s">
        <v>538</v>
      </c>
      <c r="H344" s="1568">
        <v>163.22</v>
      </c>
      <c r="I344" s="1569">
        <v>116.47999999999999</v>
      </c>
      <c r="J344" s="964" t="s">
        <v>497</v>
      </c>
      <c r="K344" s="965" t="s">
        <v>538</v>
      </c>
      <c r="L344" s="966" t="str">
        <f t="shared" si="2"/>
        <v>SAVAGES</v>
      </c>
      <c r="M344" s="967">
        <f t="array" ref="M344">IFERROR(IF(ABS(H344-I344)=0,Tie,ABS(H344-I344)),"UPCOMING")</f>
        <v>46.74</v>
      </c>
      <c r="N344" s="968">
        <f t="shared" si="3"/>
        <v>296</v>
      </c>
      <c r="O344" s="969">
        <f t="shared" si="4"/>
        <v>126</v>
      </c>
      <c r="P344" s="967">
        <f t="shared" si="5"/>
        <v>279.7</v>
      </c>
      <c r="Q344" s="968">
        <f t="shared" si="6"/>
        <v>353</v>
      </c>
      <c r="R344" s="967">
        <f t="shared" si="7"/>
        <v>324.5</v>
      </c>
      <c r="S344" s="968">
        <f t="shared" si="8"/>
        <v>388</v>
      </c>
      <c r="U344" s="13" t="str">
        <f>IFERROR(__xludf.DUMMYFUNCTION("IF($T344=""Y"",
  IFERROR(
    RANK.EQ($R344, FILTER($R:$R, $T:$T=""Y""), 1)
    + COUNTIFS($R:$R, $R344, $M:$M, ""&lt;""&amp;$M344, $T:$T, ""Y""),
    ""UPCOMING""
  ),
  ""NO REF""
)
"),"NO REF")</f>
        <v>NO REF</v>
      </c>
    </row>
    <row r="345" ht="15.75" customHeight="1">
      <c r="C345" s="13">
        <v>344.0</v>
      </c>
      <c r="D345" s="1567">
        <v>2024.0</v>
      </c>
      <c r="E345" s="217" t="s">
        <v>524</v>
      </c>
      <c r="F345" s="960" t="s">
        <v>1126</v>
      </c>
      <c r="G345" s="961" t="s">
        <v>537</v>
      </c>
      <c r="H345" s="1568">
        <v>168.99</v>
      </c>
      <c r="I345" s="1569">
        <v>174.06000000000003</v>
      </c>
      <c r="J345" s="964" t="s">
        <v>536</v>
      </c>
      <c r="K345" s="965" t="s">
        <v>536</v>
      </c>
      <c r="L345" s="966" t="str">
        <f t="shared" si="2"/>
        <v>YARDIES</v>
      </c>
      <c r="M345" s="967">
        <f t="array" ref="M345">IFERROR(IF(ABS(H345-I345)=0,Tie,ABS(H345-I345)),"UPCOMING")</f>
        <v>5.07</v>
      </c>
      <c r="N345" s="968">
        <f t="shared" si="3"/>
        <v>39</v>
      </c>
      <c r="O345" s="969">
        <f t="shared" si="4"/>
        <v>383</v>
      </c>
      <c r="P345" s="967">
        <f t="shared" si="5"/>
        <v>343.05</v>
      </c>
      <c r="Q345" s="968">
        <f t="shared" si="6"/>
        <v>187</v>
      </c>
      <c r="R345" s="967">
        <f t="shared" si="7"/>
        <v>113</v>
      </c>
      <c r="S345" s="968">
        <f t="shared" si="8"/>
        <v>49</v>
      </c>
      <c r="U345" s="13" t="str">
        <f>IFERROR(__xludf.DUMMYFUNCTION("IF($T345=""Y"",
  IFERROR(
    RANK.EQ($R345, FILTER($R:$R, $T:$T=""Y""), 1)
    + COUNTIFS($R:$R, $R345, $M:$M, ""&lt;""&amp;$M345, $T:$T, ""Y""),
    ""UPCOMING""
  ),
  ""NO REF""
)
"),"NO REF")</f>
        <v>NO REF</v>
      </c>
    </row>
    <row r="346" ht="15.75" customHeight="1">
      <c r="C346" s="13">
        <v>345.0</v>
      </c>
      <c r="D346" s="1567">
        <v>2024.0</v>
      </c>
      <c r="E346" s="217" t="s">
        <v>524</v>
      </c>
      <c r="F346" s="960" t="s">
        <v>1127</v>
      </c>
      <c r="G346" s="961" t="s">
        <v>477</v>
      </c>
      <c r="H346" s="1568">
        <v>192.88000000000002</v>
      </c>
      <c r="I346" s="1569">
        <v>170.92</v>
      </c>
      <c r="J346" s="964" t="s">
        <v>495</v>
      </c>
      <c r="K346" s="965" t="s">
        <v>477</v>
      </c>
      <c r="L346" s="966" t="str">
        <f t="shared" si="2"/>
        <v>GREEN</v>
      </c>
      <c r="M346" s="967">
        <f t="array" ref="M346">IFERROR(IF(ABS(H346-I346)=0,Tie,ABS(H346-I346)),"UPCOMING")</f>
        <v>21.96</v>
      </c>
      <c r="N346" s="968">
        <f t="shared" si="3"/>
        <v>152</v>
      </c>
      <c r="O346" s="969">
        <f t="shared" si="4"/>
        <v>270</v>
      </c>
      <c r="P346" s="967">
        <f t="shared" si="5"/>
        <v>363.8</v>
      </c>
      <c r="Q346" s="968">
        <f t="shared" si="6"/>
        <v>129</v>
      </c>
      <c r="R346" s="967">
        <f t="shared" si="7"/>
        <v>140.5</v>
      </c>
      <c r="S346" s="968">
        <f t="shared" si="8"/>
        <v>89</v>
      </c>
      <c r="T346" s="18" t="s">
        <v>1160</v>
      </c>
      <c r="U346" s="13">
        <f>IFERROR(__xludf.DUMMYFUNCTION("IF($T346=""Y"",
  IFERROR(
    RANK.EQ($R346, FILTER($R:$R, $T:$T=""Y""), 1)
    + COUNTIFS($R:$R, $R346, $M:$M, ""&lt;""&amp;$M346, $T:$T, ""Y""),
    ""UPCOMING""
  ),
  ""NO REF""
)
"),13.0)</f>
        <v>13</v>
      </c>
    </row>
    <row r="347" ht="15.75" customHeight="1">
      <c r="C347" s="13">
        <v>346.0</v>
      </c>
      <c r="D347" s="1567">
        <v>2024.0</v>
      </c>
      <c r="E347" s="217" t="s">
        <v>524</v>
      </c>
      <c r="F347" s="960" t="s">
        <v>1128</v>
      </c>
      <c r="G347" s="961" t="s">
        <v>478</v>
      </c>
      <c r="H347" s="1568">
        <v>158.20000000000002</v>
      </c>
      <c r="I347" s="1569">
        <v>135.79</v>
      </c>
      <c r="J347" s="964" t="s">
        <v>578</v>
      </c>
      <c r="K347" s="965" t="s">
        <v>478</v>
      </c>
      <c r="L347" s="966" t="str">
        <f t="shared" si="2"/>
        <v>METAMOOKDAWGS</v>
      </c>
      <c r="M347" s="967">
        <f t="array" ref="M347">IFERROR(IF(ABS(H347-I347)=0,Tie,ABS(H347-I347)),"UPCOMING")</f>
        <v>22.41</v>
      </c>
      <c r="N347" s="968">
        <f t="shared" si="3"/>
        <v>157</v>
      </c>
      <c r="O347" s="969">
        <f t="shared" si="4"/>
        <v>265</v>
      </c>
      <c r="P347" s="967">
        <f t="shared" si="5"/>
        <v>293.99</v>
      </c>
      <c r="Q347" s="968">
        <f t="shared" si="6"/>
        <v>321</v>
      </c>
      <c r="R347" s="967">
        <f t="shared" si="7"/>
        <v>239</v>
      </c>
      <c r="S347" s="968">
        <f t="shared" si="8"/>
        <v>266</v>
      </c>
      <c r="U347" s="13" t="str">
        <f>IFERROR(__xludf.DUMMYFUNCTION("IF($T347=""Y"",
  IFERROR(
    RANK.EQ($R347, FILTER($R:$R, $T:$T=""Y""), 1)
    + COUNTIFS($R:$R, $R347, $M:$M, ""&lt;""&amp;$M347, $T:$T, ""Y""),
    ""UPCOMING""
  ),
  ""NO REF""
)
"),"NO REF")</f>
        <v>NO REF</v>
      </c>
    </row>
    <row r="348" ht="15.75" customHeight="1">
      <c r="C348" s="13">
        <v>347.0</v>
      </c>
      <c r="D348" s="1567">
        <v>2024.0</v>
      </c>
      <c r="E348" s="217" t="s">
        <v>525</v>
      </c>
      <c r="F348" s="960" t="s">
        <v>1120</v>
      </c>
      <c r="G348" s="961" t="s">
        <v>478</v>
      </c>
      <c r="H348" s="1568">
        <v>162.79000000000002</v>
      </c>
      <c r="I348" s="1569">
        <v>209.61</v>
      </c>
      <c r="J348" s="964" t="s">
        <v>477</v>
      </c>
      <c r="K348" s="965" t="s">
        <v>477</v>
      </c>
      <c r="L348" s="966" t="str">
        <f t="shared" si="2"/>
        <v>EAGLES</v>
      </c>
      <c r="M348" s="967">
        <f t="array" ref="M348">IFERROR(IF(ABS(H348-I348)=0,Tie,ABS(H348-I348)),"UPCOMING")</f>
        <v>46.82</v>
      </c>
      <c r="N348" s="968">
        <f t="shared" si="3"/>
        <v>297</v>
      </c>
      <c r="O348" s="969">
        <f t="shared" si="4"/>
        <v>125</v>
      </c>
      <c r="P348" s="967">
        <f t="shared" si="5"/>
        <v>372.4</v>
      </c>
      <c r="Q348" s="968">
        <f t="shared" si="6"/>
        <v>112</v>
      </c>
      <c r="R348" s="967">
        <f t="shared" si="7"/>
        <v>204.5</v>
      </c>
      <c r="S348" s="968">
        <f t="shared" si="8"/>
        <v>192</v>
      </c>
      <c r="U348" s="13" t="str">
        <f>IFERROR(__xludf.DUMMYFUNCTION("IF($T348=""Y"",
  IFERROR(
    RANK.EQ($R348, FILTER($R:$R, $T:$T=""Y""), 1)
    + COUNTIFS($R:$R, $R348, $M:$M, ""&lt;""&amp;$M348, $T:$T, ""Y""),
    ""UPCOMING""
  ),
  ""NO REF""
)
"),"NO REF")</f>
        <v>NO REF</v>
      </c>
    </row>
    <row r="349" ht="15.75" customHeight="1">
      <c r="C349" s="13">
        <v>348.0</v>
      </c>
      <c r="D349" s="1567">
        <v>2024.0</v>
      </c>
      <c r="E349" s="217" t="s">
        <v>525</v>
      </c>
      <c r="F349" s="960" t="s">
        <v>1125</v>
      </c>
      <c r="G349" s="961" t="s">
        <v>495</v>
      </c>
      <c r="H349" s="1568">
        <v>178.75</v>
      </c>
      <c r="I349" s="1569">
        <v>147.67999999999998</v>
      </c>
      <c r="J349" s="964" t="s">
        <v>493</v>
      </c>
      <c r="K349" s="965" t="s">
        <v>495</v>
      </c>
      <c r="L349" s="966" t="str">
        <f t="shared" si="2"/>
        <v>DECOUPES</v>
      </c>
      <c r="M349" s="967">
        <f t="array" ref="M349">IFERROR(IF(ABS(H349-I349)=0,Tie,ABS(H349-I349)),"UPCOMING")</f>
        <v>31.07</v>
      </c>
      <c r="N349" s="968">
        <f t="shared" si="3"/>
        <v>202</v>
      </c>
      <c r="O349" s="969">
        <f t="shared" si="4"/>
        <v>220</v>
      </c>
      <c r="P349" s="967">
        <f t="shared" si="5"/>
        <v>326.43</v>
      </c>
      <c r="Q349" s="968">
        <f t="shared" si="6"/>
        <v>229</v>
      </c>
      <c r="R349" s="967">
        <f t="shared" si="7"/>
        <v>215.5</v>
      </c>
      <c r="S349" s="968">
        <f t="shared" si="8"/>
        <v>216</v>
      </c>
      <c r="U349" s="13" t="str">
        <f>IFERROR(__xludf.DUMMYFUNCTION("IF($T349=""Y"",
  IFERROR(
    RANK.EQ($R349, FILTER($R:$R, $T:$T=""Y""), 1)
    + COUNTIFS($R:$R, $R349, $M:$M, ""&lt;""&amp;$M349, $T:$T, ""Y""),
    ""UPCOMING""
  ),
  ""NO REF""
)
"),"NO REF")</f>
        <v>NO REF</v>
      </c>
    </row>
    <row r="350" ht="15.75" customHeight="1">
      <c r="C350" s="13">
        <v>349.0</v>
      </c>
      <c r="D350" s="1567">
        <v>2024.0</v>
      </c>
      <c r="E350" s="217" t="s">
        <v>525</v>
      </c>
      <c r="F350" s="960" t="s">
        <v>1126</v>
      </c>
      <c r="G350" s="961" t="s">
        <v>578</v>
      </c>
      <c r="H350" s="1568">
        <v>148.1</v>
      </c>
      <c r="I350" s="1569">
        <v>221.92</v>
      </c>
      <c r="J350" s="964" t="s">
        <v>537</v>
      </c>
      <c r="K350" s="965" t="s">
        <v>537</v>
      </c>
      <c r="L350" s="966" t="str">
        <f t="shared" si="2"/>
        <v>METAMOOKDAWGS</v>
      </c>
      <c r="M350" s="967">
        <f t="array" ref="M350">IFERROR(IF(ABS(H350-I350)=0,Tie,ABS(H350-I350)),"UPCOMING")</f>
        <v>73.82</v>
      </c>
      <c r="N350" s="968">
        <f t="shared" si="3"/>
        <v>374</v>
      </c>
      <c r="O350" s="969">
        <f t="shared" si="4"/>
        <v>48</v>
      </c>
      <c r="P350" s="967">
        <f t="shared" si="5"/>
        <v>370.02</v>
      </c>
      <c r="Q350" s="968">
        <f t="shared" si="6"/>
        <v>115</v>
      </c>
      <c r="R350" s="967">
        <f t="shared" si="7"/>
        <v>244.5</v>
      </c>
      <c r="S350" s="968">
        <f t="shared" si="8"/>
        <v>279</v>
      </c>
      <c r="U350" s="13" t="str">
        <f>IFERROR(__xludf.DUMMYFUNCTION("IF($T350=""Y"",
  IFERROR(
    RANK.EQ($R350, FILTER($R:$R, $T:$T=""Y""), 1)
    + COUNTIFS($R:$R, $R350, $M:$M, ""&lt;""&amp;$M350, $T:$T, ""Y""),
    ""UPCOMING""
  ),
  ""NO REF""
)
"),"NO REF")</f>
        <v>NO REF</v>
      </c>
    </row>
    <row r="351" ht="15.75" customHeight="1">
      <c r="C351" s="13">
        <v>350.0</v>
      </c>
      <c r="D351" s="1567">
        <v>2024.0</v>
      </c>
      <c r="E351" s="217" t="s">
        <v>525</v>
      </c>
      <c r="F351" s="960" t="s">
        <v>1127</v>
      </c>
      <c r="G351" s="961" t="s">
        <v>497</v>
      </c>
      <c r="H351" s="1568">
        <v>141.19</v>
      </c>
      <c r="I351" s="1569">
        <v>167.54999999999998</v>
      </c>
      <c r="J351" s="964" t="s">
        <v>494</v>
      </c>
      <c r="K351" s="965" t="s">
        <v>494</v>
      </c>
      <c r="L351" s="966" t="str">
        <f t="shared" si="2"/>
        <v>SAVAGES</v>
      </c>
      <c r="M351" s="967">
        <f t="array" ref="M351">IFERROR(IF(ABS(H351-I351)=0,Tie,ABS(H351-I351)),"UPCOMING")</f>
        <v>26.36</v>
      </c>
      <c r="N351" s="968">
        <f t="shared" si="3"/>
        <v>177</v>
      </c>
      <c r="O351" s="969">
        <f t="shared" si="4"/>
        <v>246</v>
      </c>
      <c r="P351" s="967">
        <f t="shared" si="5"/>
        <v>308.74</v>
      </c>
      <c r="Q351" s="968">
        <f t="shared" si="6"/>
        <v>283</v>
      </c>
      <c r="R351" s="967">
        <f t="shared" si="7"/>
        <v>230</v>
      </c>
      <c r="S351" s="968">
        <f t="shared" si="8"/>
        <v>251</v>
      </c>
      <c r="U351" s="13" t="str">
        <f>IFERROR(__xludf.DUMMYFUNCTION("IF($T351=""Y"",
  IFERROR(
    RANK.EQ($R351, FILTER($R:$R, $T:$T=""Y""), 1)
    + COUNTIFS($R:$R, $R351, $M:$M, ""&lt;""&amp;$M351, $T:$T, ""Y""),
    ""UPCOMING""
  ),
  ""NO REF""
)
"),"NO REF")</f>
        <v>NO REF</v>
      </c>
    </row>
    <row r="352" ht="15.75" customHeight="1">
      <c r="C352" s="13">
        <v>351.0</v>
      </c>
      <c r="D352" s="1567">
        <v>2024.0</v>
      </c>
      <c r="E352" s="217" t="s">
        <v>525</v>
      </c>
      <c r="F352" s="960" t="s">
        <v>1128</v>
      </c>
      <c r="G352" s="961" t="s">
        <v>538</v>
      </c>
      <c r="H352" s="1568">
        <v>211.94</v>
      </c>
      <c r="I352" s="1569">
        <v>189.78000000000003</v>
      </c>
      <c r="J352" s="964" t="s">
        <v>536</v>
      </c>
      <c r="K352" s="965" t="s">
        <v>538</v>
      </c>
      <c r="L352" s="966" t="str">
        <f t="shared" si="2"/>
        <v>CHAMPS</v>
      </c>
      <c r="M352" s="967">
        <f t="array" ref="M352">IFERROR(IF(ABS(H352-I352)=0,Tie,ABS(H352-I352)),"UPCOMING")</f>
        <v>22.16</v>
      </c>
      <c r="N352" s="968">
        <f t="shared" si="3"/>
        <v>156</v>
      </c>
      <c r="O352" s="969">
        <f t="shared" si="4"/>
        <v>266</v>
      </c>
      <c r="P352" s="967">
        <f t="shared" si="5"/>
        <v>401.72</v>
      </c>
      <c r="Q352" s="968">
        <f t="shared" si="6"/>
        <v>50</v>
      </c>
      <c r="R352" s="967">
        <f t="shared" si="7"/>
        <v>103</v>
      </c>
      <c r="S352" s="968">
        <f t="shared" si="8"/>
        <v>39</v>
      </c>
      <c r="T352" s="18" t="s">
        <v>1160</v>
      </c>
      <c r="U352" s="13">
        <f>IFERROR(__xludf.DUMMYFUNCTION("IF($T352=""Y"",
  IFERROR(
    RANK.EQ($R352, FILTER($R:$R, $T:$T=""Y""), 1)
    + COUNTIFS($R:$R, $R352, $M:$M, ""&lt;""&amp;$M352, $T:$T, ""Y""),
    ""UPCOMING""
  ),
  ""NO REF""
)
"),3.0)</f>
        <v>3</v>
      </c>
    </row>
    <row r="353" ht="15.75" customHeight="1">
      <c r="C353" s="13">
        <v>352.0</v>
      </c>
      <c r="D353" s="1629">
        <v>2025.0</v>
      </c>
      <c r="E353" s="217" t="str">
        <f>'Weekly Scores'!B2</f>
        <v>WEEK 1</v>
      </c>
      <c r="F353" s="960" t="str">
        <f>'Weekly Scores'!C2</f>
        <v>GAME 1</v>
      </c>
      <c r="G353" s="961" t="str">
        <f>'Weekly Scores'!F2</f>
        <v>KINGS</v>
      </c>
      <c r="H353" s="1568">
        <f>'Weekly Scores'!G2</f>
        <v>142.22</v>
      </c>
      <c r="I353" s="1569">
        <f>'Weekly Scores'!H2</f>
        <v>156.47</v>
      </c>
      <c r="J353" s="964" t="str">
        <f>'Weekly Scores'!I2</f>
        <v>YARDIES</v>
      </c>
      <c r="K353" s="965" t="str">
        <f t="shared" ref="K353:K422" si="174">IF(H353 &gt; I353, G353, IF(I353 &gt; H353, J353, "Tie"))</f>
        <v>YARDIES</v>
      </c>
      <c r="L353" s="966" t="str">
        <f t="shared" si="2"/>
        <v>KINGS</v>
      </c>
      <c r="M353" s="967">
        <f t="array" ref="M353">IFERROR(IF(ABS(H353-I353)=0,Tie,ABS(H353-I353)),"UPCOMING")</f>
        <v>14.25</v>
      </c>
      <c r="N353" s="968">
        <f t="shared" si="3"/>
        <v>108</v>
      </c>
      <c r="O353" s="969">
        <f t="shared" si="4"/>
        <v>314</v>
      </c>
      <c r="P353" s="967">
        <f t="shared" si="5"/>
        <v>298.69</v>
      </c>
      <c r="Q353" s="968">
        <f t="shared" si="6"/>
        <v>308</v>
      </c>
      <c r="R353" s="967">
        <f t="shared" si="7"/>
        <v>208</v>
      </c>
      <c r="S353" s="968">
        <f t="shared" si="8"/>
        <v>201</v>
      </c>
      <c r="U353" s="13" t="str">
        <f>IFERROR(__xludf.DUMMYFUNCTION("IF($T353=""Y"",
  IFERROR(
    RANK.EQ($R353, FILTER($R:$R, $T:$T=""Y""), 1)
    + COUNTIFS($R:$R, $R353, $M:$M, ""&lt;""&amp;$M353, $T:$T, ""Y""),
    ""UPCOMING""
  ),
  ""NO REF""
)
"),"NO REF")</f>
        <v>NO REF</v>
      </c>
    </row>
    <row r="354" ht="15.75" customHeight="1">
      <c r="C354" s="13">
        <v>353.0</v>
      </c>
      <c r="D354" s="1629">
        <v>2025.0</v>
      </c>
      <c r="E354" s="217" t="str">
        <f>'Weekly Scores'!B3</f>
        <v>WEEK 1</v>
      </c>
      <c r="F354" s="960" t="str">
        <f>'Weekly Scores'!C3</f>
        <v>GAME 2</v>
      </c>
      <c r="G354" s="961" t="str">
        <f>'Weekly Scores'!F3</f>
        <v>MUTTS</v>
      </c>
      <c r="H354" s="1568">
        <f>'Weekly Scores'!G3</f>
        <v>175.61</v>
      </c>
      <c r="I354" s="1569">
        <f>'Weekly Scores'!H3</f>
        <v>151.79</v>
      </c>
      <c r="J354" s="964" t="str">
        <f>'Weekly Scores'!I3</f>
        <v>METAMOOKDAWGS</v>
      </c>
      <c r="K354" s="965" t="str">
        <f t="shared" si="174"/>
        <v>MUTTS</v>
      </c>
      <c r="L354" s="966" t="str">
        <f t="shared" si="2"/>
        <v>METAMOOKDAWGS</v>
      </c>
      <c r="M354" s="967">
        <f t="array" ref="M354">IFERROR(IF(ABS(H354-I354)=0,Tie,ABS(H354-I354)),"UPCOMING")</f>
        <v>23.82</v>
      </c>
      <c r="N354" s="968">
        <f t="shared" si="3"/>
        <v>168</v>
      </c>
      <c r="O354" s="969">
        <f t="shared" si="4"/>
        <v>254</v>
      </c>
      <c r="P354" s="967">
        <f t="shared" si="5"/>
        <v>327.4</v>
      </c>
      <c r="Q354" s="968">
        <f t="shared" si="6"/>
        <v>227</v>
      </c>
      <c r="R354" s="967">
        <f t="shared" si="7"/>
        <v>197.5</v>
      </c>
      <c r="S354" s="968">
        <f t="shared" si="8"/>
        <v>175</v>
      </c>
      <c r="U354" s="13" t="str">
        <f>IFERROR(__xludf.DUMMYFUNCTION("IF($T354=""Y"",
  IFERROR(
    RANK.EQ($R354, FILTER($R:$R, $T:$T=""Y""), 1)
    + COUNTIFS($R:$R, $R354, $M:$M, ""&lt;""&amp;$M354, $T:$T, ""Y""),
    ""UPCOMING""
  ),
  ""NO REF""
)
"),"NO REF")</f>
        <v>NO REF</v>
      </c>
    </row>
    <row r="355" ht="15.75" customHeight="1">
      <c r="C355" s="13">
        <v>354.0</v>
      </c>
      <c r="D355" s="1629">
        <v>2025.0</v>
      </c>
      <c r="E355" s="217" t="str">
        <f>'Weekly Scores'!B4</f>
        <v>WEEK 1</v>
      </c>
      <c r="F355" s="960" t="str">
        <f>'Weekly Scores'!C4</f>
        <v>GAME 3</v>
      </c>
      <c r="G355" s="961" t="str">
        <f>'Weekly Scores'!F4</f>
        <v>EAGLES</v>
      </c>
      <c r="H355" s="1568">
        <f>'Weekly Scores'!G4</f>
        <v>151.12</v>
      </c>
      <c r="I355" s="1569">
        <f>'Weekly Scores'!H4</f>
        <v>177.91</v>
      </c>
      <c r="J355" s="964" t="str">
        <f>'Weekly Scores'!I4</f>
        <v>CHAMPS</v>
      </c>
      <c r="K355" s="965" t="str">
        <f t="shared" si="174"/>
        <v>CHAMPS</v>
      </c>
      <c r="L355" s="966" t="str">
        <f t="shared" si="2"/>
        <v>EAGLES</v>
      </c>
      <c r="M355" s="967">
        <f t="array" ref="M355">IFERROR(IF(ABS(H355-I355)=0,Tie,ABS(H355-I355)),"UPCOMING")</f>
        <v>26.79</v>
      </c>
      <c r="N355" s="968">
        <f t="shared" si="3"/>
        <v>182</v>
      </c>
      <c r="O355" s="969">
        <f t="shared" si="4"/>
        <v>240</v>
      </c>
      <c r="P355" s="967">
        <f t="shared" si="5"/>
        <v>329.03</v>
      </c>
      <c r="Q355" s="968">
        <f t="shared" si="6"/>
        <v>220</v>
      </c>
      <c r="R355" s="967">
        <f t="shared" si="7"/>
        <v>201</v>
      </c>
      <c r="S355" s="968">
        <f t="shared" si="8"/>
        <v>184</v>
      </c>
      <c r="U355" s="13" t="str">
        <f>IFERROR(__xludf.DUMMYFUNCTION("IF($T355=""Y"",
  IFERROR(
    RANK.EQ($R355, FILTER($R:$R, $T:$T=""Y""), 1)
    + COUNTIFS($R:$R, $R355, $M:$M, ""&lt;""&amp;$M355, $T:$T, ""Y""),
    ""UPCOMING""
  ),
  ""NO REF""
)
"),"NO REF")</f>
        <v>NO REF</v>
      </c>
    </row>
    <row r="356" ht="15.75" customHeight="1">
      <c r="C356" s="13">
        <v>355.0</v>
      </c>
      <c r="D356" s="1629">
        <v>2025.0</v>
      </c>
      <c r="E356" s="217" t="str">
        <f>'Weekly Scores'!B5</f>
        <v>WEEK 1</v>
      </c>
      <c r="F356" s="960" t="str">
        <f>'Weekly Scores'!C5</f>
        <v>GAME 4</v>
      </c>
      <c r="G356" s="961" t="str">
        <f>'Weekly Scores'!F5</f>
        <v>DECOUPES</v>
      </c>
      <c r="H356" s="1568">
        <f>'Weekly Scores'!G5</f>
        <v>161.6</v>
      </c>
      <c r="I356" s="1569">
        <f>'Weekly Scores'!H5</f>
        <v>132.31</v>
      </c>
      <c r="J356" s="964" t="str">
        <f>'Weekly Scores'!I5</f>
        <v>GREEN</v>
      </c>
      <c r="K356" s="965" t="str">
        <f t="shared" si="174"/>
        <v>DECOUPES</v>
      </c>
      <c r="L356" s="966" t="str">
        <f t="shared" si="2"/>
        <v>GREEN</v>
      </c>
      <c r="M356" s="967">
        <f t="array" ref="M356">IFERROR(IF(ABS(H356-I356)=0,Tie,ABS(H356-I356)),"UPCOMING")</f>
        <v>29.29</v>
      </c>
      <c r="N356" s="968">
        <f t="shared" si="3"/>
        <v>192</v>
      </c>
      <c r="O356" s="969">
        <f t="shared" si="4"/>
        <v>230</v>
      </c>
      <c r="P356" s="967">
        <f t="shared" si="5"/>
        <v>293.91</v>
      </c>
      <c r="Q356" s="968">
        <f t="shared" si="6"/>
        <v>322</v>
      </c>
      <c r="R356" s="967">
        <f t="shared" si="7"/>
        <v>257</v>
      </c>
      <c r="S356" s="968">
        <f t="shared" si="8"/>
        <v>299</v>
      </c>
      <c r="U356" s="13" t="str">
        <f>IFERROR(__xludf.DUMMYFUNCTION("IF($T356=""Y"",
  IFERROR(
    RANK.EQ($R356, FILTER($R:$R, $T:$T=""Y""), 1)
    + COUNTIFS($R:$R, $R356, $M:$M, ""&lt;""&amp;$M356, $T:$T, ""Y""),
    ""UPCOMING""
  ),
  ""NO REF""
)
"),"NO REF")</f>
        <v>NO REF</v>
      </c>
    </row>
    <row r="357" ht="17.25" customHeight="1">
      <c r="C357" s="13">
        <v>356.0</v>
      </c>
      <c r="D357" s="1629">
        <v>2025.0</v>
      </c>
      <c r="E357" s="217" t="str">
        <f>'Weekly Scores'!B6</f>
        <v>WEEK 1</v>
      </c>
      <c r="F357" s="960" t="str">
        <f>'Weekly Scores'!C6</f>
        <v>GAME 5</v>
      </c>
      <c r="G357" s="961" t="str">
        <f>'Weekly Scores'!F6</f>
        <v>SAVAGES</v>
      </c>
      <c r="H357" s="1568">
        <f>'Weekly Scores'!G6</f>
        <v>116.99</v>
      </c>
      <c r="I357" s="1569">
        <f>'Weekly Scores'!H6</f>
        <v>156.56</v>
      </c>
      <c r="J357" s="964" t="str">
        <f>'Weekly Scores'!I6</f>
        <v>POPEYES</v>
      </c>
      <c r="K357" s="965" t="str">
        <f t="shared" si="174"/>
        <v>POPEYES</v>
      </c>
      <c r="L357" s="966" t="str">
        <f t="shared" si="2"/>
        <v>SAVAGES</v>
      </c>
      <c r="M357" s="967">
        <f t="array" ref="M357">IFERROR(IF(ABS(H357-I357)=0,Tie,ABS(H357-I357)),"UPCOMING")</f>
        <v>39.57</v>
      </c>
      <c r="N357" s="968">
        <f t="shared" si="3"/>
        <v>253</v>
      </c>
      <c r="O357" s="969">
        <f t="shared" si="4"/>
        <v>169</v>
      </c>
      <c r="P357" s="967">
        <f t="shared" si="5"/>
        <v>273.55</v>
      </c>
      <c r="Q357" s="968">
        <f t="shared" si="6"/>
        <v>368</v>
      </c>
      <c r="R357" s="967">
        <f t="shared" si="7"/>
        <v>310.5</v>
      </c>
      <c r="S357" s="968">
        <f t="shared" si="8"/>
        <v>371</v>
      </c>
      <c r="T357" s="18" t="s">
        <v>1783</v>
      </c>
      <c r="U357" s="13">
        <f>IFERROR(__xludf.DUMMYFUNCTION("IF($T357=""Y"",
  IFERROR(
    RANK.EQ($R357, FILTER($R:$R, $T:$T=""Y""), 1)
    + COUNTIFS($R:$R, $R357, $M:$M, ""&lt;""&amp;$M357, $T:$T, ""Y""),
    ""UPCOMING""
  ),
  ""NO REF""
)
"),52.0)</f>
        <v>52</v>
      </c>
    </row>
    <row r="358" ht="15.75" customHeight="1">
      <c r="C358" s="13">
        <v>357.0</v>
      </c>
      <c r="D358" s="1629">
        <v>2025.0</v>
      </c>
      <c r="E358" s="217" t="str">
        <f>'Weekly Scores'!B7</f>
        <v>WEEK 2</v>
      </c>
      <c r="F358" s="960" t="str">
        <f>'Weekly Scores'!C7</f>
        <v>GAME 1</v>
      </c>
      <c r="G358" s="961" t="str">
        <f>'Weekly Scores'!F7</f>
        <v>METAMOOKDAWGS</v>
      </c>
      <c r="H358" s="1568">
        <f>'Weekly Scores'!G7</f>
        <v>133.69</v>
      </c>
      <c r="I358" s="1569">
        <f>'Weekly Scores'!H7</f>
        <v>178.73</v>
      </c>
      <c r="J358" s="964" t="str">
        <f>'Weekly Scores'!I7</f>
        <v>YARDIES</v>
      </c>
      <c r="K358" s="965" t="str">
        <f t="shared" si="174"/>
        <v>YARDIES</v>
      </c>
      <c r="L358" s="966" t="str">
        <f t="shared" si="2"/>
        <v>METAMOOKDAWGS</v>
      </c>
      <c r="M358" s="967">
        <f t="array" ref="M358">IFERROR(IF(ABS(H358-I358)=0,Tie,ABS(H358-I358)),"UPCOMING")</f>
        <v>45.04</v>
      </c>
      <c r="N358" s="968">
        <f t="shared" si="3"/>
        <v>282</v>
      </c>
      <c r="O358" s="969">
        <f t="shared" si="4"/>
        <v>140</v>
      </c>
      <c r="P358" s="967">
        <f t="shared" si="5"/>
        <v>312.42</v>
      </c>
      <c r="Q358" s="968">
        <f t="shared" si="6"/>
        <v>272</v>
      </c>
      <c r="R358" s="967">
        <f t="shared" si="7"/>
        <v>277</v>
      </c>
      <c r="S358" s="968">
        <f t="shared" si="8"/>
        <v>328</v>
      </c>
      <c r="U358" s="13" t="str">
        <f>IFERROR(__xludf.DUMMYFUNCTION("IF($T358=""Y"",
  IFERROR(
    RANK.EQ($R358, FILTER($R:$R, $T:$T=""Y""), 1)
    + COUNTIFS($R:$R, $R358, $M:$M, ""&lt;""&amp;$M358, $T:$T, ""Y""),
    ""UPCOMING""
  ),
  ""NO REF""
)
"),"NO REF")</f>
        <v>NO REF</v>
      </c>
    </row>
    <row r="359" ht="15.75" customHeight="1">
      <c r="C359" s="13">
        <v>358.0</v>
      </c>
      <c r="D359" s="1629">
        <v>2025.0</v>
      </c>
      <c r="E359" s="217" t="str">
        <f>'Weekly Scores'!B8</f>
        <v>WEEK 2</v>
      </c>
      <c r="F359" s="960" t="str">
        <f>'Weekly Scores'!C8</f>
        <v>GAME 2</v>
      </c>
      <c r="G359" s="961" t="str">
        <f>'Weekly Scores'!F8</f>
        <v>CHAMPS</v>
      </c>
      <c r="H359" s="1568">
        <f>'Weekly Scores'!G8</f>
        <v>154.71</v>
      </c>
      <c r="I359" s="1569">
        <f>'Weekly Scores'!H8</f>
        <v>234.4</v>
      </c>
      <c r="J359" s="964" t="str">
        <f>'Weekly Scores'!I8</f>
        <v>MUTTS</v>
      </c>
      <c r="K359" s="965" t="str">
        <f t="shared" si="174"/>
        <v>MUTTS</v>
      </c>
      <c r="L359" s="966" t="str">
        <f t="shared" si="2"/>
        <v>CHAMPS</v>
      </c>
      <c r="M359" s="967">
        <f t="array" ref="M359">IFERROR(IF(ABS(H359-I359)=0,Tie,ABS(H359-I359)),"UPCOMING")</f>
        <v>79.69</v>
      </c>
      <c r="N359" s="968">
        <f t="shared" si="3"/>
        <v>387</v>
      </c>
      <c r="O359" s="969">
        <f t="shared" si="4"/>
        <v>35</v>
      </c>
      <c r="P359" s="967">
        <f t="shared" si="5"/>
        <v>389.11</v>
      </c>
      <c r="Q359" s="968">
        <f t="shared" si="6"/>
        <v>69</v>
      </c>
      <c r="R359" s="967">
        <f t="shared" si="7"/>
        <v>228</v>
      </c>
      <c r="S359" s="968">
        <f t="shared" si="8"/>
        <v>248</v>
      </c>
      <c r="T359" s="18" t="s">
        <v>1783</v>
      </c>
      <c r="U359" s="13">
        <f>IFERROR(__xludf.DUMMYFUNCTION("IF($T359=""Y"",
  IFERROR(
    RANK.EQ($R359, FILTER($R:$R, $T:$T=""Y""), 1)
    + COUNTIFS($R:$R, $R359, $M:$M, ""&lt;""&amp;$M359, $T:$T, ""Y""),
    ""UPCOMING""
  ),
  ""NO REF""
)
"),42.0)</f>
        <v>42</v>
      </c>
    </row>
    <row r="360" ht="15.75" customHeight="1">
      <c r="C360" s="13">
        <v>359.0</v>
      </c>
      <c r="D360" s="1629">
        <v>2025.0</v>
      </c>
      <c r="E360" s="217" t="str">
        <f>'Weekly Scores'!B9</f>
        <v>WEEK 2</v>
      </c>
      <c r="F360" s="960" t="str">
        <f>'Weekly Scores'!C9</f>
        <v>GAME 3</v>
      </c>
      <c r="G360" s="961" t="str">
        <f>'Weekly Scores'!F9</f>
        <v>POPEYES</v>
      </c>
      <c r="H360" s="1568">
        <f>'Weekly Scores'!G9</f>
        <v>156.22</v>
      </c>
      <c r="I360" s="1569">
        <f>'Weekly Scores'!H9</f>
        <v>120.12</v>
      </c>
      <c r="J360" s="964" t="str">
        <f>'Weekly Scores'!I9</f>
        <v>EAGLES</v>
      </c>
      <c r="K360" s="965" t="str">
        <f t="shared" si="174"/>
        <v>POPEYES</v>
      </c>
      <c r="L360" s="966" t="str">
        <f t="shared" si="2"/>
        <v>EAGLES</v>
      </c>
      <c r="M360" s="967">
        <f t="array" ref="M360">IFERROR(IF(ABS(H360-I360)=0,Tie,ABS(H360-I360)),"UPCOMING")</f>
        <v>36.1</v>
      </c>
      <c r="N360" s="968">
        <f t="shared" si="3"/>
        <v>232</v>
      </c>
      <c r="O360" s="969">
        <f t="shared" si="4"/>
        <v>190</v>
      </c>
      <c r="P360" s="967">
        <f t="shared" si="5"/>
        <v>276.34</v>
      </c>
      <c r="Q360" s="968">
        <f t="shared" si="6"/>
        <v>362</v>
      </c>
      <c r="R360" s="967">
        <f t="shared" si="7"/>
        <v>297</v>
      </c>
      <c r="S360" s="968">
        <f t="shared" si="8"/>
        <v>354</v>
      </c>
      <c r="U360" s="13" t="str">
        <f>IFERROR(__xludf.DUMMYFUNCTION("IF($T360=""Y"",
  IFERROR(
    RANK.EQ($R360, FILTER($R:$R, $T:$T=""Y""), 1)
    + COUNTIFS($R:$R, $R360, $M:$M, ""&lt;""&amp;$M360, $T:$T, ""Y""),
    ""UPCOMING""
  ),
  ""NO REF""
)
"),"NO REF")</f>
        <v>NO REF</v>
      </c>
    </row>
    <row r="361" ht="15.75" customHeight="1">
      <c r="C361" s="13">
        <v>360.0</v>
      </c>
      <c r="D361" s="1629">
        <v>2025.0</v>
      </c>
      <c r="E361" s="217" t="str">
        <f>'Weekly Scores'!B10</f>
        <v>WEEK 2</v>
      </c>
      <c r="F361" s="960" t="str">
        <f>'Weekly Scores'!C10</f>
        <v>GAME 4</v>
      </c>
      <c r="G361" s="961" t="str">
        <f>'Weekly Scores'!F10</f>
        <v>KINGS</v>
      </c>
      <c r="H361" s="1568">
        <f>'Weekly Scores'!G10</f>
        <v>136.3</v>
      </c>
      <c r="I361" s="1569">
        <f>'Weekly Scores'!H10</f>
        <v>165.71</v>
      </c>
      <c r="J361" s="964" t="str">
        <f>'Weekly Scores'!I10</f>
        <v>DECOUPES</v>
      </c>
      <c r="K361" s="965" t="str">
        <f t="shared" si="174"/>
        <v>DECOUPES</v>
      </c>
      <c r="L361" s="966" t="str">
        <f t="shared" si="2"/>
        <v>KINGS</v>
      </c>
      <c r="M361" s="967">
        <f t="array" ref="M361">IFERROR(IF(ABS(H361-I361)=0,Tie,ABS(H361-I361)),"UPCOMING")</f>
        <v>29.41</v>
      </c>
      <c r="N361" s="968">
        <f t="shared" si="3"/>
        <v>193</v>
      </c>
      <c r="O361" s="969">
        <f t="shared" si="4"/>
        <v>229</v>
      </c>
      <c r="P361" s="967">
        <f t="shared" si="5"/>
        <v>302.01</v>
      </c>
      <c r="Q361" s="968">
        <f t="shared" si="6"/>
        <v>303</v>
      </c>
      <c r="R361" s="967">
        <f t="shared" si="7"/>
        <v>248</v>
      </c>
      <c r="S361" s="968">
        <f t="shared" si="8"/>
        <v>286</v>
      </c>
      <c r="U361" s="13" t="str">
        <f>IFERROR(__xludf.DUMMYFUNCTION("IF($T361=""Y"",
  IFERROR(
    RANK.EQ($R361, FILTER($R:$R, $T:$T=""Y""), 1)
    + COUNTIFS($R:$R, $R361, $M:$M, ""&lt;""&amp;$M361, $T:$T, ""Y""),
    ""UPCOMING""
  ),
  ""NO REF""
)
"),"NO REF")</f>
        <v>NO REF</v>
      </c>
    </row>
    <row r="362" ht="15.75" customHeight="1">
      <c r="C362" s="13">
        <v>361.0</v>
      </c>
      <c r="D362" s="1629">
        <v>2025.0</v>
      </c>
      <c r="E362" s="217" t="str">
        <f>'Weekly Scores'!B11</f>
        <v>WEEK 2</v>
      </c>
      <c r="F362" s="960" t="str">
        <f>'Weekly Scores'!C11</f>
        <v>GAME 5</v>
      </c>
      <c r="G362" s="961" t="str">
        <f>'Weekly Scores'!F11</f>
        <v>GREEN</v>
      </c>
      <c r="H362" s="1568">
        <f>'Weekly Scores'!G11</f>
        <v>136.5</v>
      </c>
      <c r="I362" s="1569">
        <f>'Weekly Scores'!H11</f>
        <v>181.62</v>
      </c>
      <c r="J362" s="964" t="str">
        <f>'Weekly Scores'!I11</f>
        <v>SAVAGES</v>
      </c>
      <c r="K362" s="965" t="str">
        <f t="shared" si="174"/>
        <v>SAVAGES</v>
      </c>
      <c r="L362" s="966" t="str">
        <f t="shared" si="2"/>
        <v>GREEN</v>
      </c>
      <c r="M362" s="967">
        <f t="array" ref="M362">IFERROR(IF(ABS(H362-I362)=0,Tie,ABS(H362-I362)),"UPCOMING")</f>
        <v>45.12</v>
      </c>
      <c r="N362" s="968">
        <f t="shared" si="3"/>
        <v>285</v>
      </c>
      <c r="O362" s="969">
        <f t="shared" si="4"/>
        <v>137</v>
      </c>
      <c r="P362" s="967">
        <f t="shared" si="5"/>
        <v>318.12</v>
      </c>
      <c r="Q362" s="968">
        <f t="shared" si="6"/>
        <v>251</v>
      </c>
      <c r="R362" s="967">
        <f t="shared" si="7"/>
        <v>268</v>
      </c>
      <c r="S362" s="968">
        <f t="shared" si="8"/>
        <v>315</v>
      </c>
      <c r="U362" s="13" t="str">
        <f>IFERROR(__xludf.DUMMYFUNCTION("IF($T362=""Y"",
  IFERROR(
    RANK.EQ($R362, FILTER($R:$R, $T:$T=""Y""), 1)
    + COUNTIFS($R:$R, $R362, $M:$M, ""&lt;""&amp;$M362, $T:$T, ""Y""),
    ""UPCOMING""
  ),
  ""NO REF""
)
"),"NO REF")</f>
        <v>NO REF</v>
      </c>
    </row>
    <row r="363" ht="15.75" customHeight="1">
      <c r="C363" s="13">
        <v>362.0</v>
      </c>
      <c r="D363" s="1629">
        <v>2025.0</v>
      </c>
      <c r="E363" s="217" t="str">
        <f>'Weekly Scores'!B12</f>
        <v>WEEK 3</v>
      </c>
      <c r="F363" s="960" t="str">
        <f>'Weekly Scores'!C12</f>
        <v>GAME 1</v>
      </c>
      <c r="G363" s="961" t="str">
        <f>'Weekly Scores'!F12</f>
        <v>METAMOOKDAWGS</v>
      </c>
      <c r="H363" s="1568">
        <f>'Weekly Scores'!G12</f>
        <v>230.16</v>
      </c>
      <c r="I363" s="1569">
        <f>'Weekly Scores'!H12</f>
        <v>167.91</v>
      </c>
      <c r="J363" s="964" t="str">
        <f>'Weekly Scores'!I12</f>
        <v>KINGS</v>
      </c>
      <c r="K363" s="965" t="str">
        <f t="shared" si="174"/>
        <v>METAMOOKDAWGS</v>
      </c>
      <c r="L363" s="966" t="str">
        <f t="shared" si="2"/>
        <v>KINGS</v>
      </c>
      <c r="M363" s="967">
        <f t="array" ref="M363">IFERROR(IF(ABS(H363-I363)=0,Tie,ABS(H363-I363)),"UPCOMING")</f>
        <v>62.25</v>
      </c>
      <c r="N363" s="968">
        <f t="shared" si="3"/>
        <v>346</v>
      </c>
      <c r="O363" s="969">
        <f t="shared" si="4"/>
        <v>76</v>
      </c>
      <c r="P363" s="967">
        <f t="shared" si="5"/>
        <v>398.07</v>
      </c>
      <c r="Q363" s="968">
        <f t="shared" si="6"/>
        <v>58</v>
      </c>
      <c r="R363" s="967">
        <f t="shared" si="7"/>
        <v>202</v>
      </c>
      <c r="S363" s="968">
        <f t="shared" si="8"/>
        <v>186</v>
      </c>
      <c r="U363" s="13" t="str">
        <f>IFERROR(__xludf.DUMMYFUNCTION("IF($T363=""Y"",
  IFERROR(
    RANK.EQ($R363, FILTER($R:$R, $T:$T=""Y""), 1)
    + COUNTIFS($R:$R, $R363, $M:$M, ""&lt;""&amp;$M363, $T:$T, ""Y""),
    ""UPCOMING""
  ),
  ""NO REF""
)
"),"NO REF")</f>
        <v>NO REF</v>
      </c>
    </row>
    <row r="364" ht="15.75" customHeight="1">
      <c r="C364" s="13">
        <v>363.0</v>
      </c>
      <c r="D364" s="1629">
        <v>2025.0</v>
      </c>
      <c r="E364" s="217" t="str">
        <f>'Weekly Scores'!B13</f>
        <v>WEEK 3</v>
      </c>
      <c r="F364" s="960" t="str">
        <f>'Weekly Scores'!C13</f>
        <v>GAME 2</v>
      </c>
      <c r="G364" s="961" t="str">
        <f>'Weekly Scores'!F13</f>
        <v>MUTTS</v>
      </c>
      <c r="H364" s="1568">
        <f>'Weekly Scores'!G13</f>
        <v>185.71</v>
      </c>
      <c r="I364" s="1569">
        <f>'Weekly Scores'!H13</f>
        <v>196.22</v>
      </c>
      <c r="J364" s="964" t="str">
        <f>'Weekly Scores'!I13</f>
        <v>POPEYES</v>
      </c>
      <c r="K364" s="965" t="str">
        <f t="shared" si="174"/>
        <v>POPEYES</v>
      </c>
      <c r="L364" s="966" t="str">
        <f t="shared" si="2"/>
        <v>MUTTS</v>
      </c>
      <c r="M364" s="967">
        <f t="array" ref="M364">IFERROR(IF(ABS(H364-I364)=0,Tie,ABS(H364-I364)),"UPCOMING")</f>
        <v>10.51</v>
      </c>
      <c r="N364" s="968">
        <f t="shared" si="3"/>
        <v>82</v>
      </c>
      <c r="O364" s="969">
        <f t="shared" si="4"/>
        <v>340</v>
      </c>
      <c r="P364" s="967">
        <f t="shared" si="5"/>
        <v>381.93</v>
      </c>
      <c r="Q364" s="968">
        <f t="shared" si="6"/>
        <v>87</v>
      </c>
      <c r="R364" s="967">
        <f t="shared" si="7"/>
        <v>84.5</v>
      </c>
      <c r="S364" s="968">
        <f t="shared" si="8"/>
        <v>25</v>
      </c>
      <c r="T364" s="18" t="s">
        <v>1160</v>
      </c>
      <c r="U364" s="13">
        <f>IFERROR(__xludf.DUMMYFUNCTION("IF($T364=""Y"",
  IFERROR(
    RANK.EQ($R364, FILTER($R:$R, $T:$T=""Y""), 1)
    + COUNTIFS($R:$R, $R364, $M:$M, ""&lt;""&amp;$M364, $T:$T, ""Y""),
    ""UPCOMING""
  ),
  ""NO REF""
)
"),2.0)</f>
        <v>2</v>
      </c>
    </row>
    <row r="365" ht="15.75" customHeight="1">
      <c r="C365" s="13">
        <v>364.0</v>
      </c>
      <c r="D365" s="1629">
        <v>2025.0</v>
      </c>
      <c r="E365" s="217" t="str">
        <f>'Weekly Scores'!B14</f>
        <v>WEEK 3</v>
      </c>
      <c r="F365" s="960" t="str">
        <f>'Weekly Scores'!C14</f>
        <v>GAME 3</v>
      </c>
      <c r="G365" s="961" t="str">
        <f>'Weekly Scores'!F14</f>
        <v>CHAMPS</v>
      </c>
      <c r="H365" s="1568">
        <f>'Weekly Scores'!G14</f>
        <v>232.94</v>
      </c>
      <c r="I365" s="1569">
        <f>'Weekly Scores'!H14</f>
        <v>96.07</v>
      </c>
      <c r="J365" s="964" t="str">
        <f>'Weekly Scores'!I14</f>
        <v>DECOUPES</v>
      </c>
      <c r="K365" s="965" t="str">
        <f t="shared" si="174"/>
        <v>CHAMPS</v>
      </c>
      <c r="L365" s="966" t="str">
        <f t="shared" si="2"/>
        <v>DECOUPES</v>
      </c>
      <c r="M365" s="967">
        <f t="array" ref="M365">IFERROR(IF(ABS(H365-I365)=0,Tie,ABS(H365-I365)),"UPCOMING")</f>
        <v>136.87</v>
      </c>
      <c r="N365" s="968">
        <f t="shared" si="3"/>
        <v>421</v>
      </c>
      <c r="O365" s="969">
        <f t="shared" si="4"/>
        <v>1</v>
      </c>
      <c r="P365" s="967">
        <f t="shared" si="5"/>
        <v>329.01</v>
      </c>
      <c r="Q365" s="968">
        <f t="shared" si="6"/>
        <v>221</v>
      </c>
      <c r="R365" s="967">
        <f t="shared" si="7"/>
        <v>321</v>
      </c>
      <c r="S365" s="968">
        <f t="shared" si="8"/>
        <v>382</v>
      </c>
      <c r="U365" s="13" t="str">
        <f>IFERROR(__xludf.DUMMYFUNCTION("IF($T365=""Y"",
  IFERROR(
    RANK.EQ($R365, FILTER($R:$R, $T:$T=""Y""), 1)
    + COUNTIFS($R:$R, $R365, $M:$M, ""&lt;""&amp;$M365, $T:$T, ""Y""),
    ""UPCOMING""
  ),
  ""NO REF""
)
"),"NO REF")</f>
        <v>NO REF</v>
      </c>
    </row>
    <row r="366" ht="15.75" customHeight="1">
      <c r="C366" s="13">
        <v>365.0</v>
      </c>
      <c r="D366" s="1629">
        <v>2025.0</v>
      </c>
      <c r="E366" s="217" t="str">
        <f>'Weekly Scores'!B15</f>
        <v>WEEK 3</v>
      </c>
      <c r="F366" s="960" t="str">
        <f>'Weekly Scores'!C15</f>
        <v>GAME 4</v>
      </c>
      <c r="G366" s="961" t="str">
        <f>'Weekly Scores'!F15</f>
        <v>GREEN</v>
      </c>
      <c r="H366" s="1568">
        <f>'Weekly Scores'!G15</f>
        <v>204.24</v>
      </c>
      <c r="I366" s="1569">
        <f>'Weekly Scores'!H15</f>
        <v>107.2</v>
      </c>
      <c r="J366" s="964" t="str">
        <f>'Weekly Scores'!I15</f>
        <v>YARDIES</v>
      </c>
      <c r="K366" s="965" t="str">
        <f t="shared" si="174"/>
        <v>GREEN</v>
      </c>
      <c r="L366" s="966" t="str">
        <f t="shared" si="2"/>
        <v>YARDIES</v>
      </c>
      <c r="M366" s="967">
        <f t="array" ref="M366">IFERROR(IF(ABS(H366-I366)=0,Tie,ABS(H366-I366)),"UPCOMING")</f>
        <v>97.04</v>
      </c>
      <c r="N366" s="968">
        <f t="shared" si="3"/>
        <v>407</v>
      </c>
      <c r="O366" s="969">
        <f t="shared" si="4"/>
        <v>15</v>
      </c>
      <c r="P366" s="967">
        <f t="shared" si="5"/>
        <v>311.44</v>
      </c>
      <c r="Q366" s="968">
        <f t="shared" si="6"/>
        <v>275</v>
      </c>
      <c r="R366" s="967">
        <f t="shared" si="7"/>
        <v>341</v>
      </c>
      <c r="S366" s="968">
        <f t="shared" si="8"/>
        <v>402</v>
      </c>
      <c r="U366" s="13" t="str">
        <f>IFERROR(__xludf.DUMMYFUNCTION("IF($T366=""Y"",
  IFERROR(
    RANK.EQ($R366, FILTER($R:$R, $T:$T=""Y""), 1)
    + COUNTIFS($R:$R, $R366, $M:$M, ""&lt;""&amp;$M366, $T:$T, ""Y""),
    ""UPCOMING""
  ),
  ""NO REF""
)
"),"NO REF")</f>
        <v>NO REF</v>
      </c>
    </row>
    <row r="367" ht="15.75" customHeight="1">
      <c r="C367" s="13">
        <v>366.0</v>
      </c>
      <c r="D367" s="1629">
        <v>2025.0</v>
      </c>
      <c r="E367" s="217" t="str">
        <f>'Weekly Scores'!B16</f>
        <v>WEEK 3</v>
      </c>
      <c r="F367" s="960" t="str">
        <f>'Weekly Scores'!C16</f>
        <v>GAME 5</v>
      </c>
      <c r="G367" s="961" t="str">
        <f>'Weekly Scores'!F16</f>
        <v>SAVAGES</v>
      </c>
      <c r="H367" s="1568">
        <f>'Weekly Scores'!G16</f>
        <v>147.28</v>
      </c>
      <c r="I367" s="1569">
        <f>'Weekly Scores'!H16</f>
        <v>135.25</v>
      </c>
      <c r="J367" s="964" t="str">
        <f>'Weekly Scores'!I16</f>
        <v>EAGLES</v>
      </c>
      <c r="K367" s="965" t="str">
        <f t="shared" si="174"/>
        <v>SAVAGES</v>
      </c>
      <c r="L367" s="966" t="str">
        <f t="shared" si="2"/>
        <v>EAGLES</v>
      </c>
      <c r="M367" s="967">
        <f t="array" ref="M367">IFERROR(IF(ABS(H367-I367)=0,Tie,ABS(H367-I367)),"UPCOMING")</f>
        <v>12.03</v>
      </c>
      <c r="N367" s="968">
        <f t="shared" si="3"/>
        <v>95</v>
      </c>
      <c r="O367" s="969">
        <f t="shared" si="4"/>
        <v>327</v>
      </c>
      <c r="P367" s="967">
        <f t="shared" si="5"/>
        <v>282.53</v>
      </c>
      <c r="Q367" s="968">
        <f t="shared" si="6"/>
        <v>342</v>
      </c>
      <c r="R367" s="967">
        <f t="shared" si="7"/>
        <v>218.5</v>
      </c>
      <c r="S367" s="968">
        <f t="shared" si="8"/>
        <v>226</v>
      </c>
      <c r="U367" s="13" t="str">
        <f>IFERROR(__xludf.DUMMYFUNCTION("IF($T367=""Y"",
  IFERROR(
    RANK.EQ($R367, FILTER($R:$R, $T:$T=""Y""), 1)
    + COUNTIFS($R:$R, $R367, $M:$M, ""&lt;""&amp;$M367, $T:$T, ""Y""),
    ""UPCOMING""
  ),
  ""NO REF""
)
"),"NO REF")</f>
        <v>NO REF</v>
      </c>
    </row>
    <row r="368" ht="15.75" customHeight="1">
      <c r="C368" s="13">
        <v>367.0</v>
      </c>
      <c r="D368" s="1629">
        <v>2025.0</v>
      </c>
      <c r="E368" s="217" t="str">
        <f>'Weekly Scores'!B17</f>
        <v>WEEK 4</v>
      </c>
      <c r="F368" s="960" t="str">
        <f>'Weekly Scores'!C17</f>
        <v>GAME 1</v>
      </c>
      <c r="G368" s="961" t="str">
        <f>'Weekly Scores'!F17</f>
        <v>KINGS</v>
      </c>
      <c r="H368" s="1568">
        <f>'Weekly Scores'!G17</f>
        <v>157.59</v>
      </c>
      <c r="I368" s="1569">
        <f>'Weekly Scores'!H17</f>
        <v>191.2</v>
      </c>
      <c r="J368" s="964" t="str">
        <f>'Weekly Scores'!I17</f>
        <v>MUTTS</v>
      </c>
      <c r="K368" s="965" t="str">
        <f t="shared" si="174"/>
        <v>MUTTS</v>
      </c>
      <c r="L368" s="966" t="str">
        <f t="shared" si="2"/>
        <v>KINGS</v>
      </c>
      <c r="M368" s="967">
        <f t="array" ref="M368">IFERROR(IF(ABS(H368-I368)=0,Tie,ABS(H368-I368)),"UPCOMING")</f>
        <v>33.61</v>
      </c>
      <c r="N368" s="968">
        <f t="shared" si="3"/>
        <v>216</v>
      </c>
      <c r="O368" s="969">
        <f t="shared" si="4"/>
        <v>206</v>
      </c>
      <c r="P368" s="967">
        <f t="shared" si="5"/>
        <v>348.79</v>
      </c>
      <c r="Q368" s="968">
        <f t="shared" si="6"/>
        <v>166</v>
      </c>
      <c r="R368" s="967">
        <f t="shared" si="7"/>
        <v>191</v>
      </c>
      <c r="S368" s="968">
        <f t="shared" si="8"/>
        <v>164</v>
      </c>
      <c r="U368" s="13" t="str">
        <f>IFERROR(__xludf.DUMMYFUNCTION("IF($T368=""Y"",
  IFERROR(
    RANK.EQ($R368, FILTER($R:$R, $T:$T=""Y""), 1)
    + COUNTIFS($R:$R, $R368, $M:$M, ""&lt;""&amp;$M368, $T:$T, ""Y""),
    ""UPCOMING""
  ),
  ""NO REF""
)
"),"NO REF")</f>
        <v>NO REF</v>
      </c>
    </row>
    <row r="369" ht="15.75" customHeight="1">
      <c r="C369" s="13">
        <v>368.0</v>
      </c>
      <c r="D369" s="1629">
        <v>2025.0</v>
      </c>
      <c r="E369" s="217" t="str">
        <f>'Weekly Scores'!B18</f>
        <v>WEEK 4</v>
      </c>
      <c r="F369" s="960" t="str">
        <f>'Weekly Scores'!C18</f>
        <v>GAME 2</v>
      </c>
      <c r="G369" s="961" t="str">
        <f>'Weekly Scores'!F18</f>
        <v>POPEYES</v>
      </c>
      <c r="H369" s="1568">
        <f>'Weekly Scores'!G18</f>
        <v>219.36</v>
      </c>
      <c r="I369" s="1569">
        <f>'Weekly Scores'!H18</f>
        <v>159.16</v>
      </c>
      <c r="J369" s="964" t="str">
        <f>'Weekly Scores'!I18</f>
        <v>CHAMPS</v>
      </c>
      <c r="K369" s="965" t="str">
        <f t="shared" si="174"/>
        <v>POPEYES</v>
      </c>
      <c r="L369" s="966" t="str">
        <f t="shared" si="2"/>
        <v>CHAMPS</v>
      </c>
      <c r="M369" s="967">
        <f t="array" ref="M369">IFERROR(IF(ABS(H369-I369)=0,Tie,ABS(H369-I369)),"UPCOMING")</f>
        <v>60.2</v>
      </c>
      <c r="N369" s="968">
        <f t="shared" si="3"/>
        <v>338</v>
      </c>
      <c r="O369" s="969">
        <f t="shared" si="4"/>
        <v>84</v>
      </c>
      <c r="P369" s="967">
        <f t="shared" si="5"/>
        <v>378.52</v>
      </c>
      <c r="Q369" s="968">
        <f t="shared" si="6"/>
        <v>98</v>
      </c>
      <c r="R369" s="967">
        <f t="shared" si="7"/>
        <v>218</v>
      </c>
      <c r="S369" s="968">
        <f t="shared" si="8"/>
        <v>225</v>
      </c>
      <c r="U369" s="13" t="str">
        <f>IFERROR(__xludf.DUMMYFUNCTION("IF($T369=""Y"",
  IFERROR(
    RANK.EQ($R369, FILTER($R:$R, $T:$T=""Y""), 1)
    + COUNTIFS($R:$R, $R369, $M:$M, ""&lt;""&amp;$M369, $T:$T, ""Y""),
    ""UPCOMING""
  ),
  ""NO REF""
)
"),"NO REF")</f>
        <v>NO REF</v>
      </c>
    </row>
    <row r="370" ht="15.75" customHeight="1">
      <c r="C370" s="13">
        <v>369.0</v>
      </c>
      <c r="D370" s="1629">
        <v>2025.0</v>
      </c>
      <c r="E370" s="217" t="str">
        <f>'Weekly Scores'!B19</f>
        <v>WEEK 4</v>
      </c>
      <c r="F370" s="960" t="str">
        <f>'Weekly Scores'!C19</f>
        <v>GAME 3</v>
      </c>
      <c r="G370" s="961" t="str">
        <f>'Weekly Scores'!F19</f>
        <v>YARDIES</v>
      </c>
      <c r="H370" s="1568">
        <f>'Weekly Scores'!G19</f>
        <v>169.98</v>
      </c>
      <c r="I370" s="1569">
        <f>'Weekly Scores'!H19</f>
        <v>137.07</v>
      </c>
      <c r="J370" s="964" t="str">
        <f>'Weekly Scores'!I19</f>
        <v>DECOUPES</v>
      </c>
      <c r="K370" s="965" t="str">
        <f t="shared" si="174"/>
        <v>YARDIES</v>
      </c>
      <c r="L370" s="966" t="str">
        <f t="shared" si="2"/>
        <v>DECOUPES</v>
      </c>
      <c r="M370" s="967">
        <f t="array" ref="M370">IFERROR(IF(ABS(H370-I370)=0,Tie,ABS(H370-I370)),"UPCOMING")</f>
        <v>32.91</v>
      </c>
      <c r="N370" s="968">
        <f t="shared" si="3"/>
        <v>212</v>
      </c>
      <c r="O370" s="969">
        <f t="shared" si="4"/>
        <v>210</v>
      </c>
      <c r="P370" s="967">
        <f t="shared" si="5"/>
        <v>307.05</v>
      </c>
      <c r="Q370" s="968">
        <f t="shared" si="6"/>
        <v>287</v>
      </c>
      <c r="R370" s="967">
        <f t="shared" si="7"/>
        <v>249.5</v>
      </c>
      <c r="S370" s="968">
        <f t="shared" si="8"/>
        <v>291</v>
      </c>
      <c r="T370" s="18" t="s">
        <v>1160</v>
      </c>
      <c r="U370" s="13">
        <f>IFERROR(__xludf.DUMMYFUNCTION("IF($T370=""Y"",
  IFERROR(
    RANK.EQ($R370, FILTER($R:$R, $T:$T=""Y""), 1)
    + COUNTIFS($R:$R, $R370, $M:$M, ""&lt;""&amp;$M370, $T:$T, ""Y""),
    ""UPCOMING""
  ),
  ""NO REF""
)
"),49.0)</f>
        <v>49</v>
      </c>
    </row>
    <row r="371" ht="15.75" customHeight="1">
      <c r="C371" s="13">
        <v>370.0</v>
      </c>
      <c r="D371" s="1629">
        <v>2025.0</v>
      </c>
      <c r="E371" s="217" t="str">
        <f>'Weekly Scores'!B20</f>
        <v>WEEK 4</v>
      </c>
      <c r="F371" s="960" t="str">
        <f>'Weekly Scores'!C20</f>
        <v>GAME 4</v>
      </c>
      <c r="G371" s="961" t="str">
        <f>'Weekly Scores'!F20</f>
        <v>EAGLES</v>
      </c>
      <c r="H371" s="1568">
        <f>'Weekly Scores'!G20</f>
        <v>183.68</v>
      </c>
      <c r="I371" s="1569">
        <f>'Weekly Scores'!H20</f>
        <v>194.64</v>
      </c>
      <c r="J371" s="964" t="str">
        <f>'Weekly Scores'!I20</f>
        <v>GREEN</v>
      </c>
      <c r="K371" s="965" t="str">
        <f t="shared" si="174"/>
        <v>GREEN</v>
      </c>
      <c r="L371" s="966" t="str">
        <f t="shared" si="2"/>
        <v>EAGLES</v>
      </c>
      <c r="M371" s="967">
        <f t="array" ref="M371">IFERROR(IF(ABS(H371-I371)=0,Tie,ABS(H371-I371)),"UPCOMING")</f>
        <v>10.96</v>
      </c>
      <c r="N371" s="968">
        <f t="shared" si="3"/>
        <v>84</v>
      </c>
      <c r="O371" s="969">
        <f t="shared" si="4"/>
        <v>338</v>
      </c>
      <c r="P371" s="967">
        <f t="shared" si="5"/>
        <v>378.32</v>
      </c>
      <c r="Q371" s="968">
        <f t="shared" si="6"/>
        <v>99</v>
      </c>
      <c r="R371" s="967">
        <f t="shared" si="7"/>
        <v>91.5</v>
      </c>
      <c r="S371" s="968">
        <f t="shared" si="8"/>
        <v>30</v>
      </c>
      <c r="U371" s="13" t="str">
        <f>IFERROR(__xludf.DUMMYFUNCTION("IF($T371=""Y"",
  IFERROR(
    RANK.EQ($R371, FILTER($R:$R, $T:$T=""Y""), 1)
    + COUNTIFS($R:$R, $R371, $M:$M, ""&lt;""&amp;$M371, $T:$T, ""Y""),
    ""UPCOMING""
  ),
  ""NO REF""
)
"),"NO REF")</f>
        <v>NO REF</v>
      </c>
    </row>
    <row r="372" ht="15.75" customHeight="1">
      <c r="C372" s="13">
        <v>371.0</v>
      </c>
      <c r="D372" s="1629">
        <v>2025.0</v>
      </c>
      <c r="E372" s="217" t="str">
        <f>'Weekly Scores'!B21</f>
        <v>WEEK 4</v>
      </c>
      <c r="F372" s="960" t="str">
        <f>'Weekly Scores'!C21</f>
        <v>GAME 5</v>
      </c>
      <c r="G372" s="961" t="str">
        <f>'Weekly Scores'!F21</f>
        <v>METAMOOKDAWGS</v>
      </c>
      <c r="H372" s="1568">
        <f>'Weekly Scores'!G21</f>
        <v>201.65</v>
      </c>
      <c r="I372" s="1569">
        <f>'Weekly Scores'!H21</f>
        <v>175.05</v>
      </c>
      <c r="J372" s="964" t="str">
        <f>'Weekly Scores'!I21</f>
        <v>SAVAGES</v>
      </c>
      <c r="K372" s="965" t="str">
        <f t="shared" si="174"/>
        <v>METAMOOKDAWGS</v>
      </c>
      <c r="L372" s="966" t="str">
        <f t="shared" si="2"/>
        <v>SAVAGES</v>
      </c>
      <c r="M372" s="967">
        <f t="array" ref="M372">IFERROR(IF(ABS(H372-I372)=0,Tie,ABS(H372-I372)),"UPCOMING")</f>
        <v>26.6</v>
      </c>
      <c r="N372" s="968">
        <f t="shared" si="3"/>
        <v>180</v>
      </c>
      <c r="O372" s="969">
        <f t="shared" si="4"/>
        <v>242</v>
      </c>
      <c r="P372" s="967">
        <f t="shared" si="5"/>
        <v>376.7</v>
      </c>
      <c r="Q372" s="968">
        <f t="shared" si="6"/>
        <v>104</v>
      </c>
      <c r="R372" s="967">
        <f t="shared" si="7"/>
        <v>142</v>
      </c>
      <c r="S372" s="968">
        <f t="shared" si="8"/>
        <v>92</v>
      </c>
      <c r="U372" s="13" t="str">
        <f>IFERROR(__xludf.DUMMYFUNCTION("IF($T372=""Y"",
  IFERROR(
    RANK.EQ($R372, FILTER($R:$R, $T:$T=""Y""), 1)
    + COUNTIFS($R:$R, $R372, $M:$M, ""&lt;""&amp;$M372, $T:$T, ""Y""),
    ""UPCOMING""
  ),
  ""NO REF""
)
"),"NO REF")</f>
        <v>NO REF</v>
      </c>
    </row>
    <row r="373" ht="15.75" customHeight="1">
      <c r="C373" s="13">
        <v>372.0</v>
      </c>
      <c r="D373" s="1629">
        <v>2025.0</v>
      </c>
      <c r="E373" s="217" t="str">
        <f>'Weekly Scores'!B22</f>
        <v>WEEK 5</v>
      </c>
      <c r="F373" s="960" t="str">
        <f>'Weekly Scores'!C22</f>
        <v>GAME 1</v>
      </c>
      <c r="G373" s="961" t="str">
        <f>'Weekly Scores'!F22</f>
        <v>YARDIES</v>
      </c>
      <c r="H373" s="1568">
        <f>'Weekly Scores'!G22</f>
        <v>204.92</v>
      </c>
      <c r="I373" s="1569">
        <f>'Weekly Scores'!H22</f>
        <v>143.9</v>
      </c>
      <c r="J373" s="964" t="str">
        <f>'Weekly Scores'!I22</f>
        <v>METAMOOKDAWGS</v>
      </c>
      <c r="K373" s="965" t="str">
        <f t="shared" si="174"/>
        <v>YARDIES</v>
      </c>
      <c r="L373" s="966" t="str">
        <f t="shared" si="2"/>
        <v>METAMOOKDAWGS</v>
      </c>
      <c r="M373" s="967">
        <f t="array" ref="M373">IFERROR(IF(ABS(H373-I373)=0,Tie,ABS(H373-I373)),"UPCOMING")</f>
        <v>61.02</v>
      </c>
      <c r="N373" s="968">
        <f t="shared" si="3"/>
        <v>342</v>
      </c>
      <c r="O373" s="969">
        <f t="shared" si="4"/>
        <v>80</v>
      </c>
      <c r="P373" s="967">
        <f t="shared" si="5"/>
        <v>348.82</v>
      </c>
      <c r="Q373" s="968">
        <f t="shared" si="6"/>
        <v>165</v>
      </c>
      <c r="R373" s="967">
        <f t="shared" si="7"/>
        <v>253.5</v>
      </c>
      <c r="S373" s="968">
        <f t="shared" si="8"/>
        <v>296</v>
      </c>
      <c r="U373" s="13" t="str">
        <f>IFERROR(__xludf.DUMMYFUNCTION("IF($T373=""Y"",
  IFERROR(
    RANK.EQ($R373, FILTER($R:$R, $T:$T=""Y""), 1)
    + COUNTIFS($R:$R, $R373, $M:$M, ""&lt;""&amp;$M373, $T:$T, ""Y""),
    ""UPCOMING""
  ),
  ""NO REF""
)
"),"NO REF")</f>
        <v>NO REF</v>
      </c>
    </row>
    <row r="374" ht="15.75" customHeight="1">
      <c r="C374" s="13">
        <v>373.0</v>
      </c>
      <c r="D374" s="1629">
        <v>2025.0</v>
      </c>
      <c r="E374" s="217" t="str">
        <f>'Weekly Scores'!B23</f>
        <v>WEEK 5</v>
      </c>
      <c r="F374" s="960" t="str">
        <f>'Weekly Scores'!C23</f>
        <v>GAME 2</v>
      </c>
      <c r="G374" s="961" t="str">
        <f>'Weekly Scores'!F23</f>
        <v>MUTTS</v>
      </c>
      <c r="H374" s="1568">
        <f>'Weekly Scores'!G23</f>
        <v>161.98</v>
      </c>
      <c r="I374" s="1569">
        <f>'Weekly Scores'!H23</f>
        <v>141.58</v>
      </c>
      <c r="J374" s="964" t="str">
        <f>'Weekly Scores'!I23</f>
        <v>EAGLES</v>
      </c>
      <c r="K374" s="965" t="str">
        <f t="shared" si="174"/>
        <v>MUTTS</v>
      </c>
      <c r="L374" s="966" t="str">
        <f t="shared" si="2"/>
        <v>EAGLES</v>
      </c>
      <c r="M374" s="967">
        <f t="array" ref="M374">IFERROR(IF(ABS(H374-I374)=0,Tie,ABS(H374-I374)),"UPCOMING")</f>
        <v>20.4</v>
      </c>
      <c r="N374" s="968">
        <f t="shared" si="3"/>
        <v>143</v>
      </c>
      <c r="O374" s="969">
        <f t="shared" si="4"/>
        <v>279</v>
      </c>
      <c r="P374" s="967">
        <f t="shared" si="5"/>
        <v>303.56</v>
      </c>
      <c r="Q374" s="968">
        <f t="shared" si="6"/>
        <v>296</v>
      </c>
      <c r="R374" s="967">
        <f t="shared" si="7"/>
        <v>219.5</v>
      </c>
      <c r="S374" s="968">
        <f t="shared" si="8"/>
        <v>230</v>
      </c>
      <c r="U374" s="13" t="str">
        <f>IFERROR(__xludf.DUMMYFUNCTION("IF($T374=""Y"",
  IFERROR(
    RANK.EQ($R374, FILTER($R:$R, $T:$T=""Y""), 1)
    + COUNTIFS($R:$R, $R374, $M:$M, ""&lt;""&amp;$M374, $T:$T, ""Y""),
    ""UPCOMING""
  ),
  ""NO REF""
)
"),"NO REF")</f>
        <v>NO REF</v>
      </c>
    </row>
    <row r="375" ht="15.75" customHeight="1">
      <c r="C375" s="13">
        <v>374.0</v>
      </c>
      <c r="D375" s="1629">
        <v>2025.0</v>
      </c>
      <c r="E375" s="217" t="str">
        <f>'Weekly Scores'!B24</f>
        <v>WEEK 5</v>
      </c>
      <c r="F375" s="960" t="str">
        <f>'Weekly Scores'!C24</f>
        <v>GAME 3</v>
      </c>
      <c r="G375" s="961" t="str">
        <f>'Weekly Scores'!F24</f>
        <v>DECOUPES</v>
      </c>
      <c r="H375" s="1568">
        <f>'Weekly Scores'!G24</f>
        <v>116.2</v>
      </c>
      <c r="I375" s="1569">
        <f>'Weekly Scores'!H24</f>
        <v>172.82</v>
      </c>
      <c r="J375" s="964" t="str">
        <f>'Weekly Scores'!I24</f>
        <v>KINGS</v>
      </c>
      <c r="K375" s="965" t="str">
        <f t="shared" si="174"/>
        <v>KINGS</v>
      </c>
      <c r="L375" s="966" t="str">
        <f t="shared" si="2"/>
        <v>DECOUPES</v>
      </c>
      <c r="M375" s="967">
        <f t="array" ref="M375">IFERROR(IF(ABS(H375-I375)=0,Tie,ABS(H375-I375)),"UPCOMING")</f>
        <v>56.62</v>
      </c>
      <c r="N375" s="968">
        <f t="shared" si="3"/>
        <v>330</v>
      </c>
      <c r="O375" s="969">
        <f t="shared" si="4"/>
        <v>92</v>
      </c>
      <c r="P375" s="967">
        <f t="shared" si="5"/>
        <v>289.02</v>
      </c>
      <c r="Q375" s="968">
        <f t="shared" si="6"/>
        <v>331</v>
      </c>
      <c r="R375" s="967">
        <f t="shared" si="7"/>
        <v>330.5</v>
      </c>
      <c r="S375" s="968">
        <f t="shared" si="8"/>
        <v>393</v>
      </c>
      <c r="U375" s="13" t="str">
        <f>IFERROR(__xludf.DUMMYFUNCTION("IF($T375=""Y"",
  IFERROR(
    RANK.EQ($R375, FILTER($R:$R, $T:$T=""Y""), 1)
    + COUNTIFS($R:$R, $R375, $M:$M, ""&lt;""&amp;$M375, $T:$T, ""Y""),
    ""UPCOMING""
  ),
  ""NO REF""
)
"),"NO REF")</f>
        <v>NO REF</v>
      </c>
    </row>
    <row r="376" ht="15.75" customHeight="1">
      <c r="C376" s="13">
        <v>375.0</v>
      </c>
      <c r="D376" s="1629">
        <v>2025.0</v>
      </c>
      <c r="E376" s="217" t="str">
        <f>'Weekly Scores'!B25</f>
        <v>WEEK 5</v>
      </c>
      <c r="F376" s="960" t="str">
        <f>'Weekly Scores'!C25</f>
        <v>GAME 4</v>
      </c>
      <c r="G376" s="961" t="str">
        <f>'Weekly Scores'!F25</f>
        <v>POPEYES</v>
      </c>
      <c r="H376" s="1568">
        <f>'Weekly Scores'!G25</f>
        <v>202.46</v>
      </c>
      <c r="I376" s="1569">
        <f>'Weekly Scores'!H25</f>
        <v>156.15</v>
      </c>
      <c r="J376" s="964" t="str">
        <f>'Weekly Scores'!I25</f>
        <v>SAVAGES</v>
      </c>
      <c r="K376" s="965" t="str">
        <f t="shared" si="174"/>
        <v>POPEYES</v>
      </c>
      <c r="L376" s="966" t="str">
        <f t="shared" si="2"/>
        <v>SAVAGES</v>
      </c>
      <c r="M376" s="967">
        <f t="array" ref="M376">IFERROR(IF(ABS(H376-I376)=0,Tie,ABS(H376-I376)),"UPCOMING")</f>
        <v>46.31</v>
      </c>
      <c r="N376" s="968">
        <f t="shared" si="3"/>
        <v>292</v>
      </c>
      <c r="O376" s="969">
        <f t="shared" si="4"/>
        <v>130</v>
      </c>
      <c r="P376" s="967">
        <f t="shared" si="5"/>
        <v>358.61</v>
      </c>
      <c r="Q376" s="968">
        <f t="shared" si="6"/>
        <v>141</v>
      </c>
      <c r="R376" s="967">
        <f t="shared" si="7"/>
        <v>216.5</v>
      </c>
      <c r="S376" s="968">
        <f t="shared" si="8"/>
        <v>220</v>
      </c>
      <c r="U376" s="13" t="str">
        <f>IFERROR(__xludf.DUMMYFUNCTION("IF($T376=""Y"",
  IFERROR(
    RANK.EQ($R376, FILTER($R:$R, $T:$T=""Y""), 1)
    + COUNTIFS($R:$R, $R376, $M:$M, ""&lt;""&amp;$M376, $T:$T, ""Y""),
    ""UPCOMING""
  ),
  ""NO REF""
)
"),"NO REF")</f>
        <v>NO REF</v>
      </c>
    </row>
    <row r="377" ht="15.75" customHeight="1">
      <c r="C377" s="13">
        <v>376.0</v>
      </c>
      <c r="D377" s="1629">
        <v>2025.0</v>
      </c>
      <c r="E377" s="217" t="str">
        <f>'Weekly Scores'!B26</f>
        <v>WEEK 5</v>
      </c>
      <c r="F377" s="960" t="str">
        <f>'Weekly Scores'!C26</f>
        <v>GAME 5</v>
      </c>
      <c r="G377" s="961" t="str">
        <f>'Weekly Scores'!F26</f>
        <v>GREEN</v>
      </c>
      <c r="H377" s="1568">
        <f>'Weekly Scores'!G26</f>
        <v>167.16</v>
      </c>
      <c r="I377" s="1569">
        <f>'Weekly Scores'!H26</f>
        <v>164.86</v>
      </c>
      <c r="J377" s="964" t="str">
        <f>'Weekly Scores'!I26</f>
        <v>CHAMPS</v>
      </c>
      <c r="K377" s="965" t="str">
        <f t="shared" si="174"/>
        <v>GREEN</v>
      </c>
      <c r="L377" s="966" t="str">
        <f t="shared" si="2"/>
        <v>CHAMPS</v>
      </c>
      <c r="M377" s="967">
        <f t="array" ref="M377">IFERROR(IF(ABS(H377-I377)=0,Tie,ABS(H377-I377)),"UPCOMING")</f>
        <v>2.3</v>
      </c>
      <c r="N377" s="968">
        <f t="shared" si="3"/>
        <v>23</v>
      </c>
      <c r="O377" s="969">
        <f t="shared" si="4"/>
        <v>399</v>
      </c>
      <c r="P377" s="967">
        <f t="shared" si="5"/>
        <v>332.02</v>
      </c>
      <c r="Q377" s="968">
        <f t="shared" si="6"/>
        <v>212</v>
      </c>
      <c r="R377" s="967">
        <f t="shared" si="7"/>
        <v>117.5</v>
      </c>
      <c r="S377" s="968">
        <f t="shared" si="8"/>
        <v>55</v>
      </c>
      <c r="T377" s="18" t="s">
        <v>1160</v>
      </c>
      <c r="U377" s="13">
        <f>IFERROR(__xludf.DUMMYFUNCTION("IF($T377=""Y"",
  IFERROR(
    RANK.EQ($R377, FILTER($R:$R, $T:$T=""Y""), 1)
    + COUNTIFS($R:$R, $R377, $M:$M, ""&lt;""&amp;$M377, $T:$T, ""Y""),
    ""UPCOMING""
  ),
  ""NO REF""
)
"),7.0)</f>
        <v>7</v>
      </c>
    </row>
    <row r="378" ht="15.75" customHeight="1">
      <c r="C378" s="13">
        <v>377.0</v>
      </c>
      <c r="D378" s="1629">
        <v>2025.0</v>
      </c>
      <c r="E378" s="217" t="str">
        <f>'Weekly Scores'!B27</f>
        <v>WEEK 6</v>
      </c>
      <c r="F378" s="960" t="str">
        <f>'Weekly Scores'!C27</f>
        <v>GAME 1</v>
      </c>
      <c r="G378" s="961" t="str">
        <f>'Weekly Scores'!F27</f>
        <v>CHAMPS</v>
      </c>
      <c r="H378" s="1568">
        <f>'Weekly Scores'!G27</f>
        <v>149.44</v>
      </c>
      <c r="I378" s="1569">
        <f>'Weekly Scores'!H27</f>
        <v>175.13</v>
      </c>
      <c r="J378" s="964" t="str">
        <f>'Weekly Scores'!I27</f>
        <v>EAGLES</v>
      </c>
      <c r="K378" s="965" t="str">
        <f t="shared" si="174"/>
        <v>EAGLES</v>
      </c>
      <c r="L378" s="966" t="str">
        <f t="shared" si="2"/>
        <v>CHAMPS</v>
      </c>
      <c r="M378" s="967">
        <f t="array" ref="M378">IFERROR(IF(ABS(H378-I378)=0,Tie,ABS(H378-I378)),"UPCOMING")</f>
        <v>25.69</v>
      </c>
      <c r="N378" s="968">
        <f t="shared" si="3"/>
        <v>174</v>
      </c>
      <c r="O378" s="969">
        <f t="shared" si="4"/>
        <v>248</v>
      </c>
      <c r="P378" s="967">
        <f t="shared" si="5"/>
        <v>324.57</v>
      </c>
      <c r="Q378" s="968">
        <f t="shared" si="6"/>
        <v>233</v>
      </c>
      <c r="R378" s="967">
        <f t="shared" si="7"/>
        <v>203.5</v>
      </c>
      <c r="S378" s="968">
        <f t="shared" si="8"/>
        <v>189</v>
      </c>
      <c r="U378" s="13" t="str">
        <f>IFERROR(__xludf.DUMMYFUNCTION("IF($T378=""Y"",
  IFERROR(
    RANK.EQ($R378, FILTER($R:$R, $T:$T=""Y""), 1)
    + COUNTIFS($R:$R, $R378, $M:$M, ""&lt;""&amp;$M378, $T:$T, ""Y""),
    ""UPCOMING""
  ),
  ""NO REF""
)
"),"NO REF")</f>
        <v>NO REF</v>
      </c>
    </row>
    <row r="379" ht="15.75" customHeight="1">
      <c r="C379" s="13">
        <v>378.0</v>
      </c>
      <c r="D379" s="1629">
        <v>2025.0</v>
      </c>
      <c r="E379" s="217" t="str">
        <f>'Weekly Scores'!B28</f>
        <v>WEEK 6</v>
      </c>
      <c r="F379" s="960" t="str">
        <f>'Weekly Scores'!C28</f>
        <v>GAME 2</v>
      </c>
      <c r="G379" s="961" t="str">
        <f>'Weekly Scores'!F28</f>
        <v>MUTTS</v>
      </c>
      <c r="H379" s="1568">
        <f>'Weekly Scores'!G28</f>
        <v>162.92</v>
      </c>
      <c r="I379" s="1569">
        <f>'Weekly Scores'!H28</f>
        <v>127.98</v>
      </c>
      <c r="J379" s="964" t="str">
        <f>'Weekly Scores'!I28</f>
        <v>YARDIES</v>
      </c>
      <c r="K379" s="965" t="str">
        <f t="shared" si="174"/>
        <v>MUTTS</v>
      </c>
      <c r="L379" s="966" t="str">
        <f t="shared" si="2"/>
        <v>YARDIES</v>
      </c>
      <c r="M379" s="967">
        <f t="array" ref="M379">IFERROR(IF(ABS(H379-I379)=0,Tie,ABS(H379-I379)),"UPCOMING")</f>
        <v>34.94</v>
      </c>
      <c r="N379" s="968">
        <f t="shared" si="3"/>
        <v>225</v>
      </c>
      <c r="O379" s="969">
        <f t="shared" si="4"/>
        <v>197</v>
      </c>
      <c r="P379" s="967">
        <f t="shared" si="5"/>
        <v>290.9</v>
      </c>
      <c r="Q379" s="968">
        <f t="shared" si="6"/>
        <v>327</v>
      </c>
      <c r="R379" s="967">
        <f t="shared" si="7"/>
        <v>276</v>
      </c>
      <c r="S379" s="968">
        <f t="shared" si="8"/>
        <v>324</v>
      </c>
      <c r="T379" s="18" t="s">
        <v>1160</v>
      </c>
      <c r="U379" s="13">
        <f>IFERROR(__xludf.DUMMYFUNCTION("IF($T379=""Y"",
  IFERROR(
    RANK.EQ($R379, FILTER($R:$R, $T:$T=""Y""), 1)
    + COUNTIFS($R:$R, $R379, $M:$M, ""&lt;""&amp;$M379, $T:$T, ""Y""),
    ""UPCOMING""
  ),
  ""NO REF""
)
"),50.0)</f>
        <v>50</v>
      </c>
    </row>
    <row r="380" ht="15.75" customHeight="1">
      <c r="C380" s="13">
        <v>379.0</v>
      </c>
      <c r="D380" s="1629">
        <v>2025.0</v>
      </c>
      <c r="E380" s="217" t="str">
        <f>'Weekly Scores'!B29</f>
        <v>WEEK 6</v>
      </c>
      <c r="F380" s="960" t="str">
        <f>'Weekly Scores'!C29</f>
        <v>GAME 3</v>
      </c>
      <c r="G380" s="961" t="str">
        <f>'Weekly Scores'!F29</f>
        <v>DECOUPES</v>
      </c>
      <c r="H380" s="1568">
        <f>'Weekly Scores'!G29</f>
        <v>141.19</v>
      </c>
      <c r="I380" s="1569">
        <f>'Weekly Scores'!H29</f>
        <v>110.89</v>
      </c>
      <c r="J380" s="964" t="str">
        <f>'Weekly Scores'!I29</f>
        <v>POPEYES</v>
      </c>
      <c r="K380" s="965" t="str">
        <f t="shared" si="174"/>
        <v>DECOUPES</v>
      </c>
      <c r="L380" s="966" t="str">
        <f t="shared" si="2"/>
        <v>POPEYES</v>
      </c>
      <c r="M380" s="967">
        <f t="array" ref="M380">IFERROR(IF(ABS(H380-I380)=0,Tie,ABS(H380-I380)),"UPCOMING")</f>
        <v>30.3</v>
      </c>
      <c r="N380" s="968">
        <f t="shared" si="3"/>
        <v>197</v>
      </c>
      <c r="O380" s="969">
        <f t="shared" si="4"/>
        <v>225</v>
      </c>
      <c r="P380" s="967">
        <f t="shared" si="5"/>
        <v>252.08</v>
      </c>
      <c r="Q380" s="968">
        <f t="shared" si="6"/>
        <v>396</v>
      </c>
      <c r="R380" s="967">
        <f t="shared" si="7"/>
        <v>296.5</v>
      </c>
      <c r="S380" s="968">
        <f t="shared" si="8"/>
        <v>353</v>
      </c>
      <c r="U380" s="13" t="str">
        <f>IFERROR(__xludf.DUMMYFUNCTION("IF($T380=""Y"",
  IFERROR(
    RANK.EQ($R380, FILTER($R:$R, $T:$T=""Y""), 1)
    + COUNTIFS($R:$R, $R380, $M:$M, ""&lt;""&amp;$M380, $T:$T, ""Y""),
    ""UPCOMING""
  ),
  ""NO REF""
)
"),"NO REF")</f>
        <v>NO REF</v>
      </c>
    </row>
    <row r="381" ht="15.75" customHeight="1">
      <c r="C381" s="13">
        <v>380.0</v>
      </c>
      <c r="D381" s="1629">
        <v>2025.0</v>
      </c>
      <c r="E381" s="217" t="str">
        <f>'Weekly Scores'!B30</f>
        <v>WEEK 6</v>
      </c>
      <c r="F381" s="960" t="str">
        <f>'Weekly Scores'!C30</f>
        <v>GAME 4</v>
      </c>
      <c r="G381" s="961" t="str">
        <f>'Weekly Scores'!F30</f>
        <v>KINGS</v>
      </c>
      <c r="H381" s="1568">
        <f>'Weekly Scores'!G30</f>
        <v>154.16</v>
      </c>
      <c r="I381" s="1569">
        <f>'Weekly Scores'!H30</f>
        <v>191</v>
      </c>
      <c r="J381" s="964" t="str">
        <f>'Weekly Scores'!I30</f>
        <v>GREEN</v>
      </c>
      <c r="K381" s="965" t="str">
        <f t="shared" si="174"/>
        <v>GREEN</v>
      </c>
      <c r="L381" s="966" t="str">
        <f t="shared" si="2"/>
        <v>KINGS</v>
      </c>
      <c r="M381" s="967">
        <f t="array" ref="M381">IFERROR(IF(ABS(H381-I381)=0,Tie,ABS(H381-I381)),"UPCOMING")</f>
        <v>36.84</v>
      </c>
      <c r="N381" s="968">
        <f t="shared" si="3"/>
        <v>238</v>
      </c>
      <c r="O381" s="969">
        <f t="shared" si="4"/>
        <v>184</v>
      </c>
      <c r="P381" s="967">
        <f t="shared" si="5"/>
        <v>345.16</v>
      </c>
      <c r="Q381" s="968">
        <f t="shared" si="6"/>
        <v>180</v>
      </c>
      <c r="R381" s="967">
        <f t="shared" si="7"/>
        <v>209</v>
      </c>
      <c r="S381" s="968">
        <f t="shared" si="8"/>
        <v>204</v>
      </c>
      <c r="U381" s="13" t="str">
        <f>IFERROR(__xludf.DUMMYFUNCTION("IF($T381=""Y"",
  IFERROR(
    RANK.EQ($R381, FILTER($R:$R, $T:$T=""Y""), 1)
    + COUNTIFS($R:$R, $R381, $M:$M, ""&lt;""&amp;$M381, $T:$T, ""Y""),
    ""UPCOMING""
  ),
  ""NO REF""
)
"),"NO REF")</f>
        <v>NO REF</v>
      </c>
    </row>
    <row r="382" ht="15.75" customHeight="1">
      <c r="C382" s="13">
        <v>381.0</v>
      </c>
      <c r="D382" s="1629">
        <v>2025.0</v>
      </c>
      <c r="E382" s="217" t="str">
        <f>'Weekly Scores'!B31</f>
        <v>WEEK 6</v>
      </c>
      <c r="F382" s="960" t="str">
        <f>'Weekly Scores'!C31</f>
        <v>GAME 5</v>
      </c>
      <c r="G382" s="961" t="str">
        <f>'Weekly Scores'!F31</f>
        <v>SAVAGES</v>
      </c>
      <c r="H382" s="1568">
        <f>'Weekly Scores'!G31</f>
        <v>154.82</v>
      </c>
      <c r="I382" s="1569">
        <f>'Weekly Scores'!H31</f>
        <v>153.82</v>
      </c>
      <c r="J382" s="964" t="str">
        <f>'Weekly Scores'!I31</f>
        <v>METAMOOKDAWGS</v>
      </c>
      <c r="K382" s="965" t="str">
        <f t="shared" si="174"/>
        <v>SAVAGES</v>
      </c>
      <c r="L382" s="966" t="str">
        <f t="shared" si="2"/>
        <v>METAMOOKDAWGS</v>
      </c>
      <c r="M382" s="967">
        <f t="array" ref="M382">IFERROR(IF(ABS(H382-I382)=0,Tie,ABS(H382-I382)),"UPCOMING")</f>
        <v>1</v>
      </c>
      <c r="N382" s="968">
        <f t="shared" si="3"/>
        <v>13</v>
      </c>
      <c r="O382" s="969">
        <f t="shared" si="4"/>
        <v>409</v>
      </c>
      <c r="P382" s="967">
        <f t="shared" si="5"/>
        <v>308.64</v>
      </c>
      <c r="Q382" s="968">
        <f t="shared" si="6"/>
        <v>284</v>
      </c>
      <c r="R382" s="967">
        <f t="shared" si="7"/>
        <v>148.5</v>
      </c>
      <c r="S382" s="968">
        <f t="shared" si="8"/>
        <v>99</v>
      </c>
      <c r="U382" s="13" t="str">
        <f>IFERROR(__xludf.DUMMYFUNCTION("IF($T382=""Y"",
  IFERROR(
    RANK.EQ($R382, FILTER($R:$R, $T:$T=""Y""), 1)
    + COUNTIFS($R:$R, $R382, $M:$M, ""&lt;""&amp;$M382, $T:$T, ""Y""),
    ""UPCOMING""
  ),
  ""NO REF""
)
"),"NO REF")</f>
        <v>NO REF</v>
      </c>
    </row>
    <row r="383" ht="15.75" customHeight="1">
      <c r="C383" s="13">
        <v>382.0</v>
      </c>
      <c r="D383" s="1629">
        <v>2025.0</v>
      </c>
      <c r="E383" s="217" t="str">
        <f>'Weekly Scores'!B32</f>
        <v>WEEK 7</v>
      </c>
      <c r="F383" s="960" t="str">
        <f>'Weekly Scores'!C32</f>
        <v>GAME 1</v>
      </c>
      <c r="G383" s="961" t="str">
        <f>'Weekly Scores'!F32</f>
        <v>EAGLES</v>
      </c>
      <c r="H383" s="1568">
        <f>'Weekly Scores'!G32</f>
        <v>153.49</v>
      </c>
      <c r="I383" s="1569">
        <f>'Weekly Scores'!H32</f>
        <v>131.61</v>
      </c>
      <c r="J383" s="964" t="str">
        <f>'Weekly Scores'!I32</f>
        <v>YARDIES</v>
      </c>
      <c r="K383" s="965" t="str">
        <f t="shared" si="174"/>
        <v>EAGLES</v>
      </c>
      <c r="L383" s="966" t="str">
        <f t="shared" si="2"/>
        <v>YARDIES</v>
      </c>
      <c r="M383" s="967">
        <f t="array" ref="M383">IFERROR(IF(ABS(H383-I383)=0,Tie,ABS(H383-I383)),"UPCOMING")</f>
        <v>21.88</v>
      </c>
      <c r="N383" s="968">
        <f t="shared" si="3"/>
        <v>151</v>
      </c>
      <c r="O383" s="969">
        <f t="shared" si="4"/>
        <v>271</v>
      </c>
      <c r="P383" s="967">
        <f t="shared" si="5"/>
        <v>285.1</v>
      </c>
      <c r="Q383" s="968">
        <f t="shared" si="6"/>
        <v>336</v>
      </c>
      <c r="R383" s="967">
        <f t="shared" si="7"/>
        <v>243.5</v>
      </c>
      <c r="S383" s="968">
        <f t="shared" si="8"/>
        <v>274</v>
      </c>
      <c r="U383" s="13" t="str">
        <f>IFERROR(__xludf.DUMMYFUNCTION("IF($T383=""Y"",
  IFERROR(
    RANK.EQ($R383, FILTER($R:$R, $T:$T=""Y""), 1)
    + COUNTIFS($R:$R, $R383, $M:$M, ""&lt;""&amp;$M383, $T:$T, ""Y""),
    ""UPCOMING""
  ),
  ""NO REF""
)
"),"NO REF")</f>
        <v>NO REF</v>
      </c>
    </row>
    <row r="384" ht="15.75" customHeight="1">
      <c r="C384" s="13">
        <v>383.0</v>
      </c>
      <c r="D384" s="1629">
        <v>2025.0</v>
      </c>
      <c r="E384" s="217" t="str">
        <f>'Weekly Scores'!B33</f>
        <v>WEEK 7</v>
      </c>
      <c r="F384" s="960" t="str">
        <f>'Weekly Scores'!C33</f>
        <v>GAME 2</v>
      </c>
      <c r="G384" s="961" t="str">
        <f>'Weekly Scores'!F33</f>
        <v>CHAMPS</v>
      </c>
      <c r="H384" s="1568">
        <f>'Weekly Scores'!G33</f>
        <v>169.29</v>
      </c>
      <c r="I384" s="1569">
        <f>'Weekly Scores'!H33</f>
        <v>139.8</v>
      </c>
      <c r="J384" s="964" t="str">
        <f>'Weekly Scores'!I33</f>
        <v>METAMOOKDAWGS</v>
      </c>
      <c r="K384" s="965" t="str">
        <f t="shared" si="174"/>
        <v>CHAMPS</v>
      </c>
      <c r="L384" s="966" t="str">
        <f t="shared" si="2"/>
        <v>METAMOOKDAWGS</v>
      </c>
      <c r="M384" s="967">
        <f t="array" ref="M384">IFERROR(IF(ABS(H384-I384)=0,Tie,ABS(H384-I384)),"UPCOMING")</f>
        <v>29.49</v>
      </c>
      <c r="N384" s="968">
        <f t="shared" si="3"/>
        <v>194</v>
      </c>
      <c r="O384" s="969">
        <f t="shared" si="4"/>
        <v>228</v>
      </c>
      <c r="P384" s="967">
        <f t="shared" si="5"/>
        <v>309.09</v>
      </c>
      <c r="Q384" s="968">
        <f t="shared" si="6"/>
        <v>281</v>
      </c>
      <c r="R384" s="967">
        <f t="shared" si="7"/>
        <v>237.5</v>
      </c>
      <c r="S384" s="968">
        <f t="shared" si="8"/>
        <v>262</v>
      </c>
      <c r="U384" s="13" t="str">
        <f>IFERROR(__xludf.DUMMYFUNCTION("IF($T384=""Y"",
  IFERROR(
    RANK.EQ($R384, FILTER($R:$R, $T:$T=""Y""), 1)
    + COUNTIFS($R:$R, $R384, $M:$M, ""&lt;""&amp;$M384, $T:$T, ""Y""),
    ""UPCOMING""
  ),
  ""NO REF""
)
"),"NO REF")</f>
        <v>NO REF</v>
      </c>
    </row>
    <row r="385" ht="15.75" customHeight="1">
      <c r="C385" s="13">
        <v>384.0</v>
      </c>
      <c r="D385" s="1629">
        <v>2025.0</v>
      </c>
      <c r="E385" s="217" t="str">
        <f>'Weekly Scores'!B34</f>
        <v>WEEK 7</v>
      </c>
      <c r="F385" s="960" t="str">
        <f>'Weekly Scores'!C34</f>
        <v>GAME 3</v>
      </c>
      <c r="G385" s="961" t="str">
        <f>'Weekly Scores'!F34</f>
        <v>KINGS</v>
      </c>
      <c r="H385" s="1568">
        <f>'Weekly Scores'!G34</f>
        <v>206.24</v>
      </c>
      <c r="I385" s="1569">
        <f>'Weekly Scores'!H34</f>
        <v>156.92</v>
      </c>
      <c r="J385" s="964" t="str">
        <f>'Weekly Scores'!I34</f>
        <v>POPEYES</v>
      </c>
      <c r="K385" s="965" t="str">
        <f t="shared" si="174"/>
        <v>KINGS</v>
      </c>
      <c r="L385" s="966" t="str">
        <f t="shared" si="2"/>
        <v>POPEYES</v>
      </c>
      <c r="M385" s="967">
        <f t="array" ref="M385">IFERROR(IF(ABS(H385-I385)=0,Tie,ABS(H385-I385)),"UPCOMING")</f>
        <v>49.32</v>
      </c>
      <c r="N385" s="968">
        <f t="shared" si="3"/>
        <v>307</v>
      </c>
      <c r="O385" s="969">
        <f t="shared" si="4"/>
        <v>115</v>
      </c>
      <c r="P385" s="967">
        <f t="shared" si="5"/>
        <v>363.16</v>
      </c>
      <c r="Q385" s="968">
        <f t="shared" si="6"/>
        <v>132</v>
      </c>
      <c r="R385" s="967">
        <f t="shared" si="7"/>
        <v>219.5</v>
      </c>
      <c r="S385" s="968">
        <f t="shared" si="8"/>
        <v>231</v>
      </c>
      <c r="U385" s="13" t="str">
        <f>IFERROR(__xludf.DUMMYFUNCTION("IF($T385=""Y"",
  IFERROR(
    RANK.EQ($R385, FILTER($R:$R, $T:$T=""Y""), 1)
    + COUNTIFS($R:$R, $R385, $M:$M, ""&lt;""&amp;$M385, $T:$T, ""Y""),
    ""UPCOMING""
  ),
  ""NO REF""
)
"),"NO REF")</f>
        <v>NO REF</v>
      </c>
    </row>
    <row r="386" ht="15.75" customHeight="1">
      <c r="C386" s="13">
        <v>385.0</v>
      </c>
      <c r="D386" s="1629">
        <v>2025.0</v>
      </c>
      <c r="E386" s="217" t="str">
        <f>'Weekly Scores'!B35</f>
        <v>WEEK 7</v>
      </c>
      <c r="F386" s="960" t="str">
        <f>'Weekly Scores'!C35</f>
        <v>GAME 4</v>
      </c>
      <c r="G386" s="961" t="str">
        <f>'Weekly Scores'!F35</f>
        <v>DECOUPES</v>
      </c>
      <c r="H386" s="1568">
        <f>'Weekly Scores'!G35</f>
        <v>215.41</v>
      </c>
      <c r="I386" s="1569">
        <f>'Weekly Scores'!H35</f>
        <v>173.25</v>
      </c>
      <c r="J386" s="964" t="str">
        <f>'Weekly Scores'!I35</f>
        <v>MUTTS</v>
      </c>
      <c r="K386" s="965" t="str">
        <f t="shared" si="174"/>
        <v>DECOUPES</v>
      </c>
      <c r="L386" s="966" t="str">
        <f t="shared" si="2"/>
        <v>MUTTS</v>
      </c>
      <c r="M386" s="967">
        <f t="array" ref="M386">IFERROR(IF(ABS(H386-I386)=0,Tie,ABS(H386-I386)),"UPCOMING")</f>
        <v>42.16</v>
      </c>
      <c r="N386" s="968">
        <f t="shared" si="3"/>
        <v>268</v>
      </c>
      <c r="O386" s="969">
        <f t="shared" si="4"/>
        <v>154</v>
      </c>
      <c r="P386" s="967">
        <f t="shared" si="5"/>
        <v>388.66</v>
      </c>
      <c r="Q386" s="968">
        <f t="shared" si="6"/>
        <v>70</v>
      </c>
      <c r="R386" s="967">
        <f t="shared" si="7"/>
        <v>169</v>
      </c>
      <c r="S386" s="968">
        <f t="shared" si="8"/>
        <v>121</v>
      </c>
      <c r="U386" s="13" t="str">
        <f>IFERROR(__xludf.DUMMYFUNCTION("IF($T386=""Y"",
  IFERROR(
    RANK.EQ($R386, FILTER($R:$R, $T:$T=""Y""), 1)
    + COUNTIFS($R:$R, $R386, $M:$M, ""&lt;""&amp;$M386, $T:$T, ""Y""),
    ""UPCOMING""
  ),
  ""NO REF""
)
"),"NO REF")</f>
        <v>NO REF</v>
      </c>
    </row>
    <row r="387" ht="15.75" customHeight="1">
      <c r="C387" s="13">
        <v>386.0</v>
      </c>
      <c r="D387" s="1629">
        <v>2025.0</v>
      </c>
      <c r="E387" s="217" t="str">
        <f>'Weekly Scores'!B36</f>
        <v>WEEK 7</v>
      </c>
      <c r="F387" s="960" t="str">
        <f>'Weekly Scores'!C36</f>
        <v>GAME 5</v>
      </c>
      <c r="G387" s="961" t="str">
        <f>'Weekly Scores'!F36</f>
        <v>SAVAGES</v>
      </c>
      <c r="H387" s="1568">
        <f>'Weekly Scores'!G36</f>
        <v>163.44</v>
      </c>
      <c r="I387" s="1569">
        <f>'Weekly Scores'!H36</f>
        <v>216.6</v>
      </c>
      <c r="J387" s="964" t="str">
        <f>'Weekly Scores'!I36</f>
        <v>GREEN</v>
      </c>
      <c r="K387" s="965" t="str">
        <f t="shared" si="174"/>
        <v>GREEN</v>
      </c>
      <c r="L387" s="966" t="str">
        <f t="shared" si="2"/>
        <v>SAVAGES</v>
      </c>
      <c r="M387" s="967">
        <f t="array" ref="M387">IFERROR(IF(ABS(H387-I387)=0,Tie,ABS(H387-I387)),"UPCOMING")</f>
        <v>53.16</v>
      </c>
      <c r="N387" s="968">
        <f t="shared" si="3"/>
        <v>319</v>
      </c>
      <c r="O387" s="969">
        <f t="shared" si="4"/>
        <v>103</v>
      </c>
      <c r="P387" s="967">
        <f t="shared" si="5"/>
        <v>380.04</v>
      </c>
      <c r="Q387" s="968">
        <f t="shared" si="6"/>
        <v>95</v>
      </c>
      <c r="R387" s="967">
        <f t="shared" si="7"/>
        <v>207</v>
      </c>
      <c r="S387" s="968">
        <f t="shared" si="8"/>
        <v>199</v>
      </c>
      <c r="T387" s="18" t="s">
        <v>1783</v>
      </c>
      <c r="U387" s="13">
        <f>IFERROR(__xludf.DUMMYFUNCTION("IF($T387=""Y"",
  IFERROR(
    RANK.EQ($R387, FILTER($R:$R, $T:$T=""Y""), 1)
    + COUNTIFS($R:$R, $R387, $M:$M, ""&lt;""&amp;$M387, $T:$T, ""Y""),
    ""UPCOMING""
  ),
  ""NO REF""
)
"),36.0)</f>
        <v>36</v>
      </c>
    </row>
    <row r="388" ht="15.75" customHeight="1">
      <c r="C388" s="13">
        <v>387.0</v>
      </c>
      <c r="D388" s="1629">
        <v>2025.0</v>
      </c>
      <c r="E388" s="217" t="str">
        <f>'Weekly Scores'!B37</f>
        <v>WEEK 8</v>
      </c>
      <c r="F388" s="960" t="str">
        <f>'Weekly Scores'!C37</f>
        <v>GAME 1</v>
      </c>
      <c r="G388" s="961" t="str">
        <f>'Weekly Scores'!F37</f>
        <v>SAVAGES</v>
      </c>
      <c r="H388" s="1568">
        <f>'Weekly Scores'!G37</f>
        <v>123.41</v>
      </c>
      <c r="I388" s="1569">
        <f>'Weekly Scores'!H37</f>
        <v>165.17</v>
      </c>
      <c r="J388" s="964" t="str">
        <f>'Weekly Scores'!I37</f>
        <v>KINGS</v>
      </c>
      <c r="K388" s="965" t="str">
        <f t="shared" si="174"/>
        <v>KINGS</v>
      </c>
      <c r="L388" s="966" t="str">
        <f t="shared" si="2"/>
        <v>SAVAGES</v>
      </c>
      <c r="M388" s="967">
        <f t="array" ref="M388">IFERROR(IF(ABS(H388-I388)=0,Tie,ABS(H388-I388)),"UPCOMING")</f>
        <v>41.76</v>
      </c>
      <c r="N388" s="968">
        <f t="shared" si="3"/>
        <v>265</v>
      </c>
      <c r="O388" s="969">
        <f t="shared" si="4"/>
        <v>157</v>
      </c>
      <c r="P388" s="967">
        <f t="shared" si="5"/>
        <v>288.58</v>
      </c>
      <c r="Q388" s="968">
        <f t="shared" si="6"/>
        <v>332</v>
      </c>
      <c r="R388" s="967">
        <f t="shared" si="7"/>
        <v>298.5</v>
      </c>
      <c r="S388" s="968">
        <f t="shared" si="8"/>
        <v>358</v>
      </c>
      <c r="U388" s="13" t="str">
        <f>IFERROR(__xludf.DUMMYFUNCTION("IF($T388=""Y"",
  IFERROR(
    RANK.EQ($R388, FILTER($R:$R, $T:$T=""Y""), 1)
    + COUNTIFS($R:$R, $R388, $M:$M, ""&lt;""&amp;$M388, $T:$T, ""Y""),
    ""UPCOMING""
  ),
  ""NO REF""
)
"),"NO REF")</f>
        <v>NO REF</v>
      </c>
    </row>
    <row r="389" ht="15.75" customHeight="1">
      <c r="C389" s="13">
        <v>388.0</v>
      </c>
      <c r="D389" s="1629">
        <v>2025.0</v>
      </c>
      <c r="E389" s="217" t="str">
        <f>'Weekly Scores'!B38</f>
        <v>WEEK 8</v>
      </c>
      <c r="F389" s="960" t="str">
        <f>'Weekly Scores'!C38</f>
        <v>GAME 2</v>
      </c>
      <c r="G389" s="961" t="str">
        <f>'Weekly Scores'!F38</f>
        <v>GREEN</v>
      </c>
      <c r="H389" s="1568">
        <f>'Weekly Scores'!G38</f>
        <v>183.51</v>
      </c>
      <c r="I389" s="1569">
        <f>'Weekly Scores'!H38</f>
        <v>160.86</v>
      </c>
      <c r="J389" s="964" t="str">
        <f>'Weekly Scores'!I38</f>
        <v>DECOUPES</v>
      </c>
      <c r="K389" s="965" t="str">
        <f t="shared" si="174"/>
        <v>GREEN</v>
      </c>
      <c r="L389" s="966" t="str">
        <f t="shared" si="2"/>
        <v>DECOUPES</v>
      </c>
      <c r="M389" s="967">
        <f t="array" ref="M389">IFERROR(IF(ABS(H389-I389)=0,Tie,ABS(H389-I389)),"UPCOMING")</f>
        <v>22.65</v>
      </c>
      <c r="N389" s="968">
        <f t="shared" si="3"/>
        <v>160</v>
      </c>
      <c r="O389" s="969">
        <f t="shared" si="4"/>
        <v>262</v>
      </c>
      <c r="P389" s="967">
        <f t="shared" si="5"/>
        <v>344.37</v>
      </c>
      <c r="Q389" s="968">
        <f t="shared" si="6"/>
        <v>184</v>
      </c>
      <c r="R389" s="967">
        <f t="shared" si="7"/>
        <v>172</v>
      </c>
      <c r="S389" s="968">
        <f t="shared" si="8"/>
        <v>130</v>
      </c>
      <c r="T389" s="18" t="s">
        <v>1783</v>
      </c>
      <c r="U389" s="13">
        <f>IFERROR(__xludf.DUMMYFUNCTION("IF($T389=""Y"",
  IFERROR(
    RANK.EQ($R389, FILTER($R:$R, $T:$T=""Y""), 1)
    + COUNTIFS($R:$R, $R389, $M:$M, ""&lt;""&amp;$M389, $T:$T, ""Y""),
    ""UPCOMING""
  ),
  ""NO REF""
)
"),26.0)</f>
        <v>26</v>
      </c>
    </row>
    <row r="390" ht="15.75" customHeight="1">
      <c r="C390" s="13">
        <v>389.0</v>
      </c>
      <c r="D390" s="1629">
        <v>2025.0</v>
      </c>
      <c r="E390" s="217" t="str">
        <f>'Weekly Scores'!B39</f>
        <v>WEEK 8</v>
      </c>
      <c r="F390" s="960" t="str">
        <f>'Weekly Scores'!C39</f>
        <v>GAME 3</v>
      </c>
      <c r="G390" s="961" t="str">
        <f>'Weekly Scores'!F39</f>
        <v>YARDIES</v>
      </c>
      <c r="H390" s="1568">
        <f>'Weekly Scores'!G39</f>
        <v>204.31</v>
      </c>
      <c r="I390" s="1569">
        <f>'Weekly Scores'!H39</f>
        <v>175.97</v>
      </c>
      <c r="J390" s="964" t="str">
        <f>'Weekly Scores'!I39</f>
        <v>CHAMPS</v>
      </c>
      <c r="K390" s="965" t="str">
        <f t="shared" si="174"/>
        <v>YARDIES</v>
      </c>
      <c r="L390" s="966" t="str">
        <f t="shared" si="2"/>
        <v>CHAMPS</v>
      </c>
      <c r="M390" s="967">
        <f t="array" ref="M390">IFERROR(IF(ABS(H390-I390)=0,Tie,ABS(H390-I390)),"UPCOMING")</f>
        <v>28.34</v>
      </c>
      <c r="N390" s="968">
        <f t="shared" si="3"/>
        <v>190</v>
      </c>
      <c r="O390" s="969">
        <f t="shared" si="4"/>
        <v>232</v>
      </c>
      <c r="P390" s="967">
        <f t="shared" si="5"/>
        <v>380.28</v>
      </c>
      <c r="Q390" s="968">
        <f t="shared" si="6"/>
        <v>93</v>
      </c>
      <c r="R390" s="967">
        <f t="shared" si="7"/>
        <v>141.5</v>
      </c>
      <c r="S390" s="968">
        <f t="shared" si="8"/>
        <v>91</v>
      </c>
      <c r="U390" s="13" t="str">
        <f>IFERROR(__xludf.DUMMYFUNCTION("IF($T390=""Y"",
  IFERROR(
    RANK.EQ($R390, FILTER($R:$R, $T:$T=""Y""), 1)
    + COUNTIFS($R:$R, $R390, $M:$M, ""&lt;""&amp;$M390, $T:$T, ""Y""),
    ""UPCOMING""
  ),
  ""NO REF""
)
"),"NO REF")</f>
        <v>NO REF</v>
      </c>
    </row>
    <row r="391" ht="15.75" customHeight="1">
      <c r="C391" s="13">
        <v>390.0</v>
      </c>
      <c r="D391" s="1629">
        <v>2025.0</v>
      </c>
      <c r="E391" s="217" t="str">
        <f>'Weekly Scores'!B40</f>
        <v>WEEK 8</v>
      </c>
      <c r="F391" s="960" t="str">
        <f>'Weekly Scores'!C40</f>
        <v>GAME 4</v>
      </c>
      <c r="G391" s="961" t="str">
        <f>'Weekly Scores'!F40</f>
        <v>METAMOOKDAWGS</v>
      </c>
      <c r="H391" s="1568">
        <f>'Weekly Scores'!G40</f>
        <v>171.25</v>
      </c>
      <c r="I391" s="1569">
        <f>'Weekly Scores'!H40</f>
        <v>131.89</v>
      </c>
      <c r="J391" s="964" t="str">
        <f>'Weekly Scores'!I40</f>
        <v>MUTTS</v>
      </c>
      <c r="K391" s="965" t="str">
        <f t="shared" si="174"/>
        <v>METAMOOKDAWGS</v>
      </c>
      <c r="L391" s="966" t="str">
        <f t="shared" si="2"/>
        <v>MUTTS</v>
      </c>
      <c r="M391" s="967">
        <f t="array" ref="M391">IFERROR(IF(ABS(H391-I391)=0,Tie,ABS(H391-I391)),"UPCOMING")</f>
        <v>39.36</v>
      </c>
      <c r="N391" s="968">
        <f t="shared" si="3"/>
        <v>252</v>
      </c>
      <c r="O391" s="969">
        <f t="shared" si="4"/>
        <v>170</v>
      </c>
      <c r="P391" s="967">
        <f t="shared" si="5"/>
        <v>303.14</v>
      </c>
      <c r="Q391" s="968">
        <f t="shared" si="6"/>
        <v>298</v>
      </c>
      <c r="R391" s="967">
        <f t="shared" si="7"/>
        <v>275</v>
      </c>
      <c r="S391" s="968">
        <f t="shared" si="8"/>
        <v>321</v>
      </c>
      <c r="U391" s="13" t="str">
        <f>IFERROR(__xludf.DUMMYFUNCTION("IF($T391=""Y"",
  IFERROR(
    RANK.EQ($R391, FILTER($R:$R, $T:$T=""Y""), 1)
    + COUNTIFS($R:$R, $R391, $M:$M, ""&lt;""&amp;$M391, $T:$T, ""Y""),
    ""UPCOMING""
  ),
  ""NO REF""
)
"),"NO REF")</f>
        <v>NO REF</v>
      </c>
    </row>
    <row r="392" ht="15.75" customHeight="1">
      <c r="C392" s="13">
        <v>391.0</v>
      </c>
      <c r="D392" s="1629">
        <v>2025.0</v>
      </c>
      <c r="E392" s="217" t="str">
        <f>'Weekly Scores'!B41</f>
        <v>WEEK 8</v>
      </c>
      <c r="F392" s="960" t="str">
        <f>'Weekly Scores'!C41</f>
        <v>GAME 5</v>
      </c>
      <c r="G392" s="961" t="str">
        <f>'Weekly Scores'!F41</f>
        <v>EAGLES</v>
      </c>
      <c r="H392" s="1568">
        <f>'Weekly Scores'!G41</f>
        <v>169.16</v>
      </c>
      <c r="I392" s="1569">
        <f>'Weekly Scores'!H41</f>
        <v>114.52</v>
      </c>
      <c r="J392" s="964" t="str">
        <f>'Weekly Scores'!I41</f>
        <v>POPEYES</v>
      </c>
      <c r="K392" s="965" t="str">
        <f t="shared" si="174"/>
        <v>EAGLES</v>
      </c>
      <c r="L392" s="966" t="str">
        <f t="shared" si="2"/>
        <v>POPEYES</v>
      </c>
      <c r="M392" s="967">
        <f t="array" ref="M392">IFERROR(IF(ABS(H392-I392)=0,Tie,ABS(H392-I392)),"UPCOMING")</f>
        <v>54.64</v>
      </c>
      <c r="N392" s="968">
        <f t="shared" si="3"/>
        <v>327</v>
      </c>
      <c r="O392" s="969">
        <f t="shared" si="4"/>
        <v>97</v>
      </c>
      <c r="P392" s="967">
        <f t="shared" si="5"/>
        <v>283.68</v>
      </c>
      <c r="Q392" s="968">
        <f t="shared" si="6"/>
        <v>340</v>
      </c>
      <c r="R392" s="967">
        <f t="shared" si="7"/>
        <v>333.5</v>
      </c>
      <c r="S392" s="968">
        <f t="shared" si="8"/>
        <v>395</v>
      </c>
      <c r="U392" s="13" t="str">
        <f>IFERROR(__xludf.DUMMYFUNCTION("IF($T392=""Y"",
  IFERROR(
    RANK.EQ($R392, FILTER($R:$R, $T:$T=""Y""), 1)
    + COUNTIFS($R:$R, $R392, $M:$M, ""&lt;""&amp;$M392, $T:$T, ""Y""),
    ""UPCOMING""
  ),
  ""NO REF""
)
"),"NO REF")</f>
        <v>NO REF</v>
      </c>
    </row>
    <row r="393" ht="15.75" customHeight="1">
      <c r="C393" s="13">
        <v>392.0</v>
      </c>
      <c r="D393" s="1629">
        <v>2025.0</v>
      </c>
      <c r="E393" s="217" t="str">
        <f>'Weekly Scores'!B42</f>
        <v>WEEK 9</v>
      </c>
      <c r="F393" s="960" t="str">
        <f>'Weekly Scores'!C42</f>
        <v>GAME 1</v>
      </c>
      <c r="G393" s="961" t="str">
        <f>'Weekly Scores'!F42</f>
        <v>POPEYES</v>
      </c>
      <c r="H393" s="1568">
        <f>'Weekly Scores'!G42</f>
        <v>162.87</v>
      </c>
      <c r="I393" s="1569">
        <f>'Weekly Scores'!H42</f>
        <v>175.49</v>
      </c>
      <c r="J393" s="964" t="str">
        <f>'Weekly Scores'!I42</f>
        <v>GREEN</v>
      </c>
      <c r="K393" s="965" t="str">
        <f t="shared" si="174"/>
        <v>GREEN</v>
      </c>
      <c r="L393" s="966" t="str">
        <f t="shared" si="2"/>
        <v>POPEYES</v>
      </c>
      <c r="M393" s="967">
        <f t="array" ref="M393">IFERROR(IF(ABS(H393-I393)=0,Tie,ABS(H393-I393)),"UPCOMING")</f>
        <v>12.62</v>
      </c>
      <c r="N393" s="968">
        <f t="shared" si="3"/>
        <v>99</v>
      </c>
      <c r="O393" s="969">
        <f t="shared" si="4"/>
        <v>323</v>
      </c>
      <c r="P393" s="967">
        <f t="shared" si="5"/>
        <v>338.36</v>
      </c>
      <c r="Q393" s="968">
        <f t="shared" si="6"/>
        <v>194</v>
      </c>
      <c r="R393" s="967">
        <f t="shared" si="7"/>
        <v>146.5</v>
      </c>
      <c r="S393" s="968">
        <f t="shared" si="8"/>
        <v>97</v>
      </c>
      <c r="T393" s="18" t="s">
        <v>1783</v>
      </c>
      <c r="U393" s="13">
        <f>IFERROR(__xludf.DUMMYFUNCTION("IF($T393=""Y"",
  IFERROR(
    RANK.EQ($R393, FILTER($R:$R, $T:$T=""Y""), 1)
    + COUNTIFS($R:$R, $R393, $M:$M, ""&lt;""&amp;$M393, $T:$T, ""Y""),
    ""UPCOMING""
  ),
  ""NO REF""
)
"),15.0)</f>
        <v>15</v>
      </c>
    </row>
    <row r="394" ht="15.75" customHeight="1">
      <c r="C394" s="13">
        <v>393.0</v>
      </c>
      <c r="D394" s="1629">
        <v>2025.0</v>
      </c>
      <c r="E394" s="217" t="str">
        <f>'Weekly Scores'!B43</f>
        <v>WEEK 9</v>
      </c>
      <c r="F394" s="960" t="str">
        <f>'Weekly Scores'!C43</f>
        <v>GAME 2</v>
      </c>
      <c r="G394" s="961" t="str">
        <f>'Weekly Scores'!F43</f>
        <v>DECOUPES</v>
      </c>
      <c r="H394" s="1568">
        <f>'Weekly Scores'!G43</f>
        <v>131.48</v>
      </c>
      <c r="I394" s="1569">
        <f>'Weekly Scores'!H43</f>
        <v>192.42</v>
      </c>
      <c r="J394" s="964" t="str">
        <f>'Weekly Scores'!I43</f>
        <v>SAVAGES</v>
      </c>
      <c r="K394" s="965" t="str">
        <f t="shared" si="174"/>
        <v>SAVAGES</v>
      </c>
      <c r="L394" s="966" t="str">
        <f t="shared" si="2"/>
        <v>DECOUPES</v>
      </c>
      <c r="M394" s="967">
        <f t="array" ref="M394">IFERROR(IF(ABS(H394-I394)=0,Tie,ABS(H394-I394)),"UPCOMING")</f>
        <v>60.94</v>
      </c>
      <c r="N394" s="968">
        <f t="shared" si="3"/>
        <v>341</v>
      </c>
      <c r="O394" s="969">
        <f t="shared" si="4"/>
        <v>81</v>
      </c>
      <c r="P394" s="967">
        <f t="shared" si="5"/>
        <v>323.9</v>
      </c>
      <c r="Q394" s="968">
        <f t="shared" si="6"/>
        <v>236</v>
      </c>
      <c r="R394" s="967">
        <f t="shared" si="7"/>
        <v>288.5</v>
      </c>
      <c r="S394" s="968">
        <f t="shared" si="8"/>
        <v>346</v>
      </c>
      <c r="U394" s="13" t="str">
        <f>IFERROR(__xludf.DUMMYFUNCTION("IF($T394=""Y"",
  IFERROR(
    RANK.EQ($R394, FILTER($R:$R, $T:$T=""Y""), 1)
    + COUNTIFS($R:$R, $R394, $M:$M, ""&lt;""&amp;$M394, $T:$T, ""Y""),
    ""UPCOMING""
  ),
  ""NO REF""
)
"),"NO REF")</f>
        <v>NO REF</v>
      </c>
    </row>
    <row r="395" ht="15.75" customHeight="1">
      <c r="C395" s="13">
        <v>394.0</v>
      </c>
      <c r="D395" s="1629">
        <v>2025.0</v>
      </c>
      <c r="E395" s="217" t="str">
        <f>'Weekly Scores'!B44</f>
        <v>WEEK 9</v>
      </c>
      <c r="F395" s="960" t="str">
        <f>'Weekly Scores'!C44</f>
        <v>GAME 3</v>
      </c>
      <c r="G395" s="961" t="str">
        <f>'Weekly Scores'!F44</f>
        <v>EAGLES</v>
      </c>
      <c r="H395" s="1568">
        <f>'Weekly Scores'!G44</f>
        <v>109.13</v>
      </c>
      <c r="I395" s="1569">
        <f>'Weekly Scores'!H44</f>
        <v>150.66</v>
      </c>
      <c r="J395" s="964" t="str">
        <f>'Weekly Scores'!I44</f>
        <v>METAMOOKDAWGS</v>
      </c>
      <c r="K395" s="965" t="str">
        <f t="shared" si="174"/>
        <v>METAMOOKDAWGS</v>
      </c>
      <c r="L395" s="966" t="str">
        <f t="shared" si="2"/>
        <v>EAGLES</v>
      </c>
      <c r="M395" s="967">
        <f t="array" ref="M395">IFERROR(IF(ABS(H395-I395)=0,Tie,ABS(H395-I395)),"UPCOMING")</f>
        <v>41.53</v>
      </c>
      <c r="N395" s="968">
        <f t="shared" si="3"/>
        <v>262</v>
      </c>
      <c r="O395" s="969">
        <f t="shared" si="4"/>
        <v>162</v>
      </c>
      <c r="P395" s="967">
        <f t="shared" si="5"/>
        <v>259.79</v>
      </c>
      <c r="Q395" s="968">
        <f t="shared" si="6"/>
        <v>387</v>
      </c>
      <c r="R395" s="967">
        <f t="shared" si="7"/>
        <v>324.5</v>
      </c>
      <c r="S395" s="968">
        <f t="shared" si="8"/>
        <v>387</v>
      </c>
      <c r="U395" s="13" t="str">
        <f>IFERROR(__xludf.DUMMYFUNCTION("IF($T395=""Y"",
  IFERROR(
    RANK.EQ($R395, FILTER($R:$R, $T:$T=""Y""), 1)
    + COUNTIFS($R:$R, $R395, $M:$M, ""&lt;""&amp;$M395, $T:$T, ""Y""),
    ""UPCOMING""
  ),
  ""NO REF""
)
"),"NO REF")</f>
        <v>NO REF</v>
      </c>
    </row>
    <row r="396" ht="15.75" customHeight="1">
      <c r="C396" s="13">
        <v>395.0</v>
      </c>
      <c r="D396" s="1629">
        <v>2025.0</v>
      </c>
      <c r="E396" s="217" t="str">
        <f>'Weekly Scores'!B45</f>
        <v>WEEK 9</v>
      </c>
      <c r="F396" s="960" t="str">
        <f>'Weekly Scores'!C45</f>
        <v>GAME 4</v>
      </c>
      <c r="G396" s="961" t="str">
        <f>'Weekly Scores'!F45</f>
        <v>MUTTS</v>
      </c>
      <c r="H396" s="1568">
        <f>'Weekly Scores'!G45</f>
        <v>140.08</v>
      </c>
      <c r="I396" s="1569">
        <f>'Weekly Scores'!H45</f>
        <v>203.6</v>
      </c>
      <c r="J396" s="964" t="str">
        <f>'Weekly Scores'!I45</f>
        <v>CHAMPS</v>
      </c>
      <c r="K396" s="965" t="str">
        <f t="shared" si="174"/>
        <v>CHAMPS</v>
      </c>
      <c r="L396" s="966" t="str">
        <f t="shared" si="2"/>
        <v>MUTTS</v>
      </c>
      <c r="M396" s="967">
        <f t="array" ref="M396">IFERROR(IF(ABS(H396-I396)=0,Tie,ABS(H396-I396)),"UPCOMING")</f>
        <v>63.52</v>
      </c>
      <c r="N396" s="968">
        <f t="shared" si="3"/>
        <v>350</v>
      </c>
      <c r="O396" s="969">
        <f t="shared" si="4"/>
        <v>72</v>
      </c>
      <c r="P396" s="967">
        <f t="shared" si="5"/>
        <v>343.68</v>
      </c>
      <c r="Q396" s="968">
        <f t="shared" si="6"/>
        <v>185</v>
      </c>
      <c r="R396" s="967">
        <f t="shared" si="7"/>
        <v>267.5</v>
      </c>
      <c r="S396" s="968">
        <f t="shared" si="8"/>
        <v>313</v>
      </c>
      <c r="U396" s="13" t="str">
        <f>IFERROR(__xludf.DUMMYFUNCTION("IF($T396=""Y"",
  IFERROR(
    RANK.EQ($R396, FILTER($R:$R, $T:$T=""Y""), 1)
    + COUNTIFS($R:$R, $R396, $M:$M, ""&lt;""&amp;$M396, $T:$T, ""Y""),
    ""UPCOMING""
  ),
  ""NO REF""
)
"),"NO REF")</f>
        <v>NO REF</v>
      </c>
    </row>
    <row r="397" ht="15.75" customHeight="1">
      <c r="C397" s="13">
        <v>396.0</v>
      </c>
      <c r="D397" s="1629">
        <v>2025.0</v>
      </c>
      <c r="E397" s="217" t="str">
        <f>'Weekly Scores'!B46</f>
        <v>WEEK 9</v>
      </c>
      <c r="F397" s="960" t="str">
        <f>'Weekly Scores'!C46</f>
        <v>GAME 5</v>
      </c>
      <c r="G397" s="961" t="str">
        <f>'Weekly Scores'!F46</f>
        <v>YARDIES</v>
      </c>
      <c r="H397" s="1568">
        <f>'Weekly Scores'!G46</f>
        <v>166.25</v>
      </c>
      <c r="I397" s="1569">
        <f>'Weekly Scores'!H46</f>
        <v>142.6</v>
      </c>
      <c r="J397" s="964" t="str">
        <f>'Weekly Scores'!I46</f>
        <v>KINGS</v>
      </c>
      <c r="K397" s="965" t="str">
        <f t="shared" si="174"/>
        <v>YARDIES</v>
      </c>
      <c r="L397" s="966" t="str">
        <f t="shared" si="2"/>
        <v>KINGS</v>
      </c>
      <c r="M397" s="967">
        <f t="array" ref="M397">IFERROR(IF(ABS(H397-I397)=0,Tie,ABS(H397-I397)),"UPCOMING")</f>
        <v>23.65</v>
      </c>
      <c r="N397" s="968">
        <f t="shared" si="3"/>
        <v>167</v>
      </c>
      <c r="O397" s="969">
        <f t="shared" si="4"/>
        <v>255</v>
      </c>
      <c r="P397" s="967">
        <f t="shared" si="5"/>
        <v>308.85</v>
      </c>
      <c r="Q397" s="968">
        <f t="shared" si="6"/>
        <v>282</v>
      </c>
      <c r="R397" s="967">
        <f t="shared" si="7"/>
        <v>224.5</v>
      </c>
      <c r="S397" s="968">
        <f t="shared" si="8"/>
        <v>238</v>
      </c>
      <c r="U397" s="13" t="str">
        <f>IFERROR(__xludf.DUMMYFUNCTION("IF($T397=""Y"",
  IFERROR(
    RANK.EQ($R397, FILTER($R:$R, $T:$T=""Y""), 1)
    + COUNTIFS($R:$R, $R397, $M:$M, ""&lt;""&amp;$M397, $T:$T, ""Y""),
    ""UPCOMING""
  ),
  ""NO REF""
)
"),"NO REF")</f>
        <v>NO REF</v>
      </c>
    </row>
    <row r="398" ht="15.75" customHeight="1">
      <c r="C398" s="13">
        <v>397.0</v>
      </c>
      <c r="D398" s="1629">
        <v>2025.0</v>
      </c>
      <c r="E398" s="217" t="str">
        <f>'Weekly Scores'!B47</f>
        <v>WEEK 10</v>
      </c>
      <c r="F398" s="960" t="str">
        <f>'Weekly Scores'!C47</f>
        <v>GAME 1</v>
      </c>
      <c r="G398" s="961" t="str">
        <f>'Weekly Scores'!F47</f>
        <v>KINGS</v>
      </c>
      <c r="H398" s="1568">
        <f>'Weekly Scores'!G47</f>
        <v>105.98</v>
      </c>
      <c r="I398" s="1569">
        <f>'Weekly Scores'!H47</f>
        <v>167.97</v>
      </c>
      <c r="J398" s="964" t="str">
        <f>'Weekly Scores'!I47</f>
        <v>CHAMPS</v>
      </c>
      <c r="K398" s="965" t="str">
        <f t="shared" si="174"/>
        <v>CHAMPS</v>
      </c>
      <c r="L398" s="966" t="str">
        <f t="shared" si="2"/>
        <v>KINGS</v>
      </c>
      <c r="M398" s="967">
        <f t="array" ref="M398">IFERROR(IF(ABS(H398-I398)=0,Tie,ABS(H398-I398)),"UPCOMING")</f>
        <v>61.99</v>
      </c>
      <c r="N398" s="968">
        <f t="shared" si="3"/>
        <v>344</v>
      </c>
      <c r="O398" s="969">
        <f t="shared" si="4"/>
        <v>78</v>
      </c>
      <c r="P398" s="967">
        <f t="shared" si="5"/>
        <v>273.95</v>
      </c>
      <c r="Q398" s="968">
        <f t="shared" si="6"/>
        <v>367</v>
      </c>
      <c r="R398" s="967">
        <f t="shared" si="7"/>
        <v>355.5</v>
      </c>
      <c r="S398" s="968">
        <f t="shared" si="8"/>
        <v>409</v>
      </c>
      <c r="U398" s="13" t="str">
        <f>IFERROR(__xludf.DUMMYFUNCTION("IF($T398=""Y"",
  IFERROR(
    RANK.EQ($R398, FILTER($R:$R, $T:$T=""Y""), 1)
    + COUNTIFS($R:$R, $R398, $M:$M, ""&lt;""&amp;$M398, $T:$T, ""Y""),
    ""UPCOMING""
  ),
  ""NO REF""
)
"),"NO REF")</f>
        <v>NO REF</v>
      </c>
    </row>
    <row r="399" ht="15.75" customHeight="1">
      <c r="C399" s="13">
        <v>398.0</v>
      </c>
      <c r="D399" s="1629">
        <v>2025.0</v>
      </c>
      <c r="E399" s="217" t="str">
        <f>'Weekly Scores'!B48</f>
        <v>WEEK 10</v>
      </c>
      <c r="F399" s="960" t="str">
        <f>'Weekly Scores'!C48</f>
        <v>GAME 2</v>
      </c>
      <c r="G399" s="961" t="str">
        <f>'Weekly Scores'!F48</f>
        <v>POPEYES</v>
      </c>
      <c r="H399" s="1568">
        <f>'Weekly Scores'!G48</f>
        <v>202.13</v>
      </c>
      <c r="I399" s="1569">
        <f>'Weekly Scores'!H48</f>
        <v>177.99</v>
      </c>
      <c r="J399" s="964" t="str">
        <f>'Weekly Scores'!I48</f>
        <v>YARDIES</v>
      </c>
      <c r="K399" s="965" t="str">
        <f t="shared" si="174"/>
        <v>POPEYES</v>
      </c>
      <c r="L399" s="966" t="str">
        <f t="shared" si="2"/>
        <v>YARDIES</v>
      </c>
      <c r="M399" s="967">
        <f t="array" ref="M399">IFERROR(IF(ABS(H399-I399)=0,Tie,ABS(H399-I399)),"UPCOMING")</f>
        <v>24.14</v>
      </c>
      <c r="N399" s="968">
        <f t="shared" si="3"/>
        <v>169</v>
      </c>
      <c r="O399" s="969">
        <f t="shared" si="4"/>
        <v>253</v>
      </c>
      <c r="P399" s="967">
        <f t="shared" si="5"/>
        <v>380.12</v>
      </c>
      <c r="Q399" s="968">
        <f t="shared" si="6"/>
        <v>94</v>
      </c>
      <c r="R399" s="967">
        <f t="shared" si="7"/>
        <v>131.5</v>
      </c>
      <c r="S399" s="968">
        <f t="shared" si="8"/>
        <v>74</v>
      </c>
      <c r="T399" s="18" t="s">
        <v>1783</v>
      </c>
      <c r="U399" s="13">
        <f>IFERROR(__xludf.DUMMYFUNCTION("IF($T399=""Y"",
  IFERROR(
    RANK.EQ($R399, FILTER($R:$R, $T:$T=""Y""), 1)
    + COUNTIFS($R:$R, $R399, $M:$M, ""&lt;""&amp;$M399, $T:$T, ""Y""),
    ""UPCOMING""
  ),
  ""NO REF""
)
"),11.0)</f>
        <v>11</v>
      </c>
    </row>
    <row r="400" ht="15.75" customHeight="1">
      <c r="C400" s="13">
        <v>399.0</v>
      </c>
      <c r="D400" s="1629">
        <v>2025.0</v>
      </c>
      <c r="E400" s="217" t="str">
        <f>'Weekly Scores'!B49</f>
        <v>WEEK 10</v>
      </c>
      <c r="F400" s="960" t="str">
        <f>'Weekly Scores'!C49</f>
        <v>GAME 3</v>
      </c>
      <c r="G400" s="961" t="str">
        <f>'Weekly Scores'!F49</f>
        <v>DECOUPES</v>
      </c>
      <c r="H400" s="1568">
        <f>'Weekly Scores'!G49</f>
        <v>160.58</v>
      </c>
      <c r="I400" s="1569">
        <f>'Weekly Scores'!H49</f>
        <v>151.36</v>
      </c>
      <c r="J400" s="964" t="str">
        <f>'Weekly Scores'!I49</f>
        <v>EAGLES</v>
      </c>
      <c r="K400" s="965" t="str">
        <f t="shared" si="174"/>
        <v>DECOUPES</v>
      </c>
      <c r="L400" s="966" t="str">
        <f t="shared" si="2"/>
        <v>EAGLES</v>
      </c>
      <c r="M400" s="967">
        <f t="array" ref="M400">IFERROR(IF(ABS(H400-I400)=0,Tie,ABS(H400-I400)),"UPCOMING")</f>
        <v>9.22</v>
      </c>
      <c r="N400" s="968">
        <f t="shared" si="3"/>
        <v>70</v>
      </c>
      <c r="O400" s="969">
        <f t="shared" si="4"/>
        <v>352</v>
      </c>
      <c r="P400" s="967">
        <f t="shared" si="5"/>
        <v>311.94</v>
      </c>
      <c r="Q400" s="968">
        <f t="shared" si="6"/>
        <v>273</v>
      </c>
      <c r="R400" s="967">
        <f t="shared" si="7"/>
        <v>171.5</v>
      </c>
      <c r="S400" s="968">
        <f t="shared" si="8"/>
        <v>127</v>
      </c>
      <c r="U400" s="13" t="str">
        <f>IFERROR(__xludf.DUMMYFUNCTION("IF($T400=""Y"",
  IFERROR(
    RANK.EQ($R400, FILTER($R:$R, $T:$T=""Y""), 1)
    + COUNTIFS($R:$R, $R400, $M:$M, ""&lt;""&amp;$M400, $T:$T, ""Y""),
    ""UPCOMING""
  ),
  ""NO REF""
)
"),"NO REF")</f>
        <v>NO REF</v>
      </c>
    </row>
    <row r="401" ht="15.75" customHeight="1">
      <c r="C401" s="13">
        <v>400.0</v>
      </c>
      <c r="D401" s="1629">
        <v>2025.0</v>
      </c>
      <c r="E401" s="217" t="str">
        <f>'Weekly Scores'!B50</f>
        <v>WEEK 10</v>
      </c>
      <c r="F401" s="960" t="str">
        <f>'Weekly Scores'!C50</f>
        <v>GAME 4</v>
      </c>
      <c r="G401" s="961" t="str">
        <f>'Weekly Scores'!F50</f>
        <v>GREEN</v>
      </c>
      <c r="H401" s="1568">
        <f>'Weekly Scores'!G50</f>
        <v>203.56</v>
      </c>
      <c r="I401" s="1569">
        <f>'Weekly Scores'!H50</f>
        <v>165.52</v>
      </c>
      <c r="J401" s="964" t="str">
        <f>'Weekly Scores'!I50</f>
        <v>METAMOOKDAWGS</v>
      </c>
      <c r="K401" s="965" t="str">
        <f t="shared" si="174"/>
        <v>GREEN</v>
      </c>
      <c r="L401" s="966" t="str">
        <f t="shared" si="2"/>
        <v>METAMOOKDAWGS</v>
      </c>
      <c r="M401" s="967">
        <f t="array" ref="M401">IFERROR(IF(ABS(H401-I401)=0,Tie,ABS(H401-I401)),"UPCOMING")</f>
        <v>38.04</v>
      </c>
      <c r="N401" s="968">
        <f t="shared" si="3"/>
        <v>246</v>
      </c>
      <c r="O401" s="969">
        <f t="shared" si="4"/>
        <v>176</v>
      </c>
      <c r="P401" s="967">
        <f t="shared" si="5"/>
        <v>369.08</v>
      </c>
      <c r="Q401" s="968">
        <f t="shared" si="6"/>
        <v>117</v>
      </c>
      <c r="R401" s="967">
        <f t="shared" si="7"/>
        <v>181.5</v>
      </c>
      <c r="S401" s="968">
        <f t="shared" si="8"/>
        <v>147</v>
      </c>
      <c r="U401" s="13" t="str">
        <f>IFERROR(__xludf.DUMMYFUNCTION("IF($T401=""Y"",
  IFERROR(
    RANK.EQ($R401, FILTER($R:$R, $T:$T=""Y""), 1)
    + COUNTIFS($R:$R, $R401, $M:$M, ""&lt;""&amp;$M401, $T:$T, ""Y""),
    ""UPCOMING""
  ),
  ""NO REF""
)
"),"NO REF")</f>
        <v>NO REF</v>
      </c>
    </row>
    <row r="402" ht="15.75" customHeight="1">
      <c r="C402" s="13">
        <v>401.0</v>
      </c>
      <c r="D402" s="1629">
        <v>2025.0</v>
      </c>
      <c r="E402" s="217" t="str">
        <f>'Weekly Scores'!B51</f>
        <v>WEEK 10</v>
      </c>
      <c r="F402" s="960" t="str">
        <f>'Weekly Scores'!C51</f>
        <v>GAME 5</v>
      </c>
      <c r="G402" s="961" t="str">
        <f>'Weekly Scores'!F51</f>
        <v>SAVAGES</v>
      </c>
      <c r="H402" s="1568">
        <f>'Weekly Scores'!G51</f>
        <v>156.44</v>
      </c>
      <c r="I402" s="1569">
        <f>'Weekly Scores'!H51</f>
        <v>156.64</v>
      </c>
      <c r="J402" s="964" t="str">
        <f>'Weekly Scores'!I51</f>
        <v>MUTTS</v>
      </c>
      <c r="K402" s="965" t="str">
        <f t="shared" si="174"/>
        <v>MUTTS</v>
      </c>
      <c r="L402" s="966" t="str">
        <f t="shared" si="2"/>
        <v>SAVAGES</v>
      </c>
      <c r="M402" s="967">
        <f t="array" ref="M402">IFERROR(IF(ABS(H402-I402)=0,Tie,ABS(H402-I402)),"UPCOMING")</f>
        <v>0.2</v>
      </c>
      <c r="N402" s="968">
        <f t="shared" si="3"/>
        <v>4</v>
      </c>
      <c r="O402" s="969">
        <f t="shared" si="4"/>
        <v>417</v>
      </c>
      <c r="P402" s="967">
        <f t="shared" si="5"/>
        <v>313.08</v>
      </c>
      <c r="Q402" s="968">
        <f t="shared" si="6"/>
        <v>268</v>
      </c>
      <c r="R402" s="967">
        <f t="shared" si="7"/>
        <v>136</v>
      </c>
      <c r="S402" s="968">
        <f t="shared" si="8"/>
        <v>80</v>
      </c>
      <c r="U402" s="13" t="str">
        <f>IFERROR(__xludf.DUMMYFUNCTION("IF($T402=""Y"",
  IFERROR(
    RANK.EQ($R402, FILTER($R:$R, $T:$T=""Y""), 1)
    + COUNTIFS($R:$R, $R402, $M:$M, ""&lt;""&amp;$M402, $T:$T, ""Y""),
    ""UPCOMING""
  ),
  ""NO REF""
)
"),"NO REF")</f>
        <v>NO REF</v>
      </c>
    </row>
    <row r="403" ht="15.75" customHeight="1">
      <c r="C403" s="13">
        <v>402.0</v>
      </c>
      <c r="D403" s="1629">
        <v>2025.0</v>
      </c>
      <c r="E403" s="217" t="str">
        <f>'Weekly Scores'!B52</f>
        <v>WEEK 11</v>
      </c>
      <c r="F403" s="960" t="str">
        <f>'Weekly Scores'!C52</f>
        <v>GAME 1</v>
      </c>
      <c r="G403" s="961" t="str">
        <f>'Weekly Scores'!F52</f>
        <v>EAGLES</v>
      </c>
      <c r="H403" s="1568">
        <f>'Weekly Scores'!G52</f>
        <v>216.31</v>
      </c>
      <c r="I403" s="1569">
        <f>'Weekly Scores'!H52</f>
        <v>149.76</v>
      </c>
      <c r="J403" s="964" t="str">
        <f>'Weekly Scores'!I52</f>
        <v>KINGS</v>
      </c>
      <c r="K403" s="965" t="str">
        <f t="shared" si="174"/>
        <v>EAGLES</v>
      </c>
      <c r="L403" s="966" t="str">
        <f t="shared" si="2"/>
        <v>KINGS</v>
      </c>
      <c r="M403" s="967">
        <f t="array" ref="M403">IFERROR(IF(ABS(H403-I403)=0,Tie,ABS(H403-I403)),"UPCOMING")</f>
        <v>66.55</v>
      </c>
      <c r="N403" s="968">
        <f t="shared" si="3"/>
        <v>358</v>
      </c>
      <c r="O403" s="969">
        <f t="shared" si="4"/>
        <v>64</v>
      </c>
      <c r="P403" s="967">
        <f t="shared" si="5"/>
        <v>366.07</v>
      </c>
      <c r="Q403" s="968">
        <f t="shared" si="6"/>
        <v>123</v>
      </c>
      <c r="R403" s="967">
        <f t="shared" si="7"/>
        <v>240.5</v>
      </c>
      <c r="S403" s="968">
        <f t="shared" si="8"/>
        <v>270</v>
      </c>
      <c r="T403" s="18" t="s">
        <v>1783</v>
      </c>
      <c r="U403" s="13">
        <f>IFERROR(__xludf.DUMMYFUNCTION("IF($T403=""Y"",
  IFERROR(
    RANK.EQ($R403, FILTER($R:$R, $T:$T=""Y""), 1)
    + COUNTIFS($R:$R, $R403, $M:$M, ""&lt;""&amp;$M403, $T:$T, ""Y""),
    ""UPCOMING""
  ),
  ""NO REF""
)
"),45.0)</f>
        <v>45</v>
      </c>
    </row>
    <row r="404" ht="15.75" customHeight="1">
      <c r="C404" s="13">
        <v>403.0</v>
      </c>
      <c r="D404" s="1629">
        <v>2025.0</v>
      </c>
      <c r="E404" s="217" t="str">
        <f>'Weekly Scores'!B53</f>
        <v>WEEK 11</v>
      </c>
      <c r="F404" s="960" t="str">
        <f>'Weekly Scores'!C53</f>
        <v>GAME 2</v>
      </c>
      <c r="G404" s="961" t="str">
        <f>'Weekly Scores'!F53</f>
        <v>METAMOOKDAWGS</v>
      </c>
      <c r="H404" s="1568">
        <f>'Weekly Scores'!G53</f>
        <v>154.98</v>
      </c>
      <c r="I404" s="1569">
        <f>'Weekly Scores'!H53</f>
        <v>169.09</v>
      </c>
      <c r="J404" s="964" t="str">
        <f>'Weekly Scores'!I53</f>
        <v>POPEYES</v>
      </c>
      <c r="K404" s="965" t="str">
        <f t="shared" si="174"/>
        <v>POPEYES</v>
      </c>
      <c r="L404" s="966" t="str">
        <f t="shared" si="2"/>
        <v>METAMOOKDAWGS</v>
      </c>
      <c r="M404" s="967">
        <f t="array" ref="M404">IFERROR(IF(ABS(H404-I404)=0,Tie,ABS(H404-I404)),"UPCOMING")</f>
        <v>14.11</v>
      </c>
      <c r="N404" s="968">
        <f t="shared" si="3"/>
        <v>107</v>
      </c>
      <c r="O404" s="969">
        <f t="shared" si="4"/>
        <v>315</v>
      </c>
      <c r="P404" s="967">
        <f t="shared" si="5"/>
        <v>324.07</v>
      </c>
      <c r="Q404" s="968">
        <f t="shared" si="6"/>
        <v>235</v>
      </c>
      <c r="R404" s="967">
        <f t="shared" si="7"/>
        <v>171</v>
      </c>
      <c r="S404" s="968">
        <f t="shared" si="8"/>
        <v>124</v>
      </c>
      <c r="U404" s="13" t="str">
        <f>IFERROR(__xludf.DUMMYFUNCTION("IF($T404=""Y"",
  IFERROR(
    RANK.EQ($R404, FILTER($R:$R, $T:$T=""Y""), 1)
    + COUNTIFS($R:$R, $R404, $M:$M, ""&lt;""&amp;$M404, $T:$T, ""Y""),
    ""UPCOMING""
  ),
  ""NO REF""
)
"),"NO REF")</f>
        <v>NO REF</v>
      </c>
    </row>
    <row r="405" ht="15.75" customHeight="1">
      <c r="C405" s="13">
        <v>404.0</v>
      </c>
      <c r="D405" s="1629">
        <v>2025.0</v>
      </c>
      <c r="E405" s="217" t="str">
        <f>'Weekly Scores'!B54</f>
        <v>WEEK 11</v>
      </c>
      <c r="F405" s="960" t="str">
        <f>'Weekly Scores'!C54</f>
        <v>GAME 3</v>
      </c>
      <c r="G405" s="961" t="str">
        <f>'Weekly Scores'!F54</f>
        <v>MUTTS</v>
      </c>
      <c r="H405" s="1568">
        <f>'Weekly Scores'!G54</f>
        <v>126.67</v>
      </c>
      <c r="I405" s="1569">
        <f>'Weekly Scores'!H54</f>
        <v>169.31</v>
      </c>
      <c r="J405" s="964" t="str">
        <f>'Weekly Scores'!I54</f>
        <v>DECOUPES</v>
      </c>
      <c r="K405" s="965" t="str">
        <f t="shared" si="174"/>
        <v>DECOUPES</v>
      </c>
      <c r="L405" s="966" t="str">
        <f t="shared" si="2"/>
        <v>MUTTS</v>
      </c>
      <c r="M405" s="967">
        <f t="array" ref="M405">IFERROR(IF(ABS(H405-I405)=0,Tie,ABS(H405-I405)),"UPCOMING")</f>
        <v>42.64</v>
      </c>
      <c r="N405" s="968">
        <f t="shared" si="3"/>
        <v>270</v>
      </c>
      <c r="O405" s="969">
        <f t="shared" si="4"/>
        <v>152</v>
      </c>
      <c r="P405" s="967">
        <f t="shared" si="5"/>
        <v>295.98</v>
      </c>
      <c r="Q405" s="968">
        <f t="shared" si="6"/>
        <v>318</v>
      </c>
      <c r="R405" s="967">
        <f t="shared" si="7"/>
        <v>294</v>
      </c>
      <c r="S405" s="968">
        <f t="shared" si="8"/>
        <v>351</v>
      </c>
      <c r="U405" s="13" t="str">
        <f>IFERROR(__xludf.DUMMYFUNCTION("IF($T405=""Y"",
  IFERROR(
    RANK.EQ($R405, FILTER($R:$R, $T:$T=""Y""), 1)
    + COUNTIFS($R:$R, $R405, $M:$M, ""&lt;""&amp;$M405, $T:$T, ""Y""),
    ""UPCOMING""
  ),
  ""NO REF""
)
"),"NO REF")</f>
        <v>NO REF</v>
      </c>
    </row>
    <row r="406" ht="15.75" customHeight="1">
      <c r="C406" s="13">
        <v>405.0</v>
      </c>
      <c r="D406" s="1629">
        <v>2025.0</v>
      </c>
      <c r="E406" s="217" t="str">
        <f>'Weekly Scores'!B55</f>
        <v>WEEK 11</v>
      </c>
      <c r="F406" s="960" t="str">
        <f>'Weekly Scores'!C55</f>
        <v>GAME 4</v>
      </c>
      <c r="G406" s="961" t="str">
        <f>'Weekly Scores'!F55</f>
        <v>CHAMPS</v>
      </c>
      <c r="H406" s="1568">
        <f>'Weekly Scores'!G55</f>
        <v>118.22</v>
      </c>
      <c r="I406" s="1569">
        <f>'Weekly Scores'!H55</f>
        <v>164.25</v>
      </c>
      <c r="J406" s="964" t="str">
        <f>'Weekly Scores'!I55</f>
        <v>GREEN</v>
      </c>
      <c r="K406" s="965" t="str">
        <f t="shared" si="174"/>
        <v>GREEN</v>
      </c>
      <c r="L406" s="966" t="str">
        <f t="shared" si="2"/>
        <v>CHAMPS</v>
      </c>
      <c r="M406" s="967">
        <f t="array" ref="M406">IFERROR(IF(ABS(H406-I406)=0,Tie,ABS(H406-I406)),"UPCOMING")</f>
        <v>46.03</v>
      </c>
      <c r="N406" s="968">
        <f t="shared" si="3"/>
        <v>289</v>
      </c>
      <c r="O406" s="969">
        <f t="shared" si="4"/>
        <v>133</v>
      </c>
      <c r="P406" s="967">
        <f t="shared" si="5"/>
        <v>282.47</v>
      </c>
      <c r="Q406" s="968">
        <f t="shared" si="6"/>
        <v>344</v>
      </c>
      <c r="R406" s="967">
        <f t="shared" si="7"/>
        <v>316.5</v>
      </c>
      <c r="S406" s="968">
        <f t="shared" si="8"/>
        <v>377</v>
      </c>
      <c r="U406" s="13" t="str">
        <f>IFERROR(__xludf.DUMMYFUNCTION("IF($T406=""Y"",
  IFERROR(
    RANK.EQ($R406, FILTER($R:$R, $T:$T=""Y""), 1)
    + COUNTIFS($R:$R, $R406, $M:$M, ""&lt;""&amp;$M406, $T:$T, ""Y""),
    ""UPCOMING""
  ),
  ""NO REF""
)
"),"NO REF")</f>
        <v>NO REF</v>
      </c>
    </row>
    <row r="407" ht="15.75" customHeight="1">
      <c r="C407" s="13">
        <v>406.0</v>
      </c>
      <c r="D407" s="1629">
        <v>2025.0</v>
      </c>
      <c r="E407" s="217" t="str">
        <f>'Weekly Scores'!B56</f>
        <v>WEEK 11</v>
      </c>
      <c r="F407" s="960" t="str">
        <f>'Weekly Scores'!C56</f>
        <v>GAME 5</v>
      </c>
      <c r="G407" s="961" t="str">
        <f>'Weekly Scores'!F56</f>
        <v>YARDIES</v>
      </c>
      <c r="H407" s="1568">
        <f>'Weekly Scores'!G56</f>
        <v>139.71</v>
      </c>
      <c r="I407" s="1569">
        <f>'Weekly Scores'!H56</f>
        <v>130.98</v>
      </c>
      <c r="J407" s="964" t="str">
        <f>'Weekly Scores'!I56</f>
        <v>SAVAGES</v>
      </c>
      <c r="K407" s="965" t="str">
        <f t="shared" si="174"/>
        <v>YARDIES</v>
      </c>
      <c r="L407" s="966" t="str">
        <f t="shared" si="2"/>
        <v>SAVAGES</v>
      </c>
      <c r="M407" s="967">
        <f t="array" ref="M407">IFERROR(IF(ABS(H407-I407)=0,Tie,ABS(H407-I407)),"UPCOMING")</f>
        <v>8.73</v>
      </c>
      <c r="N407" s="968">
        <f t="shared" si="3"/>
        <v>65</v>
      </c>
      <c r="O407" s="969">
        <f t="shared" si="4"/>
        <v>357</v>
      </c>
      <c r="P407" s="967">
        <f t="shared" si="5"/>
        <v>270.69</v>
      </c>
      <c r="Q407" s="968">
        <f t="shared" si="6"/>
        <v>373</v>
      </c>
      <c r="R407" s="967">
        <f t="shared" si="7"/>
        <v>219</v>
      </c>
      <c r="S407" s="968">
        <f t="shared" si="8"/>
        <v>227</v>
      </c>
      <c r="U407" s="13" t="str">
        <f>IFERROR(__xludf.DUMMYFUNCTION("IF($T407=""Y"",
  IFERROR(
    RANK.EQ($R407, FILTER($R:$R, $T:$T=""Y""), 1)
    + COUNTIFS($R:$R, $R407, $M:$M, ""&lt;""&amp;$M407, $T:$T, ""Y""),
    ""UPCOMING""
  ),
  ""NO REF""
)
"),"NO REF")</f>
        <v>NO REF</v>
      </c>
    </row>
    <row r="408" ht="15.75" customHeight="1">
      <c r="C408" s="13">
        <v>407.0</v>
      </c>
      <c r="D408" s="1629">
        <v>2025.0</v>
      </c>
      <c r="E408" s="217" t="str">
        <f>'Weekly Scores'!B57</f>
        <v>WEEK 12</v>
      </c>
      <c r="F408" s="960" t="str">
        <f>'Weekly Scores'!C57</f>
        <v>GAME 1</v>
      </c>
      <c r="G408" s="961" t="str">
        <f>'Weekly Scores'!F57</f>
        <v>KINGS</v>
      </c>
      <c r="H408" s="1568">
        <f>'Weekly Scores'!G57</f>
        <v>181.23</v>
      </c>
      <c r="I408" s="1569">
        <f>'Weekly Scores'!H57</f>
        <v>132.31</v>
      </c>
      <c r="J408" s="964" t="str">
        <f>'Weekly Scores'!I57</f>
        <v>SAVAGES</v>
      </c>
      <c r="K408" s="965" t="str">
        <f t="shared" si="174"/>
        <v>KINGS</v>
      </c>
      <c r="L408" s="966" t="str">
        <f t="shared" si="2"/>
        <v>SAVAGES</v>
      </c>
      <c r="M408" s="967">
        <f t="array" ref="M408">IFERROR(IF(ABS(H408-I408)=0,Tie,ABS(H408-I408)),"UPCOMING")</f>
        <v>48.92</v>
      </c>
      <c r="N408" s="968">
        <f t="shared" si="3"/>
        <v>304</v>
      </c>
      <c r="O408" s="969">
        <f t="shared" si="4"/>
        <v>118</v>
      </c>
      <c r="P408" s="967">
        <f t="shared" si="5"/>
        <v>313.54</v>
      </c>
      <c r="Q408" s="968">
        <f t="shared" si="6"/>
        <v>267</v>
      </c>
      <c r="R408" s="967">
        <f t="shared" si="7"/>
        <v>285.5</v>
      </c>
      <c r="S408" s="968">
        <f t="shared" si="8"/>
        <v>339</v>
      </c>
      <c r="U408" s="13" t="str">
        <f>IFERROR(__xludf.DUMMYFUNCTION("IF($T408=""Y"",
  IFERROR(
    RANK.EQ($R408, FILTER($R:$R, $T:$T=""Y""), 1)
    + COUNTIFS($R:$R, $R408, $M:$M, ""&lt;""&amp;$M408, $T:$T, ""Y""),
    ""UPCOMING""
  ),
  ""NO REF""
)
"),"NO REF")</f>
        <v>NO REF</v>
      </c>
    </row>
    <row r="409" ht="15.75" customHeight="1">
      <c r="C409" s="13">
        <v>408.0</v>
      </c>
      <c r="D409" s="1629">
        <v>2025.0</v>
      </c>
      <c r="E409" s="217" t="str">
        <f>'Weekly Scores'!B58</f>
        <v>WEEK 12</v>
      </c>
      <c r="F409" s="960" t="str">
        <f>'Weekly Scores'!C58</f>
        <v>GAME 2</v>
      </c>
      <c r="G409" s="961" t="str">
        <f>'Weekly Scores'!F58</f>
        <v>GREEN</v>
      </c>
      <c r="H409" s="1568">
        <f>'Weekly Scores'!G58</f>
        <v>189.22</v>
      </c>
      <c r="I409" s="1569">
        <f>'Weekly Scores'!H58</f>
        <v>155.64</v>
      </c>
      <c r="J409" s="964" t="str">
        <f>'Weekly Scores'!I58</f>
        <v>POPEYES</v>
      </c>
      <c r="K409" s="965" t="str">
        <f t="shared" si="174"/>
        <v>GREEN</v>
      </c>
      <c r="L409" s="966" t="str">
        <f t="shared" si="2"/>
        <v>POPEYES</v>
      </c>
      <c r="M409" s="967">
        <f t="array" ref="M409">IFERROR(IF(ABS(H409-I409)=0,Tie,ABS(H409-I409)),"UPCOMING")</f>
        <v>33.58</v>
      </c>
      <c r="N409" s="968">
        <f t="shared" si="3"/>
        <v>215</v>
      </c>
      <c r="O409" s="969">
        <f t="shared" si="4"/>
        <v>207</v>
      </c>
      <c r="P409" s="967">
        <f t="shared" si="5"/>
        <v>344.86</v>
      </c>
      <c r="Q409" s="968">
        <f t="shared" si="6"/>
        <v>181</v>
      </c>
      <c r="R409" s="967">
        <f t="shared" si="7"/>
        <v>198</v>
      </c>
      <c r="S409" s="968">
        <f t="shared" si="8"/>
        <v>177</v>
      </c>
      <c r="U409" s="13" t="str">
        <f>IFERROR(__xludf.DUMMYFUNCTION("IF($T409=""Y"",
  IFERROR(
    RANK.EQ($R409, FILTER($R:$R, $T:$T=""Y""), 1)
    + COUNTIFS($R:$R, $R409, $M:$M, ""&lt;""&amp;$M409, $T:$T, ""Y""),
    ""UPCOMING""
  ),
  ""NO REF""
)
"),"NO REF")</f>
        <v>NO REF</v>
      </c>
    </row>
    <row r="410" ht="15.75" customHeight="1">
      <c r="C410" s="13">
        <v>409.0</v>
      </c>
      <c r="D410" s="1629">
        <v>2025.0</v>
      </c>
      <c r="E410" s="217" t="str">
        <f>'Weekly Scores'!B59</f>
        <v>WEEK 12</v>
      </c>
      <c r="F410" s="960" t="str">
        <f>'Weekly Scores'!C59</f>
        <v>GAME 3</v>
      </c>
      <c r="G410" s="961" t="str">
        <f>'Weekly Scores'!F59</f>
        <v>DECOUPES</v>
      </c>
      <c r="H410" s="1568">
        <f>'Weekly Scores'!G59</f>
        <v>247.45</v>
      </c>
      <c r="I410" s="1569">
        <f>'Weekly Scores'!H59</f>
        <v>175.06</v>
      </c>
      <c r="J410" s="964" t="str">
        <f>'Weekly Scores'!I59</f>
        <v>METAMOOKDAWGS</v>
      </c>
      <c r="K410" s="965" t="str">
        <f t="shared" si="174"/>
        <v>DECOUPES</v>
      </c>
      <c r="L410" s="966" t="str">
        <f t="shared" si="2"/>
        <v>METAMOOKDAWGS</v>
      </c>
      <c r="M410" s="967">
        <f t="array" ref="M410">IFERROR(IF(ABS(H410-I410)=0,Tie,ABS(H410-I410)),"UPCOMING")</f>
        <v>72.39</v>
      </c>
      <c r="N410" s="968">
        <f t="shared" si="3"/>
        <v>371</v>
      </c>
      <c r="O410" s="969">
        <f t="shared" si="4"/>
        <v>51</v>
      </c>
      <c r="P410" s="967">
        <f t="shared" si="5"/>
        <v>422.51</v>
      </c>
      <c r="Q410" s="968">
        <f t="shared" si="6"/>
        <v>25</v>
      </c>
      <c r="R410" s="967">
        <f t="shared" si="7"/>
        <v>198</v>
      </c>
      <c r="S410" s="968">
        <f t="shared" si="8"/>
        <v>178</v>
      </c>
      <c r="U410" s="13" t="str">
        <f>IFERROR(__xludf.DUMMYFUNCTION("IF($T410=""Y"",
  IFERROR(
    RANK.EQ($R410, FILTER($R:$R, $T:$T=""Y""), 1)
    + COUNTIFS($R:$R, $R410, $M:$M, ""&lt;""&amp;$M410, $T:$T, ""Y""),
    ""UPCOMING""
  ),
  ""NO REF""
)
"),"NO REF")</f>
        <v>NO REF</v>
      </c>
    </row>
    <row r="411" ht="15.75" customHeight="1">
      <c r="C411" s="13">
        <v>410.0</v>
      </c>
      <c r="D411" s="1629">
        <v>2025.0</v>
      </c>
      <c r="E411" s="217" t="str">
        <f>'Weekly Scores'!B60</f>
        <v>WEEK 12</v>
      </c>
      <c r="F411" s="960" t="str">
        <f>'Weekly Scores'!C60</f>
        <v>GAME 4</v>
      </c>
      <c r="G411" s="961" t="str">
        <f>'Weekly Scores'!F60</f>
        <v>CHAMPS</v>
      </c>
      <c r="H411" s="1568">
        <f>'Weekly Scores'!G60</f>
        <v>152.31</v>
      </c>
      <c r="I411" s="1569">
        <f>'Weekly Scores'!H60</f>
        <v>169.1</v>
      </c>
      <c r="J411" s="964" t="str">
        <f>'Weekly Scores'!I60</f>
        <v>YARDIES</v>
      </c>
      <c r="K411" s="965" t="str">
        <f t="shared" si="174"/>
        <v>YARDIES</v>
      </c>
      <c r="L411" s="966" t="str">
        <f t="shared" si="2"/>
        <v>CHAMPS</v>
      </c>
      <c r="M411" s="967">
        <f t="array" ref="M411">IFERROR(IF(ABS(H411-I411)=0,Tie,ABS(H411-I411)),"UPCOMING")</f>
        <v>16.79</v>
      </c>
      <c r="N411" s="968">
        <f t="shared" si="3"/>
        <v>124</v>
      </c>
      <c r="O411" s="969">
        <f t="shared" si="4"/>
        <v>298</v>
      </c>
      <c r="P411" s="967">
        <f t="shared" si="5"/>
        <v>321.41</v>
      </c>
      <c r="Q411" s="968">
        <f t="shared" si="6"/>
        <v>243</v>
      </c>
      <c r="R411" s="967">
        <f t="shared" si="7"/>
        <v>183.5</v>
      </c>
      <c r="S411" s="968">
        <f t="shared" si="8"/>
        <v>150</v>
      </c>
      <c r="T411" s="18" t="s">
        <v>1783</v>
      </c>
      <c r="U411" s="13">
        <f>IFERROR(__xludf.DUMMYFUNCTION("IF($T411=""Y"",
  IFERROR(
    RANK.EQ($R411, FILTER($R:$R, $T:$T=""Y""), 1)
    + COUNTIFS($R:$R, $R411, $M:$M, ""&lt;""&amp;$M411, $T:$T, ""Y""),
    ""UPCOMING""
  ),
  ""NO REF""
)
"),30.0)</f>
        <v>30</v>
      </c>
    </row>
    <row r="412" ht="15.75" customHeight="1">
      <c r="C412" s="13">
        <v>411.0</v>
      </c>
      <c r="D412" s="1629">
        <v>2025.0</v>
      </c>
      <c r="E412" s="217" t="str">
        <f>'Weekly Scores'!B61</f>
        <v>WEEK 12</v>
      </c>
      <c r="F412" s="960" t="str">
        <f>'Weekly Scores'!C61</f>
        <v>GAME 5</v>
      </c>
      <c r="G412" s="961" t="str">
        <f>'Weekly Scores'!F61</f>
        <v>EAGLES</v>
      </c>
      <c r="H412" s="1568">
        <f>'Weekly Scores'!G61</f>
        <v>122.72</v>
      </c>
      <c r="I412" s="1569">
        <f>'Weekly Scores'!H61</f>
        <v>157.19</v>
      </c>
      <c r="J412" s="964" t="str">
        <f>'Weekly Scores'!I61</f>
        <v>MUTTS</v>
      </c>
      <c r="K412" s="965" t="str">
        <f t="shared" si="174"/>
        <v>MUTTS</v>
      </c>
      <c r="L412" s="966" t="str">
        <f t="shared" si="2"/>
        <v>EAGLES</v>
      </c>
      <c r="M412" s="967">
        <f t="array" ref="M412">IFERROR(IF(ABS(H412-I412)=0,Tie,ABS(H412-I412)),"UPCOMING")</f>
        <v>34.47</v>
      </c>
      <c r="N412" s="968">
        <f t="shared" si="3"/>
        <v>222</v>
      </c>
      <c r="O412" s="969">
        <f t="shared" si="4"/>
        <v>200</v>
      </c>
      <c r="P412" s="967">
        <f t="shared" si="5"/>
        <v>279.91</v>
      </c>
      <c r="Q412" s="968">
        <f t="shared" si="6"/>
        <v>350</v>
      </c>
      <c r="R412" s="967">
        <f t="shared" si="7"/>
        <v>286</v>
      </c>
      <c r="S412" s="968">
        <f t="shared" si="8"/>
        <v>340</v>
      </c>
      <c r="U412" s="13" t="str">
        <f>IFERROR(__xludf.DUMMYFUNCTION("IF($T412=""Y"",
  IFERROR(
    RANK.EQ($R412, FILTER($R:$R, $T:$T=""Y""), 1)
    + COUNTIFS($R:$R, $R412, $M:$M, ""&lt;""&amp;$M412, $T:$T, ""Y""),
    ""UPCOMING""
  ),
  ""NO REF""
)
"),"NO REF")</f>
        <v>NO REF</v>
      </c>
    </row>
    <row r="413" ht="15.75" customHeight="1">
      <c r="C413" s="13">
        <v>412.0</v>
      </c>
      <c r="D413" s="1629">
        <v>2025.0</v>
      </c>
      <c r="E413" s="217" t="str">
        <f>'Weekly Scores'!B62</f>
        <v>WEEK 13</v>
      </c>
      <c r="F413" s="960" t="str">
        <f>'Weekly Scores'!C62</f>
        <v>GAME 1</v>
      </c>
      <c r="G413" s="961" t="str">
        <f>'Weekly Scores'!F62</f>
        <v>POPEYES</v>
      </c>
      <c r="H413" s="1568">
        <f>'Weekly Scores'!G62</f>
        <v>102.49</v>
      </c>
      <c r="I413" s="1569">
        <f>'Weekly Scores'!H62</f>
        <v>144.36</v>
      </c>
      <c r="J413" s="964" t="str">
        <f>'Weekly Scores'!I62</f>
        <v>KINGS</v>
      </c>
      <c r="K413" s="965" t="str">
        <f t="shared" si="174"/>
        <v>KINGS</v>
      </c>
      <c r="L413" s="966" t="str">
        <f t="shared" si="2"/>
        <v>POPEYES</v>
      </c>
      <c r="M413" s="967">
        <f t="array" ref="M413">IFERROR(IF(ABS(H413-I413)=0,Tie,ABS(H413-I413)),"UPCOMING")</f>
        <v>41.87</v>
      </c>
      <c r="N413" s="968">
        <f t="shared" si="3"/>
        <v>266</v>
      </c>
      <c r="O413" s="969">
        <f t="shared" si="4"/>
        <v>156</v>
      </c>
      <c r="P413" s="967">
        <f t="shared" si="5"/>
        <v>246.85</v>
      </c>
      <c r="Q413" s="968">
        <f t="shared" si="6"/>
        <v>403</v>
      </c>
      <c r="R413" s="967">
        <f t="shared" si="7"/>
        <v>334.5</v>
      </c>
      <c r="S413" s="968">
        <f t="shared" si="8"/>
        <v>396</v>
      </c>
      <c r="U413" s="13" t="str">
        <f>IFERROR(__xludf.DUMMYFUNCTION("IF($T413=""Y"",
  IFERROR(
    RANK.EQ($R413, FILTER($R:$R, $T:$T=""Y""), 1)
    + COUNTIFS($R:$R, $R413, $M:$M, ""&lt;""&amp;$M413, $T:$T, ""Y""),
    ""UPCOMING""
  ),
  ""NO REF""
)
"),"NO REF")</f>
        <v>NO REF</v>
      </c>
    </row>
    <row r="414" ht="15.75" customHeight="1">
      <c r="C414" s="13">
        <v>413.0</v>
      </c>
      <c r="D414" s="1629">
        <v>2025.0</v>
      </c>
      <c r="E414" s="217" t="str">
        <f>'Weekly Scores'!B63</f>
        <v>WEEK 13</v>
      </c>
      <c r="F414" s="960" t="str">
        <f>'Weekly Scores'!C63</f>
        <v>GAME 2</v>
      </c>
      <c r="G414" s="961" t="str">
        <f>'Weekly Scores'!F63</f>
        <v>SAVAGES</v>
      </c>
      <c r="H414" s="1568">
        <f>'Weekly Scores'!G63</f>
        <v>125.37</v>
      </c>
      <c r="I414" s="1569">
        <f>'Weekly Scores'!H63</f>
        <v>209.92</v>
      </c>
      <c r="J414" s="964" t="str">
        <f>'Weekly Scores'!I63</f>
        <v>DECOUPES</v>
      </c>
      <c r="K414" s="965" t="str">
        <f t="shared" si="174"/>
        <v>DECOUPES</v>
      </c>
      <c r="L414" s="966" t="str">
        <f t="shared" si="2"/>
        <v>SAVAGES</v>
      </c>
      <c r="M414" s="967">
        <f t="array" ref="M414">IFERROR(IF(ABS(H414-I414)=0,Tie,ABS(H414-I414)),"UPCOMING")</f>
        <v>84.55</v>
      </c>
      <c r="N414" s="968">
        <f t="shared" si="3"/>
        <v>399</v>
      </c>
      <c r="O414" s="969">
        <f t="shared" si="4"/>
        <v>23</v>
      </c>
      <c r="P414" s="967">
        <f t="shared" si="5"/>
        <v>335.29</v>
      </c>
      <c r="Q414" s="968">
        <f t="shared" si="6"/>
        <v>203</v>
      </c>
      <c r="R414" s="967">
        <f t="shared" si="7"/>
        <v>301</v>
      </c>
      <c r="S414" s="968">
        <f t="shared" si="8"/>
        <v>361</v>
      </c>
      <c r="U414" s="13" t="str">
        <f>IFERROR(__xludf.DUMMYFUNCTION("IF($T414=""Y"",
  IFERROR(
    RANK.EQ($R414, FILTER($R:$R, $T:$T=""Y""), 1)
    + COUNTIFS($R:$R, $R414, $M:$M, ""&lt;""&amp;$M414, $T:$T, ""Y""),
    ""UPCOMING""
  ),
  ""NO REF""
)
"),"NO REF")</f>
        <v>NO REF</v>
      </c>
    </row>
    <row r="415" ht="15.75" customHeight="1">
      <c r="C415" s="13">
        <v>414.0</v>
      </c>
      <c r="D415" s="1629">
        <v>2025.0</v>
      </c>
      <c r="E415" s="217" t="str">
        <f>'Weekly Scores'!B64</f>
        <v>WEEK 13</v>
      </c>
      <c r="F415" s="960" t="str">
        <f>'Weekly Scores'!C64</f>
        <v>GAME 3</v>
      </c>
      <c r="G415" s="961" t="str">
        <f>'Weekly Scores'!F64</f>
        <v>MUTTS</v>
      </c>
      <c r="H415" s="1568">
        <f>'Weekly Scores'!G64</f>
        <v>140.08</v>
      </c>
      <c r="I415" s="1569">
        <f>'Weekly Scores'!H64</f>
        <v>202.79</v>
      </c>
      <c r="J415" s="964" t="str">
        <f>'Weekly Scores'!I64</f>
        <v>GREEN</v>
      </c>
      <c r="K415" s="965" t="str">
        <f t="shared" si="174"/>
        <v>GREEN</v>
      </c>
      <c r="L415" s="966" t="str">
        <f t="shared" si="2"/>
        <v>MUTTS</v>
      </c>
      <c r="M415" s="967">
        <f t="array" ref="M415">IFERROR(IF(ABS(H415-I415)=0,Tie,ABS(H415-I415)),"UPCOMING")</f>
        <v>62.71</v>
      </c>
      <c r="N415" s="968">
        <f t="shared" si="3"/>
        <v>347</v>
      </c>
      <c r="O415" s="969">
        <f t="shared" si="4"/>
        <v>75</v>
      </c>
      <c r="P415" s="967">
        <f t="shared" si="5"/>
        <v>342.87</v>
      </c>
      <c r="Q415" s="968">
        <f t="shared" si="6"/>
        <v>189</v>
      </c>
      <c r="R415" s="967">
        <f t="shared" si="7"/>
        <v>268</v>
      </c>
      <c r="S415" s="968">
        <f t="shared" si="8"/>
        <v>316</v>
      </c>
      <c r="U415" s="13" t="str">
        <f>IFERROR(__xludf.DUMMYFUNCTION("IF($T415=""Y"",
  IFERROR(
    RANK.EQ($R415, FILTER($R:$R, $T:$T=""Y""), 1)
    + COUNTIFS($R:$R, $R415, $M:$M, ""&lt;""&amp;$M415, $T:$T, ""Y""),
    ""UPCOMING""
  ),
  ""NO REF""
)
"),"NO REF")</f>
        <v>NO REF</v>
      </c>
    </row>
    <row r="416" ht="15.75" customHeight="1">
      <c r="C416" s="13">
        <v>415.0</v>
      </c>
      <c r="D416" s="1629">
        <v>2025.0</v>
      </c>
      <c r="E416" s="217" t="str">
        <f>'Weekly Scores'!B65</f>
        <v>WEEK 13</v>
      </c>
      <c r="F416" s="960" t="str">
        <f>'Weekly Scores'!C65</f>
        <v>GAME 4</v>
      </c>
      <c r="G416" s="961" t="str">
        <f>'Weekly Scores'!F65</f>
        <v>YARDIES</v>
      </c>
      <c r="H416" s="1568">
        <f>'Weekly Scores'!G65</f>
        <v>126.53</v>
      </c>
      <c r="I416" s="1569">
        <f>'Weekly Scores'!H65</f>
        <v>160.82</v>
      </c>
      <c r="J416" s="964" t="str">
        <f>'Weekly Scores'!I65</f>
        <v>EAGLES</v>
      </c>
      <c r="K416" s="965" t="str">
        <f t="shared" si="174"/>
        <v>EAGLES</v>
      </c>
      <c r="L416" s="966" t="str">
        <f t="shared" si="2"/>
        <v>YARDIES</v>
      </c>
      <c r="M416" s="967">
        <f t="array" ref="M416">IFERROR(IF(ABS(H416-I416)=0,Tie,ABS(H416-I416)),"UPCOMING")</f>
        <v>34.29</v>
      </c>
      <c r="N416" s="968">
        <f t="shared" si="3"/>
        <v>221</v>
      </c>
      <c r="O416" s="969">
        <f t="shared" si="4"/>
        <v>201</v>
      </c>
      <c r="P416" s="967">
        <f t="shared" si="5"/>
        <v>287.35</v>
      </c>
      <c r="Q416" s="968">
        <f t="shared" si="6"/>
        <v>333</v>
      </c>
      <c r="R416" s="967">
        <f t="shared" si="7"/>
        <v>277</v>
      </c>
      <c r="S416" s="968">
        <f t="shared" si="8"/>
        <v>327</v>
      </c>
      <c r="U416" s="13" t="str">
        <f>IFERROR(__xludf.DUMMYFUNCTION("IF($T416=""Y"",
  IFERROR(
    RANK.EQ($R416, FILTER($R:$R, $T:$T=""Y""), 1)
    + COUNTIFS($R:$R, $R416, $M:$M, ""&lt;""&amp;$M416, $T:$T, ""Y""),
    ""UPCOMING""
  ),
  ""NO REF""
)
"),"NO REF")</f>
        <v>NO REF</v>
      </c>
    </row>
    <row r="417" ht="15.75" customHeight="1">
      <c r="C417" s="13">
        <v>416.0</v>
      </c>
      <c r="D417" s="1629">
        <v>2025.0</v>
      </c>
      <c r="E417" s="217" t="str">
        <f>'Weekly Scores'!B66</f>
        <v>WEEK 13</v>
      </c>
      <c r="F417" s="960" t="str">
        <f>'Weekly Scores'!C66</f>
        <v>GAME 5</v>
      </c>
      <c r="G417" s="961" t="str">
        <f>'Weekly Scores'!F66</f>
        <v>METAMOOKDAWGS</v>
      </c>
      <c r="H417" s="1568">
        <f>'Weekly Scores'!G66</f>
        <v>128.36</v>
      </c>
      <c r="I417" s="1569">
        <f>'Weekly Scores'!H66</f>
        <v>137.66</v>
      </c>
      <c r="J417" s="964" t="str">
        <f>'Weekly Scores'!I66</f>
        <v>CHAMPS</v>
      </c>
      <c r="K417" s="965" t="str">
        <f t="shared" si="174"/>
        <v>CHAMPS</v>
      </c>
      <c r="L417" s="966" t="str">
        <f t="shared" si="2"/>
        <v>METAMOOKDAWGS</v>
      </c>
      <c r="M417" s="967">
        <f t="array" ref="M417">IFERROR(IF(ABS(H417-I417)=0,Tie,ABS(H417-I417)),"UPCOMING")</f>
        <v>9.3</v>
      </c>
      <c r="N417" s="968">
        <f t="shared" si="3"/>
        <v>71</v>
      </c>
      <c r="O417" s="969">
        <f t="shared" si="4"/>
        <v>351</v>
      </c>
      <c r="P417" s="967">
        <f t="shared" si="5"/>
        <v>266.02</v>
      </c>
      <c r="Q417" s="968">
        <f t="shared" si="6"/>
        <v>379</v>
      </c>
      <c r="R417" s="967">
        <f t="shared" si="7"/>
        <v>225</v>
      </c>
      <c r="S417" s="968">
        <f t="shared" si="8"/>
        <v>240</v>
      </c>
      <c r="T417" s="18" t="s">
        <v>1783</v>
      </c>
      <c r="U417" s="13">
        <f>IFERROR(__xludf.DUMMYFUNCTION("IF($T417=""Y"",
  IFERROR(
    RANK.EQ($R417, FILTER($R:$R, $T:$T=""Y""), 1)
    + COUNTIFS($R:$R, $R417, $M:$M, ""&lt;""&amp;$M417, $T:$T, ""Y""),
    ""UPCOMING""
  ),
  ""NO REF""
)
"),41.0)</f>
        <v>41</v>
      </c>
    </row>
    <row r="418" ht="15.75" customHeight="1">
      <c r="C418" s="13">
        <v>417.0</v>
      </c>
      <c r="D418" s="1629">
        <v>2025.0</v>
      </c>
      <c r="E418" s="217" t="str">
        <f>'Weekly Scores'!B67</f>
        <v>WEEK 14</v>
      </c>
      <c r="F418" s="960" t="str">
        <f>'Weekly Scores'!C67</f>
        <v>GAME 1</v>
      </c>
      <c r="G418" s="961" t="str">
        <f>'Weekly Scores'!F67</f>
        <v>GREEN</v>
      </c>
      <c r="H418" s="1568">
        <f>'Weekly Scores'!G67</f>
        <v>156.79</v>
      </c>
      <c r="I418" s="1569">
        <f>'Weekly Scores'!H67</f>
        <v>98.07</v>
      </c>
      <c r="J418" s="964" t="str">
        <f>'Weekly Scores'!I67</f>
        <v>KINGS</v>
      </c>
      <c r="K418" s="965" t="str">
        <f t="shared" si="174"/>
        <v>GREEN</v>
      </c>
      <c r="L418" s="966" t="str">
        <f t="shared" si="2"/>
        <v>KINGS</v>
      </c>
      <c r="M418" s="967">
        <f t="array" ref="M418">IFERROR(IF(ABS(H418-I418)=0,Tie,ABS(H418-I418)),"UPCOMING")</f>
        <v>58.72</v>
      </c>
      <c r="N418" s="968">
        <f t="shared" si="3"/>
        <v>334</v>
      </c>
      <c r="O418" s="969">
        <f t="shared" si="4"/>
        <v>88</v>
      </c>
      <c r="P418" s="967">
        <f t="shared" si="5"/>
        <v>254.86</v>
      </c>
      <c r="Q418" s="968">
        <f t="shared" si="6"/>
        <v>392</v>
      </c>
      <c r="R418" s="967">
        <f t="shared" si="7"/>
        <v>363</v>
      </c>
      <c r="S418" s="968">
        <f t="shared" si="8"/>
        <v>416</v>
      </c>
      <c r="U418" s="13" t="str">
        <f>IFERROR(__xludf.DUMMYFUNCTION("IF($T418=""Y"",
  IFERROR(
    RANK.EQ($R418, FILTER($R:$R, $T:$T=""Y""), 1)
    + COUNTIFS($R:$R, $R418, $M:$M, ""&lt;""&amp;$M418, $T:$T, ""Y""),
    ""UPCOMING""
  ),
  ""NO REF""
)
"),"NO REF")</f>
        <v>NO REF</v>
      </c>
    </row>
    <row r="419" ht="15.75" customHeight="1">
      <c r="C419" s="13">
        <v>418.0</v>
      </c>
      <c r="D419" s="1629">
        <v>2025.0</v>
      </c>
      <c r="E419" s="217" t="str">
        <f>'Weekly Scores'!B68</f>
        <v>WEEK 14</v>
      </c>
      <c r="F419" s="960" t="str">
        <f>'Weekly Scores'!C68</f>
        <v>GAME 2</v>
      </c>
      <c r="G419" s="961" t="str">
        <f>'Weekly Scores'!F68</f>
        <v>POPEYES</v>
      </c>
      <c r="H419" s="1568">
        <f>'Weekly Scores'!G68</f>
        <v>153.61</v>
      </c>
      <c r="I419" s="1569">
        <f>'Weekly Scores'!H68</f>
        <v>189.27</v>
      </c>
      <c r="J419" s="964" t="str">
        <f>'Weekly Scores'!I68</f>
        <v>DECOUPES</v>
      </c>
      <c r="K419" s="965" t="str">
        <f t="shared" si="174"/>
        <v>DECOUPES</v>
      </c>
      <c r="L419" s="966" t="str">
        <f t="shared" si="2"/>
        <v>POPEYES</v>
      </c>
      <c r="M419" s="967">
        <f t="array" ref="M419">IFERROR(IF(ABS(H419-I419)=0,Tie,ABS(H419-I419)),"UPCOMING")</f>
        <v>35.66</v>
      </c>
      <c r="N419" s="968">
        <f t="shared" si="3"/>
        <v>230</v>
      </c>
      <c r="O419" s="969">
        <f t="shared" si="4"/>
        <v>192</v>
      </c>
      <c r="P419" s="967">
        <f t="shared" si="5"/>
        <v>342.88</v>
      </c>
      <c r="Q419" s="968">
        <f t="shared" si="6"/>
        <v>188</v>
      </c>
      <c r="R419" s="967">
        <f t="shared" si="7"/>
        <v>209</v>
      </c>
      <c r="S419" s="968">
        <f t="shared" si="8"/>
        <v>203</v>
      </c>
      <c r="U419" s="13" t="str">
        <f>IFERROR(__xludf.DUMMYFUNCTION("IF($T419=""Y"",
  IFERROR(
    RANK.EQ($R419, FILTER($R:$R, $T:$T=""Y""), 1)
    + COUNTIFS($R:$R, $R419, $M:$M, ""&lt;""&amp;$M419, $T:$T, ""Y""),
    ""UPCOMING""
  ),
  ""NO REF""
)
"),"NO REF")</f>
        <v>NO REF</v>
      </c>
    </row>
    <row r="420" ht="15.75" customHeight="1">
      <c r="C420" s="13">
        <v>419.0</v>
      </c>
      <c r="D420" s="1629">
        <v>2025.0</v>
      </c>
      <c r="E420" s="217" t="str">
        <f>'Weekly Scores'!B69</f>
        <v>WEEK 14</v>
      </c>
      <c r="F420" s="960" t="str">
        <f>'Weekly Scores'!C69</f>
        <v>GAME 3</v>
      </c>
      <c r="G420" s="961" t="str">
        <f>'Weekly Scores'!F69</f>
        <v>CHAMPS</v>
      </c>
      <c r="H420" s="1568">
        <f>'Weekly Scores'!G69</f>
        <v>146.33</v>
      </c>
      <c r="I420" s="1569">
        <f>'Weekly Scores'!H69</f>
        <v>153.25</v>
      </c>
      <c r="J420" s="964" t="str">
        <f>'Weekly Scores'!I69</f>
        <v>SAVAGES</v>
      </c>
      <c r="K420" s="965" t="str">
        <f t="shared" si="174"/>
        <v>SAVAGES</v>
      </c>
      <c r="L420" s="966" t="str">
        <f t="shared" si="2"/>
        <v>CHAMPS</v>
      </c>
      <c r="M420" s="967">
        <f t="array" ref="M420">IFERROR(IF(ABS(H420-I420)=0,Tie,ABS(H420-I420)),"UPCOMING")</f>
        <v>6.92</v>
      </c>
      <c r="N420" s="968">
        <f t="shared" si="3"/>
        <v>56</v>
      </c>
      <c r="O420" s="969">
        <f t="shared" si="4"/>
        <v>366</v>
      </c>
      <c r="P420" s="967">
        <f t="shared" si="5"/>
        <v>299.58</v>
      </c>
      <c r="Q420" s="968">
        <f t="shared" si="6"/>
        <v>306</v>
      </c>
      <c r="R420" s="967">
        <f t="shared" si="7"/>
        <v>181</v>
      </c>
      <c r="S420" s="968">
        <f t="shared" si="8"/>
        <v>144</v>
      </c>
      <c r="U420" s="13" t="str">
        <f>IFERROR(__xludf.DUMMYFUNCTION("IF($T420=""Y"",
  IFERROR(
    RANK.EQ($R420, FILTER($R:$R, $T:$T=""Y""), 1)
    + COUNTIFS($R:$R, $R420, $M:$M, ""&lt;""&amp;$M420, $T:$T, ""Y""),
    ""UPCOMING""
  ),
  ""NO REF""
)
"),"NO REF")</f>
        <v>NO REF</v>
      </c>
    </row>
    <row r="421" ht="15.75" customHeight="1">
      <c r="C421" s="13">
        <v>420.0</v>
      </c>
      <c r="D421" s="1629">
        <v>2025.0</v>
      </c>
      <c r="E421" s="217" t="str">
        <f>'Weekly Scores'!B70</f>
        <v>WEEK 14</v>
      </c>
      <c r="F421" s="960" t="str">
        <f>'Weekly Scores'!C70</f>
        <v>GAME 4</v>
      </c>
      <c r="G421" s="961" t="str">
        <f>'Weekly Scores'!F70</f>
        <v>YARDIES</v>
      </c>
      <c r="H421" s="1568">
        <f>'Weekly Scores'!G70</f>
        <v>175.94</v>
      </c>
      <c r="I421" s="1569">
        <f>'Weekly Scores'!H70</f>
        <v>158.96</v>
      </c>
      <c r="J421" s="964" t="str">
        <f>'Weekly Scores'!I70</f>
        <v>MUTTS</v>
      </c>
      <c r="K421" s="965" t="str">
        <f t="shared" si="174"/>
        <v>YARDIES</v>
      </c>
      <c r="L421" s="966" t="str">
        <f t="shared" si="2"/>
        <v>MUTTS</v>
      </c>
      <c r="M421" s="967">
        <f t="array" ref="M421">IFERROR(IF(ABS(H421-I421)=0,Tie,ABS(H421-I421)),"UPCOMING")</f>
        <v>16.98</v>
      </c>
      <c r="N421" s="968">
        <f t="shared" si="3"/>
        <v>126</v>
      </c>
      <c r="O421" s="969">
        <f t="shared" si="4"/>
        <v>296</v>
      </c>
      <c r="P421" s="967">
        <f t="shared" si="5"/>
        <v>334.9</v>
      </c>
      <c r="Q421" s="968">
        <f t="shared" si="6"/>
        <v>204</v>
      </c>
      <c r="R421" s="967">
        <f t="shared" si="7"/>
        <v>165</v>
      </c>
      <c r="S421" s="968">
        <f t="shared" si="8"/>
        <v>118</v>
      </c>
      <c r="T421" s="18" t="s">
        <v>1783</v>
      </c>
      <c r="U421" s="13">
        <f>IFERROR(__xludf.DUMMYFUNCTION("IF($T421=""Y"",
  IFERROR(
    RANK.EQ($R421, FILTER($R:$R, $T:$T=""Y""), 1)
    + COUNTIFS($R:$R, $R421, $M:$M, ""&lt;""&amp;$M421, $T:$T, ""Y""),
    ""UPCOMING""
  ),
  ""NO REF""
)
"),21.0)</f>
        <v>21</v>
      </c>
    </row>
    <row r="422" ht="15.75" customHeight="1">
      <c r="C422" s="13">
        <v>421.0</v>
      </c>
      <c r="D422" s="1629">
        <v>2025.0</v>
      </c>
      <c r="E422" s="217" t="str">
        <f>'Weekly Scores'!B71</f>
        <v>WEEK 14</v>
      </c>
      <c r="F422" s="960" t="str">
        <f>'Weekly Scores'!C71</f>
        <v>GAME 5</v>
      </c>
      <c r="G422" s="961" t="str">
        <f>'Weekly Scores'!F71</f>
        <v>METAMOOKDAWGS</v>
      </c>
      <c r="H422" s="1568">
        <f>'Weekly Scores'!G71</f>
        <v>173.8</v>
      </c>
      <c r="I422" s="1569">
        <f>'Weekly Scores'!H71</f>
        <v>185.68</v>
      </c>
      <c r="J422" s="964" t="str">
        <f>'Weekly Scores'!I71</f>
        <v>EAGLES</v>
      </c>
      <c r="K422" s="965" t="str">
        <f t="shared" si="174"/>
        <v>EAGLES</v>
      </c>
      <c r="L422" s="966" t="str">
        <f t="shared" si="2"/>
        <v>METAMOOKDAWGS</v>
      </c>
      <c r="M422" s="967">
        <f t="array" ref="M422">IFERROR(IF(ABS(H422-I422)=0,Tie,ABS(H422-I422)),"UPCOMING")</f>
        <v>11.88</v>
      </c>
      <c r="N422" s="968">
        <f t="shared" si="3"/>
        <v>92</v>
      </c>
      <c r="O422" s="969">
        <f t="shared" si="4"/>
        <v>330</v>
      </c>
      <c r="P422" s="967">
        <f t="shared" si="5"/>
        <v>359.48</v>
      </c>
      <c r="Q422" s="968">
        <f t="shared" si="6"/>
        <v>138</v>
      </c>
      <c r="R422" s="967">
        <f t="shared" si="7"/>
        <v>115</v>
      </c>
      <c r="S422" s="968">
        <f t="shared" si="8"/>
        <v>53</v>
      </c>
      <c r="U422" s="13" t="str">
        <f>IFERROR(__xludf.DUMMYFUNCTION("IF($T422=""Y"",
  IFERROR(
    RANK.EQ($R422, FILTER($R:$R, $T:$T=""Y""), 1)
    + COUNTIFS($R:$R, $R422, $M:$M, ""&lt;""&amp;$M422, $T:$T, ""Y""),
    ""UPCOMING""
  ),
  ""NO REF""
)
"),"NO REF")</f>
        <v>NO REF</v>
      </c>
    </row>
    <row r="423" ht="15.75" customHeight="1">
      <c r="D423" s="314"/>
      <c r="E423" s="314"/>
      <c r="F423" s="314"/>
      <c r="G423" s="1633"/>
      <c r="H423" s="1634"/>
      <c r="I423" s="1338"/>
      <c r="J423" s="1168"/>
      <c r="K423" s="1635"/>
      <c r="L423" s="1636"/>
      <c r="N423" s="585"/>
      <c r="O423" s="1637"/>
      <c r="Q423" s="585"/>
      <c r="R423" s="224"/>
      <c r="S423" s="970"/>
    </row>
    <row r="424" ht="15.75" customHeight="1">
      <c r="D424" s="314"/>
      <c r="E424" s="314"/>
      <c r="F424" s="314"/>
      <c r="G424" s="1633"/>
      <c r="H424" s="1634"/>
      <c r="I424" s="1338"/>
      <c r="J424" s="1168"/>
      <c r="K424" s="1635"/>
      <c r="L424" s="1636"/>
      <c r="N424" s="585"/>
      <c r="O424" s="1637"/>
      <c r="Q424" s="585"/>
      <c r="R424" s="224"/>
      <c r="S424" s="970"/>
    </row>
    <row r="425" ht="15.75" customHeight="1">
      <c r="D425" s="314"/>
      <c r="E425" s="314"/>
      <c r="F425" s="314"/>
      <c r="G425" s="1633"/>
      <c r="H425" s="1634"/>
      <c r="I425" s="1338"/>
      <c r="J425" s="1168"/>
      <c r="K425" s="1635"/>
      <c r="L425" s="1636"/>
      <c r="N425" s="585"/>
      <c r="O425" s="1637"/>
      <c r="Q425" s="585"/>
      <c r="R425" s="224"/>
      <c r="S425" s="970"/>
    </row>
    <row r="426" ht="15.75" customHeight="1">
      <c r="D426" s="314"/>
      <c r="E426" s="314"/>
      <c r="F426" s="314"/>
      <c r="G426" s="1633"/>
      <c r="H426" s="1634"/>
      <c r="I426" s="1338"/>
      <c r="J426" s="1168"/>
      <c r="K426" s="1635"/>
      <c r="L426" s="1636"/>
      <c r="N426" s="585"/>
      <c r="O426" s="1637"/>
      <c r="Q426" s="585"/>
      <c r="R426" s="224"/>
      <c r="S426" s="970"/>
    </row>
    <row r="427" ht="15.75" customHeight="1">
      <c r="D427" s="314"/>
      <c r="E427" s="314"/>
      <c r="F427" s="314"/>
      <c r="G427" s="1633"/>
      <c r="H427" s="1634"/>
      <c r="I427" s="1338"/>
      <c r="J427" s="1168"/>
      <c r="K427" s="1635"/>
      <c r="L427" s="1636"/>
      <c r="N427" s="585"/>
      <c r="O427" s="1637"/>
      <c r="Q427" s="585"/>
      <c r="R427" s="224"/>
      <c r="S427" s="970"/>
    </row>
    <row r="428" ht="15.75" customHeight="1">
      <c r="D428" s="314"/>
      <c r="E428" s="314"/>
      <c r="F428" s="314"/>
      <c r="G428" s="1633"/>
      <c r="H428" s="1634"/>
      <c r="I428" s="1338"/>
      <c r="J428" s="1168"/>
      <c r="K428" s="1635"/>
      <c r="L428" s="1636"/>
      <c r="N428" s="585"/>
      <c r="O428" s="1637"/>
      <c r="Q428" s="585"/>
      <c r="R428" s="224"/>
      <c r="S428" s="970"/>
    </row>
    <row r="429" ht="15.75" customHeight="1">
      <c r="D429" s="314"/>
      <c r="E429" s="314"/>
      <c r="F429" s="314"/>
      <c r="G429" s="1633"/>
      <c r="H429" s="1634"/>
      <c r="I429" s="1338"/>
      <c r="J429" s="1168"/>
      <c r="K429" s="1635"/>
      <c r="L429" s="1636"/>
      <c r="N429" s="585"/>
      <c r="O429" s="1637"/>
      <c r="Q429" s="585"/>
      <c r="R429" s="224"/>
      <c r="S429" s="970"/>
    </row>
    <row r="430" ht="15.75" customHeight="1">
      <c r="D430" s="314"/>
      <c r="E430" s="314"/>
      <c r="F430" s="314"/>
      <c r="G430" s="1633"/>
      <c r="H430" s="1634"/>
      <c r="I430" s="1338"/>
      <c r="J430" s="1168"/>
      <c r="K430" s="1635"/>
      <c r="L430" s="1636"/>
      <c r="N430" s="585"/>
      <c r="O430" s="1637"/>
      <c r="Q430" s="585"/>
      <c r="R430" s="224"/>
      <c r="S430" s="970"/>
    </row>
    <row r="431" ht="15.75" customHeight="1">
      <c r="D431" s="314"/>
      <c r="E431" s="314"/>
      <c r="F431" s="314"/>
      <c r="G431" s="1633"/>
      <c r="H431" s="1634"/>
      <c r="I431" s="1338"/>
      <c r="J431" s="1168"/>
      <c r="K431" s="1635"/>
      <c r="L431" s="1636"/>
      <c r="N431" s="585"/>
      <c r="O431" s="1637"/>
      <c r="Q431" s="585"/>
      <c r="R431" s="224"/>
      <c r="S431" s="970"/>
    </row>
    <row r="432" ht="15.75" customHeight="1">
      <c r="D432" s="314"/>
      <c r="E432" s="314"/>
      <c r="F432" s="314"/>
      <c r="G432" s="1633"/>
      <c r="H432" s="1634"/>
      <c r="I432" s="1338"/>
      <c r="J432" s="1168"/>
      <c r="K432" s="1635"/>
      <c r="L432" s="1636"/>
      <c r="N432" s="585"/>
      <c r="O432" s="1637"/>
      <c r="Q432" s="585"/>
      <c r="R432" s="224"/>
      <c r="S432" s="970"/>
    </row>
    <row r="433" ht="15.75" customHeight="1">
      <c r="D433" s="314"/>
      <c r="E433" s="314"/>
      <c r="F433" s="314"/>
      <c r="G433" s="1633"/>
      <c r="H433" s="1634"/>
      <c r="I433" s="1338"/>
      <c r="J433" s="1168"/>
      <c r="K433" s="1635"/>
      <c r="L433" s="1636"/>
      <c r="N433" s="585"/>
      <c r="O433" s="1637"/>
      <c r="Q433" s="585"/>
      <c r="R433" s="224"/>
      <c r="S433" s="970"/>
    </row>
    <row r="434" ht="15.75" customHeight="1">
      <c r="D434" s="314"/>
      <c r="E434" s="314"/>
      <c r="F434" s="314"/>
      <c r="G434" s="1633"/>
      <c r="H434" s="1634"/>
      <c r="I434" s="1338"/>
      <c r="J434" s="1168"/>
      <c r="K434" s="1635"/>
      <c r="L434" s="1636"/>
      <c r="N434" s="585"/>
      <c r="O434" s="1637"/>
      <c r="Q434" s="585"/>
      <c r="R434" s="224"/>
      <c r="S434" s="970"/>
    </row>
    <row r="435" ht="15.75" customHeight="1">
      <c r="D435" s="314"/>
      <c r="E435" s="314"/>
      <c r="F435" s="314"/>
      <c r="G435" s="1633"/>
      <c r="H435" s="1634"/>
      <c r="I435" s="1338"/>
      <c r="J435" s="1168"/>
      <c r="K435" s="1635"/>
      <c r="L435" s="1636"/>
      <c r="N435" s="585"/>
      <c r="O435" s="1637"/>
      <c r="Q435" s="585"/>
      <c r="R435" s="224"/>
      <c r="S435" s="970"/>
    </row>
    <row r="436" ht="15.75" customHeight="1">
      <c r="D436" s="314"/>
      <c r="E436" s="314"/>
      <c r="F436" s="314"/>
      <c r="G436" s="1633"/>
      <c r="H436" s="1634"/>
      <c r="I436" s="1338"/>
      <c r="J436" s="1168"/>
      <c r="K436" s="1635"/>
      <c r="L436" s="1636"/>
      <c r="N436" s="585"/>
      <c r="O436" s="1637"/>
      <c r="Q436" s="585"/>
      <c r="R436" s="224"/>
      <c r="S436" s="970"/>
    </row>
    <row r="437" ht="15.75" customHeight="1">
      <c r="D437" s="314"/>
      <c r="E437" s="314"/>
      <c r="F437" s="314"/>
      <c r="G437" s="1633"/>
      <c r="H437" s="1634"/>
      <c r="I437" s="1338"/>
      <c r="J437" s="1168"/>
      <c r="K437" s="1635"/>
      <c r="L437" s="1636"/>
      <c r="N437" s="585"/>
      <c r="O437" s="1637"/>
      <c r="Q437" s="585"/>
      <c r="R437" s="224"/>
      <c r="S437" s="970"/>
    </row>
    <row r="438" ht="15.75" customHeight="1">
      <c r="D438" s="314"/>
      <c r="E438" s="314"/>
      <c r="F438" s="314"/>
      <c r="G438" s="1633"/>
      <c r="H438" s="1634"/>
      <c r="I438" s="1338"/>
      <c r="J438" s="1168"/>
      <c r="K438" s="1635"/>
      <c r="L438" s="1636"/>
      <c r="N438" s="585"/>
      <c r="O438" s="1637"/>
      <c r="Q438" s="585"/>
      <c r="R438" s="224"/>
      <c r="S438" s="970"/>
    </row>
    <row r="439" ht="15.75" customHeight="1">
      <c r="D439" s="314"/>
      <c r="E439" s="314"/>
      <c r="F439" s="314"/>
      <c r="G439" s="1633"/>
      <c r="H439" s="1634"/>
      <c r="I439" s="1338"/>
      <c r="J439" s="1168"/>
      <c r="K439" s="1635"/>
      <c r="L439" s="1636"/>
      <c r="N439" s="585"/>
      <c r="O439" s="1637"/>
      <c r="Q439" s="585"/>
      <c r="R439" s="224"/>
      <c r="S439" s="970"/>
    </row>
    <row r="440" ht="15.75" customHeight="1">
      <c r="D440" s="314"/>
      <c r="E440" s="314"/>
      <c r="F440" s="314"/>
      <c r="G440" s="1633"/>
      <c r="H440" s="1634"/>
      <c r="I440" s="1338"/>
      <c r="J440" s="1168"/>
      <c r="K440" s="1635"/>
      <c r="L440" s="1636"/>
      <c r="N440" s="585"/>
      <c r="O440" s="1637"/>
      <c r="Q440" s="585"/>
      <c r="R440" s="224"/>
      <c r="S440" s="970"/>
    </row>
    <row r="441" ht="15.75" customHeight="1">
      <c r="D441" s="314"/>
      <c r="E441" s="314"/>
      <c r="F441" s="314"/>
      <c r="G441" s="1633"/>
      <c r="H441" s="1634"/>
      <c r="I441" s="1338"/>
      <c r="J441" s="1168"/>
      <c r="K441" s="1635"/>
      <c r="L441" s="1636"/>
      <c r="N441" s="585"/>
      <c r="O441" s="1637"/>
      <c r="Q441" s="585"/>
      <c r="R441" s="224"/>
      <c r="S441" s="970"/>
    </row>
    <row r="442" ht="15.75" customHeight="1">
      <c r="D442" s="314"/>
      <c r="E442" s="314"/>
      <c r="F442" s="314"/>
      <c r="G442" s="1633"/>
      <c r="H442" s="1634"/>
      <c r="I442" s="1338"/>
      <c r="J442" s="1168"/>
      <c r="K442" s="1635"/>
      <c r="L442" s="1636"/>
      <c r="N442" s="585"/>
      <c r="O442" s="1637"/>
      <c r="Q442" s="585"/>
      <c r="R442" s="224"/>
      <c r="S442" s="970"/>
    </row>
    <row r="443" ht="15.75" customHeight="1">
      <c r="D443" s="314"/>
      <c r="E443" s="314"/>
      <c r="F443" s="314"/>
      <c r="G443" s="1633"/>
      <c r="H443" s="1634"/>
      <c r="I443" s="1338"/>
      <c r="J443" s="1168"/>
      <c r="K443" s="1635"/>
      <c r="L443" s="1636"/>
      <c r="N443" s="585"/>
      <c r="O443" s="1637"/>
      <c r="Q443" s="585"/>
      <c r="R443" s="224"/>
      <c r="S443" s="970"/>
    </row>
    <row r="444" ht="15.75" customHeight="1">
      <c r="D444" s="314"/>
      <c r="E444" s="314"/>
      <c r="F444" s="314"/>
      <c r="G444" s="1633"/>
      <c r="H444" s="1634"/>
      <c r="I444" s="1338"/>
      <c r="J444" s="1168"/>
      <c r="K444" s="1635"/>
      <c r="L444" s="1636"/>
      <c r="N444" s="585"/>
      <c r="O444" s="1637"/>
      <c r="Q444" s="585"/>
      <c r="R444" s="224"/>
      <c r="S444" s="970"/>
    </row>
    <row r="445" ht="15.75" customHeight="1">
      <c r="D445" s="314"/>
      <c r="E445" s="314"/>
      <c r="F445" s="314"/>
      <c r="G445" s="1633"/>
      <c r="H445" s="1634"/>
      <c r="I445" s="1338"/>
      <c r="J445" s="1168"/>
      <c r="K445" s="1635"/>
      <c r="L445" s="1636"/>
      <c r="N445" s="585"/>
      <c r="O445" s="1637"/>
      <c r="Q445" s="585"/>
      <c r="R445" s="224"/>
      <c r="S445" s="970"/>
    </row>
    <row r="446" ht="15.75" customHeight="1">
      <c r="D446" s="314"/>
      <c r="E446" s="314"/>
      <c r="F446" s="314"/>
      <c r="G446" s="1633"/>
      <c r="H446" s="1634"/>
      <c r="I446" s="1338"/>
      <c r="J446" s="1168"/>
      <c r="K446" s="1635"/>
      <c r="L446" s="1636"/>
      <c r="N446" s="585"/>
      <c r="O446" s="1637"/>
      <c r="Q446" s="585"/>
      <c r="R446" s="224"/>
      <c r="S446" s="970"/>
    </row>
    <row r="447" ht="15.75" customHeight="1">
      <c r="D447" s="314"/>
      <c r="E447" s="314"/>
      <c r="F447" s="314"/>
      <c r="G447" s="1633"/>
      <c r="H447" s="1634"/>
      <c r="I447" s="1338"/>
      <c r="J447" s="1168"/>
      <c r="K447" s="1635"/>
      <c r="L447" s="1636"/>
      <c r="N447" s="585"/>
      <c r="O447" s="1637"/>
      <c r="Q447" s="585"/>
      <c r="R447" s="224"/>
      <c r="S447" s="970"/>
    </row>
    <row r="448" ht="15.75" customHeight="1">
      <c r="D448" s="314"/>
      <c r="E448" s="314"/>
      <c r="F448" s="314"/>
      <c r="G448" s="1633"/>
      <c r="H448" s="1634"/>
      <c r="I448" s="1338"/>
      <c r="J448" s="1168"/>
      <c r="K448" s="1635"/>
      <c r="L448" s="1636"/>
      <c r="N448" s="585"/>
      <c r="O448" s="1637"/>
      <c r="Q448" s="585"/>
      <c r="R448" s="224"/>
      <c r="S448" s="970"/>
    </row>
    <row r="449" ht="15.75" customHeight="1">
      <c r="D449" s="314"/>
      <c r="E449" s="314"/>
      <c r="F449" s="314"/>
      <c r="G449" s="1633"/>
      <c r="H449" s="1634"/>
      <c r="I449" s="1338"/>
      <c r="J449" s="1168"/>
      <c r="K449" s="1635"/>
      <c r="L449" s="1636"/>
      <c r="N449" s="585"/>
      <c r="O449" s="1637"/>
      <c r="Q449" s="585"/>
      <c r="R449" s="224"/>
      <c r="S449" s="970"/>
    </row>
    <row r="450" ht="15.75" customHeight="1">
      <c r="D450" s="314"/>
      <c r="E450" s="314"/>
      <c r="F450" s="314"/>
      <c r="G450" s="1633"/>
      <c r="H450" s="1634"/>
      <c r="I450" s="1338"/>
      <c r="J450" s="1168"/>
      <c r="K450" s="1635"/>
      <c r="L450" s="1636"/>
      <c r="N450" s="585"/>
      <c r="O450" s="1637"/>
      <c r="Q450" s="585"/>
      <c r="R450" s="224"/>
      <c r="S450" s="970"/>
    </row>
    <row r="451" ht="15.75" customHeight="1">
      <c r="D451" s="314"/>
      <c r="E451" s="314"/>
      <c r="F451" s="314"/>
      <c r="G451" s="1633"/>
      <c r="H451" s="1634"/>
      <c r="I451" s="1338"/>
      <c r="J451" s="1168"/>
      <c r="K451" s="1635"/>
      <c r="L451" s="1636"/>
      <c r="N451" s="585"/>
      <c r="O451" s="1637"/>
      <c r="Q451" s="585"/>
      <c r="R451" s="224"/>
      <c r="S451" s="970"/>
    </row>
    <row r="452" ht="15.75" customHeight="1">
      <c r="D452" s="314"/>
      <c r="E452" s="314"/>
      <c r="F452" s="314"/>
      <c r="G452" s="1633"/>
      <c r="H452" s="1634"/>
      <c r="I452" s="1338"/>
      <c r="J452" s="1168"/>
      <c r="K452" s="1635"/>
      <c r="L452" s="1636"/>
      <c r="N452" s="585"/>
      <c r="O452" s="1637"/>
      <c r="Q452" s="585"/>
      <c r="R452" s="224"/>
      <c r="S452" s="970"/>
    </row>
    <row r="453" ht="15.75" customHeight="1">
      <c r="D453" s="314"/>
      <c r="E453" s="314"/>
      <c r="F453" s="314"/>
      <c r="G453" s="1633"/>
      <c r="H453" s="1634"/>
      <c r="I453" s="1338"/>
      <c r="J453" s="1168"/>
      <c r="K453" s="1635"/>
      <c r="L453" s="1636"/>
      <c r="N453" s="585"/>
      <c r="O453" s="1637"/>
      <c r="Q453" s="585"/>
      <c r="R453" s="224"/>
      <c r="S453" s="970"/>
    </row>
    <row r="454" ht="15.75" customHeight="1">
      <c r="D454" s="314"/>
      <c r="E454" s="314"/>
      <c r="F454" s="314"/>
      <c r="G454" s="1633"/>
      <c r="H454" s="1634"/>
      <c r="I454" s="1338"/>
      <c r="J454" s="1168"/>
      <c r="K454" s="1635"/>
      <c r="L454" s="1636"/>
      <c r="N454" s="585"/>
      <c r="O454" s="1637"/>
      <c r="Q454" s="585"/>
      <c r="R454" s="224"/>
      <c r="S454" s="970"/>
    </row>
    <row r="455" ht="15.75" customHeight="1">
      <c r="D455" s="314"/>
      <c r="E455" s="314"/>
      <c r="F455" s="314"/>
      <c r="G455" s="1633"/>
      <c r="H455" s="1634"/>
      <c r="I455" s="1338"/>
      <c r="J455" s="1168"/>
      <c r="K455" s="1635"/>
      <c r="L455" s="1636"/>
      <c r="N455" s="585"/>
      <c r="O455" s="1637"/>
      <c r="Q455" s="585"/>
      <c r="R455" s="224"/>
      <c r="S455" s="970"/>
    </row>
    <row r="456" ht="15.75" customHeight="1">
      <c r="D456" s="314"/>
      <c r="E456" s="314"/>
      <c r="F456" s="314"/>
      <c r="G456" s="1633"/>
      <c r="H456" s="1634"/>
      <c r="I456" s="1338"/>
      <c r="J456" s="1168"/>
      <c r="K456" s="1635"/>
      <c r="L456" s="1636"/>
      <c r="N456" s="585"/>
      <c r="O456" s="1637"/>
      <c r="Q456" s="585"/>
      <c r="R456" s="224"/>
      <c r="S456" s="970"/>
    </row>
    <row r="457" ht="15.75" customHeight="1">
      <c r="D457" s="314"/>
      <c r="E457" s="314"/>
      <c r="F457" s="314"/>
      <c r="G457" s="1633"/>
      <c r="H457" s="1634"/>
      <c r="I457" s="1338"/>
      <c r="J457" s="1168"/>
      <c r="K457" s="1635"/>
      <c r="L457" s="1636"/>
      <c r="N457" s="585"/>
      <c r="O457" s="1637"/>
      <c r="Q457" s="585"/>
      <c r="R457" s="224"/>
      <c r="S457" s="970"/>
    </row>
    <row r="458" ht="15.75" customHeight="1">
      <c r="D458" s="314"/>
      <c r="E458" s="314"/>
      <c r="F458" s="314"/>
      <c r="G458" s="1633"/>
      <c r="H458" s="1634"/>
      <c r="I458" s="1338"/>
      <c r="J458" s="1168"/>
      <c r="K458" s="1635"/>
      <c r="L458" s="1636"/>
      <c r="N458" s="585"/>
      <c r="O458" s="1637"/>
      <c r="Q458" s="585"/>
      <c r="R458" s="224"/>
      <c r="S458" s="970"/>
    </row>
    <row r="459" ht="15.75" customHeight="1">
      <c r="D459" s="314"/>
      <c r="E459" s="314"/>
      <c r="F459" s="314"/>
      <c r="G459" s="1633"/>
      <c r="H459" s="1634"/>
      <c r="I459" s="1338"/>
      <c r="J459" s="1168"/>
      <c r="K459" s="1635"/>
      <c r="L459" s="1636"/>
      <c r="N459" s="585"/>
      <c r="O459" s="1637"/>
      <c r="Q459" s="585"/>
      <c r="R459" s="224"/>
      <c r="S459" s="970"/>
    </row>
    <row r="460" ht="15.75" customHeight="1">
      <c r="D460" s="314"/>
      <c r="E460" s="314"/>
      <c r="F460" s="314"/>
      <c r="G460" s="1633"/>
      <c r="H460" s="1634"/>
      <c r="I460" s="1338"/>
      <c r="J460" s="1168"/>
      <c r="K460" s="1635"/>
      <c r="L460" s="1636"/>
      <c r="N460" s="585"/>
      <c r="O460" s="1637"/>
      <c r="Q460" s="585"/>
      <c r="R460" s="224"/>
      <c r="S460" s="970"/>
    </row>
    <row r="461" ht="15.75" customHeight="1">
      <c r="D461" s="314"/>
      <c r="E461" s="314"/>
      <c r="F461" s="314"/>
      <c r="G461" s="1633"/>
      <c r="H461" s="1634"/>
      <c r="I461" s="1338"/>
      <c r="J461" s="1168"/>
      <c r="K461" s="1635"/>
      <c r="L461" s="1636"/>
      <c r="N461" s="585"/>
      <c r="O461" s="1637"/>
      <c r="Q461" s="585"/>
      <c r="R461" s="224"/>
      <c r="S461" s="970"/>
    </row>
    <row r="462" ht="15.75" customHeight="1">
      <c r="D462" s="314"/>
      <c r="E462" s="314"/>
      <c r="F462" s="314"/>
      <c r="G462" s="1633"/>
      <c r="H462" s="1634"/>
      <c r="I462" s="1338"/>
      <c r="J462" s="1168"/>
      <c r="K462" s="1635"/>
      <c r="L462" s="1636"/>
      <c r="N462" s="585"/>
      <c r="O462" s="1637"/>
      <c r="Q462" s="585"/>
      <c r="R462" s="224"/>
      <c r="S462" s="970"/>
    </row>
    <row r="463" ht="15.75" customHeight="1">
      <c r="D463" s="314"/>
      <c r="E463" s="314"/>
      <c r="F463" s="314"/>
      <c r="G463" s="1633"/>
      <c r="H463" s="1634"/>
      <c r="I463" s="1338"/>
      <c r="J463" s="1168"/>
      <c r="K463" s="1635"/>
      <c r="L463" s="1636"/>
      <c r="N463" s="585"/>
      <c r="O463" s="1637"/>
      <c r="Q463" s="585"/>
      <c r="R463" s="224"/>
      <c r="S463" s="970"/>
    </row>
    <row r="464" ht="15.75" customHeight="1">
      <c r="D464" s="314"/>
      <c r="E464" s="314"/>
      <c r="F464" s="314"/>
      <c r="G464" s="1633"/>
      <c r="H464" s="1634"/>
      <c r="I464" s="1338"/>
      <c r="J464" s="1168"/>
      <c r="K464" s="1635"/>
      <c r="L464" s="1636"/>
      <c r="N464" s="585"/>
      <c r="O464" s="1637"/>
      <c r="Q464" s="585"/>
      <c r="R464" s="224"/>
      <c r="S464" s="970"/>
    </row>
    <row r="465" ht="15.75" customHeight="1">
      <c r="D465" s="314"/>
      <c r="E465" s="314"/>
      <c r="F465" s="314"/>
      <c r="G465" s="1633"/>
      <c r="H465" s="1634"/>
      <c r="I465" s="1338"/>
      <c r="J465" s="1168"/>
      <c r="K465" s="1635"/>
      <c r="L465" s="1636"/>
      <c r="N465" s="585"/>
      <c r="O465" s="1637"/>
      <c r="Q465" s="585"/>
      <c r="R465" s="224"/>
      <c r="S465" s="970"/>
    </row>
    <row r="466" ht="15.75" customHeight="1">
      <c r="D466" s="314"/>
      <c r="E466" s="314"/>
      <c r="F466" s="314"/>
      <c r="G466" s="1633"/>
      <c r="H466" s="1634"/>
      <c r="I466" s="1338"/>
      <c r="J466" s="1168"/>
      <c r="K466" s="1635"/>
      <c r="L466" s="1636"/>
      <c r="N466" s="585"/>
      <c r="O466" s="1637"/>
      <c r="Q466" s="585"/>
      <c r="R466" s="224"/>
      <c r="S466" s="970"/>
    </row>
    <row r="467" ht="15.75" customHeight="1">
      <c r="D467" s="314"/>
      <c r="E467" s="314"/>
      <c r="F467" s="314"/>
      <c r="G467" s="1633"/>
      <c r="H467" s="1634"/>
      <c r="I467" s="1338"/>
      <c r="J467" s="1168"/>
      <c r="K467" s="1635"/>
      <c r="L467" s="1636"/>
      <c r="N467" s="585"/>
      <c r="O467" s="1637"/>
      <c r="Q467" s="585"/>
      <c r="R467" s="224"/>
      <c r="S467" s="970"/>
    </row>
    <row r="468" ht="15.75" customHeight="1">
      <c r="D468" s="314"/>
      <c r="E468" s="314"/>
      <c r="F468" s="314"/>
      <c r="G468" s="1633"/>
      <c r="H468" s="1634"/>
      <c r="I468" s="1338"/>
      <c r="J468" s="1168"/>
      <c r="K468" s="1635"/>
      <c r="L468" s="1636"/>
      <c r="N468" s="585"/>
      <c r="O468" s="1637"/>
      <c r="Q468" s="585"/>
      <c r="R468" s="224"/>
      <c r="S468" s="970"/>
    </row>
    <row r="469" ht="15.75" customHeight="1">
      <c r="D469" s="314"/>
      <c r="E469" s="314"/>
      <c r="F469" s="314"/>
      <c r="G469" s="1633"/>
      <c r="H469" s="1634"/>
      <c r="I469" s="1338"/>
      <c r="J469" s="1168"/>
      <c r="K469" s="1635"/>
      <c r="L469" s="1636"/>
      <c r="N469" s="585"/>
      <c r="O469" s="1637"/>
      <c r="Q469" s="585"/>
      <c r="R469" s="224"/>
      <c r="S469" s="970"/>
    </row>
    <row r="470" ht="15.75" customHeight="1">
      <c r="D470" s="314"/>
      <c r="E470" s="314"/>
      <c r="F470" s="314"/>
      <c r="G470" s="1633"/>
      <c r="H470" s="1634"/>
      <c r="I470" s="1338"/>
      <c r="J470" s="1168"/>
      <c r="K470" s="1635"/>
      <c r="L470" s="1636"/>
      <c r="N470" s="585"/>
      <c r="O470" s="1637"/>
      <c r="Q470" s="585"/>
      <c r="R470" s="224"/>
      <c r="S470" s="970"/>
    </row>
    <row r="471" ht="15.75" customHeight="1">
      <c r="D471" s="314"/>
      <c r="E471" s="314"/>
      <c r="F471" s="314"/>
      <c r="G471" s="1633"/>
      <c r="H471" s="1634"/>
      <c r="I471" s="1338"/>
      <c r="J471" s="1168"/>
      <c r="K471" s="1635"/>
      <c r="L471" s="1636"/>
      <c r="N471" s="585"/>
      <c r="O471" s="1637"/>
      <c r="Q471" s="585"/>
      <c r="R471" s="224"/>
      <c r="S471" s="970"/>
    </row>
    <row r="472" ht="15.75" customHeight="1">
      <c r="D472" s="314"/>
      <c r="E472" s="314"/>
      <c r="F472" s="314"/>
      <c r="G472" s="1633"/>
      <c r="H472" s="1634"/>
      <c r="I472" s="1338"/>
      <c r="J472" s="1168"/>
      <c r="K472" s="1635"/>
      <c r="L472" s="1636"/>
      <c r="N472" s="585"/>
      <c r="O472" s="1637"/>
      <c r="Q472" s="585"/>
      <c r="R472" s="224"/>
      <c r="S472" s="970"/>
    </row>
    <row r="473" ht="15.75" customHeight="1">
      <c r="D473" s="314"/>
      <c r="E473" s="314"/>
      <c r="F473" s="314"/>
      <c r="G473" s="1633"/>
      <c r="H473" s="1634"/>
      <c r="I473" s="1338"/>
      <c r="J473" s="1168"/>
      <c r="K473" s="1635"/>
      <c r="L473" s="1636"/>
      <c r="N473" s="585"/>
      <c r="O473" s="1637"/>
      <c r="Q473" s="585"/>
      <c r="R473" s="224"/>
      <c r="S473" s="970"/>
    </row>
    <row r="474" ht="15.75" customHeight="1">
      <c r="D474" s="314"/>
      <c r="E474" s="314"/>
      <c r="F474" s="314"/>
      <c r="G474" s="1633"/>
      <c r="H474" s="1634"/>
      <c r="I474" s="1338"/>
      <c r="J474" s="1168"/>
      <c r="K474" s="1635"/>
      <c r="L474" s="1636"/>
      <c r="N474" s="585"/>
      <c r="O474" s="1637"/>
      <c r="Q474" s="585"/>
      <c r="R474" s="224"/>
      <c r="S474" s="970"/>
    </row>
    <row r="475" ht="15.75" customHeight="1">
      <c r="D475" s="314"/>
      <c r="E475" s="314"/>
      <c r="F475" s="314"/>
      <c r="G475" s="1633"/>
      <c r="H475" s="1634"/>
      <c r="I475" s="1338"/>
      <c r="J475" s="1168"/>
      <c r="K475" s="1635"/>
      <c r="L475" s="1636"/>
      <c r="N475" s="585"/>
      <c r="O475" s="1637"/>
      <c r="Q475" s="585"/>
      <c r="R475" s="224"/>
      <c r="S475" s="970"/>
    </row>
    <row r="476" ht="15.75" customHeight="1">
      <c r="D476" s="314"/>
      <c r="E476" s="314"/>
      <c r="F476" s="314"/>
      <c r="G476" s="1633"/>
      <c r="H476" s="1634"/>
      <c r="I476" s="1338"/>
      <c r="J476" s="1168"/>
      <c r="K476" s="1635"/>
      <c r="L476" s="1636"/>
      <c r="N476" s="585"/>
      <c r="O476" s="1637"/>
      <c r="Q476" s="585"/>
      <c r="R476" s="224"/>
      <c r="S476" s="970"/>
    </row>
    <row r="477" ht="15.75" customHeight="1">
      <c r="D477" s="314"/>
      <c r="E477" s="314"/>
      <c r="F477" s="314"/>
      <c r="G477" s="1633"/>
      <c r="H477" s="1634"/>
      <c r="I477" s="1338"/>
      <c r="J477" s="1168"/>
      <c r="K477" s="1635"/>
      <c r="L477" s="1636"/>
      <c r="N477" s="585"/>
      <c r="O477" s="1637"/>
      <c r="Q477" s="585"/>
      <c r="R477" s="224"/>
      <c r="S477" s="970"/>
    </row>
    <row r="478" ht="15.75" customHeight="1">
      <c r="D478" s="314"/>
      <c r="E478" s="314"/>
      <c r="F478" s="314"/>
      <c r="G478" s="1633"/>
      <c r="H478" s="1634"/>
      <c r="I478" s="1338"/>
      <c r="J478" s="1168"/>
      <c r="K478" s="1635"/>
      <c r="L478" s="1636"/>
      <c r="N478" s="585"/>
      <c r="O478" s="1637"/>
      <c r="Q478" s="585"/>
      <c r="R478" s="224"/>
      <c r="S478" s="970"/>
    </row>
    <row r="479" ht="15.75" customHeight="1">
      <c r="D479" s="314"/>
      <c r="E479" s="314"/>
      <c r="F479" s="314"/>
      <c r="G479" s="1633"/>
      <c r="H479" s="1634"/>
      <c r="I479" s="1338"/>
      <c r="J479" s="1168"/>
      <c r="K479" s="1635"/>
      <c r="L479" s="1636"/>
      <c r="N479" s="585"/>
      <c r="O479" s="1637"/>
      <c r="Q479" s="585"/>
      <c r="R479" s="224"/>
      <c r="S479" s="970"/>
    </row>
    <row r="480" ht="15.75" customHeight="1">
      <c r="D480" s="314"/>
      <c r="E480" s="314"/>
      <c r="F480" s="314"/>
      <c r="G480" s="1633"/>
      <c r="H480" s="1634"/>
      <c r="I480" s="1338"/>
      <c r="J480" s="1168"/>
      <c r="K480" s="1635"/>
      <c r="L480" s="1636"/>
      <c r="N480" s="585"/>
      <c r="O480" s="1637"/>
      <c r="Q480" s="585"/>
      <c r="R480" s="224"/>
      <c r="S480" s="970"/>
    </row>
    <row r="481" ht="15.75" customHeight="1">
      <c r="D481" s="314"/>
      <c r="E481" s="314"/>
      <c r="F481" s="314"/>
      <c r="G481" s="1633"/>
      <c r="H481" s="1634"/>
      <c r="I481" s="1338"/>
      <c r="J481" s="1168"/>
      <c r="K481" s="1635"/>
      <c r="L481" s="1636"/>
      <c r="N481" s="585"/>
      <c r="O481" s="1637"/>
      <c r="Q481" s="585"/>
      <c r="R481" s="224"/>
      <c r="S481" s="970"/>
    </row>
    <row r="482" ht="15.75" customHeight="1">
      <c r="D482" s="314"/>
      <c r="E482" s="314"/>
      <c r="F482" s="314"/>
      <c r="G482" s="1633"/>
      <c r="H482" s="1634"/>
      <c r="I482" s="1338"/>
      <c r="J482" s="1168"/>
      <c r="K482" s="1635"/>
      <c r="L482" s="1636"/>
      <c r="N482" s="585"/>
      <c r="O482" s="1637"/>
      <c r="Q482" s="585"/>
      <c r="R482" s="224"/>
      <c r="S482" s="970"/>
    </row>
    <row r="483" ht="15.75" customHeight="1">
      <c r="D483" s="314"/>
      <c r="E483" s="314"/>
      <c r="F483" s="314"/>
      <c r="G483" s="1633"/>
      <c r="H483" s="1634"/>
      <c r="I483" s="1338"/>
      <c r="J483" s="1168"/>
      <c r="K483" s="1635"/>
      <c r="L483" s="1636"/>
      <c r="N483" s="585"/>
      <c r="O483" s="1637"/>
      <c r="Q483" s="585"/>
      <c r="R483" s="224"/>
      <c r="S483" s="970"/>
    </row>
    <row r="484" ht="15.75" customHeight="1">
      <c r="D484" s="314"/>
      <c r="E484" s="314"/>
      <c r="F484" s="314"/>
      <c r="G484" s="1633"/>
      <c r="H484" s="1634"/>
      <c r="I484" s="1338"/>
      <c r="J484" s="1168"/>
      <c r="K484" s="1635"/>
      <c r="L484" s="1636"/>
      <c r="N484" s="585"/>
      <c r="O484" s="1637"/>
      <c r="Q484" s="585"/>
      <c r="R484" s="224"/>
      <c r="S484" s="970"/>
    </row>
    <row r="485" ht="15.75" customHeight="1">
      <c r="D485" s="314"/>
      <c r="E485" s="314"/>
      <c r="F485" s="314"/>
      <c r="G485" s="1633"/>
      <c r="H485" s="1634"/>
      <c r="I485" s="1338"/>
      <c r="J485" s="1168"/>
      <c r="K485" s="1635"/>
      <c r="L485" s="1636"/>
      <c r="N485" s="585"/>
      <c r="O485" s="1637"/>
      <c r="Q485" s="585"/>
      <c r="R485" s="224"/>
      <c r="S485" s="970"/>
    </row>
    <row r="486" ht="15.75" customHeight="1">
      <c r="D486" s="314"/>
      <c r="E486" s="314"/>
      <c r="F486" s="314"/>
      <c r="G486" s="1633"/>
      <c r="H486" s="1634"/>
      <c r="I486" s="1338"/>
      <c r="J486" s="1168"/>
      <c r="K486" s="1635"/>
      <c r="L486" s="1636"/>
      <c r="N486" s="585"/>
      <c r="O486" s="1637"/>
      <c r="Q486" s="585"/>
      <c r="R486" s="224"/>
      <c r="S486" s="970"/>
    </row>
    <row r="487" ht="15.75" customHeight="1">
      <c r="D487" s="314"/>
      <c r="E487" s="314"/>
      <c r="F487" s="314"/>
      <c r="G487" s="1633"/>
      <c r="H487" s="1634"/>
      <c r="I487" s="1338"/>
      <c r="J487" s="1168"/>
      <c r="K487" s="1635"/>
      <c r="L487" s="1636"/>
      <c r="N487" s="585"/>
      <c r="O487" s="1637"/>
      <c r="Q487" s="585"/>
      <c r="R487" s="224"/>
      <c r="S487" s="970"/>
    </row>
    <row r="488" ht="15.75" customHeight="1">
      <c r="D488" s="314"/>
      <c r="E488" s="314"/>
      <c r="F488" s="314"/>
      <c r="G488" s="1633"/>
      <c r="H488" s="1634"/>
      <c r="I488" s="1338"/>
      <c r="J488" s="1168"/>
      <c r="K488" s="1635"/>
      <c r="L488" s="1636"/>
      <c r="N488" s="585"/>
      <c r="O488" s="1637"/>
      <c r="Q488" s="585"/>
      <c r="R488" s="224"/>
      <c r="S488" s="970"/>
    </row>
    <row r="489" ht="15.75" customHeight="1">
      <c r="D489" s="314"/>
      <c r="E489" s="314"/>
      <c r="F489" s="314"/>
      <c r="G489" s="1633"/>
      <c r="H489" s="1634"/>
      <c r="I489" s="1338"/>
      <c r="J489" s="1168"/>
      <c r="K489" s="1635"/>
      <c r="L489" s="1636"/>
      <c r="N489" s="585"/>
      <c r="O489" s="1637"/>
      <c r="Q489" s="585"/>
      <c r="R489" s="224"/>
      <c r="S489" s="970"/>
    </row>
    <row r="490" ht="15.75" customHeight="1">
      <c r="D490" s="314"/>
      <c r="E490" s="314"/>
      <c r="F490" s="314"/>
      <c r="G490" s="1633"/>
      <c r="H490" s="1634"/>
      <c r="I490" s="1338"/>
      <c r="J490" s="1168"/>
      <c r="K490" s="1635"/>
      <c r="L490" s="1636"/>
      <c r="N490" s="585"/>
      <c r="O490" s="1637"/>
      <c r="Q490" s="585"/>
      <c r="R490" s="224"/>
      <c r="S490" s="970"/>
    </row>
    <row r="491" ht="15.75" customHeight="1">
      <c r="D491" s="314"/>
      <c r="E491" s="314"/>
      <c r="F491" s="314"/>
      <c r="G491" s="1633"/>
      <c r="H491" s="1634"/>
      <c r="I491" s="1338"/>
      <c r="J491" s="1168"/>
      <c r="K491" s="1635"/>
      <c r="L491" s="1636"/>
      <c r="N491" s="585"/>
      <c r="O491" s="1637"/>
      <c r="Q491" s="585"/>
      <c r="R491" s="224"/>
      <c r="S491" s="970"/>
    </row>
    <row r="492" ht="15.75" customHeight="1">
      <c r="D492" s="314"/>
      <c r="E492" s="314"/>
      <c r="F492" s="314"/>
      <c r="G492" s="1633"/>
      <c r="H492" s="1634"/>
      <c r="I492" s="1338"/>
      <c r="J492" s="1168"/>
      <c r="K492" s="1635"/>
      <c r="L492" s="1636"/>
      <c r="N492" s="585"/>
      <c r="O492" s="1637"/>
      <c r="Q492" s="585"/>
      <c r="R492" s="224"/>
      <c r="S492" s="970"/>
    </row>
    <row r="493" ht="15.75" customHeight="1">
      <c r="D493" s="314"/>
      <c r="E493" s="314"/>
      <c r="F493" s="314"/>
      <c r="G493" s="1633"/>
      <c r="H493" s="1634"/>
      <c r="I493" s="1338"/>
      <c r="J493" s="1168"/>
      <c r="K493" s="1635"/>
      <c r="L493" s="1636"/>
      <c r="N493" s="585"/>
      <c r="O493" s="1637"/>
      <c r="Q493" s="585"/>
      <c r="R493" s="224"/>
      <c r="S493" s="970"/>
    </row>
    <row r="494" ht="15.75" customHeight="1">
      <c r="D494" s="314"/>
      <c r="E494" s="314"/>
      <c r="F494" s="314"/>
      <c r="G494" s="1633"/>
      <c r="H494" s="1634"/>
      <c r="I494" s="1338"/>
      <c r="J494" s="1168"/>
      <c r="K494" s="1635"/>
      <c r="L494" s="1636"/>
      <c r="N494" s="585"/>
      <c r="O494" s="1637"/>
      <c r="Q494" s="585"/>
      <c r="R494" s="224"/>
      <c r="S494" s="970"/>
    </row>
    <row r="495" ht="15.75" customHeight="1">
      <c r="D495" s="314"/>
      <c r="E495" s="314"/>
      <c r="F495" s="314"/>
      <c r="G495" s="1633"/>
      <c r="H495" s="1634"/>
      <c r="I495" s="1338"/>
      <c r="J495" s="1168"/>
      <c r="K495" s="1635"/>
      <c r="L495" s="1636"/>
      <c r="N495" s="585"/>
      <c r="O495" s="1637"/>
      <c r="Q495" s="585"/>
      <c r="R495" s="224"/>
      <c r="S495" s="970"/>
    </row>
    <row r="496" ht="15.75" customHeight="1">
      <c r="D496" s="314"/>
      <c r="E496" s="314"/>
      <c r="F496" s="314"/>
      <c r="G496" s="1633"/>
      <c r="H496" s="1634"/>
      <c r="I496" s="1338"/>
      <c r="J496" s="1168"/>
      <c r="K496" s="1635"/>
      <c r="L496" s="1636"/>
      <c r="N496" s="585"/>
      <c r="O496" s="1637"/>
      <c r="Q496" s="585"/>
      <c r="R496" s="224"/>
      <c r="S496" s="970"/>
    </row>
    <row r="497" ht="15.75" customHeight="1">
      <c r="D497" s="314"/>
      <c r="E497" s="314"/>
      <c r="F497" s="314"/>
      <c r="G497" s="1633"/>
      <c r="H497" s="1634"/>
      <c r="I497" s="1338"/>
      <c r="J497" s="1168"/>
      <c r="K497" s="1635"/>
      <c r="L497" s="1636"/>
      <c r="N497" s="585"/>
      <c r="O497" s="1637"/>
      <c r="Q497" s="585"/>
      <c r="R497" s="224"/>
      <c r="S497" s="970"/>
    </row>
    <row r="498" ht="15.75" customHeight="1">
      <c r="D498" s="314"/>
      <c r="E498" s="314"/>
      <c r="F498" s="314"/>
      <c r="G498" s="1633"/>
      <c r="H498" s="1634"/>
      <c r="I498" s="1338"/>
      <c r="J498" s="1168"/>
      <c r="K498" s="1635"/>
      <c r="L498" s="1636"/>
      <c r="N498" s="585"/>
      <c r="O498" s="1637"/>
      <c r="Q498" s="585"/>
      <c r="R498" s="224"/>
      <c r="S498" s="970"/>
    </row>
    <row r="499" ht="15.75" customHeight="1">
      <c r="D499" s="314"/>
      <c r="E499" s="314"/>
      <c r="F499" s="314"/>
      <c r="G499" s="1633"/>
      <c r="H499" s="1634"/>
      <c r="I499" s="1338"/>
      <c r="J499" s="1168"/>
      <c r="K499" s="1635"/>
      <c r="L499" s="1636"/>
      <c r="N499" s="585"/>
      <c r="O499" s="1637"/>
      <c r="Q499" s="585"/>
      <c r="R499" s="224"/>
      <c r="S499" s="970"/>
    </row>
    <row r="500" ht="15.75" customHeight="1">
      <c r="D500" s="314"/>
      <c r="E500" s="314"/>
      <c r="F500" s="314"/>
      <c r="G500" s="1633"/>
      <c r="H500" s="1634"/>
      <c r="I500" s="1338"/>
      <c r="J500" s="1168"/>
      <c r="K500" s="1635"/>
      <c r="L500" s="1636"/>
      <c r="N500" s="585"/>
      <c r="O500" s="1637"/>
      <c r="Q500" s="585"/>
      <c r="R500" s="224"/>
      <c r="S500" s="970"/>
    </row>
    <row r="501" ht="15.75" customHeight="1">
      <c r="D501" s="314"/>
      <c r="E501" s="314"/>
      <c r="F501" s="314"/>
      <c r="G501" s="1633"/>
      <c r="H501" s="1634"/>
      <c r="I501" s="1338"/>
      <c r="J501" s="1168"/>
      <c r="K501" s="1635"/>
      <c r="L501" s="1636"/>
      <c r="N501" s="585"/>
      <c r="O501" s="1637"/>
      <c r="Q501" s="585"/>
      <c r="R501" s="224"/>
      <c r="S501" s="970"/>
    </row>
    <row r="502" ht="15.75" customHeight="1">
      <c r="D502" s="314"/>
      <c r="E502" s="314"/>
      <c r="F502" s="314"/>
      <c r="G502" s="1633"/>
      <c r="H502" s="1634"/>
      <c r="I502" s="1338"/>
      <c r="J502" s="1168"/>
      <c r="K502" s="1635"/>
      <c r="L502" s="1636"/>
      <c r="N502" s="585"/>
      <c r="O502" s="1637"/>
      <c r="Q502" s="585"/>
      <c r="R502" s="224"/>
      <c r="S502" s="970"/>
    </row>
    <row r="503" ht="15.75" customHeight="1">
      <c r="D503" s="314"/>
      <c r="E503" s="314"/>
      <c r="F503" s="314"/>
      <c r="G503" s="1633"/>
      <c r="H503" s="1634"/>
      <c r="I503" s="1338"/>
      <c r="J503" s="1168"/>
      <c r="K503" s="1635"/>
      <c r="L503" s="1636"/>
      <c r="N503" s="585"/>
      <c r="O503" s="1637"/>
      <c r="Q503" s="585"/>
      <c r="R503" s="224"/>
      <c r="S503" s="970"/>
    </row>
    <row r="504" ht="15.75" customHeight="1">
      <c r="D504" s="314"/>
      <c r="E504" s="314"/>
      <c r="F504" s="314"/>
      <c r="G504" s="1633"/>
      <c r="H504" s="1634"/>
      <c r="I504" s="1338"/>
      <c r="J504" s="1168"/>
      <c r="K504" s="1635"/>
      <c r="L504" s="1636"/>
      <c r="N504" s="585"/>
      <c r="O504" s="1637"/>
      <c r="Q504" s="585"/>
      <c r="R504" s="224"/>
      <c r="S504" s="970"/>
    </row>
    <row r="505" ht="15.75" customHeight="1">
      <c r="D505" s="314"/>
      <c r="E505" s="314"/>
      <c r="F505" s="314"/>
      <c r="G505" s="1633"/>
      <c r="H505" s="1634"/>
      <c r="I505" s="1338"/>
      <c r="J505" s="1168"/>
      <c r="K505" s="1635"/>
      <c r="L505" s="1636"/>
      <c r="N505" s="585"/>
      <c r="O505" s="1637"/>
      <c r="Q505" s="585"/>
      <c r="R505" s="224"/>
      <c r="S505" s="970"/>
    </row>
    <row r="506" ht="15.75" customHeight="1">
      <c r="D506" s="314"/>
      <c r="E506" s="314"/>
      <c r="F506" s="314"/>
      <c r="G506" s="1633"/>
      <c r="H506" s="1634"/>
      <c r="I506" s="1338"/>
      <c r="J506" s="1168"/>
      <c r="K506" s="1635"/>
      <c r="L506" s="1636"/>
      <c r="N506" s="585"/>
      <c r="O506" s="1637"/>
      <c r="Q506" s="585"/>
      <c r="R506" s="224"/>
      <c r="S506" s="970"/>
    </row>
    <row r="507" ht="15.75" customHeight="1">
      <c r="D507" s="314"/>
      <c r="E507" s="314"/>
      <c r="F507" s="314"/>
      <c r="G507" s="1633"/>
      <c r="H507" s="1634"/>
      <c r="I507" s="1338"/>
      <c r="J507" s="1168"/>
      <c r="K507" s="1635"/>
      <c r="L507" s="1636"/>
      <c r="N507" s="585"/>
      <c r="O507" s="1637"/>
      <c r="Q507" s="585"/>
      <c r="R507" s="224"/>
      <c r="S507" s="970"/>
    </row>
    <row r="508" ht="15.75" customHeight="1">
      <c r="D508" s="314"/>
      <c r="E508" s="314"/>
      <c r="F508" s="314"/>
      <c r="G508" s="1633"/>
      <c r="H508" s="1634"/>
      <c r="I508" s="1338"/>
      <c r="J508" s="1168"/>
      <c r="K508" s="1635"/>
      <c r="L508" s="1636"/>
      <c r="N508" s="585"/>
      <c r="O508" s="1637"/>
      <c r="Q508" s="585"/>
      <c r="R508" s="224"/>
      <c r="S508" s="970"/>
    </row>
    <row r="509" ht="15.75" customHeight="1">
      <c r="D509" s="314"/>
      <c r="E509" s="314"/>
      <c r="F509" s="314"/>
      <c r="G509" s="1633"/>
      <c r="H509" s="1634"/>
      <c r="I509" s="1338"/>
      <c r="J509" s="1168"/>
      <c r="K509" s="1635"/>
      <c r="L509" s="1636"/>
      <c r="N509" s="585"/>
      <c r="O509" s="1637"/>
      <c r="Q509" s="585"/>
      <c r="R509" s="224"/>
      <c r="S509" s="970"/>
    </row>
    <row r="510" ht="15.75" customHeight="1">
      <c r="D510" s="314"/>
      <c r="E510" s="314"/>
      <c r="F510" s="314"/>
      <c r="G510" s="1633"/>
      <c r="H510" s="1634"/>
      <c r="I510" s="1338"/>
      <c r="J510" s="1168"/>
      <c r="K510" s="1635"/>
      <c r="L510" s="1636"/>
      <c r="N510" s="585"/>
      <c r="O510" s="1637"/>
      <c r="Q510" s="585"/>
      <c r="R510" s="224"/>
      <c r="S510" s="970"/>
    </row>
    <row r="511" ht="15.75" customHeight="1">
      <c r="D511" s="314"/>
      <c r="E511" s="314"/>
      <c r="F511" s="314"/>
      <c r="G511" s="1633"/>
      <c r="H511" s="1634"/>
      <c r="I511" s="1338"/>
      <c r="J511" s="1168"/>
      <c r="K511" s="1635"/>
      <c r="L511" s="1636"/>
      <c r="N511" s="585"/>
      <c r="O511" s="1637"/>
      <c r="Q511" s="585"/>
      <c r="R511" s="224"/>
      <c r="S511" s="970"/>
    </row>
    <row r="512" ht="15.75" customHeight="1">
      <c r="D512" s="314"/>
      <c r="E512" s="314"/>
      <c r="F512" s="314"/>
      <c r="G512" s="1633"/>
      <c r="H512" s="1634"/>
      <c r="I512" s="1338"/>
      <c r="J512" s="1168"/>
      <c r="K512" s="1635"/>
      <c r="L512" s="1636"/>
      <c r="N512" s="585"/>
      <c r="O512" s="1637"/>
      <c r="Q512" s="585"/>
      <c r="R512" s="224"/>
      <c r="S512" s="970"/>
    </row>
    <row r="513" ht="15.75" customHeight="1">
      <c r="D513" s="314"/>
      <c r="E513" s="314"/>
      <c r="F513" s="314"/>
      <c r="G513" s="1633"/>
      <c r="H513" s="1634"/>
      <c r="I513" s="1338"/>
      <c r="J513" s="1168"/>
      <c r="K513" s="1635"/>
      <c r="L513" s="1636"/>
      <c r="N513" s="585"/>
      <c r="O513" s="1637"/>
      <c r="Q513" s="585"/>
      <c r="R513" s="224"/>
      <c r="S513" s="970"/>
    </row>
    <row r="514" ht="15.75" customHeight="1">
      <c r="D514" s="314"/>
      <c r="E514" s="314"/>
      <c r="F514" s="314"/>
      <c r="G514" s="1633"/>
      <c r="H514" s="1634"/>
      <c r="I514" s="1338"/>
      <c r="J514" s="1168"/>
      <c r="K514" s="1635"/>
      <c r="L514" s="1636"/>
      <c r="N514" s="585"/>
      <c r="O514" s="1637"/>
      <c r="Q514" s="585"/>
      <c r="R514" s="224"/>
      <c r="S514" s="970"/>
    </row>
    <row r="515" ht="15.75" customHeight="1">
      <c r="D515" s="314"/>
      <c r="E515" s="314"/>
      <c r="F515" s="314"/>
      <c r="G515" s="1633"/>
      <c r="H515" s="1634"/>
      <c r="I515" s="1338"/>
      <c r="J515" s="1168"/>
      <c r="K515" s="1635"/>
      <c r="L515" s="1636"/>
      <c r="N515" s="585"/>
      <c r="O515" s="1637"/>
      <c r="Q515" s="585"/>
      <c r="R515" s="224"/>
      <c r="S515" s="970"/>
    </row>
    <row r="516" ht="15.75" customHeight="1">
      <c r="D516" s="314"/>
      <c r="E516" s="314"/>
      <c r="F516" s="314"/>
      <c r="G516" s="1633"/>
      <c r="H516" s="1634"/>
      <c r="I516" s="1338"/>
      <c r="J516" s="1168"/>
      <c r="K516" s="1635"/>
      <c r="L516" s="1636"/>
      <c r="N516" s="585"/>
      <c r="O516" s="1637"/>
      <c r="Q516" s="585"/>
      <c r="R516" s="224"/>
      <c r="S516" s="970"/>
    </row>
    <row r="517" ht="15.75" customHeight="1">
      <c r="D517" s="314"/>
      <c r="E517" s="314"/>
      <c r="F517" s="314"/>
      <c r="G517" s="1633"/>
      <c r="H517" s="1634"/>
      <c r="I517" s="1338"/>
      <c r="J517" s="1168"/>
      <c r="K517" s="1635"/>
      <c r="L517" s="1636"/>
      <c r="N517" s="585"/>
      <c r="O517" s="1637"/>
      <c r="Q517" s="585"/>
      <c r="R517" s="224"/>
      <c r="S517" s="970"/>
    </row>
    <row r="518" ht="15.75" customHeight="1">
      <c r="D518" s="314"/>
      <c r="E518" s="314"/>
      <c r="F518" s="314"/>
      <c r="G518" s="1633"/>
      <c r="H518" s="1634"/>
      <c r="I518" s="1338"/>
      <c r="J518" s="1168"/>
      <c r="K518" s="1635"/>
      <c r="L518" s="1636"/>
      <c r="N518" s="585"/>
      <c r="O518" s="1637"/>
      <c r="Q518" s="585"/>
      <c r="R518" s="224"/>
      <c r="S518" s="970"/>
    </row>
    <row r="519" ht="15.75" customHeight="1">
      <c r="D519" s="314"/>
      <c r="E519" s="314"/>
      <c r="F519" s="314"/>
      <c r="G519" s="1633"/>
      <c r="H519" s="1634"/>
      <c r="I519" s="1338"/>
      <c r="J519" s="1168"/>
      <c r="K519" s="1635"/>
      <c r="L519" s="1636"/>
      <c r="N519" s="585"/>
      <c r="O519" s="1637"/>
      <c r="Q519" s="585"/>
      <c r="R519" s="224"/>
      <c r="S519" s="970"/>
    </row>
    <row r="520" ht="15.75" customHeight="1">
      <c r="D520" s="314"/>
      <c r="E520" s="314"/>
      <c r="F520" s="314"/>
      <c r="G520" s="1633"/>
      <c r="H520" s="1634"/>
      <c r="I520" s="1338"/>
      <c r="J520" s="1168"/>
      <c r="K520" s="1635"/>
      <c r="L520" s="1636"/>
      <c r="N520" s="585"/>
      <c r="O520" s="1637"/>
      <c r="Q520" s="585"/>
      <c r="R520" s="224"/>
      <c r="S520" s="970"/>
    </row>
    <row r="521" ht="15.75" customHeight="1">
      <c r="D521" s="314"/>
      <c r="E521" s="314"/>
      <c r="F521" s="314"/>
      <c r="G521" s="1633"/>
      <c r="H521" s="1634"/>
      <c r="I521" s="1338"/>
      <c r="J521" s="1168"/>
      <c r="K521" s="1635"/>
      <c r="L521" s="1636"/>
      <c r="N521" s="585"/>
      <c r="O521" s="1637"/>
      <c r="Q521" s="585"/>
      <c r="R521" s="224"/>
      <c r="S521" s="970"/>
    </row>
    <row r="522" ht="15.75" customHeight="1">
      <c r="D522" s="314"/>
      <c r="E522" s="314"/>
      <c r="F522" s="314"/>
      <c r="G522" s="1633"/>
      <c r="H522" s="1634"/>
      <c r="I522" s="1338"/>
      <c r="J522" s="1168"/>
      <c r="K522" s="1635"/>
      <c r="L522" s="1636"/>
      <c r="N522" s="585"/>
      <c r="O522" s="1637"/>
      <c r="Q522" s="585"/>
      <c r="R522" s="224"/>
      <c r="S522" s="970"/>
    </row>
    <row r="523" ht="15.75" customHeight="1">
      <c r="D523" s="314"/>
      <c r="E523" s="314"/>
      <c r="F523" s="314"/>
      <c r="G523" s="1633"/>
      <c r="H523" s="1634"/>
      <c r="I523" s="1338"/>
      <c r="J523" s="1168"/>
      <c r="K523" s="1635"/>
      <c r="L523" s="1636"/>
      <c r="N523" s="585"/>
      <c r="O523" s="1637"/>
      <c r="Q523" s="585"/>
      <c r="R523" s="224"/>
      <c r="S523" s="970"/>
    </row>
    <row r="524" ht="15.75" customHeight="1">
      <c r="D524" s="314"/>
      <c r="E524" s="314"/>
      <c r="F524" s="314"/>
      <c r="G524" s="1633"/>
      <c r="H524" s="1634"/>
      <c r="I524" s="1338"/>
      <c r="J524" s="1168"/>
      <c r="K524" s="1635"/>
      <c r="L524" s="1636"/>
      <c r="N524" s="585"/>
      <c r="O524" s="1637"/>
      <c r="Q524" s="585"/>
      <c r="R524" s="224"/>
      <c r="S524" s="970"/>
    </row>
    <row r="525" ht="15.75" customHeight="1">
      <c r="D525" s="314"/>
      <c r="E525" s="314"/>
      <c r="F525" s="314"/>
      <c r="G525" s="1633"/>
      <c r="H525" s="1634"/>
      <c r="I525" s="1338"/>
      <c r="J525" s="1168"/>
      <c r="K525" s="1635"/>
      <c r="L525" s="1636"/>
      <c r="N525" s="585"/>
      <c r="O525" s="1637"/>
      <c r="Q525" s="585"/>
      <c r="R525" s="224"/>
      <c r="S525" s="970"/>
    </row>
    <row r="526" ht="15.75" customHeight="1">
      <c r="D526" s="314"/>
      <c r="E526" s="314"/>
      <c r="F526" s="314"/>
      <c r="G526" s="1633"/>
      <c r="H526" s="1634"/>
      <c r="I526" s="1338"/>
      <c r="J526" s="1168"/>
      <c r="K526" s="1635"/>
      <c r="L526" s="1636"/>
      <c r="N526" s="585"/>
      <c r="O526" s="1637"/>
      <c r="Q526" s="585"/>
      <c r="R526" s="224"/>
      <c r="S526" s="970"/>
    </row>
    <row r="527" ht="15.75" customHeight="1">
      <c r="D527" s="314"/>
      <c r="E527" s="314"/>
      <c r="F527" s="314"/>
      <c r="G527" s="1633"/>
      <c r="H527" s="1634"/>
      <c r="I527" s="1338"/>
      <c r="J527" s="1168"/>
      <c r="K527" s="1635"/>
      <c r="L527" s="1636"/>
      <c r="N527" s="585"/>
      <c r="O527" s="1637"/>
      <c r="Q527" s="585"/>
      <c r="R527" s="224"/>
      <c r="S527" s="970"/>
    </row>
    <row r="528" ht="15.75" customHeight="1">
      <c r="D528" s="314"/>
      <c r="E528" s="314"/>
      <c r="F528" s="314"/>
      <c r="G528" s="1633"/>
      <c r="H528" s="1634"/>
      <c r="I528" s="1338"/>
      <c r="J528" s="1168"/>
      <c r="K528" s="1635"/>
      <c r="L528" s="1636"/>
      <c r="N528" s="585"/>
      <c r="O528" s="1637"/>
      <c r="Q528" s="585"/>
      <c r="R528" s="224"/>
      <c r="S528" s="970"/>
    </row>
    <row r="529" ht="15.75" customHeight="1">
      <c r="D529" s="314"/>
      <c r="E529" s="314"/>
      <c r="F529" s="314"/>
      <c r="G529" s="1633"/>
      <c r="H529" s="1634"/>
      <c r="I529" s="1338"/>
      <c r="J529" s="1168"/>
      <c r="K529" s="1635"/>
      <c r="L529" s="1636"/>
      <c r="N529" s="585"/>
      <c r="O529" s="1637"/>
      <c r="Q529" s="585"/>
      <c r="R529" s="224"/>
      <c r="S529" s="970"/>
    </row>
    <row r="530" ht="15.75" customHeight="1">
      <c r="D530" s="314"/>
      <c r="E530" s="314"/>
      <c r="F530" s="314"/>
      <c r="G530" s="1633"/>
      <c r="H530" s="1634"/>
      <c r="I530" s="1338"/>
      <c r="J530" s="1168"/>
      <c r="K530" s="1635"/>
      <c r="L530" s="1636"/>
      <c r="N530" s="585"/>
      <c r="O530" s="1637"/>
      <c r="Q530" s="585"/>
      <c r="R530" s="224"/>
      <c r="S530" s="970"/>
    </row>
    <row r="531" ht="15.75" customHeight="1">
      <c r="D531" s="314"/>
      <c r="E531" s="314"/>
      <c r="F531" s="314"/>
      <c r="G531" s="1633"/>
      <c r="H531" s="1634"/>
      <c r="I531" s="1338"/>
      <c r="J531" s="1168"/>
      <c r="K531" s="1635"/>
      <c r="L531" s="1636"/>
      <c r="N531" s="585"/>
      <c r="O531" s="1637"/>
      <c r="Q531" s="585"/>
      <c r="R531" s="224"/>
      <c r="S531" s="970"/>
    </row>
    <row r="532" ht="15.75" customHeight="1">
      <c r="D532" s="314"/>
      <c r="E532" s="314"/>
      <c r="F532" s="314"/>
      <c r="G532" s="1633"/>
      <c r="H532" s="1634"/>
      <c r="I532" s="1338"/>
      <c r="J532" s="1168"/>
      <c r="K532" s="1635"/>
      <c r="L532" s="1636"/>
      <c r="N532" s="585"/>
      <c r="O532" s="1637"/>
      <c r="Q532" s="585"/>
      <c r="R532" s="224"/>
      <c r="S532" s="970"/>
    </row>
    <row r="533" ht="15.75" customHeight="1">
      <c r="D533" s="314"/>
      <c r="E533" s="314"/>
      <c r="F533" s="314"/>
      <c r="G533" s="1633"/>
      <c r="H533" s="1634"/>
      <c r="I533" s="1338"/>
      <c r="J533" s="1168"/>
      <c r="K533" s="1635"/>
      <c r="L533" s="1636"/>
      <c r="N533" s="585"/>
      <c r="O533" s="1637"/>
      <c r="Q533" s="585"/>
      <c r="R533" s="224"/>
      <c r="S533" s="970"/>
    </row>
    <row r="534" ht="15.75" customHeight="1">
      <c r="D534" s="314"/>
      <c r="E534" s="314"/>
      <c r="F534" s="314"/>
      <c r="G534" s="1633"/>
      <c r="H534" s="1634"/>
      <c r="I534" s="1338"/>
      <c r="J534" s="1168"/>
      <c r="K534" s="1635"/>
      <c r="L534" s="1636"/>
      <c r="N534" s="585"/>
      <c r="O534" s="1637"/>
      <c r="Q534" s="585"/>
      <c r="R534" s="224"/>
      <c r="S534" s="970"/>
    </row>
    <row r="535" ht="15.75" customHeight="1">
      <c r="D535" s="314"/>
      <c r="E535" s="314"/>
      <c r="F535" s="314"/>
      <c r="G535" s="1633"/>
      <c r="H535" s="1634"/>
      <c r="I535" s="1338"/>
      <c r="J535" s="1168"/>
      <c r="K535" s="1635"/>
      <c r="L535" s="1636"/>
      <c r="N535" s="585"/>
      <c r="O535" s="1637"/>
      <c r="Q535" s="585"/>
      <c r="R535" s="224"/>
      <c r="S535" s="970"/>
    </row>
    <row r="536" ht="15.75" customHeight="1">
      <c r="D536" s="314"/>
      <c r="E536" s="314"/>
      <c r="F536" s="314"/>
      <c r="G536" s="1633"/>
      <c r="H536" s="1634"/>
      <c r="I536" s="1338"/>
      <c r="J536" s="1168"/>
      <c r="K536" s="1635"/>
      <c r="L536" s="1636"/>
      <c r="N536" s="585"/>
      <c r="O536" s="1637"/>
      <c r="Q536" s="585"/>
      <c r="R536" s="224"/>
      <c r="S536" s="970"/>
    </row>
    <row r="537" ht="15.75" customHeight="1">
      <c r="D537" s="314"/>
      <c r="E537" s="314"/>
      <c r="F537" s="314"/>
      <c r="G537" s="1633"/>
      <c r="H537" s="1634"/>
      <c r="I537" s="1338"/>
      <c r="J537" s="1168"/>
      <c r="K537" s="1635"/>
      <c r="L537" s="1636"/>
      <c r="N537" s="585"/>
      <c r="O537" s="1637"/>
      <c r="Q537" s="585"/>
      <c r="R537" s="224"/>
      <c r="S537" s="970"/>
    </row>
    <row r="538" ht="15.75" customHeight="1">
      <c r="D538" s="314"/>
      <c r="E538" s="314"/>
      <c r="F538" s="314"/>
      <c r="G538" s="1633"/>
      <c r="H538" s="1634"/>
      <c r="I538" s="1338"/>
      <c r="J538" s="1168"/>
      <c r="K538" s="1635"/>
      <c r="L538" s="1636"/>
      <c r="N538" s="585"/>
      <c r="O538" s="1637"/>
      <c r="Q538" s="585"/>
      <c r="R538" s="224"/>
      <c r="S538" s="970"/>
    </row>
    <row r="539" ht="15.75" customHeight="1">
      <c r="D539" s="314"/>
      <c r="E539" s="314"/>
      <c r="F539" s="314"/>
      <c r="G539" s="1633"/>
      <c r="H539" s="1634"/>
      <c r="I539" s="1338"/>
      <c r="J539" s="1168"/>
      <c r="K539" s="1635"/>
      <c r="L539" s="1636"/>
      <c r="N539" s="585"/>
      <c r="O539" s="1637"/>
      <c r="Q539" s="585"/>
      <c r="R539" s="224"/>
      <c r="S539" s="970"/>
    </row>
    <row r="540" ht="15.75" customHeight="1">
      <c r="D540" s="314"/>
      <c r="E540" s="314"/>
      <c r="F540" s="314"/>
      <c r="G540" s="1633"/>
      <c r="H540" s="1634"/>
      <c r="I540" s="1338"/>
      <c r="J540" s="1168"/>
      <c r="K540" s="1635"/>
      <c r="L540" s="1636"/>
      <c r="N540" s="585"/>
      <c r="O540" s="1637"/>
      <c r="Q540" s="585"/>
      <c r="R540" s="224"/>
      <c r="S540" s="970"/>
    </row>
    <row r="541" ht="15.75" customHeight="1">
      <c r="D541" s="314"/>
      <c r="E541" s="314"/>
      <c r="F541" s="314"/>
      <c r="G541" s="1633"/>
      <c r="H541" s="1634"/>
      <c r="I541" s="1338"/>
      <c r="J541" s="1168"/>
      <c r="K541" s="1635"/>
      <c r="L541" s="1636"/>
      <c r="N541" s="585"/>
      <c r="O541" s="1637"/>
      <c r="Q541" s="585"/>
      <c r="R541" s="224"/>
      <c r="S541" s="970"/>
    </row>
    <row r="542" ht="15.75" customHeight="1">
      <c r="D542" s="314"/>
      <c r="E542" s="314"/>
      <c r="F542" s="314"/>
      <c r="G542" s="1633"/>
      <c r="H542" s="1634"/>
      <c r="I542" s="1338"/>
      <c r="J542" s="1168"/>
      <c r="K542" s="1635"/>
      <c r="L542" s="1636"/>
      <c r="N542" s="585"/>
      <c r="O542" s="1637"/>
      <c r="Q542" s="585"/>
      <c r="R542" s="224"/>
      <c r="S542" s="970"/>
    </row>
    <row r="543" ht="15.75" customHeight="1">
      <c r="D543" s="314"/>
      <c r="E543" s="314"/>
      <c r="F543" s="314"/>
      <c r="G543" s="1633"/>
      <c r="H543" s="1634"/>
      <c r="I543" s="1338"/>
      <c r="J543" s="1168"/>
      <c r="K543" s="1635"/>
      <c r="L543" s="1636"/>
      <c r="N543" s="585"/>
      <c r="O543" s="1637"/>
      <c r="Q543" s="585"/>
      <c r="R543" s="224"/>
      <c r="S543" s="970"/>
    </row>
    <row r="544" ht="15.75" customHeight="1">
      <c r="D544" s="314"/>
      <c r="E544" s="314"/>
      <c r="F544" s="314"/>
      <c r="G544" s="1633"/>
      <c r="H544" s="1634"/>
      <c r="I544" s="1338"/>
      <c r="J544" s="1168"/>
      <c r="K544" s="1635"/>
      <c r="L544" s="1636"/>
      <c r="N544" s="585"/>
      <c r="O544" s="1637"/>
      <c r="Q544" s="585"/>
      <c r="R544" s="224"/>
      <c r="S544" s="970"/>
    </row>
    <row r="545" ht="15.75" customHeight="1">
      <c r="D545" s="314"/>
      <c r="E545" s="314"/>
      <c r="F545" s="314"/>
      <c r="G545" s="1633"/>
      <c r="H545" s="1634"/>
      <c r="I545" s="1338"/>
      <c r="J545" s="1168"/>
      <c r="K545" s="1635"/>
      <c r="L545" s="1636"/>
      <c r="N545" s="585"/>
      <c r="O545" s="1637"/>
      <c r="Q545" s="585"/>
      <c r="R545" s="224"/>
      <c r="S545" s="970"/>
    </row>
    <row r="546" ht="15.75" customHeight="1">
      <c r="D546" s="314"/>
      <c r="E546" s="314"/>
      <c r="F546" s="314"/>
      <c r="G546" s="1633"/>
      <c r="H546" s="1634"/>
      <c r="I546" s="1338"/>
      <c r="J546" s="1168"/>
      <c r="K546" s="1635"/>
      <c r="L546" s="1636"/>
      <c r="N546" s="585"/>
      <c r="O546" s="1637"/>
      <c r="Q546" s="585"/>
      <c r="R546" s="224"/>
      <c r="S546" s="970"/>
    </row>
    <row r="547" ht="15.75" customHeight="1">
      <c r="D547" s="314"/>
      <c r="E547" s="314"/>
      <c r="F547" s="314"/>
      <c r="G547" s="1633"/>
      <c r="H547" s="1634"/>
      <c r="I547" s="1338"/>
      <c r="J547" s="1168"/>
      <c r="K547" s="1635"/>
      <c r="L547" s="1636"/>
      <c r="N547" s="585"/>
      <c r="O547" s="1637"/>
      <c r="Q547" s="585"/>
      <c r="R547" s="224"/>
      <c r="S547" s="970"/>
    </row>
    <row r="548" ht="15.75" customHeight="1">
      <c r="D548" s="314"/>
      <c r="E548" s="314"/>
      <c r="F548" s="314"/>
      <c r="G548" s="1633"/>
      <c r="H548" s="1634"/>
      <c r="I548" s="1338"/>
      <c r="J548" s="1168"/>
      <c r="K548" s="1635"/>
      <c r="L548" s="1636"/>
      <c r="N548" s="585"/>
      <c r="O548" s="1637"/>
      <c r="Q548" s="585"/>
      <c r="R548" s="224"/>
      <c r="S548" s="970"/>
    </row>
    <row r="549" ht="15.75" customHeight="1">
      <c r="D549" s="314"/>
      <c r="E549" s="314"/>
      <c r="F549" s="314"/>
      <c r="G549" s="1633"/>
      <c r="H549" s="1634"/>
      <c r="I549" s="1338"/>
      <c r="J549" s="1168"/>
      <c r="K549" s="1635"/>
      <c r="L549" s="1636"/>
      <c r="N549" s="585"/>
      <c r="O549" s="1637"/>
      <c r="Q549" s="585"/>
      <c r="R549" s="224"/>
      <c r="S549" s="970"/>
    </row>
    <row r="550" ht="15.75" customHeight="1">
      <c r="D550" s="314"/>
      <c r="E550" s="314"/>
      <c r="F550" s="314"/>
      <c r="G550" s="1633"/>
      <c r="H550" s="1634"/>
      <c r="I550" s="1338"/>
      <c r="J550" s="1168"/>
      <c r="K550" s="1635"/>
      <c r="L550" s="1636"/>
      <c r="N550" s="585"/>
      <c r="O550" s="1637"/>
      <c r="Q550" s="585"/>
      <c r="R550" s="224"/>
      <c r="S550" s="970"/>
    </row>
    <row r="551" ht="15.75" customHeight="1">
      <c r="D551" s="314"/>
      <c r="E551" s="314"/>
      <c r="F551" s="314"/>
      <c r="G551" s="1633"/>
      <c r="H551" s="1634"/>
      <c r="I551" s="1338"/>
      <c r="J551" s="1168"/>
      <c r="K551" s="1635"/>
      <c r="L551" s="1636"/>
      <c r="N551" s="585"/>
      <c r="O551" s="1637"/>
      <c r="Q551" s="585"/>
      <c r="R551" s="224"/>
      <c r="S551" s="970"/>
    </row>
    <row r="552" ht="15.75" customHeight="1">
      <c r="D552" s="314"/>
      <c r="E552" s="314"/>
      <c r="F552" s="314"/>
      <c r="G552" s="1633"/>
      <c r="H552" s="1634"/>
      <c r="I552" s="1338"/>
      <c r="J552" s="1168"/>
      <c r="K552" s="1635"/>
      <c r="L552" s="1636"/>
      <c r="N552" s="585"/>
      <c r="O552" s="1637"/>
      <c r="Q552" s="585"/>
      <c r="R552" s="224"/>
      <c r="S552" s="970"/>
    </row>
    <row r="553" ht="15.75" customHeight="1">
      <c r="D553" s="314"/>
      <c r="E553" s="314"/>
      <c r="F553" s="314"/>
      <c r="G553" s="1633"/>
      <c r="H553" s="1634"/>
      <c r="I553" s="1338"/>
      <c r="J553" s="1168"/>
      <c r="K553" s="1635"/>
      <c r="L553" s="1636"/>
      <c r="N553" s="585"/>
      <c r="O553" s="1637"/>
      <c r="Q553" s="585"/>
      <c r="R553" s="224"/>
      <c r="S553" s="970"/>
    </row>
    <row r="554" ht="15.75" customHeight="1">
      <c r="D554" s="314"/>
      <c r="E554" s="314"/>
      <c r="F554" s="314"/>
      <c r="G554" s="1633"/>
      <c r="H554" s="1634"/>
      <c r="I554" s="1338"/>
      <c r="J554" s="1168"/>
      <c r="K554" s="1635"/>
      <c r="L554" s="1636"/>
      <c r="N554" s="585"/>
      <c r="O554" s="1637"/>
      <c r="Q554" s="585"/>
      <c r="R554" s="224"/>
      <c r="S554" s="970"/>
    </row>
    <row r="555" ht="15.75" customHeight="1">
      <c r="D555" s="314"/>
      <c r="E555" s="314"/>
      <c r="F555" s="314"/>
      <c r="G555" s="1633"/>
      <c r="H555" s="1634"/>
      <c r="I555" s="1338"/>
      <c r="J555" s="1168"/>
      <c r="K555" s="1635"/>
      <c r="L555" s="1636"/>
      <c r="N555" s="585"/>
      <c r="O555" s="1637"/>
      <c r="Q555" s="585"/>
      <c r="R555" s="224"/>
      <c r="S555" s="970"/>
    </row>
    <row r="556" ht="15.75" customHeight="1">
      <c r="D556" s="314"/>
      <c r="E556" s="314"/>
      <c r="F556" s="314"/>
      <c r="G556" s="1633"/>
      <c r="H556" s="1634"/>
      <c r="I556" s="1338"/>
      <c r="J556" s="1168"/>
      <c r="K556" s="1635"/>
      <c r="L556" s="1636"/>
      <c r="N556" s="585"/>
      <c r="O556" s="1637"/>
      <c r="Q556" s="585"/>
      <c r="R556" s="224"/>
      <c r="S556" s="970"/>
    </row>
    <row r="557" ht="15.75" customHeight="1">
      <c r="D557" s="314"/>
      <c r="E557" s="314"/>
      <c r="F557" s="314"/>
      <c r="G557" s="1633"/>
      <c r="H557" s="1634"/>
      <c r="I557" s="1338"/>
      <c r="J557" s="1168"/>
      <c r="K557" s="1635"/>
      <c r="L557" s="1636"/>
      <c r="N557" s="585"/>
      <c r="O557" s="1637"/>
      <c r="Q557" s="585"/>
      <c r="R557" s="224"/>
      <c r="S557" s="970"/>
    </row>
    <row r="558" ht="15.75" customHeight="1">
      <c r="D558" s="314"/>
      <c r="E558" s="314"/>
      <c r="F558" s="314"/>
      <c r="G558" s="1633"/>
      <c r="H558" s="1634"/>
      <c r="I558" s="1338"/>
      <c r="J558" s="1168"/>
      <c r="K558" s="1635"/>
      <c r="L558" s="1636"/>
      <c r="N558" s="585"/>
      <c r="O558" s="1637"/>
      <c r="Q558" s="585"/>
      <c r="R558" s="224"/>
      <c r="S558" s="970"/>
    </row>
    <row r="559" ht="15.75" customHeight="1">
      <c r="D559" s="314"/>
      <c r="E559" s="314"/>
      <c r="F559" s="314"/>
      <c r="G559" s="1633"/>
      <c r="H559" s="1634"/>
      <c r="I559" s="1338"/>
      <c r="J559" s="1168"/>
      <c r="K559" s="1635"/>
      <c r="L559" s="1636"/>
      <c r="N559" s="585"/>
      <c r="O559" s="1637"/>
      <c r="Q559" s="585"/>
      <c r="R559" s="224"/>
      <c r="S559" s="970"/>
    </row>
    <row r="560" ht="15.75" customHeight="1">
      <c r="D560" s="314"/>
      <c r="E560" s="314"/>
      <c r="F560" s="314"/>
      <c r="G560" s="1633"/>
      <c r="H560" s="1634"/>
      <c r="I560" s="1338"/>
      <c r="J560" s="1168"/>
      <c r="K560" s="1635"/>
      <c r="L560" s="1636"/>
      <c r="N560" s="585"/>
      <c r="O560" s="1637"/>
      <c r="Q560" s="585"/>
      <c r="R560" s="224"/>
      <c r="S560" s="970"/>
    </row>
    <row r="561" ht="15.75" customHeight="1">
      <c r="D561" s="314"/>
      <c r="E561" s="314"/>
      <c r="F561" s="314"/>
      <c r="G561" s="1633"/>
      <c r="H561" s="1634"/>
      <c r="I561" s="1338"/>
      <c r="J561" s="1168"/>
      <c r="K561" s="1635"/>
      <c r="L561" s="1636"/>
      <c r="N561" s="585"/>
      <c r="O561" s="1637"/>
      <c r="Q561" s="585"/>
      <c r="R561" s="224"/>
      <c r="S561" s="970"/>
    </row>
    <row r="562" ht="15.75" customHeight="1">
      <c r="D562" s="314"/>
      <c r="E562" s="314"/>
      <c r="F562" s="314"/>
      <c r="G562" s="1633"/>
      <c r="H562" s="1634"/>
      <c r="I562" s="1338"/>
      <c r="J562" s="1168"/>
      <c r="K562" s="1635"/>
      <c r="L562" s="1636"/>
      <c r="N562" s="585"/>
      <c r="O562" s="1637"/>
      <c r="Q562" s="585"/>
      <c r="R562" s="224"/>
      <c r="S562" s="970"/>
    </row>
    <row r="563" ht="15.75" customHeight="1">
      <c r="D563" s="314"/>
      <c r="E563" s="314"/>
      <c r="F563" s="314"/>
      <c r="G563" s="1633"/>
      <c r="H563" s="1634"/>
      <c r="I563" s="1338"/>
      <c r="J563" s="1168"/>
      <c r="K563" s="1635"/>
      <c r="L563" s="1636"/>
      <c r="N563" s="585"/>
      <c r="O563" s="1637"/>
      <c r="Q563" s="585"/>
      <c r="R563" s="224"/>
      <c r="S563" s="970"/>
    </row>
    <row r="564" ht="15.75" customHeight="1">
      <c r="D564" s="314"/>
      <c r="E564" s="314"/>
      <c r="F564" s="314"/>
      <c r="G564" s="1633"/>
      <c r="H564" s="1634"/>
      <c r="I564" s="1338"/>
      <c r="J564" s="1168"/>
      <c r="K564" s="1635"/>
      <c r="L564" s="1636"/>
      <c r="N564" s="585"/>
      <c r="O564" s="1637"/>
      <c r="Q564" s="585"/>
      <c r="R564" s="224"/>
      <c r="S564" s="970"/>
    </row>
    <row r="565" ht="15.75" customHeight="1">
      <c r="D565" s="314"/>
      <c r="E565" s="314"/>
      <c r="F565" s="314"/>
      <c r="G565" s="1633"/>
      <c r="H565" s="1634"/>
      <c r="I565" s="1338"/>
      <c r="J565" s="1168"/>
      <c r="K565" s="1635"/>
      <c r="L565" s="1636"/>
      <c r="N565" s="585"/>
      <c r="O565" s="1637"/>
      <c r="Q565" s="585"/>
      <c r="R565" s="224"/>
      <c r="S565" s="970"/>
    </row>
    <row r="566" ht="15.75" customHeight="1">
      <c r="D566" s="314"/>
      <c r="E566" s="314"/>
      <c r="F566" s="314"/>
      <c r="G566" s="1633"/>
      <c r="H566" s="1634"/>
      <c r="I566" s="1338"/>
      <c r="J566" s="1168"/>
      <c r="K566" s="1635"/>
      <c r="L566" s="1636"/>
      <c r="N566" s="585"/>
      <c r="O566" s="1637"/>
      <c r="Q566" s="585"/>
      <c r="R566" s="224"/>
      <c r="S566" s="970"/>
    </row>
    <row r="567" ht="15.75" customHeight="1">
      <c r="D567" s="314"/>
      <c r="E567" s="314"/>
      <c r="F567" s="314"/>
      <c r="G567" s="1633"/>
      <c r="H567" s="1634"/>
      <c r="I567" s="1338"/>
      <c r="J567" s="1168"/>
      <c r="K567" s="1635"/>
      <c r="L567" s="1636"/>
      <c r="N567" s="585"/>
      <c r="O567" s="1637"/>
      <c r="Q567" s="585"/>
      <c r="R567" s="224"/>
      <c r="S567" s="970"/>
    </row>
    <row r="568" ht="15.75" customHeight="1">
      <c r="D568" s="314"/>
      <c r="E568" s="314"/>
      <c r="F568" s="314"/>
      <c r="G568" s="1633"/>
      <c r="H568" s="1634"/>
      <c r="I568" s="1338"/>
      <c r="J568" s="1168"/>
      <c r="K568" s="1635"/>
      <c r="L568" s="1636"/>
      <c r="N568" s="585"/>
      <c r="O568" s="1637"/>
      <c r="Q568" s="585"/>
      <c r="R568" s="224"/>
      <c r="S568" s="970"/>
    </row>
    <row r="569" ht="15.75" customHeight="1">
      <c r="D569" s="314"/>
      <c r="E569" s="314"/>
      <c r="F569" s="314"/>
      <c r="G569" s="1633"/>
      <c r="H569" s="1634"/>
      <c r="I569" s="1338"/>
      <c r="J569" s="1168"/>
      <c r="K569" s="1635"/>
      <c r="L569" s="1636"/>
      <c r="N569" s="585"/>
      <c r="O569" s="1637"/>
      <c r="Q569" s="585"/>
      <c r="R569" s="224"/>
      <c r="S569" s="970"/>
    </row>
    <row r="570" ht="15.75" customHeight="1">
      <c r="D570" s="314"/>
      <c r="E570" s="314"/>
      <c r="F570" s="314"/>
      <c r="G570" s="1633"/>
      <c r="H570" s="1634"/>
      <c r="I570" s="1338"/>
      <c r="J570" s="1168"/>
      <c r="K570" s="1635"/>
      <c r="L570" s="1636"/>
      <c r="N570" s="585"/>
      <c r="O570" s="1637"/>
      <c r="Q570" s="585"/>
      <c r="R570" s="224"/>
      <c r="S570" s="970"/>
    </row>
    <row r="571" ht="15.75" customHeight="1">
      <c r="D571" s="314"/>
      <c r="E571" s="314"/>
      <c r="F571" s="314"/>
      <c r="G571" s="1633"/>
      <c r="H571" s="1634"/>
      <c r="I571" s="1338"/>
      <c r="J571" s="1168"/>
      <c r="K571" s="1635"/>
      <c r="L571" s="1636"/>
      <c r="N571" s="585"/>
      <c r="O571" s="1637"/>
      <c r="Q571" s="585"/>
      <c r="R571" s="224"/>
      <c r="S571" s="970"/>
    </row>
    <row r="572" ht="15.75" customHeight="1">
      <c r="D572" s="314"/>
      <c r="E572" s="314"/>
      <c r="F572" s="314"/>
      <c r="G572" s="1633"/>
      <c r="H572" s="1634"/>
      <c r="I572" s="1338"/>
      <c r="J572" s="1168"/>
      <c r="K572" s="1635"/>
      <c r="L572" s="1636"/>
      <c r="N572" s="585"/>
      <c r="O572" s="1637"/>
      <c r="Q572" s="585"/>
      <c r="R572" s="224"/>
      <c r="S572" s="970"/>
    </row>
    <row r="573" ht="15.75" customHeight="1">
      <c r="D573" s="314"/>
      <c r="E573" s="314"/>
      <c r="F573" s="314"/>
      <c r="G573" s="1633"/>
      <c r="H573" s="1634"/>
      <c r="I573" s="1338"/>
      <c r="J573" s="1168"/>
      <c r="K573" s="1635"/>
      <c r="L573" s="1636"/>
      <c r="N573" s="585"/>
      <c r="O573" s="1637"/>
      <c r="Q573" s="585"/>
      <c r="R573" s="224"/>
      <c r="S573" s="970"/>
    </row>
    <row r="574" ht="15.75" customHeight="1">
      <c r="D574" s="314"/>
      <c r="E574" s="314"/>
      <c r="F574" s="314"/>
      <c r="G574" s="1633"/>
      <c r="H574" s="1634"/>
      <c r="I574" s="1338"/>
      <c r="J574" s="1168"/>
      <c r="K574" s="1635"/>
      <c r="L574" s="1636"/>
      <c r="N574" s="585"/>
      <c r="O574" s="1637"/>
      <c r="Q574" s="585"/>
      <c r="R574" s="224"/>
      <c r="S574" s="970"/>
    </row>
    <row r="575" ht="15.75" customHeight="1">
      <c r="D575" s="314"/>
      <c r="E575" s="314"/>
      <c r="F575" s="314"/>
      <c r="G575" s="1633"/>
      <c r="H575" s="1634"/>
      <c r="I575" s="1338"/>
      <c r="J575" s="1168"/>
      <c r="K575" s="1635"/>
      <c r="L575" s="1636"/>
      <c r="N575" s="585"/>
      <c r="O575" s="1637"/>
      <c r="Q575" s="585"/>
      <c r="R575" s="224"/>
      <c r="S575" s="970"/>
    </row>
    <row r="576" ht="15.75" customHeight="1">
      <c r="D576" s="314"/>
      <c r="E576" s="314"/>
      <c r="F576" s="314"/>
      <c r="G576" s="1633"/>
      <c r="H576" s="1634"/>
      <c r="I576" s="1338"/>
      <c r="J576" s="1168"/>
      <c r="K576" s="1635"/>
      <c r="L576" s="1636"/>
      <c r="N576" s="585"/>
      <c r="O576" s="1637"/>
      <c r="Q576" s="585"/>
      <c r="R576" s="224"/>
      <c r="S576" s="970"/>
    </row>
    <row r="577" ht="15.75" customHeight="1">
      <c r="D577" s="314"/>
      <c r="E577" s="314"/>
      <c r="F577" s="314"/>
      <c r="G577" s="1633"/>
      <c r="H577" s="1634"/>
      <c r="I577" s="1338"/>
      <c r="J577" s="1168"/>
      <c r="K577" s="1635"/>
      <c r="L577" s="1636"/>
      <c r="N577" s="585"/>
      <c r="O577" s="1637"/>
      <c r="Q577" s="585"/>
      <c r="R577" s="224"/>
      <c r="S577" s="970"/>
    </row>
    <row r="578" ht="15.75" customHeight="1">
      <c r="D578" s="314"/>
      <c r="E578" s="314"/>
      <c r="F578" s="314"/>
      <c r="G578" s="1633"/>
      <c r="H578" s="1634"/>
      <c r="I578" s="1338"/>
      <c r="J578" s="1168"/>
      <c r="K578" s="1635"/>
      <c r="L578" s="1636"/>
      <c r="N578" s="585"/>
      <c r="O578" s="1637"/>
      <c r="Q578" s="585"/>
      <c r="R578" s="224"/>
      <c r="S578" s="970"/>
    </row>
    <row r="579" ht="15.75" customHeight="1">
      <c r="D579" s="314"/>
      <c r="E579" s="314"/>
      <c r="F579" s="314"/>
      <c r="G579" s="1633"/>
      <c r="H579" s="1634"/>
      <c r="I579" s="1338"/>
      <c r="J579" s="1168"/>
      <c r="K579" s="1635"/>
      <c r="L579" s="1636"/>
      <c r="N579" s="585"/>
      <c r="O579" s="1637"/>
      <c r="Q579" s="585"/>
      <c r="R579" s="224"/>
      <c r="S579" s="970"/>
    </row>
    <row r="580" ht="15.75" customHeight="1">
      <c r="D580" s="314"/>
      <c r="E580" s="314"/>
      <c r="F580" s="314"/>
      <c r="G580" s="1633"/>
      <c r="H580" s="1634"/>
      <c r="I580" s="1338"/>
      <c r="J580" s="1168"/>
      <c r="K580" s="1635"/>
      <c r="L580" s="1636"/>
      <c r="N580" s="585"/>
      <c r="O580" s="1637"/>
      <c r="Q580" s="585"/>
      <c r="R580" s="224"/>
      <c r="S580" s="970"/>
    </row>
    <row r="581" ht="15.75" customHeight="1">
      <c r="D581" s="314"/>
      <c r="E581" s="314"/>
      <c r="F581" s="314"/>
      <c r="G581" s="1633"/>
      <c r="H581" s="1634"/>
      <c r="I581" s="1338"/>
      <c r="J581" s="1168"/>
      <c r="K581" s="1635"/>
      <c r="L581" s="1636"/>
      <c r="N581" s="585"/>
      <c r="O581" s="1637"/>
      <c r="Q581" s="585"/>
      <c r="R581" s="224"/>
      <c r="S581" s="970"/>
    </row>
    <row r="582" ht="15.75" customHeight="1">
      <c r="D582" s="314"/>
      <c r="E582" s="314"/>
      <c r="F582" s="314"/>
      <c r="G582" s="1633"/>
      <c r="H582" s="1634"/>
      <c r="I582" s="1338"/>
      <c r="J582" s="1168"/>
      <c r="K582" s="1635"/>
      <c r="L582" s="1636"/>
      <c r="N582" s="585"/>
      <c r="O582" s="1637"/>
      <c r="Q582" s="585"/>
      <c r="R582" s="224"/>
      <c r="S582" s="970"/>
    </row>
    <row r="583" ht="15.75" customHeight="1">
      <c r="D583" s="314"/>
      <c r="E583" s="314"/>
      <c r="F583" s="314"/>
      <c r="G583" s="1633"/>
      <c r="H583" s="1634"/>
      <c r="I583" s="1338"/>
      <c r="J583" s="1168"/>
      <c r="K583" s="1635"/>
      <c r="L583" s="1636"/>
      <c r="N583" s="585"/>
      <c r="O583" s="1637"/>
      <c r="Q583" s="585"/>
      <c r="R583" s="224"/>
      <c r="S583" s="970"/>
    </row>
    <row r="584" ht="15.75" customHeight="1">
      <c r="D584" s="314"/>
      <c r="E584" s="314"/>
      <c r="F584" s="314"/>
      <c r="G584" s="1633"/>
      <c r="H584" s="1634"/>
      <c r="I584" s="1338"/>
      <c r="J584" s="1168"/>
      <c r="K584" s="1635"/>
      <c r="L584" s="1636"/>
      <c r="N584" s="585"/>
      <c r="O584" s="1637"/>
      <c r="Q584" s="585"/>
      <c r="R584" s="224"/>
      <c r="S584" s="970"/>
    </row>
    <row r="585" ht="15.75" customHeight="1">
      <c r="D585" s="314"/>
      <c r="E585" s="314"/>
      <c r="F585" s="314"/>
      <c r="G585" s="1633"/>
      <c r="H585" s="1634"/>
      <c r="I585" s="1338"/>
      <c r="J585" s="1168"/>
      <c r="K585" s="1635"/>
      <c r="L585" s="1636"/>
      <c r="N585" s="585"/>
      <c r="O585" s="1637"/>
      <c r="Q585" s="585"/>
      <c r="R585" s="224"/>
      <c r="S585" s="970"/>
    </row>
    <row r="586" ht="15.75" customHeight="1">
      <c r="D586" s="314"/>
      <c r="E586" s="314"/>
      <c r="F586" s="314"/>
      <c r="G586" s="1633"/>
      <c r="H586" s="1634"/>
      <c r="I586" s="1338"/>
      <c r="J586" s="1168"/>
      <c r="K586" s="1635"/>
      <c r="L586" s="1636"/>
      <c r="N586" s="585"/>
      <c r="O586" s="1637"/>
      <c r="Q586" s="585"/>
      <c r="R586" s="224"/>
      <c r="S586" s="970"/>
    </row>
    <row r="587" ht="15.75" customHeight="1">
      <c r="D587" s="314"/>
      <c r="E587" s="314"/>
      <c r="F587" s="314"/>
      <c r="G587" s="1633"/>
      <c r="H587" s="1634"/>
      <c r="I587" s="1338"/>
      <c r="J587" s="1168"/>
      <c r="K587" s="1635"/>
      <c r="L587" s="1636"/>
      <c r="N587" s="585"/>
      <c r="O587" s="1637"/>
      <c r="Q587" s="585"/>
      <c r="R587" s="224"/>
      <c r="S587" s="970"/>
    </row>
    <row r="588" ht="15.75" customHeight="1">
      <c r="D588" s="314"/>
      <c r="E588" s="314"/>
      <c r="F588" s="314"/>
      <c r="G588" s="1633"/>
      <c r="H588" s="1634"/>
      <c r="I588" s="1338"/>
      <c r="J588" s="1168"/>
      <c r="K588" s="1635"/>
      <c r="L588" s="1636"/>
      <c r="N588" s="585"/>
      <c r="O588" s="1637"/>
      <c r="Q588" s="585"/>
      <c r="R588" s="224"/>
      <c r="S588" s="970"/>
    </row>
    <row r="589" ht="15.75" customHeight="1">
      <c r="D589" s="314"/>
      <c r="E589" s="314"/>
      <c r="F589" s="314"/>
      <c r="G589" s="1633"/>
      <c r="H589" s="1634"/>
      <c r="I589" s="1338"/>
      <c r="J589" s="1168"/>
      <c r="K589" s="1635"/>
      <c r="L589" s="1636"/>
      <c r="N589" s="585"/>
      <c r="O589" s="1637"/>
      <c r="Q589" s="585"/>
      <c r="R589" s="224"/>
      <c r="S589" s="970"/>
    </row>
    <row r="590" ht="15.75" customHeight="1">
      <c r="D590" s="314"/>
      <c r="E590" s="314"/>
      <c r="F590" s="314"/>
      <c r="G590" s="1633"/>
      <c r="H590" s="1634"/>
      <c r="I590" s="1338"/>
      <c r="J590" s="1168"/>
      <c r="K590" s="1635"/>
      <c r="L590" s="1636"/>
      <c r="N590" s="585"/>
      <c r="O590" s="1637"/>
      <c r="Q590" s="585"/>
      <c r="R590" s="224"/>
      <c r="S590" s="970"/>
    </row>
    <row r="591" ht="15.75" customHeight="1">
      <c r="D591" s="314"/>
      <c r="E591" s="314"/>
      <c r="F591" s="314"/>
      <c r="G591" s="1633"/>
      <c r="H591" s="1634"/>
      <c r="I591" s="1338"/>
      <c r="J591" s="1168"/>
      <c r="K591" s="1635"/>
      <c r="L591" s="1636"/>
      <c r="N591" s="585"/>
      <c r="O591" s="1637"/>
      <c r="Q591" s="585"/>
      <c r="R591" s="224"/>
      <c r="S591" s="970"/>
    </row>
    <row r="592" ht="15.75" customHeight="1">
      <c r="D592" s="314"/>
      <c r="E592" s="314"/>
      <c r="F592" s="314"/>
      <c r="G592" s="1633"/>
      <c r="H592" s="1634"/>
      <c r="I592" s="1338"/>
      <c r="J592" s="1168"/>
      <c r="K592" s="1635"/>
      <c r="L592" s="1636"/>
      <c r="N592" s="585"/>
      <c r="O592" s="1637"/>
      <c r="Q592" s="585"/>
      <c r="R592" s="224"/>
      <c r="S592" s="970"/>
    </row>
    <row r="593" ht="15.75" customHeight="1">
      <c r="D593" s="314"/>
      <c r="E593" s="314"/>
      <c r="F593" s="314"/>
      <c r="G593" s="1633"/>
      <c r="H593" s="1634"/>
      <c r="I593" s="1338"/>
      <c r="J593" s="1168"/>
      <c r="K593" s="1635"/>
      <c r="L593" s="1636"/>
      <c r="N593" s="585"/>
      <c r="O593" s="1637"/>
      <c r="Q593" s="585"/>
      <c r="R593" s="224"/>
      <c r="S593" s="970"/>
    </row>
    <row r="594" ht="15.75" customHeight="1">
      <c r="D594" s="314"/>
      <c r="E594" s="314"/>
      <c r="F594" s="314"/>
      <c r="G594" s="1633"/>
      <c r="H594" s="1634"/>
      <c r="I594" s="1338"/>
      <c r="J594" s="1168"/>
      <c r="K594" s="1635"/>
      <c r="L594" s="1636"/>
      <c r="N594" s="585"/>
      <c r="O594" s="1637"/>
      <c r="Q594" s="585"/>
      <c r="R594" s="224"/>
      <c r="S594" s="970"/>
    </row>
    <row r="595" ht="15.75" customHeight="1">
      <c r="D595" s="314"/>
      <c r="E595" s="314"/>
      <c r="F595" s="314"/>
      <c r="G595" s="1633"/>
      <c r="H595" s="1634"/>
      <c r="I595" s="1338"/>
      <c r="J595" s="1168"/>
      <c r="K595" s="1635"/>
      <c r="L595" s="1636"/>
      <c r="N595" s="585"/>
      <c r="O595" s="1637"/>
      <c r="Q595" s="585"/>
      <c r="R595" s="224"/>
      <c r="S595" s="970"/>
    </row>
    <row r="596" ht="15.75" customHeight="1">
      <c r="D596" s="314"/>
      <c r="E596" s="314"/>
      <c r="F596" s="314"/>
      <c r="G596" s="1633"/>
      <c r="H596" s="1634"/>
      <c r="I596" s="1338"/>
      <c r="J596" s="1168"/>
      <c r="K596" s="1635"/>
      <c r="L596" s="1636"/>
      <c r="N596" s="585"/>
      <c r="O596" s="1637"/>
      <c r="Q596" s="585"/>
      <c r="R596" s="224"/>
      <c r="S596" s="970"/>
    </row>
    <row r="597" ht="15.75" customHeight="1">
      <c r="D597" s="314"/>
      <c r="E597" s="314"/>
      <c r="F597" s="314"/>
      <c r="G597" s="1633"/>
      <c r="H597" s="1634"/>
      <c r="I597" s="1338"/>
      <c r="J597" s="1168"/>
      <c r="K597" s="1635"/>
      <c r="L597" s="1636"/>
      <c r="N597" s="585"/>
      <c r="O597" s="1637"/>
      <c r="Q597" s="585"/>
      <c r="R597" s="224"/>
      <c r="S597" s="970"/>
    </row>
    <row r="598" ht="15.75" customHeight="1">
      <c r="D598" s="314"/>
      <c r="E598" s="314"/>
      <c r="F598" s="314"/>
      <c r="G598" s="1633"/>
      <c r="H598" s="1634"/>
      <c r="I598" s="1338"/>
      <c r="J598" s="1168"/>
      <c r="K598" s="1635"/>
      <c r="L598" s="1636"/>
      <c r="N598" s="585"/>
      <c r="O598" s="1637"/>
      <c r="Q598" s="585"/>
      <c r="R598" s="224"/>
      <c r="S598" s="970"/>
    </row>
    <row r="599" ht="15.75" customHeight="1">
      <c r="D599" s="314"/>
      <c r="E599" s="314"/>
      <c r="F599" s="314"/>
      <c r="G599" s="1633"/>
      <c r="H599" s="1634"/>
      <c r="I599" s="1338"/>
      <c r="J599" s="1168"/>
      <c r="K599" s="1635"/>
      <c r="L599" s="1636"/>
      <c r="N599" s="585"/>
      <c r="O599" s="1637"/>
      <c r="Q599" s="585"/>
      <c r="R599" s="224"/>
      <c r="S599" s="970"/>
    </row>
    <row r="600" ht="15.75" customHeight="1">
      <c r="D600" s="314"/>
      <c r="E600" s="314"/>
      <c r="F600" s="314"/>
      <c r="G600" s="1633"/>
      <c r="H600" s="1634"/>
      <c r="I600" s="1338"/>
      <c r="J600" s="1168"/>
      <c r="K600" s="1635"/>
      <c r="L600" s="1636"/>
      <c r="N600" s="585"/>
      <c r="O600" s="1637"/>
      <c r="Q600" s="585"/>
      <c r="R600" s="224"/>
      <c r="S600" s="970"/>
    </row>
    <row r="601" ht="15.75" customHeight="1">
      <c r="D601" s="314"/>
      <c r="E601" s="314"/>
      <c r="F601" s="314"/>
      <c r="G601" s="1633"/>
      <c r="H601" s="1634"/>
      <c r="I601" s="1338"/>
      <c r="J601" s="1168"/>
      <c r="K601" s="1635"/>
      <c r="L601" s="1636"/>
      <c r="N601" s="585"/>
      <c r="O601" s="1637"/>
      <c r="Q601" s="585"/>
      <c r="R601" s="224"/>
      <c r="S601" s="970"/>
    </row>
    <row r="602" ht="15.75" customHeight="1">
      <c r="D602" s="314"/>
      <c r="E602" s="314"/>
      <c r="F602" s="314"/>
      <c r="G602" s="1633"/>
      <c r="H602" s="1634"/>
      <c r="I602" s="1338"/>
      <c r="J602" s="1168"/>
      <c r="K602" s="1635"/>
      <c r="L602" s="1636"/>
      <c r="N602" s="585"/>
      <c r="O602" s="1637"/>
      <c r="Q602" s="585"/>
      <c r="R602" s="224"/>
      <c r="S602" s="970"/>
    </row>
    <row r="603" ht="15.75" customHeight="1">
      <c r="D603" s="314"/>
      <c r="E603" s="314"/>
      <c r="F603" s="314"/>
      <c r="G603" s="1633"/>
      <c r="H603" s="1634"/>
      <c r="I603" s="1338"/>
      <c r="J603" s="1168"/>
      <c r="K603" s="1635"/>
      <c r="L603" s="1636"/>
      <c r="N603" s="585"/>
      <c r="O603" s="1637"/>
      <c r="Q603" s="585"/>
      <c r="R603" s="224"/>
      <c r="S603" s="970"/>
    </row>
    <row r="604" ht="15.75" customHeight="1">
      <c r="D604" s="314"/>
      <c r="E604" s="314"/>
      <c r="F604" s="314"/>
      <c r="G604" s="1633"/>
      <c r="H604" s="1634"/>
      <c r="I604" s="1338"/>
      <c r="J604" s="1168"/>
      <c r="K604" s="1635"/>
      <c r="L604" s="1636"/>
      <c r="N604" s="585"/>
      <c r="O604" s="1637"/>
      <c r="Q604" s="585"/>
      <c r="R604" s="224"/>
      <c r="S604" s="970"/>
    </row>
    <row r="605" ht="15.75" customHeight="1">
      <c r="D605" s="314"/>
      <c r="E605" s="314"/>
      <c r="F605" s="314"/>
      <c r="G605" s="1633"/>
      <c r="H605" s="1634"/>
      <c r="I605" s="1338"/>
      <c r="J605" s="1168"/>
      <c r="K605" s="1635"/>
      <c r="L605" s="1636"/>
      <c r="N605" s="585"/>
      <c r="O605" s="1637"/>
      <c r="Q605" s="585"/>
      <c r="R605" s="224"/>
      <c r="S605" s="970"/>
    </row>
    <row r="606" ht="15.75" customHeight="1">
      <c r="D606" s="314"/>
      <c r="E606" s="314"/>
      <c r="F606" s="314"/>
      <c r="G606" s="1633"/>
      <c r="H606" s="1634"/>
      <c r="I606" s="1338"/>
      <c r="J606" s="1168"/>
      <c r="K606" s="1635"/>
      <c r="L606" s="1636"/>
      <c r="N606" s="585"/>
      <c r="O606" s="1637"/>
      <c r="Q606" s="585"/>
      <c r="R606" s="224"/>
      <c r="S606" s="970"/>
    </row>
    <row r="607" ht="15.75" customHeight="1">
      <c r="D607" s="314"/>
      <c r="E607" s="314"/>
      <c r="F607" s="314"/>
      <c r="G607" s="1633"/>
      <c r="H607" s="1634"/>
      <c r="I607" s="1338"/>
      <c r="J607" s="1168"/>
      <c r="K607" s="1635"/>
      <c r="L607" s="1636"/>
      <c r="N607" s="585"/>
      <c r="O607" s="1637"/>
      <c r="Q607" s="585"/>
      <c r="R607" s="224"/>
      <c r="S607" s="970"/>
    </row>
    <row r="608" ht="15.75" customHeight="1">
      <c r="D608" s="314"/>
      <c r="E608" s="314"/>
      <c r="F608" s="314"/>
      <c r="G608" s="1633"/>
      <c r="H608" s="1634"/>
      <c r="I608" s="1338"/>
      <c r="J608" s="1168"/>
      <c r="K608" s="1635"/>
      <c r="L608" s="1636"/>
      <c r="N608" s="585"/>
      <c r="O608" s="1637"/>
      <c r="Q608" s="585"/>
      <c r="R608" s="224"/>
      <c r="S608" s="970"/>
    </row>
    <row r="609" ht="15.75" customHeight="1">
      <c r="D609" s="314"/>
      <c r="E609" s="314"/>
      <c r="F609" s="314"/>
      <c r="G609" s="1633"/>
      <c r="H609" s="1634"/>
      <c r="I609" s="1338"/>
      <c r="J609" s="1168"/>
      <c r="K609" s="1635"/>
      <c r="L609" s="1636"/>
      <c r="N609" s="585"/>
      <c r="O609" s="1637"/>
      <c r="Q609" s="585"/>
      <c r="R609" s="224"/>
      <c r="S609" s="970"/>
    </row>
    <row r="610" ht="15.75" customHeight="1">
      <c r="D610" s="314"/>
      <c r="E610" s="314"/>
      <c r="F610" s="314"/>
      <c r="G610" s="1633"/>
      <c r="H610" s="1634"/>
      <c r="I610" s="1338"/>
      <c r="J610" s="1168"/>
      <c r="K610" s="1635"/>
      <c r="L610" s="1636"/>
      <c r="N610" s="585"/>
      <c r="O610" s="1637"/>
      <c r="Q610" s="585"/>
      <c r="R610" s="224"/>
      <c r="S610" s="970"/>
    </row>
    <row r="611" ht="15.75" customHeight="1">
      <c r="D611" s="314"/>
      <c r="E611" s="314"/>
      <c r="F611" s="314"/>
      <c r="G611" s="1633"/>
      <c r="H611" s="1634"/>
      <c r="I611" s="1338"/>
      <c r="J611" s="1168"/>
      <c r="K611" s="1635"/>
      <c r="L611" s="1636"/>
      <c r="N611" s="585"/>
      <c r="O611" s="1637"/>
      <c r="Q611" s="585"/>
      <c r="R611" s="224"/>
      <c r="S611" s="970"/>
    </row>
    <row r="612" ht="15.75" customHeight="1">
      <c r="D612" s="314"/>
      <c r="E612" s="314"/>
      <c r="F612" s="314"/>
      <c r="G612" s="1633"/>
      <c r="H612" s="1634"/>
      <c r="I612" s="1338"/>
      <c r="J612" s="1168"/>
      <c r="K612" s="1635"/>
      <c r="L612" s="1636"/>
      <c r="N612" s="585"/>
      <c r="O612" s="1637"/>
      <c r="Q612" s="585"/>
      <c r="R612" s="224"/>
      <c r="S612" s="970"/>
    </row>
    <row r="613" ht="15.75" customHeight="1">
      <c r="D613" s="314"/>
      <c r="E613" s="314"/>
      <c r="F613" s="314"/>
      <c r="G613" s="1633"/>
      <c r="H613" s="1634"/>
      <c r="I613" s="1338"/>
      <c r="J613" s="1168"/>
      <c r="K613" s="1635"/>
      <c r="L613" s="1636"/>
      <c r="N613" s="585"/>
      <c r="O613" s="1637"/>
      <c r="Q613" s="585"/>
      <c r="R613" s="224"/>
      <c r="S613" s="970"/>
    </row>
    <row r="614" ht="15.75" customHeight="1">
      <c r="D614" s="314"/>
      <c r="E614" s="314"/>
      <c r="F614" s="314"/>
      <c r="G614" s="1633"/>
      <c r="H614" s="1634"/>
      <c r="I614" s="1338"/>
      <c r="J614" s="1168"/>
      <c r="K614" s="1635"/>
      <c r="L614" s="1636"/>
      <c r="N614" s="585"/>
      <c r="O614" s="1637"/>
      <c r="Q614" s="585"/>
      <c r="R614" s="224"/>
      <c r="S614" s="970"/>
    </row>
    <row r="615" ht="15.75" customHeight="1">
      <c r="D615" s="314"/>
      <c r="E615" s="314"/>
      <c r="F615" s="314"/>
      <c r="G615" s="1633"/>
      <c r="H615" s="1634"/>
      <c r="I615" s="1338"/>
      <c r="J615" s="1168"/>
      <c r="K615" s="1635"/>
      <c r="L615" s="1636"/>
      <c r="N615" s="585"/>
      <c r="O615" s="1637"/>
      <c r="Q615" s="585"/>
      <c r="R615" s="224"/>
      <c r="S615" s="970"/>
    </row>
    <row r="616" ht="15.75" customHeight="1">
      <c r="D616" s="314"/>
      <c r="E616" s="314"/>
      <c r="F616" s="314"/>
      <c r="G616" s="1633"/>
      <c r="H616" s="1634"/>
      <c r="I616" s="1338"/>
      <c r="J616" s="1168"/>
      <c r="K616" s="1635"/>
      <c r="L616" s="1636"/>
      <c r="N616" s="585"/>
      <c r="O616" s="1637"/>
      <c r="Q616" s="585"/>
      <c r="R616" s="224"/>
      <c r="S616" s="970"/>
    </row>
    <row r="617" ht="15.75" customHeight="1">
      <c r="D617" s="314"/>
      <c r="E617" s="314"/>
      <c r="F617" s="314"/>
      <c r="G617" s="1633"/>
      <c r="H617" s="1634"/>
      <c r="I617" s="1338"/>
      <c r="J617" s="1168"/>
      <c r="K617" s="1635"/>
      <c r="L617" s="1636"/>
      <c r="N617" s="585"/>
      <c r="O617" s="1637"/>
      <c r="Q617" s="585"/>
      <c r="R617" s="224"/>
      <c r="S617" s="970"/>
    </row>
    <row r="618" ht="15.75" customHeight="1">
      <c r="D618" s="314"/>
      <c r="E618" s="314"/>
      <c r="F618" s="314"/>
      <c r="G618" s="1633"/>
      <c r="H618" s="1634"/>
      <c r="I618" s="1338"/>
      <c r="J618" s="1168"/>
      <c r="K618" s="1635"/>
      <c r="L618" s="1636"/>
      <c r="N618" s="585"/>
      <c r="O618" s="1637"/>
      <c r="Q618" s="585"/>
      <c r="R618" s="224"/>
      <c r="S618" s="970"/>
    </row>
    <row r="619" ht="15.75" customHeight="1">
      <c r="D619" s="314"/>
      <c r="E619" s="314"/>
      <c r="F619" s="314"/>
      <c r="G619" s="1633"/>
      <c r="H619" s="1634"/>
      <c r="I619" s="1338"/>
      <c r="J619" s="1168"/>
      <c r="K619" s="1635"/>
      <c r="L619" s="1636"/>
      <c r="N619" s="585"/>
      <c r="O619" s="1637"/>
      <c r="Q619" s="585"/>
      <c r="R619" s="224"/>
      <c r="S619" s="970"/>
    </row>
    <row r="620" ht="15.75" customHeight="1">
      <c r="D620" s="314"/>
      <c r="E620" s="314"/>
      <c r="F620" s="314"/>
      <c r="G620" s="1633"/>
      <c r="H620" s="1634"/>
      <c r="I620" s="1338"/>
      <c r="J620" s="1168"/>
      <c r="K620" s="1635"/>
      <c r="L620" s="1636"/>
      <c r="N620" s="585"/>
      <c r="O620" s="1637"/>
      <c r="Q620" s="585"/>
      <c r="R620" s="224"/>
      <c r="S620" s="970"/>
    </row>
    <row r="621" ht="15.75" customHeight="1">
      <c r="D621" s="314"/>
      <c r="E621" s="314"/>
      <c r="F621" s="314"/>
      <c r="G621" s="1633"/>
      <c r="H621" s="1634"/>
      <c r="I621" s="1338"/>
      <c r="J621" s="1168"/>
      <c r="K621" s="1635"/>
      <c r="L621" s="1636"/>
      <c r="N621" s="585"/>
      <c r="O621" s="1637"/>
      <c r="Q621" s="585"/>
      <c r="R621" s="224"/>
      <c r="S621" s="970"/>
    </row>
    <row r="622" ht="15.75" customHeight="1">
      <c r="D622" s="314"/>
      <c r="E622" s="314"/>
      <c r="F622" s="314"/>
      <c r="G622" s="1633"/>
      <c r="H622" s="1634"/>
      <c r="I622" s="1338"/>
      <c r="J622" s="1168"/>
      <c r="K622" s="1635"/>
      <c r="L622" s="1636"/>
      <c r="N622" s="585"/>
      <c r="O622" s="1637"/>
      <c r="Q622" s="585"/>
      <c r="R622" s="224"/>
      <c r="S622" s="970"/>
    </row>
    <row r="623" ht="15.75" customHeight="1">
      <c r="D623" s="314"/>
      <c r="E623" s="314"/>
      <c r="F623" s="314"/>
      <c r="G623" s="1633"/>
      <c r="H623" s="1634"/>
      <c r="I623" s="1338"/>
      <c r="J623" s="1168"/>
      <c r="K623" s="1635"/>
      <c r="L623" s="1636"/>
      <c r="N623" s="585"/>
      <c r="O623" s="1637"/>
      <c r="Q623" s="585"/>
      <c r="R623" s="224"/>
      <c r="S623" s="970"/>
    </row>
    <row r="624" ht="15.75" customHeight="1">
      <c r="D624" s="314"/>
      <c r="E624" s="314"/>
      <c r="F624" s="314"/>
      <c r="G624" s="1633"/>
      <c r="H624" s="1634"/>
      <c r="I624" s="1338"/>
      <c r="J624" s="1168"/>
      <c r="K624" s="1635"/>
      <c r="L624" s="1636"/>
      <c r="N624" s="585"/>
      <c r="O624" s="1637"/>
      <c r="Q624" s="585"/>
      <c r="R624" s="224"/>
      <c r="S624" s="970"/>
    </row>
    <row r="625" ht="15.75" customHeight="1">
      <c r="D625" s="314"/>
      <c r="E625" s="314"/>
      <c r="F625" s="314"/>
      <c r="G625" s="1633"/>
      <c r="H625" s="1634"/>
      <c r="I625" s="1338"/>
      <c r="J625" s="1168"/>
      <c r="K625" s="1635"/>
      <c r="L625" s="1636"/>
      <c r="N625" s="585"/>
      <c r="O625" s="1637"/>
      <c r="Q625" s="585"/>
      <c r="R625" s="224"/>
      <c r="S625" s="970"/>
    </row>
    <row r="626" ht="15.75" customHeight="1">
      <c r="D626" s="314"/>
      <c r="E626" s="314"/>
      <c r="F626" s="314"/>
      <c r="G626" s="1633"/>
      <c r="H626" s="1634"/>
      <c r="I626" s="1338"/>
      <c r="J626" s="1168"/>
      <c r="K626" s="1635"/>
      <c r="L626" s="1636"/>
      <c r="N626" s="585"/>
      <c r="O626" s="1637"/>
      <c r="Q626" s="585"/>
      <c r="R626" s="224"/>
      <c r="S626" s="970"/>
    </row>
    <row r="627" ht="15.75" customHeight="1">
      <c r="D627" s="314"/>
      <c r="E627" s="314"/>
      <c r="F627" s="314"/>
      <c r="G627" s="1633"/>
      <c r="H627" s="1634"/>
      <c r="I627" s="1338"/>
      <c r="J627" s="1168"/>
      <c r="K627" s="1635"/>
      <c r="L627" s="1636"/>
      <c r="N627" s="585"/>
      <c r="O627" s="1637"/>
      <c r="Q627" s="585"/>
      <c r="R627" s="224"/>
      <c r="S627" s="970"/>
    </row>
    <row r="628" ht="15.75" customHeight="1">
      <c r="D628" s="314"/>
      <c r="E628" s="314"/>
      <c r="F628" s="314"/>
      <c r="G628" s="1633"/>
      <c r="H628" s="1634"/>
      <c r="I628" s="1338"/>
      <c r="J628" s="1168"/>
      <c r="K628" s="1635"/>
      <c r="L628" s="1636"/>
      <c r="N628" s="585"/>
      <c r="O628" s="1637"/>
      <c r="Q628" s="585"/>
      <c r="R628" s="224"/>
      <c r="S628" s="970"/>
    </row>
    <row r="629" ht="15.75" customHeight="1">
      <c r="D629" s="314"/>
      <c r="E629" s="314"/>
      <c r="F629" s="314"/>
      <c r="G629" s="1633"/>
      <c r="H629" s="1634"/>
      <c r="I629" s="1338"/>
      <c r="J629" s="1168"/>
      <c r="K629" s="1635"/>
      <c r="L629" s="1636"/>
      <c r="N629" s="585"/>
      <c r="O629" s="1637"/>
      <c r="Q629" s="585"/>
      <c r="R629" s="224"/>
      <c r="S629" s="970"/>
    </row>
    <row r="630" ht="15.75" customHeight="1">
      <c r="D630" s="314"/>
      <c r="E630" s="314"/>
      <c r="F630" s="314"/>
      <c r="G630" s="1633"/>
      <c r="H630" s="1634"/>
      <c r="I630" s="1338"/>
      <c r="J630" s="1168"/>
      <c r="K630" s="1635"/>
      <c r="L630" s="1636"/>
      <c r="N630" s="585"/>
      <c r="O630" s="1637"/>
      <c r="Q630" s="585"/>
      <c r="R630" s="224"/>
      <c r="S630" s="970"/>
    </row>
    <row r="631" ht="15.75" customHeight="1">
      <c r="D631" s="314"/>
      <c r="E631" s="314"/>
      <c r="F631" s="314"/>
      <c r="G631" s="1633"/>
      <c r="H631" s="1634"/>
      <c r="I631" s="1338"/>
      <c r="J631" s="1168"/>
      <c r="K631" s="1635"/>
      <c r="L631" s="1636"/>
      <c r="N631" s="585"/>
      <c r="O631" s="1637"/>
      <c r="Q631" s="585"/>
      <c r="R631" s="224"/>
      <c r="S631" s="970"/>
    </row>
    <row r="632" ht="15.75" customHeight="1">
      <c r="D632" s="314"/>
      <c r="E632" s="314"/>
      <c r="F632" s="314"/>
      <c r="G632" s="1633"/>
      <c r="H632" s="1634"/>
      <c r="I632" s="1338"/>
      <c r="J632" s="1168"/>
      <c r="K632" s="1635"/>
      <c r="L632" s="1636"/>
      <c r="N632" s="585"/>
      <c r="O632" s="1637"/>
      <c r="Q632" s="585"/>
      <c r="R632" s="224"/>
      <c r="S632" s="970"/>
    </row>
    <row r="633" ht="15.75" customHeight="1">
      <c r="D633" s="314"/>
      <c r="E633" s="314"/>
      <c r="F633" s="314"/>
      <c r="G633" s="1633"/>
      <c r="H633" s="1634"/>
      <c r="I633" s="1338"/>
      <c r="J633" s="1168"/>
      <c r="K633" s="1635"/>
      <c r="L633" s="1636"/>
      <c r="N633" s="585"/>
      <c r="O633" s="1637"/>
      <c r="Q633" s="585"/>
      <c r="R633" s="224"/>
      <c r="S633" s="970"/>
    </row>
    <row r="634" ht="15.75" customHeight="1">
      <c r="D634" s="314"/>
      <c r="E634" s="314"/>
      <c r="F634" s="314"/>
      <c r="G634" s="1633"/>
      <c r="H634" s="1634"/>
      <c r="I634" s="1338"/>
      <c r="J634" s="1168"/>
      <c r="K634" s="1635"/>
      <c r="L634" s="1636"/>
      <c r="N634" s="585"/>
      <c r="O634" s="1637"/>
      <c r="Q634" s="585"/>
      <c r="R634" s="224"/>
      <c r="S634" s="970"/>
    </row>
    <row r="635" ht="15.75" customHeight="1">
      <c r="D635" s="314"/>
      <c r="E635" s="314"/>
      <c r="F635" s="314"/>
      <c r="G635" s="1633"/>
      <c r="H635" s="1634"/>
      <c r="I635" s="1338"/>
      <c r="J635" s="1168"/>
      <c r="K635" s="1635"/>
      <c r="L635" s="1636"/>
      <c r="N635" s="585"/>
      <c r="O635" s="1637"/>
      <c r="Q635" s="585"/>
      <c r="R635" s="224"/>
      <c r="S635" s="970"/>
    </row>
    <row r="636" ht="15.75" customHeight="1">
      <c r="D636" s="314"/>
      <c r="E636" s="314"/>
      <c r="F636" s="314"/>
      <c r="G636" s="1633"/>
      <c r="H636" s="1634"/>
      <c r="I636" s="1338"/>
      <c r="J636" s="1168"/>
      <c r="K636" s="1635"/>
      <c r="L636" s="1636"/>
      <c r="N636" s="585"/>
      <c r="O636" s="1637"/>
      <c r="Q636" s="585"/>
      <c r="R636" s="224"/>
      <c r="S636" s="970"/>
    </row>
    <row r="637" ht="15.75" customHeight="1">
      <c r="D637" s="314"/>
      <c r="E637" s="314"/>
      <c r="F637" s="314"/>
      <c r="G637" s="1633"/>
      <c r="H637" s="1634"/>
      <c r="I637" s="1338"/>
      <c r="J637" s="1168"/>
      <c r="K637" s="1635"/>
      <c r="L637" s="1636"/>
      <c r="N637" s="585"/>
      <c r="O637" s="1637"/>
      <c r="Q637" s="585"/>
      <c r="R637" s="224"/>
      <c r="S637" s="970"/>
    </row>
    <row r="638" ht="15.75" customHeight="1">
      <c r="D638" s="314"/>
      <c r="E638" s="314"/>
      <c r="F638" s="314"/>
      <c r="G638" s="1633"/>
      <c r="H638" s="1634"/>
      <c r="I638" s="1338"/>
      <c r="J638" s="1168"/>
      <c r="K638" s="1635"/>
      <c r="L638" s="1636"/>
      <c r="N638" s="585"/>
      <c r="O638" s="1637"/>
      <c r="Q638" s="585"/>
      <c r="R638" s="224"/>
      <c r="S638" s="970"/>
    </row>
    <row r="639" ht="15.75" customHeight="1">
      <c r="D639" s="314"/>
      <c r="E639" s="314"/>
      <c r="F639" s="314"/>
      <c r="G639" s="1633"/>
      <c r="H639" s="1634"/>
      <c r="I639" s="1338"/>
      <c r="J639" s="1168"/>
      <c r="K639" s="1635"/>
      <c r="L639" s="1636"/>
      <c r="N639" s="585"/>
      <c r="O639" s="1637"/>
      <c r="Q639" s="585"/>
      <c r="R639" s="224"/>
      <c r="S639" s="970"/>
    </row>
    <row r="640" ht="15.75" customHeight="1">
      <c r="D640" s="314"/>
      <c r="E640" s="314"/>
      <c r="F640" s="314"/>
      <c r="G640" s="1633"/>
      <c r="H640" s="1634"/>
      <c r="I640" s="1338"/>
      <c r="J640" s="1168"/>
      <c r="K640" s="1635"/>
      <c r="L640" s="1636"/>
      <c r="N640" s="585"/>
      <c r="O640" s="1637"/>
      <c r="Q640" s="585"/>
      <c r="R640" s="224"/>
      <c r="S640" s="970"/>
    </row>
    <row r="641" ht="15.75" customHeight="1">
      <c r="D641" s="314"/>
      <c r="E641" s="314"/>
      <c r="F641" s="314"/>
      <c r="G641" s="1633"/>
      <c r="H641" s="1634"/>
      <c r="I641" s="1338"/>
      <c r="J641" s="1168"/>
      <c r="K641" s="1635"/>
      <c r="L641" s="1636"/>
      <c r="N641" s="585"/>
      <c r="O641" s="1637"/>
      <c r="Q641" s="585"/>
      <c r="R641" s="224"/>
      <c r="S641" s="970"/>
    </row>
    <row r="642" ht="15.75" customHeight="1">
      <c r="D642" s="314"/>
      <c r="E642" s="314"/>
      <c r="F642" s="314"/>
      <c r="G642" s="1633"/>
      <c r="H642" s="1634"/>
      <c r="I642" s="1338"/>
      <c r="J642" s="1168"/>
      <c r="K642" s="1635"/>
      <c r="L642" s="1636"/>
      <c r="N642" s="585"/>
      <c r="O642" s="1637"/>
      <c r="Q642" s="585"/>
      <c r="R642" s="224"/>
      <c r="S642" s="970"/>
    </row>
    <row r="643" ht="15.75" customHeight="1">
      <c r="D643" s="314"/>
      <c r="E643" s="314"/>
      <c r="F643" s="314"/>
      <c r="G643" s="1633"/>
      <c r="H643" s="1634"/>
      <c r="I643" s="1338"/>
      <c r="J643" s="1168"/>
      <c r="K643" s="1635"/>
      <c r="L643" s="1636"/>
      <c r="N643" s="585"/>
      <c r="O643" s="1637"/>
      <c r="Q643" s="585"/>
      <c r="R643" s="224"/>
      <c r="S643" s="970"/>
    </row>
    <row r="644" ht="15.75" customHeight="1">
      <c r="D644" s="314"/>
      <c r="E644" s="314"/>
      <c r="F644" s="314"/>
      <c r="G644" s="1633"/>
      <c r="H644" s="1634"/>
      <c r="I644" s="1338"/>
      <c r="J644" s="1168"/>
      <c r="K644" s="1635"/>
      <c r="L644" s="1636"/>
      <c r="N644" s="585"/>
      <c r="O644" s="1637"/>
      <c r="Q644" s="585"/>
      <c r="R644" s="224"/>
      <c r="S644" s="970"/>
    </row>
    <row r="645" ht="15.75" customHeight="1">
      <c r="D645" s="314"/>
      <c r="E645" s="314"/>
      <c r="F645" s="314"/>
      <c r="G645" s="1633"/>
      <c r="H645" s="1634"/>
      <c r="I645" s="1338"/>
      <c r="J645" s="1168"/>
      <c r="K645" s="1635"/>
      <c r="L645" s="1636"/>
      <c r="N645" s="585"/>
      <c r="O645" s="1637"/>
      <c r="Q645" s="585"/>
      <c r="R645" s="224"/>
      <c r="S645" s="970"/>
    </row>
    <row r="646" ht="15.75" customHeight="1">
      <c r="D646" s="314"/>
      <c r="E646" s="314"/>
      <c r="F646" s="314"/>
      <c r="G646" s="1633"/>
      <c r="H646" s="1634"/>
      <c r="I646" s="1338"/>
      <c r="J646" s="1168"/>
      <c r="K646" s="1635"/>
      <c r="L646" s="1636"/>
      <c r="N646" s="585"/>
      <c r="O646" s="1637"/>
      <c r="Q646" s="585"/>
      <c r="R646" s="224"/>
      <c r="S646" s="970"/>
    </row>
    <row r="647" ht="15.75" customHeight="1">
      <c r="D647" s="314"/>
      <c r="E647" s="314"/>
      <c r="F647" s="314"/>
      <c r="G647" s="1633"/>
      <c r="H647" s="1634"/>
      <c r="I647" s="1338"/>
      <c r="J647" s="1168"/>
      <c r="K647" s="1635"/>
      <c r="L647" s="1636"/>
      <c r="N647" s="585"/>
      <c r="O647" s="1637"/>
      <c r="Q647" s="585"/>
      <c r="R647" s="224"/>
      <c r="S647" s="970"/>
    </row>
    <row r="648" ht="15.75" customHeight="1">
      <c r="D648" s="314"/>
      <c r="E648" s="314"/>
      <c r="F648" s="314"/>
      <c r="G648" s="1633"/>
      <c r="H648" s="1634"/>
      <c r="I648" s="1338"/>
      <c r="J648" s="1168"/>
      <c r="K648" s="1635"/>
      <c r="L648" s="1636"/>
      <c r="N648" s="585"/>
      <c r="O648" s="1637"/>
      <c r="Q648" s="585"/>
      <c r="R648" s="224"/>
      <c r="S648" s="970"/>
    </row>
    <row r="649" ht="15.75" customHeight="1">
      <c r="D649" s="314"/>
      <c r="E649" s="314"/>
      <c r="F649" s="314"/>
      <c r="G649" s="1633"/>
      <c r="H649" s="1634"/>
      <c r="I649" s="1338"/>
      <c r="J649" s="1168"/>
      <c r="K649" s="1635"/>
      <c r="L649" s="1636"/>
      <c r="N649" s="585"/>
      <c r="O649" s="1637"/>
      <c r="Q649" s="585"/>
      <c r="R649" s="224"/>
      <c r="S649" s="970"/>
    </row>
    <row r="650" ht="15.75" customHeight="1">
      <c r="D650" s="314"/>
      <c r="E650" s="314"/>
      <c r="F650" s="314"/>
      <c r="G650" s="1633"/>
      <c r="H650" s="1634"/>
      <c r="I650" s="1338"/>
      <c r="J650" s="1168"/>
      <c r="K650" s="1635"/>
      <c r="L650" s="1636"/>
      <c r="N650" s="585"/>
      <c r="O650" s="1637"/>
      <c r="Q650" s="585"/>
      <c r="R650" s="224"/>
      <c r="S650" s="970"/>
    </row>
    <row r="651" ht="15.75" customHeight="1">
      <c r="D651" s="314"/>
      <c r="E651" s="314"/>
      <c r="F651" s="314"/>
      <c r="G651" s="1633"/>
      <c r="H651" s="1634"/>
      <c r="I651" s="1338"/>
      <c r="J651" s="1168"/>
      <c r="K651" s="1635"/>
      <c r="L651" s="1636"/>
      <c r="N651" s="585"/>
      <c r="O651" s="1637"/>
      <c r="Q651" s="585"/>
      <c r="R651" s="224"/>
      <c r="S651" s="970"/>
    </row>
    <row r="652" ht="15.75" customHeight="1">
      <c r="D652" s="314"/>
      <c r="E652" s="314"/>
      <c r="F652" s="314"/>
      <c r="G652" s="1633"/>
      <c r="H652" s="1634"/>
      <c r="I652" s="1338"/>
      <c r="J652" s="1168"/>
      <c r="K652" s="1635"/>
      <c r="L652" s="1636"/>
      <c r="N652" s="585"/>
      <c r="O652" s="1637"/>
      <c r="Q652" s="585"/>
      <c r="R652" s="224"/>
      <c r="S652" s="970"/>
    </row>
    <row r="653" ht="15.75" customHeight="1">
      <c r="D653" s="314"/>
      <c r="E653" s="314"/>
      <c r="F653" s="314"/>
      <c r="G653" s="1633"/>
      <c r="H653" s="1634"/>
      <c r="I653" s="1338"/>
      <c r="J653" s="1168"/>
      <c r="K653" s="1635"/>
      <c r="L653" s="1636"/>
      <c r="N653" s="585"/>
      <c r="O653" s="1637"/>
      <c r="Q653" s="585"/>
      <c r="R653" s="224"/>
      <c r="S653" s="970"/>
    </row>
    <row r="654" ht="15.75" customHeight="1">
      <c r="D654" s="314"/>
      <c r="E654" s="314"/>
      <c r="F654" s="314"/>
      <c r="G654" s="1633"/>
      <c r="H654" s="1634"/>
      <c r="I654" s="1338"/>
      <c r="J654" s="1168"/>
      <c r="K654" s="1635"/>
      <c r="L654" s="1636"/>
      <c r="N654" s="585"/>
      <c r="O654" s="1637"/>
      <c r="Q654" s="585"/>
      <c r="R654" s="224"/>
      <c r="S654" s="970"/>
    </row>
    <row r="655" ht="15.75" customHeight="1">
      <c r="D655" s="314"/>
      <c r="E655" s="314"/>
      <c r="F655" s="314"/>
      <c r="G655" s="1633"/>
      <c r="H655" s="1634"/>
      <c r="I655" s="1338"/>
      <c r="J655" s="1168"/>
      <c r="K655" s="1635"/>
      <c r="L655" s="1636"/>
      <c r="N655" s="585"/>
      <c r="O655" s="1637"/>
      <c r="Q655" s="585"/>
      <c r="R655" s="224"/>
      <c r="S655" s="970"/>
    </row>
    <row r="656" ht="15.75" customHeight="1">
      <c r="D656" s="314"/>
      <c r="E656" s="314"/>
      <c r="F656" s="314"/>
      <c r="G656" s="1633"/>
      <c r="H656" s="1634"/>
      <c r="I656" s="1338"/>
      <c r="J656" s="1168"/>
      <c r="K656" s="1635"/>
      <c r="L656" s="1636"/>
      <c r="N656" s="585"/>
      <c r="O656" s="1637"/>
      <c r="Q656" s="585"/>
      <c r="R656" s="224"/>
      <c r="S656" s="970"/>
    </row>
    <row r="657" ht="15.75" customHeight="1">
      <c r="D657" s="314"/>
      <c r="E657" s="314"/>
      <c r="F657" s="314"/>
      <c r="G657" s="1633"/>
      <c r="H657" s="1634"/>
      <c r="I657" s="1338"/>
      <c r="J657" s="1168"/>
      <c r="K657" s="1635"/>
      <c r="L657" s="1636"/>
      <c r="N657" s="585"/>
      <c r="O657" s="1637"/>
      <c r="Q657" s="585"/>
      <c r="R657" s="224"/>
      <c r="S657" s="970"/>
    </row>
    <row r="658" ht="15.75" customHeight="1">
      <c r="D658" s="314"/>
      <c r="E658" s="314"/>
      <c r="F658" s="314"/>
      <c r="G658" s="1633"/>
      <c r="H658" s="1634"/>
      <c r="I658" s="1338"/>
      <c r="J658" s="1168"/>
      <c r="K658" s="1635"/>
      <c r="L658" s="1636"/>
      <c r="N658" s="585"/>
      <c r="O658" s="1637"/>
      <c r="Q658" s="585"/>
      <c r="R658" s="224"/>
      <c r="S658" s="970"/>
    </row>
    <row r="659" ht="15.75" customHeight="1">
      <c r="D659" s="314"/>
      <c r="E659" s="314"/>
      <c r="F659" s="314"/>
      <c r="G659" s="1633"/>
      <c r="H659" s="1634"/>
      <c r="I659" s="1338"/>
      <c r="J659" s="1168"/>
      <c r="K659" s="1635"/>
      <c r="L659" s="1636"/>
      <c r="N659" s="585"/>
      <c r="O659" s="1637"/>
      <c r="Q659" s="585"/>
      <c r="R659" s="224"/>
      <c r="S659" s="970"/>
    </row>
    <row r="660" ht="15.75" customHeight="1">
      <c r="D660" s="314"/>
      <c r="E660" s="314"/>
      <c r="F660" s="314"/>
      <c r="G660" s="1633"/>
      <c r="H660" s="1634"/>
      <c r="I660" s="1338"/>
      <c r="J660" s="1168"/>
      <c r="K660" s="1635"/>
      <c r="L660" s="1636"/>
      <c r="N660" s="585"/>
      <c r="O660" s="1637"/>
      <c r="Q660" s="585"/>
      <c r="R660" s="224"/>
      <c r="S660" s="970"/>
    </row>
    <row r="661" ht="15.75" customHeight="1">
      <c r="D661" s="314"/>
      <c r="E661" s="314"/>
      <c r="F661" s="314"/>
      <c r="G661" s="1633"/>
      <c r="H661" s="1634"/>
      <c r="I661" s="1338"/>
      <c r="J661" s="1168"/>
      <c r="K661" s="1635"/>
      <c r="L661" s="1636"/>
      <c r="N661" s="585"/>
      <c r="O661" s="1637"/>
      <c r="Q661" s="585"/>
      <c r="R661" s="224"/>
      <c r="S661" s="970"/>
    </row>
    <row r="662" ht="15.75" customHeight="1">
      <c r="D662" s="314"/>
      <c r="E662" s="314"/>
      <c r="F662" s="314"/>
      <c r="G662" s="1633"/>
      <c r="H662" s="1634"/>
      <c r="I662" s="1338"/>
      <c r="J662" s="1168"/>
      <c r="K662" s="1635"/>
      <c r="L662" s="1636"/>
      <c r="N662" s="585"/>
      <c r="O662" s="1637"/>
      <c r="Q662" s="585"/>
      <c r="R662" s="224"/>
      <c r="S662" s="970"/>
    </row>
    <row r="663" ht="15.75" customHeight="1">
      <c r="D663" s="314"/>
      <c r="E663" s="314"/>
      <c r="F663" s="314"/>
      <c r="G663" s="1633"/>
      <c r="H663" s="1634"/>
      <c r="I663" s="1338"/>
      <c r="J663" s="1168"/>
      <c r="K663" s="1635"/>
      <c r="L663" s="1636"/>
      <c r="N663" s="585"/>
      <c r="O663" s="1637"/>
      <c r="Q663" s="585"/>
      <c r="R663" s="224"/>
      <c r="S663" s="970"/>
    </row>
    <row r="664" ht="15.75" customHeight="1">
      <c r="D664" s="314"/>
      <c r="E664" s="314"/>
      <c r="F664" s="314"/>
      <c r="G664" s="1633"/>
      <c r="H664" s="1634"/>
      <c r="I664" s="1338"/>
      <c r="J664" s="1168"/>
      <c r="K664" s="1635"/>
      <c r="L664" s="1636"/>
      <c r="N664" s="585"/>
      <c r="O664" s="1637"/>
      <c r="Q664" s="585"/>
      <c r="R664" s="224"/>
      <c r="S664" s="970"/>
    </row>
    <row r="665" ht="15.75" customHeight="1">
      <c r="D665" s="314"/>
      <c r="E665" s="314"/>
      <c r="F665" s="314"/>
      <c r="G665" s="1633"/>
      <c r="H665" s="1634"/>
      <c r="I665" s="1338"/>
      <c r="J665" s="1168"/>
      <c r="K665" s="1635"/>
      <c r="L665" s="1636"/>
      <c r="N665" s="585"/>
      <c r="O665" s="1637"/>
      <c r="Q665" s="585"/>
      <c r="R665" s="224"/>
      <c r="S665" s="970"/>
    </row>
    <row r="666" ht="15.75" customHeight="1">
      <c r="D666" s="314"/>
      <c r="E666" s="314"/>
      <c r="F666" s="314"/>
      <c r="G666" s="1633"/>
      <c r="H666" s="1634"/>
      <c r="I666" s="1338"/>
      <c r="J666" s="1168"/>
      <c r="K666" s="1635"/>
      <c r="L666" s="1636"/>
      <c r="N666" s="585"/>
      <c r="O666" s="1637"/>
      <c r="Q666" s="585"/>
      <c r="R666" s="224"/>
      <c r="S666" s="970"/>
    </row>
    <row r="667" ht="15.75" customHeight="1">
      <c r="D667" s="314"/>
      <c r="E667" s="314"/>
      <c r="F667" s="314"/>
      <c r="G667" s="1633"/>
      <c r="H667" s="1634"/>
      <c r="I667" s="1338"/>
      <c r="J667" s="1168"/>
      <c r="K667" s="1635"/>
      <c r="L667" s="1636"/>
      <c r="N667" s="585"/>
      <c r="O667" s="1637"/>
      <c r="Q667" s="585"/>
      <c r="R667" s="224"/>
      <c r="S667" s="970"/>
    </row>
    <row r="668" ht="15.75" customHeight="1">
      <c r="D668" s="314"/>
      <c r="E668" s="314"/>
      <c r="F668" s="314"/>
      <c r="G668" s="1633"/>
      <c r="H668" s="1634"/>
      <c r="I668" s="1338"/>
      <c r="J668" s="1168"/>
      <c r="K668" s="1635"/>
      <c r="L668" s="1636"/>
      <c r="N668" s="585"/>
      <c r="O668" s="1637"/>
      <c r="Q668" s="585"/>
      <c r="R668" s="224"/>
      <c r="S668" s="970"/>
    </row>
    <row r="669" ht="15.75" customHeight="1">
      <c r="D669" s="314"/>
      <c r="E669" s="314"/>
      <c r="F669" s="314"/>
      <c r="G669" s="1633"/>
      <c r="H669" s="1634"/>
      <c r="I669" s="1338"/>
      <c r="J669" s="1168"/>
      <c r="K669" s="1635"/>
      <c r="L669" s="1636"/>
      <c r="N669" s="585"/>
      <c r="O669" s="1637"/>
      <c r="Q669" s="585"/>
      <c r="R669" s="224"/>
      <c r="S669" s="970"/>
    </row>
    <row r="670" ht="15.75" customHeight="1">
      <c r="D670" s="314"/>
      <c r="E670" s="314"/>
      <c r="F670" s="314"/>
      <c r="G670" s="1633"/>
      <c r="H670" s="1634"/>
      <c r="I670" s="1338"/>
      <c r="J670" s="1168"/>
      <c r="K670" s="1635"/>
      <c r="L670" s="1636"/>
      <c r="N670" s="585"/>
      <c r="O670" s="1637"/>
      <c r="Q670" s="585"/>
      <c r="R670" s="224"/>
      <c r="S670" s="970"/>
    </row>
    <row r="671" ht="15.75" customHeight="1">
      <c r="D671" s="314"/>
      <c r="E671" s="314"/>
      <c r="F671" s="314"/>
      <c r="G671" s="1633"/>
      <c r="H671" s="1634"/>
      <c r="I671" s="1338"/>
      <c r="J671" s="1168"/>
      <c r="K671" s="1635"/>
      <c r="L671" s="1636"/>
      <c r="N671" s="585"/>
      <c r="O671" s="1637"/>
      <c r="Q671" s="585"/>
      <c r="R671" s="224"/>
      <c r="S671" s="970"/>
    </row>
    <row r="672" ht="15.75" customHeight="1">
      <c r="D672" s="314"/>
      <c r="E672" s="314"/>
      <c r="F672" s="314"/>
      <c r="G672" s="1633"/>
      <c r="H672" s="1634"/>
      <c r="I672" s="1338"/>
      <c r="J672" s="1168"/>
      <c r="K672" s="1635"/>
      <c r="L672" s="1636"/>
      <c r="N672" s="585"/>
      <c r="O672" s="1637"/>
      <c r="Q672" s="585"/>
      <c r="R672" s="224"/>
      <c r="S672" s="970"/>
    </row>
    <row r="673" ht="15.75" customHeight="1">
      <c r="D673" s="314"/>
      <c r="E673" s="314"/>
      <c r="F673" s="314"/>
      <c r="G673" s="1633"/>
      <c r="H673" s="1634"/>
      <c r="I673" s="1338"/>
      <c r="J673" s="1168"/>
      <c r="K673" s="1635"/>
      <c r="L673" s="1636"/>
      <c r="N673" s="585"/>
      <c r="O673" s="1637"/>
      <c r="Q673" s="585"/>
      <c r="R673" s="224"/>
      <c r="S673" s="970"/>
    </row>
    <row r="674" ht="15.75" customHeight="1">
      <c r="D674" s="314"/>
      <c r="E674" s="314"/>
      <c r="F674" s="314"/>
      <c r="G674" s="1633"/>
      <c r="H674" s="1634"/>
      <c r="I674" s="1338"/>
      <c r="J674" s="1168"/>
      <c r="K674" s="1635"/>
      <c r="L674" s="1636"/>
      <c r="N674" s="585"/>
      <c r="O674" s="1637"/>
      <c r="Q674" s="585"/>
      <c r="R674" s="224"/>
      <c r="S674" s="970"/>
    </row>
    <row r="675" ht="15.75" customHeight="1">
      <c r="D675" s="314"/>
      <c r="E675" s="314"/>
      <c r="F675" s="314"/>
      <c r="G675" s="1633"/>
      <c r="H675" s="1634"/>
      <c r="I675" s="1338"/>
      <c r="J675" s="1168"/>
      <c r="K675" s="1635"/>
      <c r="L675" s="1636"/>
      <c r="N675" s="585"/>
      <c r="O675" s="1637"/>
      <c r="Q675" s="585"/>
      <c r="R675" s="224"/>
      <c r="S675" s="970"/>
    </row>
    <row r="676" ht="15.75" customHeight="1">
      <c r="D676" s="314"/>
      <c r="E676" s="314"/>
      <c r="F676" s="314"/>
      <c r="G676" s="1633"/>
      <c r="H676" s="1634"/>
      <c r="I676" s="1338"/>
      <c r="J676" s="1168"/>
      <c r="K676" s="1635"/>
      <c r="L676" s="1636"/>
      <c r="N676" s="585"/>
      <c r="O676" s="1637"/>
      <c r="Q676" s="585"/>
      <c r="R676" s="224"/>
      <c r="S676" s="970"/>
    </row>
    <row r="677" ht="15.75" customHeight="1">
      <c r="D677" s="314"/>
      <c r="E677" s="314"/>
      <c r="F677" s="314"/>
      <c r="G677" s="1633"/>
      <c r="H677" s="1634"/>
      <c r="I677" s="1338"/>
      <c r="J677" s="1168"/>
      <c r="K677" s="1635"/>
      <c r="L677" s="1636"/>
      <c r="N677" s="585"/>
      <c r="O677" s="1637"/>
      <c r="Q677" s="585"/>
      <c r="R677" s="224"/>
      <c r="S677" s="970"/>
    </row>
    <row r="678" ht="15.75" customHeight="1">
      <c r="D678" s="314"/>
      <c r="E678" s="314"/>
      <c r="F678" s="314"/>
      <c r="G678" s="1633"/>
      <c r="H678" s="1634"/>
      <c r="I678" s="1338"/>
      <c r="J678" s="1168"/>
      <c r="K678" s="1635"/>
      <c r="L678" s="1636"/>
      <c r="N678" s="585"/>
      <c r="O678" s="1637"/>
      <c r="Q678" s="585"/>
      <c r="R678" s="224"/>
      <c r="S678" s="970"/>
    </row>
    <row r="679" ht="15.75" customHeight="1">
      <c r="D679" s="314"/>
      <c r="E679" s="314"/>
      <c r="F679" s="314"/>
      <c r="G679" s="1633"/>
      <c r="H679" s="1634"/>
      <c r="I679" s="1338"/>
      <c r="J679" s="1168"/>
      <c r="K679" s="1635"/>
      <c r="L679" s="1636"/>
      <c r="N679" s="585"/>
      <c r="O679" s="1637"/>
      <c r="Q679" s="585"/>
      <c r="R679" s="224"/>
      <c r="S679" s="970"/>
    </row>
    <row r="680" ht="15.75" customHeight="1">
      <c r="D680" s="314"/>
      <c r="E680" s="314"/>
      <c r="F680" s="314"/>
      <c r="G680" s="1633"/>
      <c r="H680" s="1634"/>
      <c r="I680" s="1338"/>
      <c r="J680" s="1168"/>
      <c r="K680" s="1635"/>
      <c r="L680" s="1636"/>
      <c r="N680" s="585"/>
      <c r="O680" s="1637"/>
      <c r="Q680" s="585"/>
      <c r="R680" s="224"/>
      <c r="S680" s="970"/>
    </row>
    <row r="681" ht="15.75" customHeight="1">
      <c r="D681" s="314"/>
      <c r="E681" s="314"/>
      <c r="F681" s="314"/>
      <c r="G681" s="1633"/>
      <c r="H681" s="1634"/>
      <c r="I681" s="1338"/>
      <c r="J681" s="1168"/>
      <c r="K681" s="1635"/>
      <c r="L681" s="1636"/>
      <c r="N681" s="585"/>
      <c r="O681" s="1637"/>
      <c r="Q681" s="585"/>
      <c r="R681" s="224"/>
      <c r="S681" s="970"/>
    </row>
    <row r="682" ht="15.75" customHeight="1">
      <c r="D682" s="314"/>
      <c r="E682" s="314"/>
      <c r="F682" s="314"/>
      <c r="G682" s="1633"/>
      <c r="H682" s="1634"/>
      <c r="I682" s="1338"/>
      <c r="J682" s="1168"/>
      <c r="K682" s="1635"/>
      <c r="L682" s="1636"/>
      <c r="N682" s="585"/>
      <c r="O682" s="1637"/>
      <c r="Q682" s="585"/>
      <c r="R682" s="224"/>
      <c r="S682" s="970"/>
    </row>
    <row r="683" ht="15.75" customHeight="1">
      <c r="D683" s="314"/>
      <c r="E683" s="314"/>
      <c r="F683" s="314"/>
      <c r="G683" s="1633"/>
      <c r="H683" s="1634"/>
      <c r="I683" s="1338"/>
      <c r="J683" s="1168"/>
      <c r="K683" s="1635"/>
      <c r="L683" s="1636"/>
      <c r="N683" s="585"/>
      <c r="O683" s="1637"/>
      <c r="Q683" s="585"/>
      <c r="R683" s="224"/>
      <c r="S683" s="970"/>
    </row>
    <row r="684" ht="15.75" customHeight="1">
      <c r="D684" s="314"/>
      <c r="E684" s="314"/>
      <c r="F684" s="314"/>
      <c r="G684" s="1633"/>
      <c r="H684" s="1634"/>
      <c r="I684" s="1338"/>
      <c r="J684" s="1168"/>
      <c r="K684" s="1635"/>
      <c r="L684" s="1636"/>
      <c r="N684" s="585"/>
      <c r="O684" s="1637"/>
      <c r="Q684" s="585"/>
      <c r="R684" s="224"/>
      <c r="S684" s="970"/>
    </row>
    <row r="685" ht="15.75" customHeight="1">
      <c r="D685" s="314"/>
      <c r="E685" s="314"/>
      <c r="F685" s="314"/>
      <c r="G685" s="1633"/>
      <c r="H685" s="1634"/>
      <c r="I685" s="1338"/>
      <c r="J685" s="1168"/>
      <c r="K685" s="1635"/>
      <c r="L685" s="1636"/>
      <c r="N685" s="585"/>
      <c r="O685" s="1637"/>
      <c r="Q685" s="585"/>
      <c r="R685" s="224"/>
      <c r="S685" s="970"/>
    </row>
    <row r="686" ht="15.75" customHeight="1">
      <c r="D686" s="314"/>
      <c r="E686" s="314"/>
      <c r="F686" s="314"/>
      <c r="G686" s="1633"/>
      <c r="H686" s="1634"/>
      <c r="I686" s="1338"/>
      <c r="J686" s="1168"/>
      <c r="K686" s="1635"/>
      <c r="L686" s="1636"/>
      <c r="N686" s="585"/>
      <c r="O686" s="1637"/>
      <c r="Q686" s="585"/>
      <c r="R686" s="224"/>
      <c r="S686" s="970"/>
    </row>
    <row r="687" ht="15.75" customHeight="1">
      <c r="D687" s="314"/>
      <c r="E687" s="314"/>
      <c r="F687" s="314"/>
      <c r="G687" s="1633"/>
      <c r="H687" s="1634"/>
      <c r="I687" s="1338"/>
      <c r="J687" s="1168"/>
      <c r="K687" s="1635"/>
      <c r="L687" s="1636"/>
      <c r="N687" s="585"/>
      <c r="O687" s="1637"/>
      <c r="Q687" s="585"/>
      <c r="R687" s="224"/>
      <c r="S687" s="970"/>
    </row>
    <row r="688" ht="15.75" customHeight="1">
      <c r="D688" s="314"/>
      <c r="E688" s="314"/>
      <c r="F688" s="314"/>
      <c r="G688" s="1633"/>
      <c r="H688" s="1634"/>
      <c r="I688" s="1338"/>
      <c r="J688" s="1168"/>
      <c r="K688" s="1635"/>
      <c r="L688" s="1636"/>
      <c r="N688" s="585"/>
      <c r="O688" s="1637"/>
      <c r="Q688" s="585"/>
      <c r="R688" s="224"/>
      <c r="S688" s="970"/>
    </row>
    <row r="689" ht="15.75" customHeight="1">
      <c r="D689" s="314"/>
      <c r="E689" s="314"/>
      <c r="F689" s="314"/>
      <c r="G689" s="1633"/>
      <c r="H689" s="1634"/>
      <c r="I689" s="1338"/>
      <c r="J689" s="1168"/>
      <c r="K689" s="1635"/>
      <c r="L689" s="1636"/>
      <c r="N689" s="585"/>
      <c r="O689" s="1637"/>
      <c r="Q689" s="585"/>
      <c r="R689" s="224"/>
      <c r="S689" s="970"/>
    </row>
    <row r="690" ht="15.75" customHeight="1">
      <c r="D690" s="314"/>
      <c r="E690" s="314"/>
      <c r="F690" s="314"/>
      <c r="G690" s="1633"/>
      <c r="H690" s="1634"/>
      <c r="I690" s="1338"/>
      <c r="J690" s="1168"/>
      <c r="K690" s="1635"/>
      <c r="L690" s="1636"/>
      <c r="N690" s="585"/>
      <c r="O690" s="1637"/>
      <c r="Q690" s="585"/>
      <c r="R690" s="224"/>
      <c r="S690" s="970"/>
    </row>
    <row r="691" ht="15.75" customHeight="1">
      <c r="D691" s="314"/>
      <c r="E691" s="314"/>
      <c r="F691" s="314"/>
      <c r="G691" s="1633"/>
      <c r="H691" s="1634"/>
      <c r="I691" s="1338"/>
      <c r="J691" s="1168"/>
      <c r="K691" s="1635"/>
      <c r="L691" s="1636"/>
      <c r="N691" s="585"/>
      <c r="O691" s="1637"/>
      <c r="Q691" s="585"/>
      <c r="R691" s="224"/>
      <c r="S691" s="970"/>
    </row>
    <row r="692" ht="15.75" customHeight="1">
      <c r="D692" s="314"/>
      <c r="E692" s="314"/>
      <c r="F692" s="314"/>
      <c r="G692" s="1633"/>
      <c r="H692" s="1634"/>
      <c r="I692" s="1338"/>
      <c r="J692" s="1168"/>
      <c r="K692" s="1635"/>
      <c r="L692" s="1636"/>
      <c r="N692" s="585"/>
      <c r="O692" s="1637"/>
      <c r="Q692" s="585"/>
      <c r="R692" s="224"/>
      <c r="S692" s="970"/>
    </row>
    <row r="693" ht="15.75" customHeight="1">
      <c r="D693" s="314"/>
      <c r="E693" s="314"/>
      <c r="F693" s="314"/>
      <c r="G693" s="1633"/>
      <c r="H693" s="1634"/>
      <c r="I693" s="1338"/>
      <c r="J693" s="1168"/>
      <c r="K693" s="1635"/>
      <c r="L693" s="1636"/>
      <c r="N693" s="585"/>
      <c r="O693" s="1637"/>
      <c r="Q693" s="585"/>
      <c r="R693" s="224"/>
      <c r="S693" s="970"/>
    </row>
    <row r="694" ht="15.75" customHeight="1">
      <c r="D694" s="314"/>
      <c r="E694" s="314"/>
      <c r="F694" s="314"/>
      <c r="G694" s="1633"/>
      <c r="H694" s="1634"/>
      <c r="I694" s="1338"/>
      <c r="J694" s="1168"/>
      <c r="K694" s="1635"/>
      <c r="L694" s="1636"/>
      <c r="N694" s="585"/>
      <c r="O694" s="1637"/>
      <c r="Q694" s="585"/>
      <c r="R694" s="224"/>
      <c r="S694" s="970"/>
    </row>
    <row r="695" ht="15.75" customHeight="1">
      <c r="D695" s="314"/>
      <c r="E695" s="314"/>
      <c r="F695" s="314"/>
      <c r="G695" s="1633"/>
      <c r="H695" s="1634"/>
      <c r="I695" s="1338"/>
      <c r="J695" s="1168"/>
      <c r="K695" s="1635"/>
      <c r="L695" s="1636"/>
      <c r="N695" s="585"/>
      <c r="O695" s="1637"/>
      <c r="Q695" s="585"/>
      <c r="R695" s="224"/>
      <c r="S695" s="970"/>
    </row>
    <row r="696" ht="15.75" customHeight="1">
      <c r="D696" s="314"/>
      <c r="E696" s="314"/>
      <c r="F696" s="314"/>
      <c r="G696" s="1633"/>
      <c r="H696" s="1634"/>
      <c r="I696" s="1338"/>
      <c r="J696" s="1168"/>
      <c r="K696" s="1635"/>
      <c r="L696" s="1636"/>
      <c r="N696" s="585"/>
      <c r="O696" s="1637"/>
      <c r="Q696" s="585"/>
      <c r="R696" s="224"/>
      <c r="S696" s="970"/>
    </row>
    <row r="697" ht="15.75" customHeight="1">
      <c r="D697" s="314"/>
      <c r="E697" s="314"/>
      <c r="F697" s="314"/>
      <c r="G697" s="1633"/>
      <c r="H697" s="1634"/>
      <c r="I697" s="1338"/>
      <c r="J697" s="1168"/>
      <c r="K697" s="1635"/>
      <c r="L697" s="1636"/>
      <c r="N697" s="585"/>
      <c r="O697" s="1637"/>
      <c r="Q697" s="585"/>
      <c r="R697" s="224"/>
      <c r="S697" s="970"/>
    </row>
    <row r="698" ht="15.75" customHeight="1">
      <c r="D698" s="314"/>
      <c r="E698" s="314"/>
      <c r="F698" s="314"/>
      <c r="G698" s="1633"/>
      <c r="H698" s="1634"/>
      <c r="I698" s="1338"/>
      <c r="J698" s="1168"/>
      <c r="K698" s="1635"/>
      <c r="L698" s="1636"/>
      <c r="N698" s="585"/>
      <c r="O698" s="1637"/>
      <c r="Q698" s="585"/>
      <c r="R698" s="224"/>
      <c r="S698" s="970"/>
    </row>
    <row r="699" ht="15.75" customHeight="1">
      <c r="D699" s="314"/>
      <c r="E699" s="314"/>
      <c r="F699" s="314"/>
      <c r="G699" s="1633"/>
      <c r="H699" s="1634"/>
      <c r="I699" s="1338"/>
      <c r="J699" s="1168"/>
      <c r="K699" s="1635"/>
      <c r="L699" s="1636"/>
      <c r="N699" s="585"/>
      <c r="O699" s="1637"/>
      <c r="Q699" s="585"/>
      <c r="R699" s="224"/>
      <c r="S699" s="970"/>
    </row>
    <row r="700" ht="15.75" customHeight="1">
      <c r="D700" s="314"/>
      <c r="E700" s="314"/>
      <c r="F700" s="314"/>
      <c r="G700" s="1633"/>
      <c r="H700" s="1634"/>
      <c r="I700" s="1338"/>
      <c r="J700" s="1168"/>
      <c r="K700" s="1635"/>
      <c r="L700" s="1636"/>
      <c r="N700" s="585"/>
      <c r="O700" s="1637"/>
      <c r="Q700" s="585"/>
      <c r="R700" s="224"/>
      <c r="S700" s="970"/>
    </row>
    <row r="701" ht="15.75" customHeight="1">
      <c r="D701" s="314"/>
      <c r="E701" s="314"/>
      <c r="F701" s="314"/>
      <c r="G701" s="1633"/>
      <c r="H701" s="1634"/>
      <c r="I701" s="1338"/>
      <c r="J701" s="1168"/>
      <c r="K701" s="1635"/>
      <c r="L701" s="1636"/>
      <c r="N701" s="585"/>
      <c r="O701" s="1637"/>
      <c r="Q701" s="585"/>
      <c r="R701" s="224"/>
      <c r="S701" s="970"/>
    </row>
    <row r="702" ht="15.75" customHeight="1">
      <c r="D702" s="314"/>
      <c r="E702" s="314"/>
      <c r="F702" s="314"/>
      <c r="G702" s="1633"/>
      <c r="H702" s="1634"/>
      <c r="I702" s="1338"/>
      <c r="J702" s="1168"/>
      <c r="K702" s="1635"/>
      <c r="L702" s="1636"/>
      <c r="N702" s="585"/>
      <c r="O702" s="1637"/>
      <c r="Q702" s="585"/>
      <c r="R702" s="224"/>
      <c r="S702" s="970"/>
    </row>
    <row r="703" ht="15.75" customHeight="1">
      <c r="D703" s="314"/>
      <c r="E703" s="314"/>
      <c r="F703" s="314"/>
      <c r="G703" s="1633"/>
      <c r="H703" s="1634"/>
      <c r="I703" s="1338"/>
      <c r="J703" s="1168"/>
      <c r="K703" s="1635"/>
      <c r="L703" s="1636"/>
      <c r="N703" s="585"/>
      <c r="O703" s="1637"/>
      <c r="Q703" s="585"/>
      <c r="R703" s="224"/>
      <c r="S703" s="970"/>
    </row>
    <row r="704" ht="15.75" customHeight="1">
      <c r="D704" s="314"/>
      <c r="E704" s="314"/>
      <c r="F704" s="314"/>
      <c r="G704" s="1633"/>
      <c r="H704" s="1634"/>
      <c r="I704" s="1338"/>
      <c r="J704" s="1168"/>
      <c r="K704" s="1635"/>
      <c r="L704" s="1636"/>
      <c r="N704" s="585"/>
      <c r="O704" s="1637"/>
      <c r="Q704" s="585"/>
      <c r="R704" s="224"/>
      <c r="S704" s="970"/>
    </row>
    <row r="705" ht="15.75" customHeight="1">
      <c r="D705" s="314"/>
      <c r="E705" s="314"/>
      <c r="F705" s="314"/>
      <c r="G705" s="1633"/>
      <c r="H705" s="1634"/>
      <c r="I705" s="1338"/>
      <c r="J705" s="1168"/>
      <c r="K705" s="1635"/>
      <c r="L705" s="1636"/>
      <c r="N705" s="585"/>
      <c r="O705" s="1637"/>
      <c r="Q705" s="585"/>
      <c r="R705" s="224"/>
      <c r="S705" s="970"/>
    </row>
    <row r="706" ht="15.75" customHeight="1">
      <c r="D706" s="314"/>
      <c r="E706" s="314"/>
      <c r="F706" s="314"/>
      <c r="G706" s="1633"/>
      <c r="H706" s="1634"/>
      <c r="I706" s="1338"/>
      <c r="J706" s="1168"/>
      <c r="K706" s="1635"/>
      <c r="L706" s="1636"/>
      <c r="N706" s="585"/>
      <c r="O706" s="1637"/>
      <c r="Q706" s="585"/>
      <c r="R706" s="224"/>
      <c r="S706" s="970"/>
    </row>
    <row r="707" ht="15.75" customHeight="1">
      <c r="D707" s="314"/>
      <c r="E707" s="314"/>
      <c r="F707" s="314"/>
      <c r="G707" s="1633"/>
      <c r="H707" s="1634"/>
      <c r="I707" s="1338"/>
      <c r="J707" s="1168"/>
      <c r="K707" s="1635"/>
      <c r="L707" s="1636"/>
      <c r="N707" s="585"/>
      <c r="O707" s="1637"/>
      <c r="Q707" s="585"/>
      <c r="R707" s="224"/>
      <c r="S707" s="970"/>
    </row>
    <row r="708" ht="15.75" customHeight="1">
      <c r="D708" s="314"/>
      <c r="E708" s="314"/>
      <c r="F708" s="314"/>
      <c r="G708" s="1633"/>
      <c r="H708" s="1634"/>
      <c r="I708" s="1338"/>
      <c r="J708" s="1168"/>
      <c r="K708" s="1635"/>
      <c r="L708" s="1636"/>
      <c r="N708" s="585"/>
      <c r="O708" s="1637"/>
      <c r="Q708" s="585"/>
      <c r="R708" s="224"/>
      <c r="S708" s="970"/>
    </row>
    <row r="709" ht="15.75" customHeight="1">
      <c r="D709" s="314"/>
      <c r="E709" s="314"/>
      <c r="F709" s="314"/>
      <c r="G709" s="1633"/>
      <c r="H709" s="1634"/>
      <c r="I709" s="1338"/>
      <c r="J709" s="1168"/>
      <c r="K709" s="1635"/>
      <c r="L709" s="1636"/>
      <c r="N709" s="585"/>
      <c r="O709" s="1637"/>
      <c r="Q709" s="585"/>
      <c r="R709" s="224"/>
      <c r="S709" s="970"/>
    </row>
    <row r="710" ht="15.75" customHeight="1">
      <c r="D710" s="314"/>
      <c r="E710" s="314"/>
      <c r="F710" s="314"/>
      <c r="G710" s="1633"/>
      <c r="H710" s="1634"/>
      <c r="I710" s="1338"/>
      <c r="J710" s="1168"/>
      <c r="K710" s="1635"/>
      <c r="L710" s="1636"/>
      <c r="N710" s="585"/>
      <c r="O710" s="1637"/>
      <c r="Q710" s="585"/>
      <c r="R710" s="224"/>
      <c r="S710" s="970"/>
    </row>
    <row r="711" ht="15.75" customHeight="1">
      <c r="D711" s="314"/>
      <c r="E711" s="314"/>
      <c r="F711" s="314"/>
      <c r="G711" s="1633"/>
      <c r="H711" s="1634"/>
      <c r="I711" s="1338"/>
      <c r="J711" s="1168"/>
      <c r="K711" s="1635"/>
      <c r="L711" s="1636"/>
      <c r="N711" s="585"/>
      <c r="O711" s="1637"/>
      <c r="Q711" s="585"/>
      <c r="R711" s="224"/>
      <c r="S711" s="970"/>
    </row>
    <row r="712" ht="15.75" customHeight="1">
      <c r="D712" s="314"/>
      <c r="E712" s="314"/>
      <c r="F712" s="314"/>
      <c r="G712" s="1633"/>
      <c r="H712" s="1634"/>
      <c r="I712" s="1338"/>
      <c r="J712" s="1168"/>
      <c r="K712" s="1635"/>
      <c r="L712" s="1636"/>
      <c r="N712" s="585"/>
      <c r="O712" s="1637"/>
      <c r="Q712" s="585"/>
      <c r="R712" s="224"/>
      <c r="S712" s="970"/>
    </row>
    <row r="713" ht="15.75" customHeight="1">
      <c r="D713" s="314"/>
      <c r="E713" s="314"/>
      <c r="F713" s="314"/>
      <c r="G713" s="1633"/>
      <c r="H713" s="1634"/>
      <c r="I713" s="1338"/>
      <c r="J713" s="1168"/>
      <c r="K713" s="1635"/>
      <c r="L713" s="1636"/>
      <c r="N713" s="585"/>
      <c r="O713" s="1637"/>
      <c r="Q713" s="585"/>
      <c r="R713" s="224"/>
      <c r="S713" s="970"/>
    </row>
    <row r="714" ht="15.75" customHeight="1">
      <c r="D714" s="314"/>
      <c r="E714" s="314"/>
      <c r="F714" s="314"/>
      <c r="G714" s="1633"/>
      <c r="H714" s="1634"/>
      <c r="I714" s="1338"/>
      <c r="J714" s="1168"/>
      <c r="K714" s="1635"/>
      <c r="L714" s="1636"/>
      <c r="N714" s="585"/>
      <c r="O714" s="1637"/>
      <c r="Q714" s="585"/>
      <c r="R714" s="224"/>
      <c r="S714" s="970"/>
    </row>
    <row r="715" ht="15.75" customHeight="1">
      <c r="D715" s="314"/>
      <c r="E715" s="314"/>
      <c r="F715" s="314"/>
      <c r="G715" s="1633"/>
      <c r="H715" s="1634"/>
      <c r="I715" s="1338"/>
      <c r="J715" s="1168"/>
      <c r="K715" s="1635"/>
      <c r="L715" s="1636"/>
      <c r="N715" s="585"/>
      <c r="O715" s="1637"/>
      <c r="Q715" s="585"/>
      <c r="R715" s="224"/>
      <c r="S715" s="970"/>
    </row>
    <row r="716" ht="15.75" customHeight="1">
      <c r="D716" s="314"/>
      <c r="E716" s="314"/>
      <c r="F716" s="314"/>
      <c r="G716" s="1633"/>
      <c r="H716" s="1634"/>
      <c r="I716" s="1338"/>
      <c r="J716" s="1168"/>
      <c r="K716" s="1635"/>
      <c r="L716" s="1636"/>
      <c r="N716" s="585"/>
      <c r="O716" s="1637"/>
      <c r="Q716" s="585"/>
      <c r="R716" s="224"/>
      <c r="S716" s="970"/>
    </row>
    <row r="717" ht="15.75" customHeight="1">
      <c r="D717" s="314"/>
      <c r="E717" s="314"/>
      <c r="F717" s="314"/>
      <c r="G717" s="1633"/>
      <c r="H717" s="1634"/>
      <c r="I717" s="1338"/>
      <c r="J717" s="1168"/>
      <c r="K717" s="1635"/>
      <c r="L717" s="1636"/>
      <c r="N717" s="585"/>
      <c r="O717" s="1637"/>
      <c r="Q717" s="585"/>
      <c r="R717" s="224"/>
      <c r="S717" s="970"/>
    </row>
    <row r="718" ht="15.75" customHeight="1">
      <c r="D718" s="314"/>
      <c r="E718" s="314"/>
      <c r="F718" s="314"/>
      <c r="G718" s="1633"/>
      <c r="H718" s="1634"/>
      <c r="I718" s="1338"/>
      <c r="J718" s="1168"/>
      <c r="K718" s="1635"/>
      <c r="L718" s="1636"/>
      <c r="N718" s="585"/>
      <c r="O718" s="1637"/>
      <c r="Q718" s="585"/>
      <c r="R718" s="224"/>
      <c r="S718" s="970"/>
    </row>
    <row r="719" ht="15.75" customHeight="1">
      <c r="D719" s="314"/>
      <c r="E719" s="314"/>
      <c r="F719" s="314"/>
      <c r="G719" s="1633"/>
      <c r="H719" s="1634"/>
      <c r="I719" s="1338"/>
      <c r="J719" s="1168"/>
      <c r="K719" s="1635"/>
      <c r="L719" s="1636"/>
      <c r="N719" s="585"/>
      <c r="O719" s="1637"/>
      <c r="Q719" s="585"/>
      <c r="R719" s="224"/>
      <c r="S719" s="970"/>
    </row>
    <row r="720" ht="15.75" customHeight="1">
      <c r="D720" s="314"/>
      <c r="E720" s="314"/>
      <c r="F720" s="314"/>
      <c r="G720" s="1633"/>
      <c r="H720" s="1634"/>
      <c r="I720" s="1338"/>
      <c r="J720" s="1168"/>
      <c r="K720" s="1635"/>
      <c r="L720" s="1636"/>
      <c r="N720" s="585"/>
      <c r="O720" s="1637"/>
      <c r="Q720" s="585"/>
      <c r="R720" s="224"/>
      <c r="S720" s="970"/>
    </row>
    <row r="721" ht="15.75" customHeight="1">
      <c r="D721" s="314"/>
      <c r="E721" s="314"/>
      <c r="F721" s="314"/>
      <c r="G721" s="1633"/>
      <c r="H721" s="1634"/>
      <c r="I721" s="1338"/>
      <c r="J721" s="1168"/>
      <c r="K721" s="1635"/>
      <c r="L721" s="1636"/>
      <c r="N721" s="585"/>
      <c r="O721" s="1637"/>
      <c r="Q721" s="585"/>
      <c r="R721" s="224"/>
      <c r="S721" s="970"/>
    </row>
    <row r="722" ht="15.75" customHeight="1">
      <c r="D722" s="314"/>
      <c r="E722" s="314"/>
      <c r="F722" s="314"/>
      <c r="G722" s="1633"/>
      <c r="H722" s="1634"/>
      <c r="I722" s="1338"/>
      <c r="J722" s="1168"/>
      <c r="K722" s="1635"/>
      <c r="L722" s="1636"/>
      <c r="N722" s="585"/>
      <c r="O722" s="1637"/>
      <c r="Q722" s="585"/>
      <c r="R722" s="224"/>
      <c r="S722" s="970"/>
    </row>
    <row r="723" ht="15.75" customHeight="1">
      <c r="D723" s="314"/>
      <c r="E723" s="314"/>
      <c r="F723" s="314"/>
      <c r="G723" s="1633"/>
      <c r="H723" s="1634"/>
      <c r="I723" s="1338"/>
      <c r="J723" s="1168"/>
      <c r="K723" s="1635"/>
      <c r="L723" s="1636"/>
      <c r="N723" s="585"/>
      <c r="O723" s="1637"/>
      <c r="Q723" s="585"/>
      <c r="R723" s="224"/>
      <c r="S723" s="970"/>
    </row>
    <row r="724" ht="15.75" customHeight="1">
      <c r="D724" s="314"/>
      <c r="E724" s="314"/>
      <c r="F724" s="314"/>
      <c r="G724" s="1633"/>
      <c r="H724" s="1634"/>
      <c r="I724" s="1338"/>
      <c r="J724" s="1168"/>
      <c r="K724" s="1635"/>
      <c r="L724" s="1636"/>
      <c r="N724" s="585"/>
      <c r="O724" s="1637"/>
      <c r="Q724" s="585"/>
      <c r="R724" s="224"/>
      <c r="S724" s="970"/>
    </row>
    <row r="725" ht="15.75" customHeight="1">
      <c r="D725" s="314"/>
      <c r="E725" s="314"/>
      <c r="F725" s="314"/>
      <c r="G725" s="1633"/>
      <c r="H725" s="1634"/>
      <c r="I725" s="1338"/>
      <c r="J725" s="1168"/>
      <c r="K725" s="1635"/>
      <c r="L725" s="1636"/>
      <c r="N725" s="585"/>
      <c r="O725" s="1637"/>
      <c r="Q725" s="585"/>
      <c r="R725" s="224"/>
      <c r="S725" s="970"/>
    </row>
    <row r="726" ht="15.75" customHeight="1">
      <c r="D726" s="314"/>
      <c r="E726" s="314"/>
      <c r="F726" s="314"/>
      <c r="G726" s="1633"/>
      <c r="H726" s="1634"/>
      <c r="I726" s="1338"/>
      <c r="J726" s="1168"/>
      <c r="K726" s="1635"/>
      <c r="L726" s="1636"/>
      <c r="N726" s="585"/>
      <c r="O726" s="1637"/>
      <c r="Q726" s="585"/>
      <c r="R726" s="224"/>
      <c r="S726" s="970"/>
    </row>
    <row r="727" ht="15.75" customHeight="1">
      <c r="D727" s="314"/>
      <c r="E727" s="314"/>
      <c r="F727" s="314"/>
      <c r="G727" s="1633"/>
      <c r="H727" s="1634"/>
      <c r="I727" s="1338"/>
      <c r="J727" s="1168"/>
      <c r="K727" s="1635"/>
      <c r="L727" s="1636"/>
      <c r="N727" s="585"/>
      <c r="O727" s="1637"/>
      <c r="Q727" s="585"/>
      <c r="R727" s="224"/>
      <c r="S727" s="970"/>
    </row>
    <row r="728" ht="15.75" customHeight="1">
      <c r="D728" s="314"/>
      <c r="E728" s="314"/>
      <c r="F728" s="314"/>
      <c r="G728" s="1633"/>
      <c r="H728" s="1634"/>
      <c r="I728" s="1338"/>
      <c r="J728" s="1168"/>
      <c r="K728" s="1635"/>
      <c r="L728" s="1636"/>
      <c r="N728" s="585"/>
      <c r="O728" s="1637"/>
      <c r="Q728" s="585"/>
      <c r="R728" s="224"/>
      <c r="S728" s="970"/>
    </row>
    <row r="729" ht="15.75" customHeight="1">
      <c r="D729" s="314"/>
      <c r="E729" s="314"/>
      <c r="F729" s="314"/>
      <c r="G729" s="1633"/>
      <c r="H729" s="1634"/>
      <c r="I729" s="1338"/>
      <c r="J729" s="1168"/>
      <c r="K729" s="1635"/>
      <c r="L729" s="1636"/>
      <c r="N729" s="585"/>
      <c r="O729" s="1637"/>
      <c r="Q729" s="585"/>
      <c r="R729" s="224"/>
      <c r="S729" s="970"/>
    </row>
    <row r="730" ht="15.75" customHeight="1">
      <c r="D730" s="314"/>
      <c r="E730" s="314"/>
      <c r="F730" s="314"/>
      <c r="G730" s="1633"/>
      <c r="H730" s="1634"/>
      <c r="I730" s="1338"/>
      <c r="J730" s="1168"/>
      <c r="K730" s="1635"/>
      <c r="L730" s="1636"/>
      <c r="N730" s="585"/>
      <c r="O730" s="1637"/>
      <c r="Q730" s="585"/>
      <c r="R730" s="224"/>
      <c r="S730" s="970"/>
    </row>
    <row r="731" ht="15.75" customHeight="1">
      <c r="D731" s="314"/>
      <c r="E731" s="314"/>
      <c r="F731" s="314"/>
      <c r="G731" s="1633"/>
      <c r="H731" s="1634"/>
      <c r="I731" s="1338"/>
      <c r="J731" s="1168"/>
      <c r="K731" s="1635"/>
      <c r="L731" s="1636"/>
      <c r="N731" s="585"/>
      <c r="O731" s="1637"/>
      <c r="Q731" s="585"/>
      <c r="R731" s="224"/>
      <c r="S731" s="970"/>
    </row>
    <row r="732" ht="15.75" customHeight="1">
      <c r="D732" s="314"/>
      <c r="E732" s="314"/>
      <c r="F732" s="314"/>
      <c r="G732" s="1633"/>
      <c r="H732" s="1634"/>
      <c r="I732" s="1338"/>
      <c r="J732" s="1168"/>
      <c r="K732" s="1635"/>
      <c r="L732" s="1636"/>
      <c r="N732" s="585"/>
      <c r="O732" s="1637"/>
      <c r="Q732" s="585"/>
      <c r="R732" s="224"/>
      <c r="S732" s="970"/>
    </row>
    <row r="733" ht="15.75" customHeight="1">
      <c r="D733" s="314"/>
      <c r="E733" s="314"/>
      <c r="F733" s="314"/>
      <c r="G733" s="1633"/>
      <c r="H733" s="1634"/>
      <c r="I733" s="1338"/>
      <c r="J733" s="1168"/>
      <c r="K733" s="1635"/>
      <c r="L733" s="1636"/>
      <c r="N733" s="585"/>
      <c r="O733" s="1637"/>
      <c r="Q733" s="585"/>
      <c r="R733" s="224"/>
      <c r="S733" s="970"/>
    </row>
    <row r="734" ht="15.75" customHeight="1">
      <c r="D734" s="314"/>
      <c r="E734" s="314"/>
      <c r="F734" s="314"/>
      <c r="G734" s="1633"/>
      <c r="H734" s="1634"/>
      <c r="I734" s="1338"/>
      <c r="J734" s="1168"/>
      <c r="K734" s="1635"/>
      <c r="L734" s="1636"/>
      <c r="N734" s="585"/>
      <c r="O734" s="1637"/>
      <c r="Q734" s="585"/>
      <c r="R734" s="224"/>
      <c r="S734" s="970"/>
    </row>
    <row r="735" ht="15.75" customHeight="1">
      <c r="D735" s="314"/>
      <c r="E735" s="314"/>
      <c r="F735" s="314"/>
      <c r="G735" s="1633"/>
      <c r="H735" s="1634"/>
      <c r="I735" s="1338"/>
      <c r="J735" s="1168"/>
      <c r="K735" s="1635"/>
      <c r="L735" s="1636"/>
      <c r="N735" s="585"/>
      <c r="O735" s="1637"/>
      <c r="Q735" s="585"/>
      <c r="R735" s="224"/>
      <c r="S735" s="970"/>
    </row>
    <row r="736" ht="15.75" customHeight="1">
      <c r="D736" s="314"/>
      <c r="E736" s="314"/>
      <c r="F736" s="314"/>
      <c r="G736" s="1633"/>
      <c r="H736" s="1634"/>
      <c r="I736" s="1338"/>
      <c r="J736" s="1168"/>
      <c r="K736" s="1635"/>
      <c r="L736" s="1636"/>
      <c r="N736" s="585"/>
      <c r="O736" s="1637"/>
      <c r="Q736" s="585"/>
      <c r="R736" s="224"/>
      <c r="S736" s="970"/>
    </row>
    <row r="737" ht="15.75" customHeight="1">
      <c r="D737" s="314"/>
      <c r="E737" s="314"/>
      <c r="F737" s="314"/>
      <c r="G737" s="1633"/>
      <c r="H737" s="1634"/>
      <c r="I737" s="1338"/>
      <c r="J737" s="1168"/>
      <c r="K737" s="1635"/>
      <c r="L737" s="1636"/>
      <c r="N737" s="585"/>
      <c r="O737" s="1637"/>
      <c r="Q737" s="585"/>
      <c r="R737" s="224"/>
      <c r="S737" s="970"/>
    </row>
    <row r="738" ht="15.75" customHeight="1">
      <c r="D738" s="314"/>
      <c r="E738" s="314"/>
      <c r="F738" s="314"/>
      <c r="G738" s="1633"/>
      <c r="H738" s="1634"/>
      <c r="I738" s="1338"/>
      <c r="J738" s="1168"/>
      <c r="K738" s="1635"/>
      <c r="L738" s="1636"/>
      <c r="N738" s="585"/>
      <c r="O738" s="1637"/>
      <c r="Q738" s="585"/>
      <c r="R738" s="224"/>
      <c r="S738" s="970"/>
    </row>
    <row r="739" ht="15.75" customHeight="1">
      <c r="D739" s="314"/>
      <c r="E739" s="314"/>
      <c r="F739" s="314"/>
      <c r="G739" s="1633"/>
      <c r="H739" s="1634"/>
      <c r="I739" s="1338"/>
      <c r="J739" s="1168"/>
      <c r="K739" s="1635"/>
      <c r="L739" s="1636"/>
      <c r="N739" s="585"/>
      <c r="O739" s="1637"/>
      <c r="Q739" s="585"/>
      <c r="R739" s="224"/>
      <c r="S739" s="970"/>
    </row>
    <row r="740" ht="15.75" customHeight="1">
      <c r="D740" s="314"/>
      <c r="E740" s="314"/>
      <c r="F740" s="314"/>
      <c r="G740" s="1633"/>
      <c r="H740" s="1634"/>
      <c r="I740" s="1338"/>
      <c r="J740" s="1168"/>
      <c r="K740" s="1635"/>
      <c r="L740" s="1636"/>
      <c r="N740" s="585"/>
      <c r="O740" s="1637"/>
      <c r="Q740" s="585"/>
      <c r="R740" s="224"/>
      <c r="S740" s="970"/>
    </row>
    <row r="741" ht="15.75" customHeight="1">
      <c r="D741" s="314"/>
      <c r="E741" s="314"/>
      <c r="F741" s="314"/>
      <c r="G741" s="1633"/>
      <c r="H741" s="1634"/>
      <c r="I741" s="1338"/>
      <c r="J741" s="1168"/>
      <c r="K741" s="1635"/>
      <c r="L741" s="1636"/>
      <c r="N741" s="585"/>
      <c r="O741" s="1637"/>
      <c r="Q741" s="585"/>
      <c r="R741" s="224"/>
      <c r="S741" s="970"/>
    </row>
    <row r="742" ht="15.75" customHeight="1">
      <c r="D742" s="314"/>
      <c r="E742" s="314"/>
      <c r="F742" s="314"/>
      <c r="G742" s="1633"/>
      <c r="H742" s="1634"/>
      <c r="I742" s="1338"/>
      <c r="J742" s="1168"/>
      <c r="K742" s="1635"/>
      <c r="L742" s="1636"/>
      <c r="N742" s="585"/>
      <c r="O742" s="1637"/>
      <c r="Q742" s="585"/>
      <c r="R742" s="224"/>
      <c r="S742" s="970"/>
    </row>
    <row r="743" ht="15.75" customHeight="1">
      <c r="D743" s="314"/>
      <c r="E743" s="314"/>
      <c r="F743" s="314"/>
      <c r="G743" s="1633"/>
      <c r="H743" s="1634"/>
      <c r="I743" s="1338"/>
      <c r="J743" s="1168"/>
      <c r="K743" s="1635"/>
      <c r="L743" s="1636"/>
      <c r="N743" s="585"/>
      <c r="O743" s="1637"/>
      <c r="Q743" s="585"/>
      <c r="R743" s="224"/>
      <c r="S743" s="970"/>
    </row>
    <row r="744" ht="15.75" customHeight="1">
      <c r="D744" s="314"/>
      <c r="E744" s="314"/>
      <c r="F744" s="314"/>
      <c r="G744" s="1633"/>
      <c r="H744" s="1634"/>
      <c r="I744" s="1338"/>
      <c r="J744" s="1168"/>
      <c r="K744" s="1635"/>
      <c r="L744" s="1636"/>
      <c r="N744" s="585"/>
      <c r="O744" s="1637"/>
      <c r="Q744" s="585"/>
      <c r="R744" s="224"/>
      <c r="S744" s="970"/>
    </row>
    <row r="745" ht="15.75" customHeight="1">
      <c r="D745" s="314"/>
      <c r="E745" s="314"/>
      <c r="F745" s="314"/>
      <c r="G745" s="1633"/>
      <c r="H745" s="1634"/>
      <c r="I745" s="1338"/>
      <c r="J745" s="1168"/>
      <c r="K745" s="1635"/>
      <c r="L745" s="1636"/>
      <c r="N745" s="585"/>
      <c r="O745" s="1637"/>
      <c r="Q745" s="585"/>
      <c r="R745" s="224"/>
      <c r="S745" s="970"/>
    </row>
    <row r="746" ht="15.75" customHeight="1">
      <c r="D746" s="314"/>
      <c r="E746" s="314"/>
      <c r="F746" s="314"/>
      <c r="G746" s="1633"/>
      <c r="H746" s="1634"/>
      <c r="I746" s="1338"/>
      <c r="J746" s="1168"/>
      <c r="K746" s="1635"/>
      <c r="L746" s="1636"/>
      <c r="N746" s="585"/>
      <c r="O746" s="1637"/>
      <c r="Q746" s="585"/>
      <c r="R746" s="224"/>
      <c r="S746" s="970"/>
    </row>
    <row r="747" ht="15.75" customHeight="1">
      <c r="D747" s="314"/>
      <c r="E747" s="314"/>
      <c r="F747" s="314"/>
      <c r="G747" s="1633"/>
      <c r="H747" s="1634"/>
      <c r="I747" s="1338"/>
      <c r="J747" s="1168"/>
      <c r="K747" s="1635"/>
      <c r="L747" s="1636"/>
      <c r="N747" s="585"/>
      <c r="O747" s="1637"/>
      <c r="Q747" s="585"/>
      <c r="R747" s="224"/>
      <c r="S747" s="970"/>
    </row>
    <row r="748" ht="15.75" customHeight="1">
      <c r="D748" s="314"/>
      <c r="E748" s="314"/>
      <c r="F748" s="314"/>
      <c r="G748" s="1633"/>
      <c r="H748" s="1634"/>
      <c r="I748" s="1338"/>
      <c r="J748" s="1168"/>
      <c r="K748" s="1635"/>
      <c r="L748" s="1636"/>
      <c r="N748" s="585"/>
      <c r="O748" s="1637"/>
      <c r="Q748" s="585"/>
      <c r="R748" s="224"/>
      <c r="S748" s="970"/>
    </row>
    <row r="749" ht="15.75" customHeight="1">
      <c r="D749" s="314"/>
      <c r="E749" s="314"/>
      <c r="F749" s="314"/>
      <c r="G749" s="1633"/>
      <c r="H749" s="1634"/>
      <c r="I749" s="1338"/>
      <c r="J749" s="1168"/>
      <c r="K749" s="1635"/>
      <c r="L749" s="1636"/>
      <c r="N749" s="585"/>
      <c r="O749" s="1637"/>
      <c r="Q749" s="585"/>
      <c r="R749" s="224"/>
      <c r="S749" s="970"/>
    </row>
    <row r="750" ht="15.75" customHeight="1">
      <c r="D750" s="314"/>
      <c r="E750" s="314"/>
      <c r="F750" s="314"/>
      <c r="G750" s="1633"/>
      <c r="H750" s="1634"/>
      <c r="I750" s="1338"/>
      <c r="J750" s="1168"/>
      <c r="K750" s="1635"/>
      <c r="L750" s="1636"/>
      <c r="N750" s="585"/>
      <c r="O750" s="1637"/>
      <c r="Q750" s="585"/>
      <c r="R750" s="224"/>
      <c r="S750" s="970"/>
    </row>
    <row r="751" ht="15.75" customHeight="1">
      <c r="D751" s="314"/>
      <c r="E751" s="314"/>
      <c r="F751" s="314"/>
      <c r="G751" s="1633"/>
      <c r="H751" s="1634"/>
      <c r="I751" s="1338"/>
      <c r="J751" s="1168"/>
      <c r="K751" s="1635"/>
      <c r="L751" s="1636"/>
      <c r="N751" s="585"/>
      <c r="O751" s="1637"/>
      <c r="Q751" s="585"/>
      <c r="R751" s="224"/>
      <c r="S751" s="970"/>
    </row>
    <row r="752" ht="15.75" customHeight="1">
      <c r="D752" s="314"/>
      <c r="E752" s="314"/>
      <c r="F752" s="314"/>
      <c r="G752" s="1633"/>
      <c r="H752" s="1634"/>
      <c r="I752" s="1338"/>
      <c r="J752" s="1168"/>
      <c r="K752" s="1635"/>
      <c r="L752" s="1636"/>
      <c r="N752" s="585"/>
      <c r="O752" s="1637"/>
      <c r="Q752" s="585"/>
      <c r="R752" s="224"/>
      <c r="S752" s="970"/>
    </row>
    <row r="753" ht="15.75" customHeight="1">
      <c r="D753" s="314"/>
      <c r="E753" s="314"/>
      <c r="F753" s="314"/>
      <c r="G753" s="1633"/>
      <c r="H753" s="1634"/>
      <c r="I753" s="1338"/>
      <c r="J753" s="1168"/>
      <c r="K753" s="1635"/>
      <c r="L753" s="1636"/>
      <c r="N753" s="585"/>
      <c r="O753" s="1637"/>
      <c r="Q753" s="585"/>
      <c r="R753" s="224"/>
      <c r="S753" s="970"/>
    </row>
    <row r="754" ht="15.75" customHeight="1">
      <c r="D754" s="314"/>
      <c r="E754" s="314"/>
      <c r="F754" s="314"/>
      <c r="G754" s="1633"/>
      <c r="H754" s="1634"/>
      <c r="I754" s="1338"/>
      <c r="J754" s="1168"/>
      <c r="K754" s="1635"/>
      <c r="L754" s="1636"/>
      <c r="N754" s="585"/>
      <c r="O754" s="1637"/>
      <c r="Q754" s="585"/>
      <c r="R754" s="224"/>
      <c r="S754" s="970"/>
    </row>
    <row r="755" ht="15.75" customHeight="1">
      <c r="D755" s="314"/>
      <c r="E755" s="314"/>
      <c r="F755" s="314"/>
      <c r="G755" s="1633"/>
      <c r="H755" s="1634"/>
      <c r="I755" s="1338"/>
      <c r="J755" s="1168"/>
      <c r="K755" s="1635"/>
      <c r="L755" s="1636"/>
      <c r="N755" s="585"/>
      <c r="O755" s="1637"/>
      <c r="Q755" s="585"/>
      <c r="R755" s="224"/>
      <c r="S755" s="970"/>
    </row>
    <row r="756" ht="15.75" customHeight="1">
      <c r="D756" s="314"/>
      <c r="E756" s="314"/>
      <c r="F756" s="314"/>
      <c r="G756" s="1633"/>
      <c r="H756" s="1634"/>
      <c r="I756" s="1338"/>
      <c r="J756" s="1168"/>
      <c r="K756" s="1635"/>
      <c r="L756" s="1636"/>
      <c r="N756" s="585"/>
      <c r="O756" s="1637"/>
      <c r="Q756" s="585"/>
      <c r="R756" s="224"/>
      <c r="S756" s="970"/>
    </row>
    <row r="757" ht="15.75" customHeight="1">
      <c r="D757" s="314"/>
      <c r="E757" s="314"/>
      <c r="F757" s="314"/>
      <c r="G757" s="1633"/>
      <c r="H757" s="1634"/>
      <c r="I757" s="1338"/>
      <c r="J757" s="1168"/>
      <c r="K757" s="1635"/>
      <c r="L757" s="1636"/>
      <c r="N757" s="585"/>
      <c r="O757" s="1637"/>
      <c r="Q757" s="585"/>
      <c r="R757" s="224"/>
      <c r="S757" s="970"/>
    </row>
    <row r="758" ht="15.75" customHeight="1">
      <c r="D758" s="314"/>
      <c r="E758" s="314"/>
      <c r="F758" s="314"/>
      <c r="G758" s="1633"/>
      <c r="H758" s="1634"/>
      <c r="I758" s="1338"/>
      <c r="J758" s="1168"/>
      <c r="K758" s="1635"/>
      <c r="L758" s="1636"/>
      <c r="N758" s="585"/>
      <c r="O758" s="1637"/>
      <c r="Q758" s="585"/>
      <c r="R758" s="224"/>
      <c r="S758" s="970"/>
    </row>
    <row r="759" ht="15.75" customHeight="1">
      <c r="D759" s="314"/>
      <c r="E759" s="314"/>
      <c r="F759" s="314"/>
      <c r="G759" s="1633"/>
      <c r="H759" s="1634"/>
      <c r="I759" s="1338"/>
      <c r="J759" s="1168"/>
      <c r="K759" s="1635"/>
      <c r="L759" s="1636"/>
      <c r="N759" s="585"/>
      <c r="O759" s="1637"/>
      <c r="Q759" s="585"/>
      <c r="R759" s="224"/>
      <c r="S759" s="970"/>
    </row>
    <row r="760" ht="15.75" customHeight="1">
      <c r="D760" s="314"/>
      <c r="E760" s="314"/>
      <c r="F760" s="314"/>
      <c r="G760" s="1633"/>
      <c r="H760" s="1634"/>
      <c r="I760" s="1338"/>
      <c r="J760" s="1168"/>
      <c r="K760" s="1635"/>
      <c r="L760" s="1636"/>
      <c r="N760" s="585"/>
      <c r="O760" s="1637"/>
      <c r="Q760" s="585"/>
      <c r="R760" s="224"/>
      <c r="S760" s="970"/>
    </row>
    <row r="761" ht="15.75" customHeight="1">
      <c r="D761" s="314"/>
      <c r="E761" s="314"/>
      <c r="F761" s="314"/>
      <c r="G761" s="1633"/>
      <c r="H761" s="1634"/>
      <c r="I761" s="1338"/>
      <c r="J761" s="1168"/>
      <c r="K761" s="1635"/>
      <c r="L761" s="1636"/>
      <c r="N761" s="585"/>
      <c r="O761" s="1637"/>
      <c r="Q761" s="585"/>
      <c r="R761" s="224"/>
      <c r="S761" s="970"/>
    </row>
    <row r="762" ht="15.75" customHeight="1">
      <c r="D762" s="314"/>
      <c r="E762" s="314"/>
      <c r="F762" s="314"/>
      <c r="G762" s="1633"/>
      <c r="H762" s="1634"/>
      <c r="I762" s="1338"/>
      <c r="J762" s="1168"/>
      <c r="K762" s="1635"/>
      <c r="L762" s="1636"/>
      <c r="N762" s="585"/>
      <c r="O762" s="1637"/>
      <c r="Q762" s="585"/>
      <c r="R762" s="224"/>
      <c r="S762" s="970"/>
    </row>
    <row r="763" ht="15.75" customHeight="1">
      <c r="D763" s="314"/>
      <c r="E763" s="314"/>
      <c r="F763" s="314"/>
      <c r="G763" s="1633"/>
      <c r="H763" s="1634"/>
      <c r="I763" s="1338"/>
      <c r="J763" s="1168"/>
      <c r="K763" s="1635"/>
      <c r="L763" s="1636"/>
      <c r="N763" s="585"/>
      <c r="O763" s="1637"/>
      <c r="Q763" s="585"/>
      <c r="R763" s="224"/>
      <c r="S763" s="970"/>
    </row>
    <row r="764" ht="15.75" customHeight="1">
      <c r="D764" s="314"/>
      <c r="E764" s="314"/>
      <c r="F764" s="314"/>
      <c r="G764" s="1633"/>
      <c r="H764" s="1634"/>
      <c r="I764" s="1338"/>
      <c r="J764" s="1168"/>
      <c r="K764" s="1635"/>
      <c r="L764" s="1636"/>
      <c r="N764" s="585"/>
      <c r="O764" s="1637"/>
      <c r="Q764" s="585"/>
      <c r="R764" s="224"/>
      <c r="S764" s="970"/>
    </row>
    <row r="765" ht="15.75" customHeight="1">
      <c r="D765" s="314"/>
      <c r="E765" s="314"/>
      <c r="F765" s="314"/>
      <c r="G765" s="1633"/>
      <c r="H765" s="1634"/>
      <c r="I765" s="1338"/>
      <c r="J765" s="1168"/>
      <c r="K765" s="1635"/>
      <c r="L765" s="1636"/>
      <c r="N765" s="585"/>
      <c r="O765" s="1637"/>
      <c r="Q765" s="585"/>
      <c r="R765" s="224"/>
      <c r="S765" s="970"/>
    </row>
    <row r="766" ht="15.75" customHeight="1">
      <c r="D766" s="314"/>
      <c r="E766" s="314"/>
      <c r="F766" s="314"/>
      <c r="G766" s="1633"/>
      <c r="H766" s="1634"/>
      <c r="I766" s="1338"/>
      <c r="J766" s="1168"/>
      <c r="K766" s="1635"/>
      <c r="L766" s="1636"/>
      <c r="N766" s="585"/>
      <c r="O766" s="1637"/>
      <c r="Q766" s="585"/>
      <c r="R766" s="224"/>
      <c r="S766" s="970"/>
    </row>
    <row r="767" ht="15.75" customHeight="1">
      <c r="D767" s="314"/>
      <c r="E767" s="314"/>
      <c r="F767" s="314"/>
      <c r="G767" s="1633"/>
      <c r="H767" s="1634"/>
      <c r="I767" s="1338"/>
      <c r="J767" s="1168"/>
      <c r="K767" s="1635"/>
      <c r="L767" s="1636"/>
      <c r="N767" s="585"/>
      <c r="O767" s="1637"/>
      <c r="Q767" s="585"/>
      <c r="R767" s="224"/>
      <c r="S767" s="970"/>
    </row>
    <row r="768" ht="15.75" customHeight="1">
      <c r="D768" s="314"/>
      <c r="E768" s="314"/>
      <c r="F768" s="314"/>
      <c r="G768" s="1633"/>
      <c r="H768" s="1634"/>
      <c r="I768" s="1338"/>
      <c r="J768" s="1168"/>
      <c r="K768" s="1635"/>
      <c r="L768" s="1636"/>
      <c r="N768" s="585"/>
      <c r="O768" s="1637"/>
      <c r="Q768" s="585"/>
      <c r="R768" s="224"/>
      <c r="S768" s="970"/>
    </row>
    <row r="769" ht="15.75" customHeight="1">
      <c r="D769" s="314"/>
      <c r="E769" s="314"/>
      <c r="F769" s="314"/>
      <c r="G769" s="1633"/>
      <c r="H769" s="1634"/>
      <c r="I769" s="1338"/>
      <c r="J769" s="1168"/>
      <c r="K769" s="1635"/>
      <c r="L769" s="1636"/>
      <c r="N769" s="585"/>
      <c r="O769" s="1637"/>
      <c r="Q769" s="585"/>
      <c r="R769" s="224"/>
      <c r="S769" s="970"/>
    </row>
    <row r="770" ht="15.75" customHeight="1">
      <c r="D770" s="314"/>
      <c r="E770" s="314"/>
      <c r="F770" s="314"/>
      <c r="G770" s="1633"/>
      <c r="H770" s="1634"/>
      <c r="I770" s="1338"/>
      <c r="J770" s="1168"/>
      <c r="K770" s="1635"/>
      <c r="L770" s="1636"/>
      <c r="N770" s="585"/>
      <c r="O770" s="1637"/>
      <c r="Q770" s="585"/>
      <c r="R770" s="224"/>
      <c r="S770" s="970"/>
    </row>
    <row r="771" ht="15.75" customHeight="1">
      <c r="D771" s="314"/>
      <c r="E771" s="314"/>
      <c r="F771" s="314"/>
      <c r="G771" s="1633"/>
      <c r="H771" s="1634"/>
      <c r="I771" s="1338"/>
      <c r="J771" s="1168"/>
      <c r="K771" s="1635"/>
      <c r="L771" s="1636"/>
      <c r="N771" s="585"/>
      <c r="O771" s="1637"/>
      <c r="Q771" s="585"/>
      <c r="R771" s="224"/>
      <c r="S771" s="970"/>
    </row>
    <row r="772" ht="15.75" customHeight="1">
      <c r="D772" s="314"/>
      <c r="E772" s="314"/>
      <c r="F772" s="314"/>
      <c r="G772" s="1633"/>
      <c r="H772" s="1634"/>
      <c r="I772" s="1338"/>
      <c r="J772" s="1168"/>
      <c r="K772" s="1635"/>
      <c r="L772" s="1636"/>
      <c r="N772" s="585"/>
      <c r="O772" s="1637"/>
      <c r="Q772" s="585"/>
      <c r="R772" s="224"/>
      <c r="S772" s="970"/>
    </row>
    <row r="773" ht="15.75" customHeight="1">
      <c r="D773" s="314"/>
      <c r="E773" s="314"/>
      <c r="F773" s="314"/>
      <c r="G773" s="1633"/>
      <c r="H773" s="1634"/>
      <c r="I773" s="1338"/>
      <c r="J773" s="1168"/>
      <c r="K773" s="1635"/>
      <c r="L773" s="1636"/>
      <c r="N773" s="585"/>
      <c r="O773" s="1637"/>
      <c r="Q773" s="585"/>
      <c r="R773" s="224"/>
      <c r="S773" s="970"/>
    </row>
    <row r="774" ht="15.75" customHeight="1">
      <c r="D774" s="314"/>
      <c r="E774" s="314"/>
      <c r="F774" s="314"/>
      <c r="G774" s="1633"/>
      <c r="H774" s="1634"/>
      <c r="I774" s="1338"/>
      <c r="J774" s="1168"/>
      <c r="K774" s="1635"/>
      <c r="L774" s="1636"/>
      <c r="N774" s="585"/>
      <c r="O774" s="1637"/>
      <c r="Q774" s="585"/>
      <c r="R774" s="224"/>
      <c r="S774" s="970"/>
    </row>
    <row r="775" ht="15.75" customHeight="1">
      <c r="D775" s="314"/>
      <c r="E775" s="314"/>
      <c r="F775" s="314"/>
      <c r="G775" s="1633"/>
      <c r="H775" s="1634"/>
      <c r="I775" s="1338"/>
      <c r="J775" s="1168"/>
      <c r="K775" s="1635"/>
      <c r="L775" s="1636"/>
      <c r="N775" s="585"/>
      <c r="O775" s="1637"/>
      <c r="Q775" s="585"/>
      <c r="R775" s="224"/>
      <c r="S775" s="970"/>
    </row>
    <row r="776" ht="15.75" customHeight="1">
      <c r="D776" s="314"/>
      <c r="E776" s="314"/>
      <c r="F776" s="314"/>
      <c r="G776" s="1633"/>
      <c r="H776" s="1634"/>
      <c r="I776" s="1338"/>
      <c r="J776" s="1168"/>
      <c r="K776" s="1635"/>
      <c r="L776" s="1636"/>
      <c r="N776" s="585"/>
      <c r="O776" s="1637"/>
      <c r="Q776" s="585"/>
      <c r="R776" s="224"/>
      <c r="S776" s="970"/>
    </row>
    <row r="777" ht="15.75" customHeight="1">
      <c r="D777" s="314"/>
      <c r="E777" s="314"/>
      <c r="F777" s="314"/>
      <c r="G777" s="1633"/>
      <c r="H777" s="1634"/>
      <c r="I777" s="1338"/>
      <c r="J777" s="1168"/>
      <c r="K777" s="1635"/>
      <c r="L777" s="1636"/>
      <c r="N777" s="585"/>
      <c r="O777" s="1637"/>
      <c r="Q777" s="585"/>
      <c r="R777" s="224"/>
      <c r="S777" s="970"/>
    </row>
    <row r="778" ht="15.75" customHeight="1">
      <c r="D778" s="314"/>
      <c r="E778" s="314"/>
      <c r="F778" s="314"/>
      <c r="G778" s="1633"/>
      <c r="H778" s="1634"/>
      <c r="I778" s="1338"/>
      <c r="J778" s="1168"/>
      <c r="K778" s="1635"/>
      <c r="L778" s="1636"/>
      <c r="N778" s="585"/>
      <c r="O778" s="1637"/>
      <c r="Q778" s="585"/>
      <c r="R778" s="224"/>
      <c r="S778" s="970"/>
    </row>
    <row r="779" ht="15.75" customHeight="1">
      <c r="D779" s="314"/>
      <c r="E779" s="314"/>
      <c r="F779" s="314"/>
      <c r="G779" s="1633"/>
      <c r="H779" s="1634"/>
      <c r="I779" s="1338"/>
      <c r="J779" s="1168"/>
      <c r="K779" s="1635"/>
      <c r="L779" s="1636"/>
      <c r="N779" s="585"/>
      <c r="O779" s="1637"/>
      <c r="Q779" s="585"/>
      <c r="R779" s="224"/>
      <c r="S779" s="970"/>
    </row>
    <row r="780" ht="15.75" customHeight="1">
      <c r="D780" s="314"/>
      <c r="E780" s="314"/>
      <c r="F780" s="314"/>
      <c r="G780" s="1633"/>
      <c r="H780" s="1634"/>
      <c r="I780" s="1338"/>
      <c r="J780" s="1168"/>
      <c r="K780" s="1635"/>
      <c r="L780" s="1636"/>
      <c r="N780" s="585"/>
      <c r="O780" s="1637"/>
      <c r="Q780" s="585"/>
      <c r="R780" s="224"/>
      <c r="S780" s="970"/>
    </row>
    <row r="781" ht="15.75" customHeight="1">
      <c r="D781" s="314"/>
      <c r="E781" s="314"/>
      <c r="F781" s="314"/>
      <c r="G781" s="1633"/>
      <c r="H781" s="1634"/>
      <c r="I781" s="1338"/>
      <c r="J781" s="1168"/>
      <c r="K781" s="1635"/>
      <c r="L781" s="1636"/>
      <c r="N781" s="585"/>
      <c r="O781" s="1637"/>
      <c r="Q781" s="585"/>
      <c r="R781" s="224"/>
      <c r="S781" s="970"/>
    </row>
    <row r="782" ht="15.75" customHeight="1">
      <c r="D782" s="314"/>
      <c r="E782" s="314"/>
      <c r="F782" s="314"/>
      <c r="G782" s="1633"/>
      <c r="H782" s="1634"/>
      <c r="I782" s="1338"/>
      <c r="J782" s="1168"/>
      <c r="K782" s="1635"/>
      <c r="L782" s="1636"/>
      <c r="N782" s="585"/>
      <c r="O782" s="1637"/>
      <c r="Q782" s="585"/>
      <c r="R782" s="224"/>
      <c r="S782" s="970"/>
    </row>
    <row r="783" ht="15.75" customHeight="1">
      <c r="D783" s="314"/>
      <c r="E783" s="314"/>
      <c r="F783" s="314"/>
      <c r="G783" s="1633"/>
      <c r="H783" s="1634"/>
      <c r="I783" s="1338"/>
      <c r="J783" s="1168"/>
      <c r="K783" s="1635"/>
      <c r="L783" s="1636"/>
      <c r="N783" s="585"/>
      <c r="O783" s="1637"/>
      <c r="Q783" s="585"/>
      <c r="R783" s="224"/>
      <c r="S783" s="970"/>
    </row>
    <row r="784" ht="15.75" customHeight="1">
      <c r="D784" s="314"/>
      <c r="E784" s="314"/>
      <c r="F784" s="314"/>
      <c r="G784" s="1633"/>
      <c r="H784" s="1634"/>
      <c r="I784" s="1338"/>
      <c r="J784" s="1168"/>
      <c r="K784" s="1635"/>
      <c r="L784" s="1636"/>
      <c r="N784" s="585"/>
      <c r="O784" s="1637"/>
      <c r="Q784" s="585"/>
      <c r="R784" s="224"/>
      <c r="S784" s="970"/>
    </row>
    <row r="785" ht="15.75" customHeight="1">
      <c r="D785" s="314"/>
      <c r="E785" s="314"/>
      <c r="F785" s="314"/>
      <c r="G785" s="1633"/>
      <c r="H785" s="1634"/>
      <c r="I785" s="1338"/>
      <c r="J785" s="1168"/>
      <c r="K785" s="1635"/>
      <c r="L785" s="1636"/>
      <c r="N785" s="585"/>
      <c r="O785" s="1637"/>
      <c r="Q785" s="585"/>
      <c r="R785" s="224"/>
      <c r="S785" s="970"/>
    </row>
    <row r="786" ht="15.75" customHeight="1">
      <c r="D786" s="314"/>
      <c r="E786" s="314"/>
      <c r="F786" s="314"/>
      <c r="G786" s="1633"/>
      <c r="H786" s="1634"/>
      <c r="I786" s="1338"/>
      <c r="J786" s="1168"/>
      <c r="K786" s="1635"/>
      <c r="L786" s="1636"/>
      <c r="N786" s="585"/>
      <c r="O786" s="1637"/>
      <c r="Q786" s="585"/>
      <c r="R786" s="224"/>
      <c r="S786" s="970"/>
    </row>
    <row r="787" ht="15.75" customHeight="1">
      <c r="D787" s="314"/>
      <c r="E787" s="314"/>
      <c r="F787" s="314"/>
      <c r="G787" s="1633"/>
      <c r="H787" s="1634"/>
      <c r="I787" s="1338"/>
      <c r="J787" s="1168"/>
      <c r="K787" s="1635"/>
      <c r="L787" s="1636"/>
      <c r="N787" s="585"/>
      <c r="O787" s="1637"/>
      <c r="Q787" s="585"/>
      <c r="R787" s="224"/>
      <c r="S787" s="970"/>
    </row>
    <row r="788" ht="15.75" customHeight="1">
      <c r="D788" s="314"/>
      <c r="E788" s="314"/>
      <c r="F788" s="314"/>
      <c r="G788" s="1633"/>
      <c r="H788" s="1634"/>
      <c r="I788" s="1338"/>
      <c r="J788" s="1168"/>
      <c r="K788" s="1635"/>
      <c r="L788" s="1636"/>
      <c r="N788" s="585"/>
      <c r="O788" s="1637"/>
      <c r="Q788" s="585"/>
      <c r="R788" s="224"/>
      <c r="S788" s="970"/>
    </row>
    <row r="789" ht="15.75" customHeight="1">
      <c r="D789" s="314"/>
      <c r="E789" s="314"/>
      <c r="F789" s="314"/>
      <c r="G789" s="1633"/>
      <c r="H789" s="1634"/>
      <c r="I789" s="1338"/>
      <c r="J789" s="1168"/>
      <c r="K789" s="1635"/>
      <c r="L789" s="1636"/>
      <c r="N789" s="585"/>
      <c r="O789" s="1637"/>
      <c r="Q789" s="585"/>
      <c r="R789" s="224"/>
      <c r="S789" s="970"/>
    </row>
    <row r="790" ht="15.75" customHeight="1">
      <c r="D790" s="314"/>
      <c r="E790" s="314"/>
      <c r="F790" s="314"/>
      <c r="G790" s="1633"/>
      <c r="H790" s="1634"/>
      <c r="I790" s="1338"/>
      <c r="J790" s="1168"/>
      <c r="K790" s="1635"/>
      <c r="L790" s="1636"/>
      <c r="N790" s="585"/>
      <c r="O790" s="1637"/>
      <c r="Q790" s="585"/>
      <c r="R790" s="224"/>
      <c r="S790" s="970"/>
    </row>
    <row r="791" ht="15.75" customHeight="1">
      <c r="D791" s="314"/>
      <c r="E791" s="314"/>
      <c r="F791" s="314"/>
      <c r="G791" s="1633"/>
      <c r="H791" s="1634"/>
      <c r="I791" s="1338"/>
      <c r="J791" s="1168"/>
      <c r="K791" s="1635"/>
      <c r="L791" s="1636"/>
      <c r="N791" s="585"/>
      <c r="O791" s="1637"/>
      <c r="Q791" s="585"/>
      <c r="R791" s="224"/>
      <c r="S791" s="970"/>
    </row>
    <row r="792" ht="15.75" customHeight="1">
      <c r="D792" s="314"/>
      <c r="E792" s="314"/>
      <c r="F792" s="314"/>
      <c r="G792" s="1633"/>
      <c r="H792" s="1634"/>
      <c r="I792" s="1338"/>
      <c r="J792" s="1168"/>
      <c r="K792" s="1635"/>
      <c r="L792" s="1636"/>
      <c r="N792" s="585"/>
      <c r="O792" s="1637"/>
      <c r="Q792" s="585"/>
      <c r="R792" s="224"/>
      <c r="S792" s="970"/>
    </row>
    <row r="793" ht="15.75" customHeight="1">
      <c r="D793" s="314"/>
      <c r="E793" s="314"/>
      <c r="F793" s="314"/>
      <c r="G793" s="1633"/>
      <c r="H793" s="1634"/>
      <c r="I793" s="1338"/>
      <c r="J793" s="1168"/>
      <c r="K793" s="1635"/>
      <c r="L793" s="1636"/>
      <c r="N793" s="585"/>
      <c r="O793" s="1637"/>
      <c r="Q793" s="585"/>
      <c r="R793" s="224"/>
      <c r="S793" s="970"/>
    </row>
    <row r="794" ht="15.75" customHeight="1">
      <c r="D794" s="314"/>
      <c r="E794" s="314"/>
      <c r="F794" s="314"/>
      <c r="G794" s="1633"/>
      <c r="H794" s="1634"/>
      <c r="I794" s="1338"/>
      <c r="J794" s="1168"/>
      <c r="K794" s="1635"/>
      <c r="L794" s="1636"/>
      <c r="N794" s="585"/>
      <c r="O794" s="1637"/>
      <c r="Q794" s="585"/>
      <c r="R794" s="224"/>
      <c r="S794" s="970"/>
    </row>
    <row r="795" ht="15.75" customHeight="1">
      <c r="D795" s="314"/>
      <c r="E795" s="314"/>
      <c r="F795" s="314"/>
      <c r="G795" s="1633"/>
      <c r="H795" s="1634"/>
      <c r="I795" s="1338"/>
      <c r="J795" s="1168"/>
      <c r="K795" s="1635"/>
      <c r="L795" s="1636"/>
      <c r="N795" s="585"/>
      <c r="O795" s="1637"/>
      <c r="Q795" s="585"/>
      <c r="R795" s="224"/>
      <c r="S795" s="970"/>
    </row>
    <row r="796" ht="15.75" customHeight="1">
      <c r="D796" s="314"/>
      <c r="E796" s="314"/>
      <c r="F796" s="314"/>
      <c r="G796" s="1633"/>
      <c r="H796" s="1634"/>
      <c r="I796" s="1338"/>
      <c r="J796" s="1168"/>
      <c r="K796" s="1635"/>
      <c r="L796" s="1636"/>
      <c r="N796" s="585"/>
      <c r="O796" s="1637"/>
      <c r="Q796" s="585"/>
      <c r="R796" s="224"/>
      <c r="S796" s="970"/>
    </row>
    <row r="797" ht="15.75" customHeight="1">
      <c r="D797" s="314"/>
      <c r="E797" s="314"/>
      <c r="F797" s="314"/>
      <c r="G797" s="1633"/>
      <c r="H797" s="1634"/>
      <c r="I797" s="1338"/>
      <c r="J797" s="1168"/>
      <c r="K797" s="1635"/>
      <c r="L797" s="1636"/>
      <c r="N797" s="585"/>
      <c r="O797" s="1637"/>
      <c r="Q797" s="585"/>
      <c r="R797" s="224"/>
      <c r="S797" s="970"/>
    </row>
    <row r="798" ht="15.75" customHeight="1">
      <c r="D798" s="314"/>
      <c r="E798" s="314"/>
      <c r="F798" s="314"/>
      <c r="G798" s="1633"/>
      <c r="H798" s="1634"/>
      <c r="I798" s="1338"/>
      <c r="J798" s="1168"/>
      <c r="K798" s="1635"/>
      <c r="L798" s="1636"/>
      <c r="N798" s="585"/>
      <c r="O798" s="1637"/>
      <c r="Q798" s="585"/>
      <c r="R798" s="224"/>
      <c r="S798" s="970"/>
    </row>
    <row r="799" ht="15.75" customHeight="1">
      <c r="D799" s="314"/>
      <c r="E799" s="314"/>
      <c r="F799" s="314"/>
      <c r="G799" s="1633"/>
      <c r="H799" s="1634"/>
      <c r="I799" s="1338"/>
      <c r="J799" s="1168"/>
      <c r="K799" s="1635"/>
      <c r="L799" s="1636"/>
      <c r="N799" s="585"/>
      <c r="O799" s="1637"/>
      <c r="Q799" s="585"/>
      <c r="R799" s="224"/>
      <c r="S799" s="970"/>
    </row>
    <row r="800" ht="15.75" customHeight="1">
      <c r="D800" s="314"/>
      <c r="E800" s="314"/>
      <c r="F800" s="314"/>
      <c r="G800" s="1633"/>
      <c r="H800" s="1634"/>
      <c r="I800" s="1338"/>
      <c r="J800" s="1168"/>
      <c r="K800" s="1635"/>
      <c r="L800" s="1636"/>
      <c r="N800" s="585"/>
      <c r="O800" s="1637"/>
      <c r="Q800" s="585"/>
      <c r="R800" s="224"/>
      <c r="S800" s="970"/>
    </row>
    <row r="801" ht="15.75" customHeight="1">
      <c r="D801" s="314"/>
      <c r="E801" s="314"/>
      <c r="F801" s="314"/>
      <c r="G801" s="1633"/>
      <c r="H801" s="1634"/>
      <c r="I801" s="1338"/>
      <c r="J801" s="1168"/>
      <c r="K801" s="1635"/>
      <c r="L801" s="1636"/>
      <c r="N801" s="585"/>
      <c r="O801" s="1637"/>
      <c r="Q801" s="585"/>
      <c r="R801" s="224"/>
      <c r="S801" s="970"/>
    </row>
    <row r="802" ht="15.75" customHeight="1">
      <c r="D802" s="314"/>
      <c r="E802" s="314"/>
      <c r="F802" s="314"/>
      <c r="G802" s="1633"/>
      <c r="H802" s="1634"/>
      <c r="I802" s="1338"/>
      <c r="J802" s="1168"/>
      <c r="K802" s="1635"/>
      <c r="L802" s="1636"/>
      <c r="N802" s="585"/>
      <c r="O802" s="1637"/>
      <c r="Q802" s="585"/>
      <c r="R802" s="224"/>
      <c r="S802" s="970"/>
    </row>
    <row r="803" ht="15.75" customHeight="1">
      <c r="D803" s="314"/>
      <c r="E803" s="314"/>
      <c r="F803" s="314"/>
      <c r="G803" s="1633"/>
      <c r="H803" s="1634"/>
      <c r="I803" s="1338"/>
      <c r="J803" s="1168"/>
      <c r="K803" s="1635"/>
      <c r="L803" s="1636"/>
      <c r="N803" s="585"/>
      <c r="O803" s="1637"/>
      <c r="Q803" s="585"/>
      <c r="R803" s="224"/>
      <c r="S803" s="970"/>
    </row>
    <row r="804" ht="15.75" customHeight="1">
      <c r="D804" s="314"/>
      <c r="E804" s="314"/>
      <c r="F804" s="314"/>
      <c r="G804" s="1633"/>
      <c r="H804" s="1634"/>
      <c r="I804" s="1338"/>
      <c r="J804" s="1168"/>
      <c r="K804" s="1635"/>
      <c r="L804" s="1636"/>
      <c r="N804" s="585"/>
      <c r="O804" s="1637"/>
      <c r="Q804" s="585"/>
      <c r="R804" s="224"/>
      <c r="S804" s="970"/>
    </row>
    <row r="805" ht="15.75" customHeight="1">
      <c r="D805" s="314"/>
      <c r="E805" s="314"/>
      <c r="F805" s="314"/>
      <c r="G805" s="1633"/>
      <c r="H805" s="1634"/>
      <c r="I805" s="1338"/>
      <c r="J805" s="1168"/>
      <c r="K805" s="1635"/>
      <c r="L805" s="1636"/>
      <c r="N805" s="585"/>
      <c r="O805" s="1637"/>
      <c r="Q805" s="585"/>
      <c r="R805" s="224"/>
      <c r="S805" s="970"/>
    </row>
    <row r="806" ht="15.75" customHeight="1">
      <c r="D806" s="314"/>
      <c r="E806" s="314"/>
      <c r="F806" s="314"/>
      <c r="G806" s="1633"/>
      <c r="H806" s="1634"/>
      <c r="I806" s="1338"/>
      <c r="J806" s="1168"/>
      <c r="K806" s="1635"/>
      <c r="L806" s="1636"/>
      <c r="N806" s="585"/>
      <c r="O806" s="1637"/>
      <c r="Q806" s="585"/>
      <c r="R806" s="224"/>
      <c r="S806" s="970"/>
    </row>
    <row r="807" ht="15.75" customHeight="1">
      <c r="D807" s="314"/>
      <c r="E807" s="314"/>
      <c r="F807" s="314"/>
      <c r="G807" s="1633"/>
      <c r="H807" s="1634"/>
      <c r="I807" s="1338"/>
      <c r="J807" s="1168"/>
      <c r="K807" s="1635"/>
      <c r="L807" s="1636"/>
      <c r="N807" s="585"/>
      <c r="O807" s="1637"/>
      <c r="Q807" s="585"/>
      <c r="R807" s="224"/>
      <c r="S807" s="970"/>
    </row>
    <row r="808" ht="15.75" customHeight="1">
      <c r="D808" s="314"/>
      <c r="E808" s="314"/>
      <c r="F808" s="314"/>
      <c r="G808" s="1633"/>
      <c r="H808" s="1634"/>
      <c r="I808" s="1338"/>
      <c r="J808" s="1168"/>
      <c r="K808" s="1635"/>
      <c r="L808" s="1636"/>
      <c r="N808" s="585"/>
      <c r="O808" s="1637"/>
      <c r="Q808" s="585"/>
      <c r="R808" s="224"/>
      <c r="S808" s="970"/>
    </row>
    <row r="809" ht="15.75" customHeight="1">
      <c r="D809" s="314"/>
      <c r="E809" s="314"/>
      <c r="F809" s="314"/>
      <c r="G809" s="1633"/>
      <c r="H809" s="1634"/>
      <c r="I809" s="1338"/>
      <c r="J809" s="1168"/>
      <c r="K809" s="1635"/>
      <c r="L809" s="1636"/>
      <c r="N809" s="585"/>
      <c r="O809" s="1637"/>
      <c r="Q809" s="585"/>
      <c r="R809" s="224"/>
      <c r="S809" s="970"/>
    </row>
    <row r="810" ht="15.75" customHeight="1">
      <c r="D810" s="314"/>
      <c r="E810" s="314"/>
      <c r="F810" s="314"/>
      <c r="G810" s="1633"/>
      <c r="H810" s="1634"/>
      <c r="I810" s="1338"/>
      <c r="J810" s="1168"/>
      <c r="K810" s="1635"/>
      <c r="L810" s="1636"/>
      <c r="N810" s="585"/>
      <c r="O810" s="1637"/>
      <c r="Q810" s="585"/>
      <c r="R810" s="224"/>
      <c r="S810" s="970"/>
    </row>
    <row r="811" ht="15.75" customHeight="1">
      <c r="D811" s="314"/>
      <c r="E811" s="314"/>
      <c r="F811" s="314"/>
      <c r="G811" s="1633"/>
      <c r="H811" s="1634"/>
      <c r="I811" s="1338"/>
      <c r="J811" s="1168"/>
      <c r="K811" s="1635"/>
      <c r="L811" s="1636"/>
      <c r="N811" s="585"/>
      <c r="O811" s="1637"/>
      <c r="Q811" s="585"/>
      <c r="R811" s="224"/>
      <c r="S811" s="970"/>
    </row>
    <row r="812" ht="15.75" customHeight="1">
      <c r="D812" s="314"/>
      <c r="E812" s="314"/>
      <c r="F812" s="314"/>
      <c r="G812" s="1633"/>
      <c r="H812" s="1634"/>
      <c r="I812" s="1338"/>
      <c r="J812" s="1168"/>
      <c r="K812" s="1635"/>
      <c r="L812" s="1636"/>
      <c r="N812" s="585"/>
      <c r="O812" s="1637"/>
      <c r="Q812" s="585"/>
      <c r="R812" s="224"/>
      <c r="S812" s="970"/>
    </row>
    <row r="813" ht="15.75" customHeight="1">
      <c r="D813" s="314"/>
      <c r="E813" s="314"/>
      <c r="F813" s="314"/>
      <c r="G813" s="1633"/>
      <c r="H813" s="1634"/>
      <c r="I813" s="1338"/>
      <c r="J813" s="1168"/>
      <c r="K813" s="1635"/>
      <c r="L813" s="1636"/>
      <c r="N813" s="585"/>
      <c r="O813" s="1637"/>
      <c r="Q813" s="585"/>
      <c r="R813" s="224"/>
      <c r="S813" s="970"/>
    </row>
    <row r="814" ht="15.75" customHeight="1">
      <c r="D814" s="314"/>
      <c r="E814" s="314"/>
      <c r="F814" s="314"/>
      <c r="G814" s="1633"/>
      <c r="H814" s="1634"/>
      <c r="I814" s="1338"/>
      <c r="J814" s="1168"/>
      <c r="K814" s="1635"/>
      <c r="L814" s="1636"/>
      <c r="N814" s="585"/>
      <c r="O814" s="1637"/>
      <c r="Q814" s="585"/>
      <c r="R814" s="224"/>
      <c r="S814" s="970"/>
    </row>
    <row r="815" ht="15.75" customHeight="1">
      <c r="D815" s="314"/>
      <c r="E815" s="314"/>
      <c r="F815" s="314"/>
      <c r="G815" s="1633"/>
      <c r="H815" s="1634"/>
      <c r="I815" s="1338"/>
      <c r="J815" s="1168"/>
      <c r="K815" s="1635"/>
      <c r="L815" s="1636"/>
      <c r="N815" s="585"/>
      <c r="O815" s="1637"/>
      <c r="Q815" s="585"/>
      <c r="R815" s="224"/>
      <c r="S815" s="970"/>
    </row>
    <row r="816" ht="15.75" customHeight="1">
      <c r="D816" s="314"/>
      <c r="E816" s="314"/>
      <c r="F816" s="314"/>
      <c r="G816" s="1633"/>
      <c r="H816" s="1634"/>
      <c r="I816" s="1338"/>
      <c r="J816" s="1168"/>
      <c r="K816" s="1635"/>
      <c r="L816" s="1636"/>
      <c r="N816" s="585"/>
      <c r="O816" s="1637"/>
      <c r="Q816" s="585"/>
      <c r="R816" s="224"/>
      <c r="S816" s="970"/>
    </row>
    <row r="817" ht="15.75" customHeight="1">
      <c r="D817" s="314"/>
      <c r="E817" s="314"/>
      <c r="F817" s="314"/>
      <c r="G817" s="1633"/>
      <c r="H817" s="1634"/>
      <c r="I817" s="1338"/>
      <c r="J817" s="1168"/>
      <c r="K817" s="1635"/>
      <c r="L817" s="1636"/>
      <c r="N817" s="585"/>
      <c r="O817" s="1637"/>
      <c r="Q817" s="585"/>
      <c r="R817" s="224"/>
      <c r="S817" s="970"/>
    </row>
    <row r="818" ht="15.75" customHeight="1">
      <c r="D818" s="314"/>
      <c r="E818" s="314"/>
      <c r="F818" s="314"/>
      <c r="G818" s="1633"/>
      <c r="H818" s="1634"/>
      <c r="I818" s="1338"/>
      <c r="J818" s="1168"/>
      <c r="K818" s="1635"/>
      <c r="L818" s="1636"/>
      <c r="N818" s="585"/>
      <c r="O818" s="1637"/>
      <c r="Q818" s="585"/>
      <c r="R818" s="224"/>
      <c r="S818" s="970"/>
    </row>
    <row r="819" ht="15.75" customHeight="1">
      <c r="D819" s="314"/>
      <c r="E819" s="314"/>
      <c r="F819" s="314"/>
      <c r="G819" s="1633"/>
      <c r="H819" s="1634"/>
      <c r="I819" s="1338"/>
      <c r="J819" s="1168"/>
      <c r="K819" s="1635"/>
      <c r="L819" s="1636"/>
      <c r="N819" s="585"/>
      <c r="O819" s="1637"/>
      <c r="Q819" s="585"/>
      <c r="R819" s="224"/>
      <c r="S819" s="970"/>
    </row>
    <row r="820" ht="15.75" customHeight="1">
      <c r="D820" s="314"/>
      <c r="E820" s="314"/>
      <c r="F820" s="314"/>
      <c r="G820" s="1633"/>
      <c r="H820" s="1634"/>
      <c r="I820" s="1338"/>
      <c r="J820" s="1168"/>
      <c r="K820" s="1635"/>
      <c r="L820" s="1636"/>
      <c r="N820" s="585"/>
      <c r="O820" s="1637"/>
      <c r="Q820" s="585"/>
      <c r="R820" s="224"/>
      <c r="S820" s="970"/>
    </row>
    <row r="821" ht="15.75" customHeight="1">
      <c r="D821" s="314"/>
      <c r="E821" s="314"/>
      <c r="F821" s="314"/>
      <c r="G821" s="1633"/>
      <c r="H821" s="1634"/>
      <c r="I821" s="1338"/>
      <c r="J821" s="1168"/>
      <c r="K821" s="1635"/>
      <c r="L821" s="1636"/>
      <c r="N821" s="585"/>
      <c r="O821" s="1637"/>
      <c r="Q821" s="585"/>
      <c r="R821" s="224"/>
      <c r="S821" s="970"/>
    </row>
    <row r="822" ht="15.75" customHeight="1">
      <c r="D822" s="314"/>
      <c r="E822" s="314"/>
      <c r="F822" s="314"/>
      <c r="G822" s="1633"/>
      <c r="H822" s="1634"/>
      <c r="I822" s="1338"/>
      <c r="J822" s="1168"/>
      <c r="K822" s="1635"/>
      <c r="L822" s="1636"/>
      <c r="N822" s="585"/>
      <c r="O822" s="1637"/>
      <c r="Q822" s="585"/>
      <c r="R822" s="224"/>
      <c r="S822" s="970"/>
    </row>
    <row r="823" ht="15.75" customHeight="1">
      <c r="D823" s="314"/>
      <c r="E823" s="314"/>
      <c r="F823" s="314"/>
      <c r="G823" s="1633"/>
      <c r="H823" s="1634"/>
      <c r="I823" s="1338"/>
      <c r="J823" s="1168"/>
      <c r="K823" s="1635"/>
      <c r="L823" s="1636"/>
      <c r="N823" s="585"/>
      <c r="O823" s="1637"/>
      <c r="Q823" s="585"/>
      <c r="R823" s="224"/>
      <c r="S823" s="970"/>
    </row>
    <row r="824" ht="15.75" customHeight="1">
      <c r="D824" s="314"/>
      <c r="E824" s="314"/>
      <c r="F824" s="314"/>
      <c r="G824" s="1633"/>
      <c r="H824" s="1634"/>
      <c r="I824" s="1338"/>
      <c r="J824" s="1168"/>
      <c r="K824" s="1635"/>
      <c r="L824" s="1636"/>
      <c r="N824" s="585"/>
      <c r="O824" s="1637"/>
      <c r="Q824" s="585"/>
      <c r="R824" s="224"/>
      <c r="S824" s="970"/>
    </row>
    <row r="825" ht="15.75" customHeight="1">
      <c r="D825" s="314"/>
      <c r="E825" s="314"/>
      <c r="F825" s="314"/>
      <c r="G825" s="1633"/>
      <c r="H825" s="1634"/>
      <c r="I825" s="1338"/>
      <c r="J825" s="1168"/>
      <c r="K825" s="1635"/>
      <c r="L825" s="1636"/>
      <c r="N825" s="585"/>
      <c r="O825" s="1637"/>
      <c r="Q825" s="585"/>
      <c r="R825" s="224"/>
      <c r="S825" s="970"/>
    </row>
    <row r="826" ht="15.75" customHeight="1">
      <c r="D826" s="314"/>
      <c r="E826" s="314"/>
      <c r="F826" s="314"/>
      <c r="G826" s="1633"/>
      <c r="H826" s="1634"/>
      <c r="I826" s="1338"/>
      <c r="J826" s="1168"/>
      <c r="K826" s="1635"/>
      <c r="L826" s="1636"/>
      <c r="N826" s="585"/>
      <c r="O826" s="1637"/>
      <c r="Q826" s="585"/>
      <c r="R826" s="224"/>
      <c r="S826" s="970"/>
    </row>
    <row r="827" ht="15.75" customHeight="1">
      <c r="D827" s="314"/>
      <c r="E827" s="314"/>
      <c r="F827" s="314"/>
      <c r="G827" s="1633"/>
      <c r="H827" s="1634"/>
      <c r="I827" s="1338"/>
      <c r="J827" s="1168"/>
      <c r="K827" s="1635"/>
      <c r="L827" s="1636"/>
      <c r="N827" s="585"/>
      <c r="O827" s="1637"/>
      <c r="Q827" s="585"/>
      <c r="R827" s="224"/>
      <c r="S827" s="970"/>
    </row>
    <row r="828" ht="15.75" customHeight="1">
      <c r="D828" s="314"/>
      <c r="E828" s="314"/>
      <c r="F828" s="314"/>
      <c r="G828" s="1633"/>
      <c r="H828" s="1634"/>
      <c r="I828" s="1338"/>
      <c r="J828" s="1168"/>
      <c r="K828" s="1635"/>
      <c r="L828" s="1636"/>
      <c r="N828" s="585"/>
      <c r="O828" s="1637"/>
      <c r="Q828" s="585"/>
      <c r="R828" s="224"/>
      <c r="S828" s="970"/>
    </row>
    <row r="829" ht="15.75" customHeight="1">
      <c r="D829" s="314"/>
      <c r="E829" s="314"/>
      <c r="F829" s="314"/>
      <c r="G829" s="1633"/>
      <c r="H829" s="1634"/>
      <c r="I829" s="1338"/>
      <c r="J829" s="1168"/>
      <c r="K829" s="1635"/>
      <c r="L829" s="1636"/>
      <c r="N829" s="585"/>
      <c r="O829" s="1637"/>
      <c r="Q829" s="585"/>
      <c r="R829" s="224"/>
      <c r="S829" s="970"/>
    </row>
    <row r="830" ht="15.75" customHeight="1">
      <c r="D830" s="314"/>
      <c r="E830" s="314"/>
      <c r="F830" s="314"/>
      <c r="G830" s="1633"/>
      <c r="H830" s="1634"/>
      <c r="I830" s="1338"/>
      <c r="J830" s="1168"/>
      <c r="K830" s="1635"/>
      <c r="L830" s="1636"/>
      <c r="N830" s="585"/>
      <c r="O830" s="1637"/>
      <c r="Q830" s="585"/>
      <c r="R830" s="224"/>
      <c r="S830" s="970"/>
    </row>
    <row r="831" ht="15.75" customHeight="1">
      <c r="D831" s="314"/>
      <c r="E831" s="314"/>
      <c r="F831" s="314"/>
      <c r="G831" s="1633"/>
      <c r="H831" s="1634"/>
      <c r="I831" s="1338"/>
      <c r="J831" s="1168"/>
      <c r="K831" s="1635"/>
      <c r="L831" s="1636"/>
      <c r="N831" s="585"/>
      <c r="O831" s="1637"/>
      <c r="Q831" s="585"/>
      <c r="R831" s="224"/>
      <c r="S831" s="970"/>
    </row>
    <row r="832" ht="15.75" customHeight="1">
      <c r="D832" s="314"/>
      <c r="E832" s="314"/>
      <c r="F832" s="314"/>
      <c r="G832" s="1633"/>
      <c r="H832" s="1634"/>
      <c r="I832" s="1338"/>
      <c r="J832" s="1168"/>
      <c r="K832" s="1635"/>
      <c r="L832" s="1636"/>
      <c r="N832" s="585"/>
      <c r="O832" s="1637"/>
      <c r="Q832" s="585"/>
      <c r="R832" s="224"/>
      <c r="S832" s="970"/>
    </row>
    <row r="833" ht="15.75" customHeight="1">
      <c r="D833" s="314"/>
      <c r="E833" s="314"/>
      <c r="F833" s="314"/>
      <c r="G833" s="1633"/>
      <c r="H833" s="1634"/>
      <c r="I833" s="1338"/>
      <c r="J833" s="1168"/>
      <c r="K833" s="1635"/>
      <c r="L833" s="1636"/>
      <c r="N833" s="585"/>
      <c r="O833" s="1637"/>
      <c r="Q833" s="585"/>
      <c r="R833" s="224"/>
      <c r="S833" s="970"/>
    </row>
    <row r="834" ht="15.75" customHeight="1">
      <c r="D834" s="314"/>
      <c r="E834" s="314"/>
      <c r="F834" s="314"/>
      <c r="G834" s="1633"/>
      <c r="H834" s="1634"/>
      <c r="I834" s="1338"/>
      <c r="J834" s="1168"/>
      <c r="K834" s="1635"/>
      <c r="L834" s="1636"/>
      <c r="N834" s="585"/>
      <c r="O834" s="1637"/>
      <c r="Q834" s="585"/>
      <c r="R834" s="224"/>
      <c r="S834" s="970"/>
    </row>
    <row r="835" ht="15.75" customHeight="1">
      <c r="D835" s="314"/>
      <c r="E835" s="314"/>
      <c r="F835" s="314"/>
      <c r="G835" s="1633"/>
      <c r="H835" s="1634"/>
      <c r="I835" s="1338"/>
      <c r="J835" s="1168"/>
      <c r="K835" s="1635"/>
      <c r="L835" s="1636"/>
      <c r="N835" s="585"/>
      <c r="O835" s="1637"/>
      <c r="Q835" s="585"/>
      <c r="R835" s="224"/>
      <c r="S835" s="970"/>
    </row>
    <row r="836" ht="15.75" customHeight="1">
      <c r="D836" s="314"/>
      <c r="E836" s="314"/>
      <c r="F836" s="314"/>
      <c r="G836" s="1633"/>
      <c r="H836" s="1634"/>
      <c r="I836" s="1338"/>
      <c r="J836" s="1168"/>
      <c r="K836" s="1635"/>
      <c r="L836" s="1636"/>
      <c r="N836" s="585"/>
      <c r="O836" s="1637"/>
      <c r="Q836" s="585"/>
      <c r="R836" s="224"/>
      <c r="S836" s="970"/>
    </row>
    <row r="837" ht="15.75" customHeight="1">
      <c r="D837" s="314"/>
      <c r="E837" s="314"/>
      <c r="F837" s="314"/>
      <c r="G837" s="1633"/>
      <c r="H837" s="1634"/>
      <c r="I837" s="1338"/>
      <c r="J837" s="1168"/>
      <c r="K837" s="1635"/>
      <c r="L837" s="1636"/>
      <c r="N837" s="585"/>
      <c r="O837" s="1637"/>
      <c r="Q837" s="585"/>
      <c r="R837" s="224"/>
      <c r="S837" s="970"/>
    </row>
    <row r="838" ht="15.75" customHeight="1">
      <c r="D838" s="314"/>
      <c r="E838" s="314"/>
      <c r="F838" s="314"/>
      <c r="G838" s="1633"/>
      <c r="H838" s="1634"/>
      <c r="I838" s="1338"/>
      <c r="J838" s="1168"/>
      <c r="K838" s="1635"/>
      <c r="L838" s="1636"/>
      <c r="N838" s="585"/>
      <c r="O838" s="1637"/>
      <c r="Q838" s="585"/>
      <c r="R838" s="224"/>
      <c r="S838" s="970"/>
    </row>
    <row r="839" ht="15.75" customHeight="1">
      <c r="D839" s="314"/>
      <c r="E839" s="314"/>
      <c r="F839" s="314"/>
      <c r="G839" s="1633"/>
      <c r="H839" s="1634"/>
      <c r="I839" s="1338"/>
      <c r="J839" s="1168"/>
      <c r="K839" s="1635"/>
      <c r="L839" s="1636"/>
      <c r="N839" s="585"/>
      <c r="O839" s="1637"/>
      <c r="Q839" s="585"/>
      <c r="R839" s="224"/>
      <c r="S839" s="970"/>
    </row>
    <row r="840" ht="15.75" customHeight="1">
      <c r="D840" s="314"/>
      <c r="E840" s="314"/>
      <c r="F840" s="314"/>
      <c r="G840" s="1633"/>
      <c r="H840" s="1634"/>
      <c r="I840" s="1338"/>
      <c r="J840" s="1168"/>
      <c r="K840" s="1635"/>
      <c r="L840" s="1636"/>
      <c r="N840" s="585"/>
      <c r="O840" s="1637"/>
      <c r="Q840" s="585"/>
      <c r="R840" s="224"/>
      <c r="S840" s="970"/>
    </row>
    <row r="841" ht="15.75" customHeight="1">
      <c r="D841" s="314"/>
      <c r="E841" s="314"/>
      <c r="F841" s="314"/>
      <c r="G841" s="1633"/>
      <c r="H841" s="1634"/>
      <c r="I841" s="1338"/>
      <c r="J841" s="1168"/>
      <c r="K841" s="1635"/>
      <c r="L841" s="1636"/>
      <c r="N841" s="585"/>
      <c r="O841" s="1637"/>
      <c r="Q841" s="585"/>
      <c r="R841" s="224"/>
      <c r="S841" s="970"/>
    </row>
    <row r="842" ht="15.75" customHeight="1">
      <c r="D842" s="314"/>
      <c r="E842" s="314"/>
      <c r="F842" s="314"/>
      <c r="G842" s="1633"/>
      <c r="H842" s="1634"/>
      <c r="I842" s="1338"/>
      <c r="J842" s="1168"/>
      <c r="K842" s="1635"/>
      <c r="L842" s="1636"/>
      <c r="N842" s="585"/>
      <c r="O842" s="1637"/>
      <c r="Q842" s="585"/>
      <c r="R842" s="224"/>
      <c r="S842" s="970"/>
    </row>
    <row r="843" ht="15.75" customHeight="1">
      <c r="D843" s="314"/>
      <c r="E843" s="314"/>
      <c r="F843" s="314"/>
      <c r="G843" s="1633"/>
      <c r="H843" s="1634"/>
      <c r="I843" s="1338"/>
      <c r="J843" s="1168"/>
      <c r="K843" s="1635"/>
      <c r="L843" s="1636"/>
      <c r="N843" s="585"/>
      <c r="O843" s="1637"/>
      <c r="Q843" s="585"/>
      <c r="R843" s="224"/>
      <c r="S843" s="970"/>
    </row>
    <row r="844" ht="15.75" customHeight="1">
      <c r="D844" s="314"/>
      <c r="E844" s="314"/>
      <c r="F844" s="314"/>
      <c r="G844" s="1633"/>
      <c r="H844" s="1634"/>
      <c r="I844" s="1338"/>
      <c r="J844" s="1168"/>
      <c r="K844" s="1635"/>
      <c r="L844" s="1636"/>
      <c r="N844" s="585"/>
      <c r="O844" s="1637"/>
      <c r="Q844" s="585"/>
      <c r="R844" s="224"/>
      <c r="S844" s="970"/>
    </row>
    <row r="845" ht="15.75" customHeight="1">
      <c r="D845" s="314"/>
      <c r="E845" s="314"/>
      <c r="F845" s="314"/>
      <c r="G845" s="1633"/>
      <c r="H845" s="1634"/>
      <c r="I845" s="1338"/>
      <c r="J845" s="1168"/>
      <c r="K845" s="1635"/>
      <c r="L845" s="1636"/>
      <c r="N845" s="585"/>
      <c r="O845" s="1637"/>
      <c r="Q845" s="585"/>
      <c r="R845" s="224"/>
      <c r="S845" s="970"/>
    </row>
    <row r="846" ht="15.75" customHeight="1">
      <c r="D846" s="314"/>
      <c r="E846" s="314"/>
      <c r="F846" s="314"/>
      <c r="G846" s="1633"/>
      <c r="H846" s="1634"/>
      <c r="I846" s="1338"/>
      <c r="J846" s="1168"/>
      <c r="K846" s="1635"/>
      <c r="L846" s="1636"/>
      <c r="N846" s="585"/>
      <c r="O846" s="1637"/>
      <c r="Q846" s="585"/>
      <c r="R846" s="224"/>
      <c r="S846" s="970"/>
    </row>
    <row r="847" ht="15.75" customHeight="1">
      <c r="D847" s="314"/>
      <c r="E847" s="314"/>
      <c r="F847" s="314"/>
      <c r="G847" s="1633"/>
      <c r="H847" s="1634"/>
      <c r="I847" s="1338"/>
      <c r="J847" s="1168"/>
      <c r="K847" s="1635"/>
      <c r="L847" s="1636"/>
      <c r="N847" s="585"/>
      <c r="O847" s="1637"/>
      <c r="Q847" s="585"/>
      <c r="R847" s="224"/>
      <c r="S847" s="970"/>
    </row>
    <row r="848" ht="15.75" customHeight="1">
      <c r="D848" s="314"/>
      <c r="E848" s="314"/>
      <c r="F848" s="314"/>
      <c r="G848" s="1633"/>
      <c r="H848" s="1634"/>
      <c r="I848" s="1338"/>
      <c r="J848" s="1168"/>
      <c r="K848" s="1635"/>
      <c r="L848" s="1636"/>
      <c r="N848" s="585"/>
      <c r="O848" s="1637"/>
      <c r="Q848" s="585"/>
      <c r="R848" s="224"/>
      <c r="S848" s="970"/>
    </row>
    <row r="849" ht="15.75" customHeight="1">
      <c r="D849" s="314"/>
      <c r="E849" s="314"/>
      <c r="F849" s="314"/>
      <c r="G849" s="1633"/>
      <c r="H849" s="1634"/>
      <c r="I849" s="1338"/>
      <c r="J849" s="1168"/>
      <c r="K849" s="1635"/>
      <c r="L849" s="1636"/>
      <c r="N849" s="585"/>
      <c r="O849" s="1637"/>
      <c r="Q849" s="585"/>
      <c r="R849" s="224"/>
      <c r="S849" s="970"/>
    </row>
    <row r="850" ht="15.75" customHeight="1">
      <c r="D850" s="314"/>
      <c r="E850" s="314"/>
      <c r="F850" s="314"/>
      <c r="G850" s="1633"/>
      <c r="H850" s="1634"/>
      <c r="I850" s="1338"/>
      <c r="J850" s="1168"/>
      <c r="K850" s="1635"/>
      <c r="L850" s="1636"/>
      <c r="N850" s="585"/>
      <c r="O850" s="1637"/>
      <c r="Q850" s="585"/>
      <c r="R850" s="224"/>
      <c r="S850" s="970"/>
    </row>
    <row r="851" ht="15.75" customHeight="1">
      <c r="D851" s="314"/>
      <c r="E851" s="314"/>
      <c r="F851" s="314"/>
      <c r="G851" s="1633"/>
      <c r="H851" s="1634"/>
      <c r="I851" s="1338"/>
      <c r="J851" s="1168"/>
      <c r="K851" s="1635"/>
      <c r="L851" s="1636"/>
      <c r="N851" s="585"/>
      <c r="O851" s="1637"/>
      <c r="Q851" s="585"/>
      <c r="R851" s="224"/>
      <c r="S851" s="970"/>
    </row>
    <row r="852" ht="15.75" customHeight="1">
      <c r="D852" s="314"/>
      <c r="E852" s="314"/>
      <c r="F852" s="314"/>
      <c r="G852" s="1633"/>
      <c r="H852" s="1634"/>
      <c r="I852" s="1338"/>
      <c r="J852" s="1168"/>
      <c r="K852" s="1635"/>
      <c r="L852" s="1636"/>
      <c r="N852" s="585"/>
      <c r="O852" s="1637"/>
      <c r="Q852" s="585"/>
      <c r="R852" s="224"/>
      <c r="S852" s="970"/>
    </row>
    <row r="853" ht="15.75" customHeight="1">
      <c r="D853" s="314"/>
      <c r="E853" s="314"/>
      <c r="F853" s="314"/>
      <c r="G853" s="1633"/>
      <c r="H853" s="1634"/>
      <c r="I853" s="1338"/>
      <c r="J853" s="1168"/>
      <c r="K853" s="1635"/>
      <c r="L853" s="1636"/>
      <c r="N853" s="585"/>
      <c r="O853" s="1637"/>
      <c r="Q853" s="585"/>
      <c r="R853" s="224"/>
      <c r="S853" s="970"/>
    </row>
    <row r="854" ht="15.75" customHeight="1">
      <c r="D854" s="314"/>
      <c r="E854" s="314"/>
      <c r="F854" s="314"/>
      <c r="G854" s="1633"/>
      <c r="H854" s="1634"/>
      <c r="I854" s="1338"/>
      <c r="J854" s="1168"/>
      <c r="K854" s="1635"/>
      <c r="L854" s="1636"/>
      <c r="N854" s="585"/>
      <c r="O854" s="1637"/>
      <c r="Q854" s="585"/>
      <c r="R854" s="224"/>
      <c r="S854" s="970"/>
    </row>
    <row r="855" ht="15.75" customHeight="1">
      <c r="D855" s="314"/>
      <c r="E855" s="314"/>
      <c r="F855" s="314"/>
      <c r="G855" s="1633"/>
      <c r="H855" s="1634"/>
      <c r="I855" s="1338"/>
      <c r="J855" s="1168"/>
      <c r="K855" s="1635"/>
      <c r="L855" s="1636"/>
      <c r="N855" s="585"/>
      <c r="O855" s="1637"/>
      <c r="Q855" s="585"/>
      <c r="R855" s="224"/>
      <c r="S855" s="970"/>
    </row>
    <row r="856" ht="15.75" customHeight="1">
      <c r="D856" s="314"/>
      <c r="E856" s="314"/>
      <c r="F856" s="314"/>
      <c r="G856" s="1633"/>
      <c r="H856" s="1634"/>
      <c r="I856" s="1338"/>
      <c r="J856" s="1168"/>
      <c r="K856" s="1635"/>
      <c r="L856" s="1636"/>
      <c r="N856" s="585"/>
      <c r="O856" s="1637"/>
      <c r="Q856" s="585"/>
      <c r="R856" s="224"/>
      <c r="S856" s="970"/>
    </row>
    <row r="857" ht="15.75" customHeight="1">
      <c r="D857" s="314"/>
      <c r="E857" s="314"/>
      <c r="F857" s="314"/>
      <c r="G857" s="1633"/>
      <c r="H857" s="1634"/>
      <c r="I857" s="1338"/>
      <c r="J857" s="1168"/>
      <c r="K857" s="1635"/>
      <c r="L857" s="1636"/>
      <c r="N857" s="585"/>
      <c r="O857" s="1637"/>
      <c r="Q857" s="585"/>
      <c r="R857" s="224"/>
      <c r="S857" s="970"/>
    </row>
    <row r="858" ht="15.75" customHeight="1">
      <c r="D858" s="314"/>
      <c r="E858" s="314"/>
      <c r="F858" s="314"/>
      <c r="G858" s="1633"/>
      <c r="H858" s="1634"/>
      <c r="I858" s="1338"/>
      <c r="J858" s="1168"/>
      <c r="K858" s="1635"/>
      <c r="L858" s="1636"/>
      <c r="N858" s="585"/>
      <c r="O858" s="1637"/>
      <c r="Q858" s="585"/>
      <c r="R858" s="224"/>
      <c r="S858" s="970"/>
    </row>
    <row r="859" ht="15.75" customHeight="1">
      <c r="D859" s="314"/>
      <c r="E859" s="314"/>
      <c r="F859" s="314"/>
      <c r="G859" s="1633"/>
      <c r="H859" s="1634"/>
      <c r="I859" s="1338"/>
      <c r="J859" s="1168"/>
      <c r="K859" s="1635"/>
      <c r="L859" s="1636"/>
      <c r="N859" s="585"/>
      <c r="O859" s="1637"/>
      <c r="Q859" s="585"/>
      <c r="R859" s="224"/>
      <c r="S859" s="970"/>
    </row>
    <row r="860" ht="15.75" customHeight="1">
      <c r="D860" s="314"/>
      <c r="E860" s="314"/>
      <c r="F860" s="314"/>
      <c r="G860" s="1633"/>
      <c r="H860" s="1634"/>
      <c r="I860" s="1338"/>
      <c r="J860" s="1168"/>
      <c r="K860" s="1635"/>
      <c r="L860" s="1636"/>
      <c r="N860" s="585"/>
      <c r="O860" s="1637"/>
      <c r="Q860" s="585"/>
      <c r="R860" s="224"/>
      <c r="S860" s="970"/>
    </row>
    <row r="861" ht="15.75" customHeight="1">
      <c r="D861" s="314"/>
      <c r="E861" s="314"/>
      <c r="F861" s="314"/>
      <c r="G861" s="1633"/>
      <c r="H861" s="1634"/>
      <c r="I861" s="1338"/>
      <c r="J861" s="1168"/>
      <c r="K861" s="1635"/>
      <c r="L861" s="1636"/>
      <c r="N861" s="585"/>
      <c r="O861" s="1637"/>
      <c r="Q861" s="585"/>
      <c r="R861" s="224"/>
      <c r="S861" s="970"/>
    </row>
    <row r="862" ht="15.75" customHeight="1">
      <c r="D862" s="314"/>
      <c r="E862" s="314"/>
      <c r="F862" s="314"/>
      <c r="G862" s="1633"/>
      <c r="H862" s="1634"/>
      <c r="I862" s="1338"/>
      <c r="J862" s="1168"/>
      <c r="K862" s="1635"/>
      <c r="L862" s="1636"/>
      <c r="N862" s="585"/>
      <c r="O862" s="1637"/>
      <c r="Q862" s="585"/>
      <c r="R862" s="224"/>
      <c r="S862" s="970"/>
    </row>
    <row r="863" ht="15.75" customHeight="1">
      <c r="D863" s="314"/>
      <c r="E863" s="314"/>
      <c r="F863" s="314"/>
      <c r="G863" s="1633"/>
      <c r="H863" s="1634"/>
      <c r="I863" s="1338"/>
      <c r="J863" s="1168"/>
      <c r="K863" s="1635"/>
      <c r="L863" s="1636"/>
      <c r="N863" s="585"/>
      <c r="O863" s="1637"/>
      <c r="Q863" s="585"/>
      <c r="R863" s="224"/>
      <c r="S863" s="970"/>
    </row>
    <row r="864" ht="15.75" customHeight="1">
      <c r="D864" s="314"/>
      <c r="E864" s="314"/>
      <c r="F864" s="314"/>
      <c r="G864" s="1633"/>
      <c r="H864" s="1634"/>
      <c r="I864" s="1338"/>
      <c r="J864" s="1168"/>
      <c r="K864" s="1635"/>
      <c r="L864" s="1636"/>
      <c r="N864" s="585"/>
      <c r="O864" s="1637"/>
      <c r="Q864" s="585"/>
      <c r="R864" s="224"/>
      <c r="S864" s="970"/>
    </row>
    <row r="865" ht="15.75" customHeight="1">
      <c r="D865" s="314"/>
      <c r="E865" s="314"/>
      <c r="F865" s="314"/>
      <c r="G865" s="1633"/>
      <c r="H865" s="1634"/>
      <c r="I865" s="1338"/>
      <c r="J865" s="1168"/>
      <c r="K865" s="1635"/>
      <c r="L865" s="1636"/>
      <c r="N865" s="585"/>
      <c r="O865" s="1637"/>
      <c r="Q865" s="585"/>
      <c r="R865" s="224"/>
      <c r="S865" s="970"/>
    </row>
    <row r="866" ht="15.75" customHeight="1">
      <c r="D866" s="314"/>
      <c r="E866" s="314"/>
      <c r="F866" s="314"/>
      <c r="G866" s="1633"/>
      <c r="H866" s="1634"/>
      <c r="I866" s="1338"/>
      <c r="J866" s="1168"/>
      <c r="K866" s="1635"/>
      <c r="L866" s="1636"/>
      <c r="N866" s="585"/>
      <c r="O866" s="1637"/>
      <c r="Q866" s="585"/>
      <c r="R866" s="224"/>
      <c r="S866" s="970"/>
    </row>
    <row r="867" ht="15.75" customHeight="1">
      <c r="D867" s="314"/>
      <c r="E867" s="314"/>
      <c r="F867" s="314"/>
      <c r="G867" s="1633"/>
      <c r="H867" s="1634"/>
      <c r="I867" s="1338"/>
      <c r="J867" s="1168"/>
      <c r="K867" s="1635"/>
      <c r="L867" s="1636"/>
      <c r="N867" s="585"/>
      <c r="O867" s="1637"/>
      <c r="Q867" s="585"/>
      <c r="R867" s="224"/>
      <c r="S867" s="970"/>
    </row>
    <row r="868" ht="15.75" customHeight="1">
      <c r="D868" s="314"/>
      <c r="E868" s="314"/>
      <c r="F868" s="314"/>
      <c r="G868" s="1633"/>
      <c r="H868" s="1634"/>
      <c r="I868" s="1338"/>
      <c r="J868" s="1168"/>
      <c r="K868" s="1635"/>
      <c r="L868" s="1636"/>
      <c r="N868" s="585"/>
      <c r="O868" s="1637"/>
      <c r="Q868" s="585"/>
      <c r="R868" s="224"/>
      <c r="S868" s="970"/>
    </row>
    <row r="869" ht="15.75" customHeight="1">
      <c r="D869" s="314"/>
      <c r="E869" s="314"/>
      <c r="F869" s="314"/>
      <c r="G869" s="1633"/>
      <c r="H869" s="1634"/>
      <c r="I869" s="1338"/>
      <c r="J869" s="1168"/>
      <c r="K869" s="1635"/>
      <c r="L869" s="1636"/>
      <c r="N869" s="585"/>
      <c r="O869" s="1637"/>
      <c r="Q869" s="585"/>
      <c r="R869" s="224"/>
      <c r="S869" s="970"/>
    </row>
    <row r="870" ht="15.75" customHeight="1">
      <c r="D870" s="314"/>
      <c r="E870" s="314"/>
      <c r="F870" s="314"/>
      <c r="G870" s="1633"/>
      <c r="H870" s="1634"/>
      <c r="I870" s="1338"/>
      <c r="J870" s="1168"/>
      <c r="K870" s="1635"/>
      <c r="L870" s="1636"/>
      <c r="N870" s="585"/>
      <c r="O870" s="1637"/>
      <c r="Q870" s="585"/>
      <c r="R870" s="224"/>
      <c r="S870" s="970"/>
    </row>
    <row r="871" ht="15.75" customHeight="1">
      <c r="D871" s="314"/>
      <c r="E871" s="314"/>
      <c r="F871" s="314"/>
      <c r="G871" s="1633"/>
      <c r="H871" s="1634"/>
      <c r="I871" s="1338"/>
      <c r="J871" s="1168"/>
      <c r="K871" s="1635"/>
      <c r="L871" s="1636"/>
      <c r="N871" s="585"/>
      <c r="O871" s="1637"/>
      <c r="Q871" s="585"/>
      <c r="R871" s="224"/>
      <c r="S871" s="970"/>
    </row>
    <row r="872" ht="15.75" customHeight="1">
      <c r="D872" s="314"/>
      <c r="E872" s="314"/>
      <c r="F872" s="314"/>
      <c r="G872" s="1633"/>
      <c r="H872" s="1634"/>
      <c r="I872" s="1338"/>
      <c r="J872" s="1168"/>
      <c r="K872" s="1635"/>
      <c r="L872" s="1636"/>
      <c r="N872" s="585"/>
      <c r="O872" s="1637"/>
      <c r="Q872" s="585"/>
      <c r="R872" s="224"/>
      <c r="S872" s="970"/>
    </row>
    <row r="873" ht="15.75" customHeight="1">
      <c r="D873" s="314"/>
      <c r="E873" s="314"/>
      <c r="F873" s="314"/>
      <c r="G873" s="1633"/>
      <c r="H873" s="1634"/>
      <c r="I873" s="1338"/>
      <c r="J873" s="1168"/>
      <c r="K873" s="1635"/>
      <c r="L873" s="1636"/>
      <c r="N873" s="585"/>
      <c r="O873" s="1637"/>
      <c r="Q873" s="585"/>
      <c r="R873" s="224"/>
      <c r="S873" s="970"/>
    </row>
    <row r="874" ht="15.75" customHeight="1">
      <c r="D874" s="314"/>
      <c r="E874" s="314"/>
      <c r="F874" s="314"/>
      <c r="G874" s="1633"/>
      <c r="H874" s="1634"/>
      <c r="I874" s="1338"/>
      <c r="J874" s="1168"/>
      <c r="K874" s="1635"/>
      <c r="L874" s="1636"/>
      <c r="N874" s="585"/>
      <c r="O874" s="1637"/>
      <c r="Q874" s="585"/>
      <c r="R874" s="224"/>
      <c r="S874" s="970"/>
    </row>
    <row r="875" ht="15.75" customHeight="1">
      <c r="D875" s="314"/>
      <c r="E875" s="314"/>
      <c r="F875" s="314"/>
      <c r="G875" s="1633"/>
      <c r="H875" s="1634"/>
      <c r="I875" s="1338"/>
      <c r="J875" s="1168"/>
      <c r="K875" s="1635"/>
      <c r="L875" s="1636"/>
      <c r="N875" s="585"/>
      <c r="O875" s="1637"/>
      <c r="Q875" s="585"/>
      <c r="R875" s="224"/>
      <c r="S875" s="970"/>
    </row>
    <row r="876" ht="15.75" customHeight="1">
      <c r="D876" s="314"/>
      <c r="E876" s="314"/>
      <c r="F876" s="314"/>
      <c r="G876" s="1633"/>
      <c r="H876" s="1634"/>
      <c r="I876" s="1338"/>
      <c r="J876" s="1168"/>
      <c r="K876" s="1635"/>
      <c r="L876" s="1636"/>
      <c r="N876" s="585"/>
      <c r="O876" s="1637"/>
      <c r="Q876" s="585"/>
      <c r="R876" s="224"/>
      <c r="S876" s="970"/>
    </row>
    <row r="877" ht="15.75" customHeight="1">
      <c r="D877" s="314"/>
      <c r="E877" s="314"/>
      <c r="F877" s="314"/>
      <c r="G877" s="1633"/>
      <c r="H877" s="1634"/>
      <c r="I877" s="1338"/>
      <c r="J877" s="1168"/>
      <c r="K877" s="1635"/>
      <c r="L877" s="1636"/>
      <c r="N877" s="585"/>
      <c r="O877" s="1637"/>
      <c r="Q877" s="585"/>
      <c r="R877" s="224"/>
      <c r="S877" s="970"/>
    </row>
    <row r="878" ht="15.75" customHeight="1">
      <c r="D878" s="314"/>
      <c r="E878" s="314"/>
      <c r="F878" s="314"/>
      <c r="G878" s="1633"/>
      <c r="H878" s="1634"/>
      <c r="I878" s="1338"/>
      <c r="J878" s="1168"/>
      <c r="K878" s="1635"/>
      <c r="L878" s="1636"/>
      <c r="N878" s="585"/>
      <c r="O878" s="1637"/>
      <c r="Q878" s="585"/>
      <c r="R878" s="224"/>
      <c r="S878" s="970"/>
    </row>
    <row r="879" ht="15.75" customHeight="1">
      <c r="D879" s="314"/>
      <c r="E879" s="314"/>
      <c r="F879" s="314"/>
      <c r="G879" s="1633"/>
      <c r="H879" s="1634"/>
      <c r="I879" s="1338"/>
      <c r="J879" s="1168"/>
      <c r="K879" s="1635"/>
      <c r="L879" s="1636"/>
      <c r="N879" s="585"/>
      <c r="O879" s="1637"/>
      <c r="Q879" s="585"/>
      <c r="R879" s="224"/>
      <c r="S879" s="970"/>
    </row>
    <row r="880" ht="15.75" customHeight="1">
      <c r="D880" s="314"/>
      <c r="E880" s="314"/>
      <c r="F880" s="314"/>
      <c r="G880" s="1633"/>
      <c r="H880" s="1634"/>
      <c r="I880" s="1338"/>
      <c r="J880" s="1168"/>
      <c r="K880" s="1635"/>
      <c r="L880" s="1636"/>
      <c r="N880" s="585"/>
      <c r="O880" s="1637"/>
      <c r="Q880" s="585"/>
      <c r="R880" s="224"/>
      <c r="S880" s="970"/>
    </row>
    <row r="881" ht="15.75" customHeight="1">
      <c r="D881" s="314"/>
      <c r="E881" s="314"/>
      <c r="F881" s="314"/>
      <c r="G881" s="1633"/>
      <c r="H881" s="1634"/>
      <c r="I881" s="1338"/>
      <c r="J881" s="1168"/>
      <c r="K881" s="1635"/>
      <c r="L881" s="1636"/>
      <c r="N881" s="585"/>
      <c r="O881" s="1637"/>
      <c r="Q881" s="585"/>
      <c r="R881" s="224"/>
      <c r="S881" s="970"/>
    </row>
    <row r="882" ht="15.75" customHeight="1">
      <c r="D882" s="314"/>
      <c r="E882" s="314"/>
      <c r="F882" s="314"/>
      <c r="G882" s="1633"/>
      <c r="H882" s="1634"/>
      <c r="I882" s="1338"/>
      <c r="J882" s="1168"/>
      <c r="K882" s="1635"/>
      <c r="L882" s="1636"/>
      <c r="N882" s="585"/>
      <c r="O882" s="1637"/>
      <c r="Q882" s="585"/>
      <c r="R882" s="224"/>
      <c r="S882" s="970"/>
    </row>
    <row r="883" ht="15.75" customHeight="1">
      <c r="D883" s="314"/>
      <c r="E883" s="314"/>
      <c r="F883" s="314"/>
      <c r="G883" s="1633"/>
      <c r="H883" s="1634"/>
      <c r="I883" s="1338"/>
      <c r="J883" s="1168"/>
      <c r="K883" s="1635"/>
      <c r="L883" s="1636"/>
      <c r="N883" s="585"/>
      <c r="O883" s="1637"/>
      <c r="Q883" s="585"/>
      <c r="R883" s="224"/>
      <c r="S883" s="970"/>
    </row>
    <row r="884" ht="15.75" customHeight="1">
      <c r="D884" s="314"/>
      <c r="E884" s="314"/>
      <c r="F884" s="314"/>
      <c r="G884" s="1633"/>
      <c r="H884" s="1634"/>
      <c r="I884" s="1338"/>
      <c r="J884" s="1168"/>
      <c r="K884" s="1635"/>
      <c r="L884" s="1636"/>
      <c r="N884" s="585"/>
      <c r="O884" s="1637"/>
      <c r="Q884" s="585"/>
      <c r="R884" s="224"/>
      <c r="S884" s="970"/>
    </row>
    <row r="885" ht="15.75" customHeight="1">
      <c r="D885" s="314"/>
      <c r="E885" s="314"/>
      <c r="F885" s="314"/>
      <c r="G885" s="1633"/>
      <c r="H885" s="1634"/>
      <c r="I885" s="1338"/>
      <c r="J885" s="1168"/>
      <c r="K885" s="1635"/>
      <c r="L885" s="1636"/>
      <c r="N885" s="585"/>
      <c r="O885" s="1637"/>
      <c r="Q885" s="585"/>
      <c r="R885" s="224"/>
      <c r="S885" s="970"/>
    </row>
    <row r="886" ht="15.75" customHeight="1">
      <c r="D886" s="314"/>
      <c r="E886" s="314"/>
      <c r="F886" s="314"/>
      <c r="G886" s="1633"/>
      <c r="H886" s="1634"/>
      <c r="I886" s="1338"/>
      <c r="J886" s="1168"/>
      <c r="K886" s="1635"/>
      <c r="L886" s="1636"/>
      <c r="N886" s="585"/>
      <c r="O886" s="1637"/>
      <c r="Q886" s="585"/>
      <c r="R886" s="224"/>
      <c r="S886" s="970"/>
    </row>
    <row r="887" ht="15.75" customHeight="1">
      <c r="D887" s="314"/>
      <c r="E887" s="314"/>
      <c r="F887" s="314"/>
      <c r="G887" s="1633"/>
      <c r="H887" s="1634"/>
      <c r="I887" s="1338"/>
      <c r="J887" s="1168"/>
      <c r="K887" s="1635"/>
      <c r="L887" s="1636"/>
      <c r="N887" s="585"/>
      <c r="O887" s="1637"/>
      <c r="Q887" s="585"/>
      <c r="R887" s="224"/>
      <c r="S887" s="970"/>
    </row>
    <row r="888" ht="15.75" customHeight="1">
      <c r="D888" s="314"/>
      <c r="E888" s="314"/>
      <c r="F888" s="314"/>
      <c r="G888" s="1633"/>
      <c r="H888" s="1634"/>
      <c r="I888" s="1338"/>
      <c r="J888" s="1168"/>
      <c r="K888" s="1635"/>
      <c r="L888" s="1636"/>
      <c r="N888" s="585"/>
      <c r="O888" s="1637"/>
      <c r="Q888" s="585"/>
      <c r="R888" s="224"/>
      <c r="S888" s="970"/>
    </row>
    <row r="889" ht="15.75" customHeight="1">
      <c r="D889" s="314"/>
      <c r="E889" s="314"/>
      <c r="F889" s="314"/>
      <c r="G889" s="1633"/>
      <c r="H889" s="1634"/>
      <c r="I889" s="1338"/>
      <c r="J889" s="1168"/>
      <c r="K889" s="1635"/>
      <c r="L889" s="1636"/>
      <c r="N889" s="585"/>
      <c r="O889" s="1637"/>
      <c r="Q889" s="585"/>
      <c r="R889" s="224"/>
      <c r="S889" s="970"/>
    </row>
    <row r="890" ht="15.75" customHeight="1">
      <c r="D890" s="314"/>
      <c r="E890" s="314"/>
      <c r="F890" s="314"/>
      <c r="G890" s="1633"/>
      <c r="H890" s="1634"/>
      <c r="I890" s="1338"/>
      <c r="J890" s="1168"/>
      <c r="K890" s="1635"/>
      <c r="L890" s="1636"/>
      <c r="N890" s="585"/>
      <c r="O890" s="1637"/>
      <c r="Q890" s="585"/>
      <c r="R890" s="224"/>
      <c r="S890" s="970"/>
    </row>
    <row r="891" ht="15.75" customHeight="1">
      <c r="D891" s="314"/>
      <c r="E891" s="314"/>
      <c r="F891" s="314"/>
      <c r="G891" s="1633"/>
      <c r="H891" s="1634"/>
      <c r="I891" s="1338"/>
      <c r="J891" s="1168"/>
      <c r="K891" s="1635"/>
      <c r="L891" s="1636"/>
      <c r="N891" s="585"/>
      <c r="O891" s="1637"/>
      <c r="Q891" s="585"/>
      <c r="R891" s="224"/>
      <c r="S891" s="970"/>
    </row>
    <row r="892" ht="15.75" customHeight="1">
      <c r="D892" s="314"/>
      <c r="E892" s="314"/>
      <c r="F892" s="314"/>
      <c r="G892" s="1633"/>
      <c r="H892" s="1634"/>
      <c r="I892" s="1338"/>
      <c r="J892" s="1168"/>
      <c r="K892" s="1635"/>
      <c r="L892" s="1636"/>
      <c r="N892" s="585"/>
      <c r="O892" s="1637"/>
      <c r="Q892" s="585"/>
      <c r="R892" s="224"/>
      <c r="S892" s="970"/>
    </row>
    <row r="893" ht="15.75" customHeight="1">
      <c r="D893" s="314"/>
      <c r="E893" s="314"/>
      <c r="F893" s="314"/>
      <c r="G893" s="1633"/>
      <c r="H893" s="1634"/>
      <c r="I893" s="1338"/>
      <c r="J893" s="1168"/>
      <c r="K893" s="1635"/>
      <c r="L893" s="1636"/>
      <c r="N893" s="585"/>
      <c r="O893" s="1637"/>
      <c r="Q893" s="585"/>
      <c r="R893" s="224"/>
      <c r="S893" s="970"/>
    </row>
    <row r="894" ht="15.75" customHeight="1">
      <c r="D894" s="314"/>
      <c r="E894" s="314"/>
      <c r="F894" s="314"/>
      <c r="G894" s="1633"/>
      <c r="H894" s="1634"/>
      <c r="I894" s="1338"/>
      <c r="J894" s="1168"/>
      <c r="K894" s="1635"/>
      <c r="L894" s="1636"/>
      <c r="N894" s="585"/>
      <c r="O894" s="1637"/>
      <c r="Q894" s="585"/>
      <c r="R894" s="224"/>
      <c r="S894" s="970"/>
    </row>
    <row r="895" ht="15.75" customHeight="1">
      <c r="D895" s="314"/>
      <c r="E895" s="314"/>
      <c r="F895" s="314"/>
      <c r="G895" s="1633"/>
      <c r="H895" s="1634"/>
      <c r="I895" s="1338"/>
      <c r="J895" s="1168"/>
      <c r="K895" s="1635"/>
      <c r="L895" s="1636"/>
      <c r="N895" s="585"/>
      <c r="O895" s="1637"/>
      <c r="Q895" s="585"/>
      <c r="R895" s="224"/>
      <c r="S895" s="970"/>
    </row>
    <row r="896" ht="15.75" customHeight="1">
      <c r="D896" s="314"/>
      <c r="E896" s="314"/>
      <c r="F896" s="314"/>
      <c r="G896" s="1633"/>
      <c r="H896" s="1634"/>
      <c r="I896" s="1338"/>
      <c r="J896" s="1168"/>
      <c r="K896" s="1635"/>
      <c r="L896" s="1636"/>
      <c r="N896" s="585"/>
      <c r="O896" s="1637"/>
      <c r="Q896" s="585"/>
      <c r="R896" s="224"/>
      <c r="S896" s="970"/>
    </row>
    <row r="897" ht="15.75" customHeight="1">
      <c r="D897" s="314"/>
      <c r="E897" s="314"/>
      <c r="F897" s="314"/>
      <c r="G897" s="1633"/>
      <c r="H897" s="1634"/>
      <c r="I897" s="1338"/>
      <c r="J897" s="1168"/>
      <c r="K897" s="1635"/>
      <c r="L897" s="1636"/>
      <c r="N897" s="585"/>
      <c r="O897" s="1637"/>
      <c r="Q897" s="585"/>
      <c r="R897" s="224"/>
      <c r="S897" s="970"/>
    </row>
    <row r="898" ht="15.75" customHeight="1">
      <c r="D898" s="314"/>
      <c r="E898" s="314"/>
      <c r="F898" s="314"/>
      <c r="G898" s="1633"/>
      <c r="H898" s="1634"/>
      <c r="I898" s="1338"/>
      <c r="J898" s="1168"/>
      <c r="K898" s="1635"/>
      <c r="L898" s="1636"/>
      <c r="N898" s="585"/>
      <c r="O898" s="1637"/>
      <c r="Q898" s="585"/>
      <c r="R898" s="224"/>
      <c r="S898" s="970"/>
    </row>
    <row r="899" ht="15.75" customHeight="1">
      <c r="D899" s="314"/>
      <c r="E899" s="314"/>
      <c r="F899" s="314"/>
      <c r="G899" s="1633"/>
      <c r="H899" s="1634"/>
      <c r="I899" s="1338"/>
      <c r="J899" s="1168"/>
      <c r="K899" s="1635"/>
      <c r="L899" s="1636"/>
      <c r="N899" s="585"/>
      <c r="O899" s="1637"/>
      <c r="Q899" s="585"/>
      <c r="R899" s="224"/>
      <c r="S899" s="970"/>
    </row>
    <row r="900" ht="15.75" customHeight="1">
      <c r="D900" s="314"/>
      <c r="E900" s="314"/>
      <c r="F900" s="314"/>
      <c r="G900" s="1633"/>
      <c r="H900" s="1634"/>
      <c r="I900" s="1338"/>
      <c r="J900" s="1168"/>
      <c r="K900" s="1635"/>
      <c r="L900" s="1636"/>
      <c r="N900" s="585"/>
      <c r="O900" s="1637"/>
      <c r="Q900" s="585"/>
      <c r="R900" s="224"/>
      <c r="S900" s="970"/>
    </row>
    <row r="901" ht="15.75" customHeight="1">
      <c r="D901" s="314"/>
      <c r="E901" s="314"/>
      <c r="F901" s="314"/>
      <c r="G901" s="1633"/>
      <c r="H901" s="1634"/>
      <c r="I901" s="1338"/>
      <c r="J901" s="1168"/>
      <c r="K901" s="1635"/>
      <c r="L901" s="1636"/>
      <c r="N901" s="585"/>
      <c r="O901" s="1637"/>
      <c r="Q901" s="585"/>
      <c r="R901" s="224"/>
      <c r="S901" s="970"/>
    </row>
    <row r="902" ht="15.75" customHeight="1">
      <c r="D902" s="314"/>
      <c r="E902" s="314"/>
      <c r="F902" s="314"/>
      <c r="G902" s="1633"/>
      <c r="H902" s="1634"/>
      <c r="I902" s="1338"/>
      <c r="J902" s="1168"/>
      <c r="K902" s="1635"/>
      <c r="L902" s="1636"/>
      <c r="N902" s="585"/>
      <c r="O902" s="1637"/>
      <c r="Q902" s="585"/>
      <c r="R902" s="224"/>
      <c r="S902" s="970"/>
    </row>
    <row r="903" ht="15.75" customHeight="1">
      <c r="D903" s="314"/>
      <c r="E903" s="314"/>
      <c r="F903" s="314"/>
      <c r="G903" s="1633"/>
      <c r="H903" s="1634"/>
      <c r="I903" s="1338"/>
      <c r="J903" s="1168"/>
      <c r="K903" s="1635"/>
      <c r="L903" s="1636"/>
      <c r="N903" s="585"/>
      <c r="O903" s="1637"/>
      <c r="Q903" s="585"/>
      <c r="R903" s="224"/>
      <c r="S903" s="970"/>
    </row>
    <row r="904" ht="15.75" customHeight="1">
      <c r="D904" s="314"/>
      <c r="E904" s="314"/>
      <c r="F904" s="314"/>
      <c r="G904" s="1633"/>
      <c r="H904" s="1634"/>
      <c r="I904" s="1338"/>
      <c r="J904" s="1168"/>
      <c r="K904" s="1635"/>
      <c r="L904" s="1636"/>
      <c r="N904" s="585"/>
      <c r="O904" s="1637"/>
      <c r="Q904" s="585"/>
      <c r="R904" s="224"/>
      <c r="S904" s="970"/>
    </row>
    <row r="905" ht="15.75" customHeight="1">
      <c r="D905" s="314"/>
      <c r="E905" s="314"/>
      <c r="F905" s="314"/>
      <c r="G905" s="1633"/>
      <c r="H905" s="1634"/>
      <c r="I905" s="1338"/>
      <c r="J905" s="1168"/>
      <c r="K905" s="1635"/>
      <c r="L905" s="1636"/>
      <c r="N905" s="585"/>
      <c r="O905" s="1637"/>
      <c r="Q905" s="585"/>
      <c r="R905" s="224"/>
      <c r="S905" s="970"/>
    </row>
    <row r="906" ht="15.75" customHeight="1">
      <c r="D906" s="314"/>
      <c r="E906" s="314"/>
      <c r="F906" s="314"/>
      <c r="G906" s="1633"/>
      <c r="H906" s="1634"/>
      <c r="I906" s="1338"/>
      <c r="J906" s="1168"/>
      <c r="K906" s="1635"/>
      <c r="L906" s="1636"/>
      <c r="N906" s="585"/>
      <c r="O906" s="1637"/>
      <c r="Q906" s="585"/>
      <c r="R906" s="224"/>
      <c r="S906" s="970"/>
    </row>
    <row r="907" ht="15.75" customHeight="1">
      <c r="D907" s="314"/>
      <c r="E907" s="314"/>
      <c r="F907" s="314"/>
      <c r="G907" s="1633"/>
      <c r="H907" s="1634"/>
      <c r="I907" s="1338"/>
      <c r="J907" s="1168"/>
      <c r="K907" s="1635"/>
      <c r="L907" s="1636"/>
      <c r="N907" s="585"/>
      <c r="O907" s="1637"/>
      <c r="Q907" s="585"/>
      <c r="R907" s="224"/>
      <c r="S907" s="970"/>
    </row>
    <row r="908" ht="15.75" customHeight="1">
      <c r="D908" s="314"/>
      <c r="E908" s="314"/>
      <c r="F908" s="314"/>
      <c r="G908" s="1633"/>
      <c r="H908" s="1634"/>
      <c r="I908" s="1338"/>
      <c r="J908" s="1168"/>
      <c r="K908" s="1635"/>
      <c r="L908" s="1636"/>
      <c r="N908" s="585"/>
      <c r="O908" s="1637"/>
      <c r="Q908" s="585"/>
      <c r="R908" s="224"/>
      <c r="S908" s="970"/>
    </row>
    <row r="909" ht="15.75" customHeight="1">
      <c r="D909" s="314"/>
      <c r="E909" s="314"/>
      <c r="F909" s="314"/>
      <c r="G909" s="1633"/>
      <c r="H909" s="1634"/>
      <c r="I909" s="1338"/>
      <c r="J909" s="1168"/>
      <c r="K909" s="1635"/>
      <c r="L909" s="1636"/>
      <c r="N909" s="585"/>
      <c r="O909" s="1637"/>
      <c r="Q909" s="585"/>
      <c r="R909" s="224"/>
      <c r="S909" s="970"/>
    </row>
    <row r="910" ht="15.75" customHeight="1">
      <c r="D910" s="314"/>
      <c r="E910" s="314"/>
      <c r="F910" s="314"/>
      <c r="G910" s="1633"/>
      <c r="H910" s="1634"/>
      <c r="I910" s="1338"/>
      <c r="J910" s="1168"/>
      <c r="K910" s="1635"/>
      <c r="L910" s="1636"/>
      <c r="N910" s="585"/>
      <c r="O910" s="1637"/>
      <c r="Q910" s="585"/>
      <c r="R910" s="224"/>
      <c r="S910" s="970"/>
    </row>
    <row r="911" ht="15.75" customHeight="1">
      <c r="D911" s="314"/>
      <c r="E911" s="314"/>
      <c r="F911" s="314"/>
      <c r="G911" s="1633"/>
      <c r="H911" s="1634"/>
      <c r="I911" s="1338"/>
      <c r="J911" s="1168"/>
      <c r="K911" s="1635"/>
      <c r="L911" s="1636"/>
      <c r="N911" s="585"/>
      <c r="O911" s="1637"/>
      <c r="Q911" s="585"/>
      <c r="R911" s="224"/>
      <c r="S911" s="970"/>
    </row>
    <row r="912" ht="15.75" customHeight="1">
      <c r="D912" s="314"/>
      <c r="E912" s="314"/>
      <c r="F912" s="314"/>
      <c r="G912" s="1633"/>
      <c r="H912" s="1634"/>
      <c r="I912" s="1338"/>
      <c r="J912" s="1168"/>
      <c r="K912" s="1635"/>
      <c r="L912" s="1636"/>
      <c r="N912" s="585"/>
      <c r="O912" s="1637"/>
      <c r="Q912" s="585"/>
      <c r="R912" s="224"/>
      <c r="S912" s="970"/>
    </row>
    <row r="913" ht="15.75" customHeight="1">
      <c r="D913" s="314"/>
      <c r="E913" s="314"/>
      <c r="F913" s="314"/>
      <c r="G913" s="1633"/>
      <c r="H913" s="1634"/>
      <c r="I913" s="1338"/>
      <c r="J913" s="1168"/>
      <c r="K913" s="1635"/>
      <c r="L913" s="1636"/>
      <c r="N913" s="585"/>
      <c r="O913" s="1637"/>
      <c r="Q913" s="585"/>
      <c r="R913" s="224"/>
      <c r="S913" s="970"/>
    </row>
    <row r="914" ht="15.75" customHeight="1">
      <c r="D914" s="314"/>
      <c r="E914" s="314"/>
      <c r="F914" s="314"/>
      <c r="G914" s="1633"/>
      <c r="H914" s="1634"/>
      <c r="I914" s="1338"/>
      <c r="J914" s="1168"/>
      <c r="K914" s="1635"/>
      <c r="L914" s="1636"/>
      <c r="N914" s="585"/>
      <c r="O914" s="1637"/>
      <c r="Q914" s="585"/>
      <c r="R914" s="224"/>
      <c r="S914" s="970"/>
    </row>
    <row r="915" ht="15.75" customHeight="1">
      <c r="D915" s="314"/>
      <c r="E915" s="314"/>
      <c r="F915" s="314"/>
      <c r="G915" s="1633"/>
      <c r="H915" s="1634"/>
      <c r="I915" s="1338"/>
      <c r="J915" s="1168"/>
      <c r="K915" s="1635"/>
      <c r="L915" s="1636"/>
      <c r="N915" s="585"/>
      <c r="O915" s="1637"/>
      <c r="Q915" s="585"/>
      <c r="R915" s="224"/>
      <c r="S915" s="970"/>
    </row>
    <row r="916" ht="15.75" customHeight="1">
      <c r="D916" s="314"/>
      <c r="E916" s="314"/>
      <c r="F916" s="314"/>
      <c r="G916" s="1633"/>
      <c r="H916" s="1634"/>
      <c r="I916" s="1338"/>
      <c r="J916" s="1168"/>
      <c r="K916" s="1635"/>
      <c r="L916" s="1636"/>
      <c r="N916" s="585"/>
      <c r="O916" s="1637"/>
      <c r="Q916" s="585"/>
      <c r="R916" s="224"/>
      <c r="S916" s="970"/>
    </row>
    <row r="917" ht="15.75" customHeight="1">
      <c r="D917" s="314"/>
      <c r="E917" s="314"/>
      <c r="F917" s="314"/>
      <c r="G917" s="1633"/>
      <c r="H917" s="1634"/>
      <c r="I917" s="1338"/>
      <c r="J917" s="1168"/>
      <c r="K917" s="1635"/>
      <c r="L917" s="1636"/>
      <c r="N917" s="585"/>
      <c r="O917" s="1637"/>
      <c r="Q917" s="585"/>
      <c r="R917" s="224"/>
      <c r="S917" s="970"/>
    </row>
    <row r="918" ht="15.75" customHeight="1">
      <c r="D918" s="314"/>
      <c r="E918" s="314"/>
      <c r="F918" s="314"/>
      <c r="G918" s="1633"/>
      <c r="H918" s="1634"/>
      <c r="I918" s="1338"/>
      <c r="J918" s="1168"/>
      <c r="K918" s="1635"/>
      <c r="L918" s="1636"/>
      <c r="N918" s="585"/>
      <c r="O918" s="1637"/>
      <c r="Q918" s="585"/>
      <c r="R918" s="224"/>
      <c r="S918" s="970"/>
    </row>
    <row r="919" ht="15.75" customHeight="1">
      <c r="D919" s="314"/>
      <c r="E919" s="314"/>
      <c r="F919" s="314"/>
      <c r="G919" s="1633"/>
      <c r="H919" s="1634"/>
      <c r="I919" s="1338"/>
      <c r="J919" s="1168"/>
      <c r="K919" s="1635"/>
      <c r="L919" s="1636"/>
      <c r="N919" s="585"/>
      <c r="O919" s="1637"/>
      <c r="Q919" s="585"/>
      <c r="R919" s="224"/>
      <c r="S919" s="970"/>
    </row>
    <row r="920" ht="15.75" customHeight="1">
      <c r="D920" s="314"/>
      <c r="E920" s="314"/>
      <c r="F920" s="314"/>
      <c r="G920" s="1633"/>
      <c r="H920" s="1634"/>
      <c r="I920" s="1338"/>
      <c r="J920" s="1168"/>
      <c r="K920" s="1635"/>
      <c r="L920" s="1636"/>
      <c r="N920" s="585"/>
      <c r="O920" s="1637"/>
      <c r="Q920" s="585"/>
      <c r="R920" s="224"/>
      <c r="S920" s="970"/>
    </row>
    <row r="921" ht="15.75" customHeight="1">
      <c r="D921" s="314"/>
      <c r="E921" s="314"/>
      <c r="F921" s="314"/>
      <c r="G921" s="1633"/>
      <c r="H921" s="1634"/>
      <c r="I921" s="1338"/>
      <c r="J921" s="1168"/>
      <c r="K921" s="1635"/>
      <c r="L921" s="1636"/>
      <c r="N921" s="585"/>
      <c r="O921" s="1637"/>
      <c r="Q921" s="585"/>
      <c r="R921" s="224"/>
      <c r="S921" s="970"/>
    </row>
    <row r="922" ht="15.75" customHeight="1">
      <c r="D922" s="314"/>
      <c r="E922" s="314"/>
      <c r="F922" s="314"/>
      <c r="G922" s="1633"/>
      <c r="H922" s="1634"/>
      <c r="I922" s="1338"/>
      <c r="J922" s="1168"/>
      <c r="K922" s="1635"/>
      <c r="L922" s="1636"/>
      <c r="N922" s="585"/>
      <c r="O922" s="1637"/>
      <c r="Q922" s="585"/>
      <c r="R922" s="224"/>
      <c r="S922" s="970"/>
    </row>
    <row r="923" ht="15.75" customHeight="1">
      <c r="D923" s="314"/>
      <c r="E923" s="314"/>
      <c r="F923" s="314"/>
      <c r="G923" s="1633"/>
      <c r="H923" s="1634"/>
      <c r="I923" s="1338"/>
      <c r="J923" s="1168"/>
      <c r="K923" s="1635"/>
      <c r="L923" s="1636"/>
      <c r="N923" s="585"/>
      <c r="O923" s="1637"/>
      <c r="Q923" s="585"/>
      <c r="R923" s="224"/>
      <c r="S923" s="970"/>
    </row>
    <row r="924" ht="15.75" customHeight="1">
      <c r="D924" s="314"/>
      <c r="E924" s="314"/>
      <c r="F924" s="314"/>
      <c r="G924" s="1633"/>
      <c r="H924" s="1634"/>
      <c r="I924" s="1338"/>
      <c r="J924" s="1168"/>
      <c r="K924" s="1635"/>
      <c r="L924" s="1636"/>
      <c r="N924" s="585"/>
      <c r="O924" s="1637"/>
      <c r="Q924" s="585"/>
      <c r="R924" s="224"/>
      <c r="S924" s="970"/>
    </row>
    <row r="925" ht="15.75" customHeight="1">
      <c r="D925" s="314"/>
      <c r="E925" s="314"/>
      <c r="F925" s="314"/>
      <c r="G925" s="1633"/>
      <c r="H925" s="1634"/>
      <c r="I925" s="1338"/>
      <c r="J925" s="1168"/>
      <c r="K925" s="1635"/>
      <c r="L925" s="1636"/>
      <c r="N925" s="585"/>
      <c r="O925" s="1637"/>
      <c r="Q925" s="585"/>
      <c r="R925" s="224"/>
      <c r="S925" s="970"/>
    </row>
    <row r="926" ht="15.75" customHeight="1">
      <c r="D926" s="314"/>
      <c r="E926" s="314"/>
      <c r="F926" s="314"/>
      <c r="G926" s="1633"/>
      <c r="H926" s="1634"/>
      <c r="I926" s="1338"/>
      <c r="J926" s="1168"/>
      <c r="K926" s="1635"/>
      <c r="L926" s="1636"/>
      <c r="N926" s="585"/>
      <c r="O926" s="1637"/>
      <c r="Q926" s="585"/>
      <c r="R926" s="224"/>
      <c r="S926" s="970"/>
    </row>
    <row r="927" ht="15.75" customHeight="1">
      <c r="D927" s="314"/>
      <c r="E927" s="314"/>
      <c r="F927" s="314"/>
      <c r="G927" s="1633"/>
      <c r="H927" s="1634"/>
      <c r="I927" s="1338"/>
      <c r="J927" s="1168"/>
      <c r="K927" s="1635"/>
      <c r="L927" s="1636"/>
      <c r="N927" s="585"/>
      <c r="O927" s="1637"/>
      <c r="Q927" s="585"/>
      <c r="R927" s="224"/>
      <c r="S927" s="970"/>
    </row>
    <row r="928" ht="15.75" customHeight="1">
      <c r="D928" s="314"/>
      <c r="E928" s="314"/>
      <c r="F928" s="314"/>
      <c r="G928" s="1633"/>
      <c r="H928" s="1634"/>
      <c r="I928" s="1338"/>
      <c r="J928" s="1168"/>
      <c r="K928" s="1635"/>
      <c r="L928" s="1636"/>
      <c r="N928" s="585"/>
      <c r="O928" s="1637"/>
      <c r="Q928" s="585"/>
      <c r="R928" s="224"/>
      <c r="S928" s="970"/>
    </row>
    <row r="929" ht="15.75" customHeight="1">
      <c r="D929" s="314"/>
      <c r="E929" s="314"/>
      <c r="F929" s="314"/>
      <c r="G929" s="1633"/>
      <c r="H929" s="1634"/>
      <c r="I929" s="1338"/>
      <c r="J929" s="1168"/>
      <c r="K929" s="1635"/>
      <c r="L929" s="1636"/>
      <c r="N929" s="585"/>
      <c r="O929" s="1637"/>
      <c r="Q929" s="585"/>
      <c r="R929" s="224"/>
      <c r="S929" s="970"/>
    </row>
    <row r="930" ht="15.75" customHeight="1">
      <c r="D930" s="314"/>
      <c r="E930" s="314"/>
      <c r="F930" s="314"/>
      <c r="G930" s="1633"/>
      <c r="H930" s="1634"/>
      <c r="I930" s="1338"/>
      <c r="J930" s="1168"/>
      <c r="K930" s="1635"/>
      <c r="L930" s="1636"/>
      <c r="N930" s="585"/>
      <c r="O930" s="1637"/>
      <c r="Q930" s="585"/>
      <c r="R930" s="224"/>
      <c r="S930" s="970"/>
    </row>
    <row r="931" ht="15.75" customHeight="1">
      <c r="D931" s="314"/>
      <c r="E931" s="314"/>
      <c r="F931" s="314"/>
      <c r="G931" s="1633"/>
      <c r="H931" s="1634"/>
      <c r="I931" s="1338"/>
      <c r="J931" s="1168"/>
      <c r="K931" s="1635"/>
      <c r="L931" s="1636"/>
      <c r="N931" s="585"/>
      <c r="O931" s="1637"/>
      <c r="Q931" s="585"/>
      <c r="R931" s="224"/>
      <c r="S931" s="970"/>
    </row>
    <row r="932" ht="15.75" customHeight="1">
      <c r="D932" s="314"/>
      <c r="E932" s="314"/>
      <c r="F932" s="314"/>
      <c r="G932" s="1633"/>
      <c r="H932" s="1634"/>
      <c r="I932" s="1338"/>
      <c r="J932" s="1168"/>
      <c r="K932" s="1635"/>
      <c r="L932" s="1636"/>
      <c r="N932" s="585"/>
      <c r="O932" s="1637"/>
      <c r="Q932" s="585"/>
      <c r="R932" s="224"/>
      <c r="S932" s="970"/>
    </row>
    <row r="933" ht="15.75" customHeight="1">
      <c r="D933" s="314"/>
      <c r="E933" s="314"/>
      <c r="F933" s="314"/>
      <c r="G933" s="1633"/>
      <c r="H933" s="1634"/>
      <c r="I933" s="1338"/>
      <c r="J933" s="1168"/>
      <c r="K933" s="1635"/>
      <c r="L933" s="1636"/>
      <c r="N933" s="585"/>
      <c r="O933" s="1637"/>
      <c r="Q933" s="585"/>
      <c r="R933" s="224"/>
      <c r="S933" s="970"/>
    </row>
    <row r="934" ht="15.75" customHeight="1">
      <c r="D934" s="314"/>
      <c r="E934" s="314"/>
      <c r="F934" s="314"/>
      <c r="G934" s="1633"/>
      <c r="H934" s="1634"/>
      <c r="I934" s="1338"/>
      <c r="J934" s="1168"/>
      <c r="K934" s="1635"/>
      <c r="L934" s="1636"/>
      <c r="N934" s="585"/>
      <c r="O934" s="1637"/>
      <c r="Q934" s="585"/>
      <c r="R934" s="224"/>
      <c r="S934" s="970"/>
    </row>
    <row r="935" ht="15.75" customHeight="1">
      <c r="D935" s="314"/>
      <c r="E935" s="314"/>
      <c r="F935" s="314"/>
      <c r="G935" s="1633"/>
      <c r="H935" s="1634"/>
      <c r="I935" s="1338"/>
      <c r="J935" s="1168"/>
      <c r="K935" s="1635"/>
      <c r="L935" s="1636"/>
      <c r="N935" s="585"/>
      <c r="O935" s="1637"/>
      <c r="Q935" s="585"/>
      <c r="R935" s="224"/>
      <c r="S935" s="970"/>
    </row>
    <row r="936" ht="15.75" customHeight="1">
      <c r="D936" s="314"/>
      <c r="E936" s="314"/>
      <c r="F936" s="314"/>
      <c r="G936" s="1633"/>
      <c r="H936" s="1634"/>
      <c r="I936" s="1338"/>
      <c r="J936" s="1168"/>
      <c r="K936" s="1635"/>
      <c r="L936" s="1636"/>
      <c r="N936" s="585"/>
      <c r="O936" s="1637"/>
      <c r="Q936" s="585"/>
      <c r="R936" s="224"/>
      <c r="S936" s="970"/>
    </row>
    <row r="937" ht="15.75" customHeight="1">
      <c r="D937" s="314"/>
      <c r="E937" s="314"/>
      <c r="F937" s="314"/>
      <c r="G937" s="1633"/>
      <c r="H937" s="1634"/>
      <c r="I937" s="1338"/>
      <c r="J937" s="1168"/>
      <c r="K937" s="1635"/>
      <c r="L937" s="1636"/>
      <c r="N937" s="585"/>
      <c r="O937" s="1637"/>
      <c r="Q937" s="585"/>
      <c r="R937" s="224"/>
      <c r="S937" s="970"/>
    </row>
    <row r="938" ht="15.75" customHeight="1">
      <c r="D938" s="314"/>
      <c r="E938" s="314"/>
      <c r="F938" s="314"/>
      <c r="G938" s="1633"/>
      <c r="H938" s="1634"/>
      <c r="I938" s="1338"/>
      <c r="J938" s="1168"/>
      <c r="K938" s="1635"/>
      <c r="L938" s="1636"/>
      <c r="N938" s="585"/>
      <c r="O938" s="1637"/>
      <c r="Q938" s="585"/>
      <c r="R938" s="224"/>
      <c r="S938" s="970"/>
    </row>
    <row r="939" ht="15.75" customHeight="1">
      <c r="D939" s="314"/>
      <c r="E939" s="314"/>
      <c r="F939" s="314"/>
      <c r="G939" s="1633"/>
      <c r="H939" s="1634"/>
      <c r="I939" s="1338"/>
      <c r="J939" s="1168"/>
      <c r="K939" s="1635"/>
      <c r="L939" s="1636"/>
      <c r="N939" s="585"/>
      <c r="O939" s="1637"/>
      <c r="Q939" s="585"/>
      <c r="R939" s="224"/>
      <c r="S939" s="970"/>
    </row>
    <row r="940" ht="15.75" customHeight="1">
      <c r="D940" s="314"/>
      <c r="E940" s="314"/>
      <c r="F940" s="314"/>
      <c r="G940" s="1633"/>
      <c r="H940" s="1634"/>
      <c r="I940" s="1338"/>
      <c r="J940" s="1168"/>
      <c r="K940" s="1635"/>
      <c r="L940" s="1636"/>
      <c r="N940" s="585"/>
      <c r="O940" s="1637"/>
      <c r="Q940" s="585"/>
      <c r="R940" s="224"/>
      <c r="S940" s="970"/>
    </row>
    <row r="941" ht="15.75" customHeight="1">
      <c r="D941" s="314"/>
      <c r="E941" s="314"/>
      <c r="F941" s="314"/>
      <c r="G941" s="1633"/>
      <c r="H941" s="1634"/>
      <c r="I941" s="1338"/>
      <c r="J941" s="1168"/>
      <c r="K941" s="1635"/>
      <c r="L941" s="1636"/>
      <c r="N941" s="585"/>
      <c r="O941" s="1637"/>
      <c r="Q941" s="585"/>
      <c r="R941" s="224"/>
      <c r="S941" s="970"/>
    </row>
    <row r="942" ht="15.75" customHeight="1">
      <c r="D942" s="314"/>
      <c r="E942" s="314"/>
      <c r="F942" s="314"/>
      <c r="G942" s="1633"/>
      <c r="H942" s="1634"/>
      <c r="I942" s="1338"/>
      <c r="J942" s="1168"/>
      <c r="K942" s="1635"/>
      <c r="L942" s="1636"/>
      <c r="N942" s="585"/>
      <c r="O942" s="1637"/>
      <c r="Q942" s="585"/>
      <c r="R942" s="224"/>
      <c r="S942" s="970"/>
    </row>
    <row r="943" ht="15.75" customHeight="1">
      <c r="D943" s="314"/>
      <c r="E943" s="314"/>
      <c r="F943" s="314"/>
      <c r="G943" s="1633"/>
      <c r="H943" s="1634"/>
      <c r="I943" s="1338"/>
      <c r="J943" s="1168"/>
      <c r="K943" s="1635"/>
      <c r="L943" s="1636"/>
      <c r="N943" s="585"/>
      <c r="O943" s="1637"/>
      <c r="Q943" s="585"/>
      <c r="R943" s="224"/>
      <c r="S943" s="970"/>
    </row>
    <row r="944" ht="15.75" customHeight="1">
      <c r="D944" s="314"/>
      <c r="E944" s="314"/>
      <c r="F944" s="314"/>
      <c r="G944" s="1633"/>
      <c r="H944" s="1634"/>
      <c r="I944" s="1338"/>
      <c r="J944" s="1168"/>
      <c r="K944" s="1635"/>
      <c r="L944" s="1636"/>
      <c r="N944" s="585"/>
      <c r="O944" s="1637"/>
      <c r="Q944" s="585"/>
      <c r="R944" s="224"/>
      <c r="S944" s="970"/>
    </row>
    <row r="945" ht="15.75" customHeight="1">
      <c r="D945" s="314"/>
      <c r="E945" s="314"/>
      <c r="F945" s="314"/>
      <c r="G945" s="1633"/>
      <c r="H945" s="1634"/>
      <c r="I945" s="1338"/>
      <c r="J945" s="1168"/>
      <c r="K945" s="1635"/>
      <c r="L945" s="1636"/>
      <c r="N945" s="585"/>
      <c r="O945" s="1637"/>
      <c r="Q945" s="585"/>
      <c r="R945" s="224"/>
      <c r="S945" s="970"/>
    </row>
    <row r="946" ht="15.75" customHeight="1">
      <c r="D946" s="314"/>
      <c r="E946" s="314"/>
      <c r="F946" s="314"/>
      <c r="G946" s="1633"/>
      <c r="H946" s="1634"/>
      <c r="I946" s="1338"/>
      <c r="J946" s="1168"/>
      <c r="K946" s="1635"/>
      <c r="L946" s="1636"/>
      <c r="N946" s="585"/>
      <c r="O946" s="1637"/>
      <c r="Q946" s="585"/>
      <c r="R946" s="224"/>
      <c r="S946" s="970"/>
    </row>
    <row r="947" ht="15.75" customHeight="1">
      <c r="D947" s="314"/>
      <c r="E947" s="314"/>
      <c r="F947" s="314"/>
      <c r="G947" s="1633"/>
      <c r="H947" s="1634"/>
      <c r="I947" s="1338"/>
      <c r="J947" s="1168"/>
      <c r="K947" s="1635"/>
      <c r="L947" s="1636"/>
      <c r="N947" s="585"/>
      <c r="O947" s="1637"/>
      <c r="Q947" s="585"/>
      <c r="R947" s="224"/>
      <c r="S947" s="970"/>
    </row>
    <row r="948" ht="15.75" customHeight="1">
      <c r="D948" s="314"/>
      <c r="E948" s="314"/>
      <c r="F948" s="314"/>
      <c r="G948" s="1633"/>
      <c r="H948" s="1634"/>
      <c r="I948" s="1338"/>
      <c r="J948" s="1168"/>
      <c r="K948" s="1635"/>
      <c r="L948" s="1636"/>
      <c r="N948" s="585"/>
      <c r="O948" s="1637"/>
      <c r="Q948" s="585"/>
      <c r="R948" s="224"/>
      <c r="S948" s="970"/>
    </row>
    <row r="949" ht="15.75" customHeight="1">
      <c r="D949" s="314"/>
      <c r="E949" s="314"/>
      <c r="F949" s="314"/>
      <c r="G949" s="1633"/>
      <c r="H949" s="1634"/>
      <c r="I949" s="1338"/>
      <c r="J949" s="1168"/>
      <c r="K949" s="1635"/>
      <c r="L949" s="1636"/>
      <c r="N949" s="585"/>
      <c r="O949" s="1637"/>
      <c r="Q949" s="585"/>
      <c r="R949" s="224"/>
      <c r="S949" s="970"/>
    </row>
    <row r="950" ht="15.75" customHeight="1">
      <c r="D950" s="314"/>
      <c r="E950" s="314"/>
      <c r="F950" s="314"/>
      <c r="G950" s="1633"/>
      <c r="H950" s="1634"/>
      <c r="I950" s="1338"/>
      <c r="J950" s="1168"/>
      <c r="K950" s="1635"/>
      <c r="L950" s="1636"/>
      <c r="N950" s="585"/>
      <c r="O950" s="1637"/>
      <c r="Q950" s="585"/>
      <c r="R950" s="224"/>
      <c r="S950" s="970"/>
    </row>
    <row r="951" ht="15.75" customHeight="1">
      <c r="D951" s="314"/>
      <c r="E951" s="314"/>
      <c r="F951" s="314"/>
      <c r="G951" s="1633"/>
      <c r="H951" s="1634"/>
      <c r="I951" s="1338"/>
      <c r="J951" s="1168"/>
      <c r="K951" s="1635"/>
      <c r="L951" s="1636"/>
      <c r="N951" s="585"/>
      <c r="O951" s="1637"/>
      <c r="Q951" s="585"/>
      <c r="R951" s="224"/>
      <c r="S951" s="970"/>
    </row>
    <row r="952" ht="15.75" customHeight="1">
      <c r="D952" s="314"/>
      <c r="E952" s="314"/>
      <c r="F952" s="314"/>
      <c r="G952" s="1633"/>
      <c r="H952" s="1634"/>
      <c r="I952" s="1338"/>
      <c r="J952" s="1168"/>
      <c r="K952" s="1635"/>
      <c r="L952" s="1636"/>
      <c r="N952" s="585"/>
      <c r="O952" s="1637"/>
      <c r="Q952" s="585"/>
      <c r="R952" s="224"/>
      <c r="S952" s="970"/>
    </row>
    <row r="953" ht="15.75" customHeight="1">
      <c r="D953" s="314"/>
      <c r="E953" s="314"/>
      <c r="F953" s="314"/>
      <c r="G953" s="1633"/>
      <c r="H953" s="1634"/>
      <c r="I953" s="1338"/>
      <c r="J953" s="1168"/>
      <c r="K953" s="1635"/>
      <c r="L953" s="1636"/>
      <c r="N953" s="585"/>
      <c r="O953" s="1637"/>
      <c r="Q953" s="585"/>
      <c r="R953" s="224"/>
      <c r="S953" s="970"/>
    </row>
    <row r="954" ht="15.75" customHeight="1">
      <c r="D954" s="314"/>
      <c r="E954" s="314"/>
      <c r="F954" s="314"/>
      <c r="G954" s="1633"/>
      <c r="H954" s="1634"/>
      <c r="I954" s="1338"/>
      <c r="J954" s="1168"/>
      <c r="K954" s="1635"/>
      <c r="L954" s="1636"/>
      <c r="N954" s="585"/>
      <c r="O954" s="1637"/>
      <c r="Q954" s="585"/>
      <c r="R954" s="224"/>
      <c r="S954" s="970"/>
    </row>
    <row r="955" ht="15.75" customHeight="1">
      <c r="D955" s="314"/>
      <c r="E955" s="314"/>
      <c r="F955" s="314"/>
      <c r="G955" s="1633"/>
      <c r="H955" s="1634"/>
      <c r="I955" s="1338"/>
      <c r="J955" s="1168"/>
      <c r="K955" s="1635"/>
      <c r="L955" s="1636"/>
      <c r="N955" s="585"/>
      <c r="O955" s="1637"/>
      <c r="Q955" s="585"/>
      <c r="R955" s="224"/>
      <c r="S955" s="970"/>
    </row>
    <row r="956" ht="15.75" customHeight="1">
      <c r="D956" s="314"/>
      <c r="E956" s="314"/>
      <c r="F956" s="314"/>
      <c r="G956" s="1633"/>
      <c r="H956" s="1634"/>
      <c r="I956" s="1338"/>
      <c r="J956" s="1168"/>
      <c r="K956" s="1635"/>
      <c r="L956" s="1636"/>
      <c r="N956" s="585"/>
      <c r="O956" s="1637"/>
      <c r="Q956" s="585"/>
      <c r="R956" s="224"/>
      <c r="S956" s="970"/>
    </row>
    <row r="957" ht="15.75" customHeight="1">
      <c r="D957" s="314"/>
      <c r="E957" s="314"/>
      <c r="F957" s="314"/>
      <c r="G957" s="1633"/>
      <c r="H957" s="1634"/>
      <c r="I957" s="1338"/>
      <c r="J957" s="1168"/>
      <c r="K957" s="1635"/>
      <c r="L957" s="1636"/>
      <c r="N957" s="585"/>
      <c r="O957" s="1637"/>
      <c r="Q957" s="585"/>
      <c r="R957" s="224"/>
      <c r="S957" s="970"/>
    </row>
    <row r="958" ht="15.75" customHeight="1">
      <c r="D958" s="314"/>
      <c r="E958" s="314"/>
      <c r="F958" s="314"/>
      <c r="G958" s="1633"/>
      <c r="H958" s="1634"/>
      <c r="I958" s="1338"/>
      <c r="J958" s="1168"/>
      <c r="K958" s="1635"/>
      <c r="L958" s="1636"/>
      <c r="N958" s="585"/>
      <c r="O958" s="1637"/>
      <c r="Q958" s="585"/>
      <c r="R958" s="224"/>
      <c r="S958" s="970"/>
    </row>
    <row r="959" ht="15.75" customHeight="1">
      <c r="D959" s="314"/>
      <c r="E959" s="314"/>
      <c r="F959" s="314"/>
      <c r="G959" s="1633"/>
      <c r="H959" s="1634"/>
      <c r="I959" s="1338"/>
      <c r="J959" s="1168"/>
      <c r="K959" s="1635"/>
      <c r="L959" s="1636"/>
      <c r="N959" s="585"/>
      <c r="O959" s="1637"/>
      <c r="Q959" s="585"/>
      <c r="R959" s="224"/>
      <c r="S959" s="970"/>
    </row>
    <row r="960" ht="15.75" customHeight="1">
      <c r="D960" s="314"/>
      <c r="E960" s="314"/>
      <c r="F960" s="314"/>
      <c r="G960" s="1633"/>
      <c r="H960" s="1634"/>
      <c r="I960" s="1338"/>
      <c r="J960" s="1168"/>
      <c r="K960" s="1635"/>
      <c r="L960" s="1636"/>
      <c r="N960" s="585"/>
      <c r="O960" s="1637"/>
      <c r="Q960" s="585"/>
      <c r="R960" s="224"/>
      <c r="S960" s="970"/>
    </row>
    <row r="961" ht="15.75" customHeight="1">
      <c r="D961" s="314"/>
      <c r="E961" s="314"/>
      <c r="F961" s="314"/>
      <c r="G961" s="1633"/>
      <c r="H961" s="1634"/>
      <c r="I961" s="1338"/>
      <c r="J961" s="1168"/>
      <c r="K961" s="1635"/>
      <c r="L961" s="1636"/>
      <c r="N961" s="585"/>
      <c r="O961" s="1637"/>
      <c r="Q961" s="585"/>
      <c r="R961" s="224"/>
      <c r="S961" s="970"/>
    </row>
    <row r="962" ht="15.75" customHeight="1">
      <c r="D962" s="314"/>
      <c r="E962" s="314"/>
      <c r="F962" s="314"/>
      <c r="G962" s="1633"/>
      <c r="H962" s="1634"/>
      <c r="I962" s="1338"/>
      <c r="J962" s="1168"/>
      <c r="K962" s="1635"/>
      <c r="L962" s="1636"/>
      <c r="N962" s="585"/>
      <c r="O962" s="1637"/>
      <c r="Q962" s="585"/>
      <c r="R962" s="224"/>
      <c r="S962" s="970"/>
    </row>
    <row r="963" ht="15.75" customHeight="1">
      <c r="D963" s="314"/>
      <c r="E963" s="314"/>
      <c r="F963" s="314"/>
      <c r="G963" s="1633"/>
      <c r="H963" s="1634"/>
      <c r="I963" s="1338"/>
      <c r="J963" s="1168"/>
      <c r="K963" s="1635"/>
      <c r="L963" s="1636"/>
      <c r="N963" s="585"/>
      <c r="O963" s="1637"/>
      <c r="Q963" s="585"/>
      <c r="R963" s="224"/>
      <c r="S963" s="970"/>
    </row>
    <row r="964" ht="15.75" customHeight="1">
      <c r="D964" s="314"/>
      <c r="E964" s="314"/>
      <c r="F964" s="314"/>
      <c r="G964" s="1633"/>
      <c r="H964" s="1634"/>
      <c r="I964" s="1338"/>
      <c r="J964" s="1168"/>
      <c r="K964" s="1635"/>
      <c r="L964" s="1636"/>
      <c r="N964" s="585"/>
      <c r="O964" s="1637"/>
      <c r="Q964" s="585"/>
      <c r="R964" s="224"/>
      <c r="S964" s="970"/>
    </row>
    <row r="965" ht="15.75" customHeight="1">
      <c r="D965" s="314"/>
      <c r="E965" s="314"/>
      <c r="F965" s="314"/>
      <c r="G965" s="1633"/>
      <c r="H965" s="1634"/>
      <c r="I965" s="1338"/>
      <c r="J965" s="1168"/>
      <c r="K965" s="1635"/>
      <c r="L965" s="1636"/>
      <c r="N965" s="585"/>
      <c r="O965" s="1637"/>
      <c r="Q965" s="585"/>
      <c r="R965" s="224"/>
      <c r="S965" s="970"/>
    </row>
    <row r="966" ht="15.75" customHeight="1">
      <c r="D966" s="314"/>
      <c r="E966" s="314"/>
      <c r="F966" s="314"/>
      <c r="G966" s="1633"/>
      <c r="H966" s="1634"/>
      <c r="I966" s="1338"/>
      <c r="J966" s="1168"/>
      <c r="K966" s="1635"/>
      <c r="L966" s="1636"/>
      <c r="N966" s="585"/>
      <c r="O966" s="1637"/>
      <c r="Q966" s="585"/>
      <c r="R966" s="224"/>
      <c r="S966" s="970"/>
    </row>
    <row r="967" ht="15.75" customHeight="1">
      <c r="D967" s="314"/>
      <c r="E967" s="314"/>
      <c r="F967" s="314"/>
      <c r="G967" s="1633"/>
      <c r="H967" s="1634"/>
      <c r="I967" s="1338"/>
      <c r="J967" s="1168"/>
      <c r="K967" s="1635"/>
      <c r="L967" s="1636"/>
      <c r="N967" s="585"/>
      <c r="O967" s="1637"/>
      <c r="Q967" s="585"/>
      <c r="R967" s="224"/>
      <c r="S967" s="970"/>
    </row>
    <row r="968" ht="15.75" customHeight="1">
      <c r="D968" s="314"/>
      <c r="E968" s="314"/>
      <c r="F968" s="314"/>
      <c r="G968" s="1633"/>
      <c r="H968" s="1634"/>
      <c r="I968" s="1338"/>
      <c r="J968" s="1168"/>
      <c r="K968" s="1635"/>
      <c r="L968" s="1636"/>
      <c r="N968" s="585"/>
      <c r="O968" s="1637"/>
      <c r="Q968" s="585"/>
      <c r="R968" s="224"/>
      <c r="S968" s="970"/>
    </row>
    <row r="969" ht="15.75" customHeight="1">
      <c r="D969" s="314"/>
      <c r="E969" s="314"/>
      <c r="F969" s="314"/>
      <c r="G969" s="1633"/>
      <c r="H969" s="1634"/>
      <c r="I969" s="1338"/>
      <c r="J969" s="1168"/>
      <c r="K969" s="1635"/>
      <c r="L969" s="1636"/>
      <c r="N969" s="585"/>
      <c r="O969" s="1637"/>
      <c r="Q969" s="585"/>
      <c r="R969" s="224"/>
      <c r="S969" s="970"/>
    </row>
    <row r="970" ht="15.75" customHeight="1">
      <c r="D970" s="314"/>
      <c r="E970" s="314"/>
      <c r="F970" s="314"/>
      <c r="G970" s="1633"/>
      <c r="H970" s="1634"/>
      <c r="I970" s="1338"/>
      <c r="J970" s="1168"/>
      <c r="K970" s="1635"/>
      <c r="L970" s="1636"/>
      <c r="N970" s="585"/>
      <c r="O970" s="1637"/>
      <c r="Q970" s="585"/>
      <c r="R970" s="224"/>
      <c r="S970" s="970"/>
    </row>
    <row r="971" ht="15.75" customHeight="1">
      <c r="D971" s="314"/>
      <c r="E971" s="314"/>
      <c r="F971" s="314"/>
      <c r="G971" s="1633"/>
      <c r="H971" s="1634"/>
      <c r="I971" s="1338"/>
      <c r="J971" s="1168"/>
      <c r="K971" s="1635"/>
      <c r="L971" s="1636"/>
      <c r="N971" s="585"/>
      <c r="O971" s="1637"/>
      <c r="Q971" s="585"/>
      <c r="R971" s="224"/>
      <c r="S971" s="970"/>
    </row>
    <row r="972" ht="15.75" customHeight="1">
      <c r="D972" s="314"/>
      <c r="E972" s="314"/>
      <c r="F972" s="314"/>
      <c r="G972" s="1633"/>
      <c r="H972" s="1634"/>
      <c r="I972" s="1338"/>
      <c r="J972" s="1168"/>
      <c r="K972" s="1635"/>
      <c r="L972" s="1636"/>
      <c r="N972" s="585"/>
      <c r="O972" s="1637"/>
      <c r="Q972" s="585"/>
      <c r="R972" s="224"/>
      <c r="S972" s="970"/>
    </row>
    <row r="973" ht="15.75" customHeight="1">
      <c r="D973" s="314"/>
      <c r="E973" s="314"/>
      <c r="F973" s="314"/>
      <c r="G973" s="1633"/>
      <c r="H973" s="1634"/>
      <c r="I973" s="1338"/>
      <c r="J973" s="1168"/>
      <c r="K973" s="1635"/>
      <c r="L973" s="1636"/>
      <c r="N973" s="585"/>
      <c r="O973" s="1637"/>
      <c r="Q973" s="585"/>
      <c r="R973" s="224"/>
      <c r="S973" s="970"/>
    </row>
    <row r="974" ht="15.75" customHeight="1">
      <c r="D974" s="314"/>
      <c r="E974" s="314"/>
      <c r="F974" s="314"/>
      <c r="G974" s="1633"/>
      <c r="H974" s="1634"/>
      <c r="I974" s="1338"/>
      <c r="J974" s="1168"/>
      <c r="K974" s="1635"/>
      <c r="L974" s="1636"/>
      <c r="N974" s="585"/>
      <c r="O974" s="1637"/>
      <c r="Q974" s="585"/>
      <c r="R974" s="224"/>
      <c r="S974" s="970"/>
    </row>
    <row r="975" ht="15.75" customHeight="1">
      <c r="D975" s="314"/>
      <c r="E975" s="314"/>
      <c r="F975" s="314"/>
      <c r="G975" s="1633"/>
      <c r="H975" s="1634"/>
      <c r="I975" s="1338"/>
      <c r="J975" s="1168"/>
      <c r="K975" s="1635"/>
      <c r="L975" s="1636"/>
      <c r="N975" s="585"/>
      <c r="O975" s="1637"/>
      <c r="Q975" s="585"/>
      <c r="R975" s="224"/>
      <c r="S975" s="970"/>
    </row>
    <row r="976" ht="15.75" customHeight="1">
      <c r="D976" s="314"/>
      <c r="E976" s="314"/>
      <c r="F976" s="314"/>
      <c r="G976" s="1633"/>
      <c r="H976" s="1634"/>
      <c r="I976" s="1338"/>
      <c r="J976" s="1168"/>
      <c r="K976" s="1635"/>
      <c r="L976" s="1636"/>
      <c r="N976" s="585"/>
      <c r="O976" s="1637"/>
      <c r="Q976" s="585"/>
      <c r="R976" s="224"/>
      <c r="S976" s="970"/>
    </row>
    <row r="977" ht="15.75" customHeight="1">
      <c r="D977" s="314"/>
      <c r="E977" s="314"/>
      <c r="F977" s="314"/>
      <c r="G977" s="1633"/>
      <c r="H977" s="1634"/>
      <c r="I977" s="1338"/>
      <c r="J977" s="1168"/>
      <c r="K977" s="1635"/>
      <c r="L977" s="1636"/>
      <c r="N977" s="585"/>
      <c r="O977" s="1637"/>
      <c r="Q977" s="585"/>
      <c r="R977" s="224"/>
      <c r="S977" s="970"/>
    </row>
    <row r="978" ht="15.75" customHeight="1">
      <c r="D978" s="314"/>
      <c r="E978" s="314"/>
      <c r="F978" s="314"/>
      <c r="G978" s="1633"/>
      <c r="H978" s="1634"/>
      <c r="I978" s="1338"/>
      <c r="J978" s="1168"/>
      <c r="K978" s="1635"/>
      <c r="L978" s="1636"/>
      <c r="N978" s="585"/>
      <c r="O978" s="1637"/>
      <c r="Q978" s="585"/>
      <c r="R978" s="224"/>
      <c r="S978" s="970"/>
    </row>
    <row r="979" ht="15.75" customHeight="1">
      <c r="D979" s="314"/>
      <c r="E979" s="314"/>
      <c r="F979" s="314"/>
      <c r="G979" s="1633"/>
      <c r="H979" s="1634"/>
      <c r="I979" s="1338"/>
      <c r="J979" s="1168"/>
      <c r="K979" s="1635"/>
      <c r="L979" s="1636"/>
      <c r="N979" s="585"/>
      <c r="O979" s="1637"/>
      <c r="Q979" s="585"/>
      <c r="R979" s="224"/>
      <c r="S979" s="970"/>
    </row>
    <row r="980" ht="15.75" customHeight="1">
      <c r="D980" s="314"/>
      <c r="E980" s="314"/>
      <c r="F980" s="314"/>
      <c r="G980" s="1633"/>
      <c r="H980" s="1634"/>
      <c r="I980" s="1338"/>
      <c r="J980" s="1168"/>
      <c r="K980" s="1635"/>
      <c r="L980" s="1636"/>
      <c r="N980" s="585"/>
      <c r="O980" s="1637"/>
      <c r="Q980" s="585"/>
      <c r="R980" s="224"/>
      <c r="S980" s="970"/>
    </row>
    <row r="981" ht="15.75" customHeight="1">
      <c r="D981" s="314"/>
      <c r="E981" s="314"/>
      <c r="F981" s="314"/>
      <c r="G981" s="1633"/>
      <c r="H981" s="1634"/>
      <c r="I981" s="1338"/>
      <c r="J981" s="1168"/>
      <c r="K981" s="1635"/>
      <c r="L981" s="1636"/>
      <c r="N981" s="585"/>
      <c r="O981" s="1637"/>
      <c r="Q981" s="585"/>
      <c r="R981" s="224"/>
      <c r="S981" s="970"/>
    </row>
    <row r="982" ht="15.75" customHeight="1">
      <c r="D982" s="314"/>
      <c r="E982" s="314"/>
      <c r="F982" s="314"/>
      <c r="G982" s="1633"/>
      <c r="H982" s="1634"/>
      <c r="I982" s="1338"/>
      <c r="J982" s="1168"/>
      <c r="K982" s="1635"/>
      <c r="L982" s="1636"/>
      <c r="N982" s="585"/>
      <c r="O982" s="1637"/>
      <c r="Q982" s="585"/>
      <c r="R982" s="224"/>
      <c r="S982" s="970"/>
    </row>
    <row r="983" ht="15.75" customHeight="1">
      <c r="D983" s="314"/>
      <c r="E983" s="314"/>
      <c r="F983" s="314"/>
      <c r="G983" s="1633"/>
      <c r="H983" s="1634"/>
      <c r="I983" s="1338"/>
      <c r="J983" s="1168"/>
      <c r="K983" s="1635"/>
      <c r="L983" s="1636"/>
      <c r="N983" s="585"/>
      <c r="O983" s="1637"/>
      <c r="Q983" s="585"/>
      <c r="R983" s="224"/>
      <c r="S983" s="970"/>
    </row>
    <row r="984" ht="15.75" customHeight="1">
      <c r="D984" s="314"/>
      <c r="E984" s="314"/>
      <c r="F984" s="314"/>
      <c r="G984" s="1633"/>
      <c r="H984" s="1634"/>
      <c r="I984" s="1338"/>
      <c r="J984" s="1168"/>
      <c r="K984" s="1635"/>
      <c r="L984" s="1636"/>
      <c r="N984" s="585"/>
      <c r="O984" s="1637"/>
      <c r="Q984" s="585"/>
      <c r="R984" s="224"/>
      <c r="S984" s="970"/>
    </row>
    <row r="985" ht="15.75" customHeight="1">
      <c r="D985" s="314"/>
      <c r="E985" s="314"/>
      <c r="F985" s="314"/>
      <c r="G985" s="1633"/>
      <c r="H985" s="1634"/>
      <c r="I985" s="1338"/>
      <c r="J985" s="1168"/>
      <c r="K985" s="1635"/>
      <c r="L985" s="1636"/>
      <c r="N985" s="585"/>
      <c r="O985" s="1637"/>
      <c r="Q985" s="585"/>
      <c r="R985" s="224"/>
      <c r="S985" s="970"/>
    </row>
    <row r="986" ht="15.75" customHeight="1">
      <c r="D986" s="314"/>
      <c r="E986" s="314"/>
      <c r="F986" s="314"/>
      <c r="G986" s="1633"/>
      <c r="H986" s="1634"/>
      <c r="I986" s="1338"/>
      <c r="J986" s="1168"/>
      <c r="K986" s="1635"/>
      <c r="L986" s="1636"/>
      <c r="N986" s="585"/>
      <c r="O986" s="1637"/>
      <c r="Q986" s="585"/>
      <c r="R986" s="224"/>
      <c r="S986" s="970"/>
    </row>
    <row r="987" ht="15.75" customHeight="1">
      <c r="D987" s="314"/>
      <c r="E987" s="314"/>
      <c r="F987" s="314"/>
      <c r="G987" s="1633"/>
      <c r="H987" s="1634"/>
      <c r="I987" s="1338"/>
      <c r="J987" s="1168"/>
      <c r="K987" s="1635"/>
      <c r="L987" s="1636"/>
      <c r="N987" s="585"/>
      <c r="O987" s="1637"/>
      <c r="Q987" s="585"/>
      <c r="R987" s="224"/>
      <c r="S987" s="970"/>
    </row>
    <row r="988" ht="15.75" customHeight="1">
      <c r="D988" s="314"/>
      <c r="E988" s="314"/>
      <c r="F988" s="314"/>
      <c r="G988" s="1633"/>
      <c r="H988" s="1634"/>
      <c r="I988" s="1338"/>
      <c r="J988" s="1168"/>
      <c r="K988" s="1635"/>
      <c r="L988" s="1636"/>
      <c r="N988" s="585"/>
      <c r="O988" s="1637"/>
      <c r="Q988" s="585"/>
      <c r="R988" s="224"/>
      <c r="S988" s="970"/>
    </row>
    <row r="989" ht="15.75" customHeight="1">
      <c r="D989" s="314"/>
      <c r="E989" s="314"/>
      <c r="F989" s="314"/>
      <c r="G989" s="1633"/>
      <c r="H989" s="1634"/>
      <c r="I989" s="1338"/>
      <c r="J989" s="1168"/>
      <c r="K989" s="1635"/>
      <c r="L989" s="1636"/>
      <c r="N989" s="585"/>
      <c r="O989" s="1637"/>
      <c r="Q989" s="585"/>
      <c r="R989" s="224"/>
      <c r="S989" s="970"/>
    </row>
    <row r="990" ht="15.75" customHeight="1">
      <c r="D990" s="314"/>
      <c r="E990" s="314"/>
      <c r="F990" s="314"/>
      <c r="G990" s="1633"/>
      <c r="H990" s="1634"/>
      <c r="I990" s="1338"/>
      <c r="J990" s="1168"/>
      <c r="K990" s="1635"/>
      <c r="L990" s="1636"/>
      <c r="N990" s="585"/>
      <c r="O990" s="1637"/>
      <c r="Q990" s="585"/>
      <c r="R990" s="224"/>
      <c r="S990" s="970"/>
    </row>
    <row r="991" ht="15.75" customHeight="1">
      <c r="D991" s="314"/>
      <c r="E991" s="314"/>
      <c r="F991" s="314"/>
      <c r="G991" s="1633"/>
      <c r="H991" s="1634"/>
      <c r="I991" s="1338"/>
      <c r="J991" s="1168"/>
      <c r="K991" s="1635"/>
      <c r="L991" s="1636"/>
      <c r="N991" s="585"/>
      <c r="O991" s="1637"/>
      <c r="Q991" s="585"/>
      <c r="R991" s="224"/>
      <c r="S991" s="970"/>
    </row>
    <row r="992" ht="15.75" customHeight="1">
      <c r="D992" s="314"/>
      <c r="E992" s="314"/>
      <c r="F992" s="314"/>
      <c r="G992" s="1633"/>
      <c r="H992" s="1634"/>
      <c r="I992" s="1338"/>
      <c r="J992" s="1168"/>
      <c r="K992" s="1635"/>
      <c r="L992" s="1636"/>
      <c r="N992" s="585"/>
      <c r="O992" s="1637"/>
      <c r="Q992" s="585"/>
      <c r="R992" s="224"/>
      <c r="S992" s="970"/>
    </row>
    <row r="993" ht="15.75" customHeight="1">
      <c r="D993" s="314"/>
      <c r="E993" s="314"/>
      <c r="F993" s="314"/>
      <c r="G993" s="1633"/>
      <c r="H993" s="1634"/>
      <c r="I993" s="1338"/>
      <c r="J993" s="1168"/>
      <c r="K993" s="1635"/>
      <c r="L993" s="1636"/>
      <c r="N993" s="585"/>
      <c r="O993" s="1637"/>
      <c r="Q993" s="585"/>
      <c r="R993" s="224"/>
      <c r="S993" s="970"/>
    </row>
    <row r="994" ht="15.75" customHeight="1">
      <c r="D994" s="314"/>
      <c r="E994" s="314"/>
      <c r="F994" s="314"/>
      <c r="G994" s="1633"/>
      <c r="H994" s="1634"/>
      <c r="I994" s="1338"/>
      <c r="J994" s="1168"/>
      <c r="K994" s="1635"/>
      <c r="L994" s="1636"/>
      <c r="N994" s="585"/>
      <c r="O994" s="1637"/>
      <c r="Q994" s="585"/>
      <c r="R994" s="224"/>
      <c r="S994" s="970"/>
    </row>
    <row r="995" ht="15.75" customHeight="1">
      <c r="D995" s="314"/>
      <c r="E995" s="314"/>
      <c r="F995" s="314"/>
      <c r="G995" s="1633"/>
      <c r="H995" s="1634"/>
      <c r="I995" s="1338"/>
      <c r="J995" s="1168"/>
      <c r="K995" s="1635"/>
      <c r="L995" s="1636"/>
      <c r="N995" s="585"/>
      <c r="O995" s="1637"/>
      <c r="Q995" s="585"/>
      <c r="R995" s="224"/>
      <c r="S995" s="970"/>
    </row>
    <row r="996" ht="15.75" customHeight="1">
      <c r="D996" s="314"/>
      <c r="E996" s="314"/>
      <c r="F996" s="314"/>
      <c r="G996" s="1633"/>
      <c r="H996" s="1634"/>
      <c r="I996" s="1338"/>
      <c r="J996" s="1168"/>
      <c r="K996" s="1635"/>
      <c r="L996" s="1636"/>
      <c r="N996" s="585"/>
      <c r="O996" s="1637"/>
      <c r="Q996" s="585"/>
      <c r="R996" s="224"/>
      <c r="S996" s="970"/>
    </row>
    <row r="997" ht="15.75" customHeight="1">
      <c r="D997" s="314"/>
      <c r="E997" s="314"/>
      <c r="F997" s="314"/>
      <c r="G997" s="1633"/>
      <c r="H997" s="1634"/>
      <c r="I997" s="1338"/>
      <c r="J997" s="1168"/>
      <c r="K997" s="1635"/>
      <c r="L997" s="1636"/>
      <c r="N997" s="585"/>
      <c r="O997" s="1637"/>
      <c r="Q997" s="585"/>
      <c r="R997" s="224"/>
      <c r="S997" s="970"/>
    </row>
    <row r="998" ht="15.75" customHeight="1">
      <c r="D998" s="314"/>
      <c r="E998" s="314"/>
      <c r="F998" s="314"/>
      <c r="G998" s="1633"/>
      <c r="H998" s="1634"/>
      <c r="I998" s="1338"/>
      <c r="J998" s="1168"/>
      <c r="K998" s="1635"/>
      <c r="L998" s="1636"/>
      <c r="N998" s="585"/>
      <c r="O998" s="1637"/>
      <c r="Q998" s="585"/>
      <c r="R998" s="224"/>
      <c r="S998" s="970"/>
    </row>
    <row r="999" ht="15.75" customHeight="1">
      <c r="D999" s="314"/>
      <c r="E999" s="314"/>
      <c r="F999" s="314"/>
      <c r="G999" s="1633"/>
      <c r="H999" s="1634"/>
      <c r="I999" s="1338"/>
      <c r="J999" s="1168"/>
      <c r="K999" s="1635"/>
      <c r="L999" s="1636"/>
      <c r="N999" s="585"/>
      <c r="O999" s="1637"/>
      <c r="Q999" s="585"/>
      <c r="R999" s="224"/>
      <c r="S999" s="970"/>
    </row>
    <row r="1000" ht="15.75" customHeight="1">
      <c r="D1000" s="314"/>
      <c r="E1000" s="314"/>
      <c r="F1000" s="314"/>
      <c r="G1000" s="1633"/>
      <c r="H1000" s="1634"/>
      <c r="I1000" s="1338"/>
      <c r="J1000" s="1168"/>
      <c r="K1000" s="1635"/>
      <c r="L1000" s="1636"/>
      <c r="N1000" s="585"/>
      <c r="O1000" s="1637"/>
      <c r="Q1000" s="585"/>
      <c r="R1000" s="224"/>
      <c r="S1000" s="970"/>
    </row>
    <row r="1001" ht="15.75" customHeight="1">
      <c r="D1001" s="314"/>
      <c r="E1001" s="314"/>
      <c r="F1001" s="314"/>
      <c r="G1001" s="1633"/>
      <c r="H1001" s="1634"/>
      <c r="I1001" s="1338"/>
      <c r="J1001" s="1168"/>
      <c r="K1001" s="1635"/>
      <c r="L1001" s="1636"/>
      <c r="N1001" s="585"/>
      <c r="O1001" s="1637"/>
      <c r="Q1001" s="585"/>
      <c r="R1001" s="224"/>
      <c r="S1001" s="970"/>
    </row>
    <row r="1002" ht="15.75" customHeight="1">
      <c r="D1002" s="314"/>
      <c r="E1002" s="314"/>
      <c r="F1002" s="314"/>
      <c r="G1002" s="1633"/>
      <c r="H1002" s="1634"/>
      <c r="I1002" s="1338"/>
      <c r="J1002" s="1168"/>
      <c r="K1002" s="1635"/>
      <c r="L1002" s="1636"/>
      <c r="N1002" s="585"/>
      <c r="O1002" s="1637"/>
      <c r="Q1002" s="585"/>
      <c r="R1002" s="224"/>
      <c r="S1002" s="970"/>
    </row>
    <row r="1003" ht="15.75" customHeight="1">
      <c r="D1003" s="314"/>
      <c r="E1003" s="314"/>
      <c r="F1003" s="314"/>
      <c r="G1003" s="1633"/>
      <c r="H1003" s="1634"/>
      <c r="I1003" s="1338"/>
      <c r="J1003" s="1168"/>
      <c r="K1003" s="1635"/>
      <c r="L1003" s="1636"/>
      <c r="N1003" s="585"/>
      <c r="O1003" s="1637"/>
      <c r="Q1003" s="585"/>
      <c r="R1003" s="224"/>
      <c r="S1003" s="970"/>
    </row>
    <row r="1004" ht="15.75" customHeight="1">
      <c r="D1004" s="314"/>
      <c r="E1004" s="314"/>
      <c r="F1004" s="314"/>
      <c r="G1004" s="1633"/>
      <c r="H1004" s="1634"/>
      <c r="I1004" s="1338"/>
      <c r="J1004" s="1168"/>
      <c r="K1004" s="1635"/>
      <c r="L1004" s="1636"/>
      <c r="N1004" s="585"/>
      <c r="O1004" s="1637"/>
      <c r="Q1004" s="585"/>
      <c r="R1004" s="224"/>
      <c r="S1004" s="970"/>
    </row>
    <row r="1005" ht="15.75" customHeight="1">
      <c r="D1005" s="314"/>
      <c r="E1005" s="314"/>
      <c r="F1005" s="314"/>
      <c r="G1005" s="1633"/>
      <c r="H1005" s="1634"/>
      <c r="I1005" s="1338"/>
      <c r="J1005" s="1168"/>
      <c r="K1005" s="1635"/>
      <c r="L1005" s="1636"/>
      <c r="N1005" s="585"/>
      <c r="O1005" s="1637"/>
      <c r="Q1005" s="585"/>
      <c r="R1005" s="224"/>
      <c r="S1005" s="970"/>
    </row>
    <row r="1006" ht="15.75" customHeight="1">
      <c r="D1006" s="314"/>
      <c r="E1006" s="314"/>
      <c r="F1006" s="314"/>
      <c r="G1006" s="1633"/>
      <c r="H1006" s="1634"/>
      <c r="I1006" s="1338"/>
      <c r="J1006" s="1168"/>
      <c r="K1006" s="1635"/>
      <c r="L1006" s="1636"/>
      <c r="N1006" s="585"/>
      <c r="O1006" s="1637"/>
      <c r="Q1006" s="585"/>
      <c r="R1006" s="224"/>
      <c r="S1006" s="970"/>
    </row>
    <row r="1007" ht="15.75" customHeight="1">
      <c r="D1007" s="314"/>
      <c r="E1007" s="314"/>
      <c r="F1007" s="314"/>
      <c r="G1007" s="1633"/>
      <c r="H1007" s="1634"/>
      <c r="I1007" s="1338"/>
      <c r="J1007" s="1168"/>
      <c r="K1007" s="1635"/>
      <c r="L1007" s="1636"/>
      <c r="N1007" s="585"/>
      <c r="O1007" s="1637"/>
      <c r="Q1007" s="585"/>
      <c r="R1007" s="224"/>
      <c r="S1007" s="970"/>
    </row>
    <row r="1008" ht="15.75" customHeight="1">
      <c r="D1008" s="314"/>
      <c r="E1008" s="314"/>
      <c r="F1008" s="314"/>
      <c r="G1008" s="1633"/>
      <c r="H1008" s="1634"/>
      <c r="I1008" s="1338"/>
      <c r="J1008" s="1168"/>
      <c r="K1008" s="1635"/>
      <c r="L1008" s="1636"/>
      <c r="N1008" s="585"/>
      <c r="O1008" s="1637"/>
      <c r="Q1008" s="585"/>
      <c r="R1008" s="224"/>
      <c r="S1008" s="970"/>
    </row>
    <row r="1009" ht="15.75" customHeight="1">
      <c r="D1009" s="314"/>
      <c r="E1009" s="314"/>
      <c r="F1009" s="314"/>
      <c r="G1009" s="1633"/>
      <c r="H1009" s="1634"/>
      <c r="I1009" s="1338"/>
      <c r="J1009" s="1168"/>
      <c r="K1009" s="1635"/>
      <c r="L1009" s="1636"/>
      <c r="N1009" s="585"/>
      <c r="O1009" s="1637"/>
      <c r="Q1009" s="585"/>
      <c r="R1009" s="224"/>
      <c r="S1009" s="970"/>
    </row>
    <row r="1010" ht="15.75" customHeight="1">
      <c r="D1010" s="314"/>
      <c r="E1010" s="314"/>
      <c r="F1010" s="314"/>
      <c r="G1010" s="1633"/>
      <c r="H1010" s="1634"/>
      <c r="I1010" s="1338"/>
      <c r="J1010" s="1168"/>
      <c r="K1010" s="1635"/>
      <c r="L1010" s="1636"/>
      <c r="N1010" s="585"/>
      <c r="O1010" s="1637"/>
      <c r="Q1010" s="585"/>
      <c r="R1010" s="224"/>
      <c r="S1010" s="970"/>
    </row>
    <row r="1011" ht="15.75" customHeight="1">
      <c r="D1011" s="314"/>
      <c r="E1011" s="314"/>
      <c r="F1011" s="314"/>
      <c r="G1011" s="1633"/>
      <c r="H1011" s="1634"/>
      <c r="I1011" s="1338"/>
      <c r="J1011" s="1168"/>
      <c r="K1011" s="1635"/>
      <c r="L1011" s="1636"/>
      <c r="N1011" s="585"/>
      <c r="O1011" s="1637"/>
      <c r="Q1011" s="585"/>
      <c r="R1011" s="224"/>
      <c r="S1011" s="970"/>
    </row>
    <row r="1012" ht="15.75" customHeight="1">
      <c r="D1012" s="314"/>
      <c r="E1012" s="314"/>
      <c r="F1012" s="314"/>
      <c r="G1012" s="1633"/>
      <c r="H1012" s="1634"/>
      <c r="I1012" s="1338"/>
      <c r="J1012" s="1168"/>
      <c r="K1012" s="1635"/>
      <c r="L1012" s="1636"/>
      <c r="N1012" s="585"/>
      <c r="O1012" s="1637"/>
      <c r="Q1012" s="585"/>
      <c r="R1012" s="224"/>
      <c r="S1012" s="970"/>
    </row>
    <row r="1013" ht="15.75" customHeight="1">
      <c r="D1013" s="314"/>
      <c r="E1013" s="314"/>
      <c r="F1013" s="314"/>
      <c r="G1013" s="1633"/>
      <c r="H1013" s="1634"/>
      <c r="I1013" s="1338"/>
      <c r="J1013" s="1168"/>
      <c r="K1013" s="1635"/>
      <c r="L1013" s="1636"/>
      <c r="N1013" s="585"/>
      <c r="O1013" s="1637"/>
      <c r="Q1013" s="585"/>
      <c r="R1013" s="224"/>
      <c r="S1013" s="970"/>
    </row>
    <row r="1014" ht="15.75" customHeight="1">
      <c r="D1014" s="314"/>
      <c r="E1014" s="314"/>
      <c r="F1014" s="314"/>
      <c r="G1014" s="1633"/>
      <c r="H1014" s="1634"/>
      <c r="I1014" s="1338"/>
      <c r="J1014" s="1168"/>
      <c r="K1014" s="1635"/>
      <c r="L1014" s="1636"/>
      <c r="N1014" s="585"/>
      <c r="O1014" s="1637"/>
      <c r="Q1014" s="585"/>
      <c r="R1014" s="224"/>
      <c r="S1014" s="970"/>
    </row>
    <row r="1015" ht="15.75" customHeight="1">
      <c r="D1015" s="314"/>
      <c r="E1015" s="314"/>
      <c r="F1015" s="314"/>
      <c r="G1015" s="1633"/>
      <c r="H1015" s="1634"/>
      <c r="I1015" s="1338"/>
      <c r="J1015" s="1168"/>
      <c r="K1015" s="1635"/>
      <c r="L1015" s="1636"/>
      <c r="N1015" s="585"/>
      <c r="O1015" s="1637"/>
      <c r="Q1015" s="585"/>
      <c r="R1015" s="224"/>
      <c r="S1015" s="970"/>
    </row>
    <row r="1016" ht="15.75" customHeight="1">
      <c r="D1016" s="314"/>
      <c r="E1016" s="314"/>
      <c r="F1016" s="314"/>
      <c r="G1016" s="1633"/>
      <c r="H1016" s="1634"/>
      <c r="I1016" s="1338"/>
      <c r="J1016" s="1168"/>
      <c r="K1016" s="1635"/>
      <c r="L1016" s="1636"/>
      <c r="N1016" s="585"/>
      <c r="O1016" s="1637"/>
      <c r="Q1016" s="585"/>
      <c r="R1016" s="224"/>
      <c r="S1016" s="970"/>
    </row>
    <row r="1017" ht="15.75" customHeight="1">
      <c r="D1017" s="314"/>
      <c r="E1017" s="314"/>
      <c r="F1017" s="314"/>
      <c r="G1017" s="1633"/>
      <c r="H1017" s="1634"/>
      <c r="I1017" s="1338"/>
      <c r="J1017" s="1168"/>
      <c r="K1017" s="1635"/>
      <c r="L1017" s="1636"/>
      <c r="N1017" s="585"/>
      <c r="O1017" s="1637"/>
      <c r="Q1017" s="585"/>
      <c r="R1017" s="224"/>
      <c r="S1017" s="970"/>
    </row>
    <row r="1018" ht="15.75" customHeight="1">
      <c r="D1018" s="314"/>
      <c r="E1018" s="314"/>
      <c r="F1018" s="314"/>
      <c r="G1018" s="1633"/>
      <c r="H1018" s="1634"/>
      <c r="I1018" s="1338"/>
      <c r="J1018" s="1168"/>
      <c r="K1018" s="1635"/>
      <c r="L1018" s="1636"/>
      <c r="N1018" s="585"/>
      <c r="O1018" s="1637"/>
      <c r="Q1018" s="585"/>
      <c r="R1018" s="224"/>
      <c r="S1018" s="970"/>
    </row>
    <row r="1019" ht="15.75" customHeight="1">
      <c r="D1019" s="314"/>
      <c r="E1019" s="314"/>
      <c r="F1019" s="314"/>
      <c r="G1019" s="1633"/>
      <c r="H1019" s="1634"/>
      <c r="I1019" s="1338"/>
      <c r="J1019" s="1168"/>
      <c r="K1019" s="1635"/>
      <c r="L1019" s="1636"/>
      <c r="N1019" s="585"/>
      <c r="O1019" s="1637"/>
      <c r="Q1019" s="585"/>
      <c r="R1019" s="224"/>
      <c r="S1019" s="970"/>
    </row>
    <row r="1020" ht="15.75" customHeight="1">
      <c r="D1020" s="314"/>
      <c r="E1020" s="314"/>
      <c r="F1020" s="314"/>
      <c r="G1020" s="1633"/>
      <c r="H1020" s="1634"/>
      <c r="I1020" s="1338"/>
      <c r="J1020" s="1168"/>
      <c r="K1020" s="1635"/>
      <c r="L1020" s="1636"/>
      <c r="N1020" s="585"/>
      <c r="O1020" s="1637"/>
      <c r="Q1020" s="585"/>
      <c r="R1020" s="224"/>
      <c r="S1020" s="970"/>
    </row>
    <row r="1021" ht="15.75" customHeight="1">
      <c r="D1021" s="314"/>
      <c r="E1021" s="314"/>
      <c r="F1021" s="314"/>
      <c r="G1021" s="1633"/>
      <c r="H1021" s="1634"/>
      <c r="I1021" s="1338"/>
      <c r="J1021" s="1168"/>
      <c r="K1021" s="1635"/>
      <c r="L1021" s="1636"/>
      <c r="N1021" s="585"/>
      <c r="O1021" s="1637"/>
      <c r="Q1021" s="585"/>
      <c r="R1021" s="224"/>
      <c r="S1021" s="970"/>
    </row>
    <row r="1022" ht="15.75" customHeight="1">
      <c r="D1022" s="314"/>
      <c r="E1022" s="314"/>
      <c r="F1022" s="314"/>
      <c r="G1022" s="1633"/>
      <c r="H1022" s="1634"/>
      <c r="I1022" s="1338"/>
      <c r="J1022" s="1168"/>
      <c r="K1022" s="1635"/>
      <c r="L1022" s="1636"/>
      <c r="N1022" s="585"/>
      <c r="O1022" s="1637"/>
      <c r="Q1022" s="585"/>
      <c r="R1022" s="224"/>
      <c r="S1022" s="970"/>
    </row>
    <row r="1023" ht="15.75" customHeight="1">
      <c r="D1023" s="314"/>
      <c r="E1023" s="314"/>
      <c r="F1023" s="314"/>
      <c r="G1023" s="1633"/>
      <c r="H1023" s="1634"/>
      <c r="I1023" s="1338"/>
      <c r="J1023" s="1168"/>
      <c r="K1023" s="1635"/>
      <c r="L1023" s="1636"/>
      <c r="N1023" s="585"/>
      <c r="O1023" s="1637"/>
      <c r="Q1023" s="585"/>
      <c r="R1023" s="224"/>
      <c r="S1023" s="970"/>
    </row>
    <row r="1024" ht="15.75" customHeight="1">
      <c r="D1024" s="314"/>
      <c r="E1024" s="314"/>
      <c r="F1024" s="314"/>
      <c r="G1024" s="1633"/>
      <c r="H1024" s="1634"/>
      <c r="I1024" s="1338"/>
      <c r="J1024" s="1168"/>
      <c r="K1024" s="1635"/>
      <c r="L1024" s="1636"/>
      <c r="N1024" s="585"/>
      <c r="O1024" s="1637"/>
      <c r="Q1024" s="585"/>
      <c r="R1024" s="224"/>
      <c r="S1024" s="970"/>
    </row>
    <row r="1025" ht="15.75" customHeight="1">
      <c r="D1025" s="314"/>
      <c r="E1025" s="314"/>
      <c r="F1025" s="314"/>
      <c r="G1025" s="1633"/>
      <c r="H1025" s="1634"/>
      <c r="I1025" s="1338"/>
      <c r="J1025" s="1168"/>
      <c r="K1025" s="1635"/>
      <c r="L1025" s="1636"/>
      <c r="N1025" s="585"/>
      <c r="O1025" s="1637"/>
      <c r="Q1025" s="585"/>
      <c r="R1025" s="224"/>
      <c r="S1025" s="970"/>
    </row>
    <row r="1026" ht="15.75" customHeight="1">
      <c r="D1026" s="314"/>
      <c r="E1026" s="314"/>
      <c r="F1026" s="314"/>
      <c r="G1026" s="1633"/>
      <c r="H1026" s="1634"/>
      <c r="I1026" s="1338"/>
      <c r="J1026" s="1168"/>
      <c r="K1026" s="1635"/>
      <c r="L1026" s="1636"/>
      <c r="N1026" s="585"/>
      <c r="O1026" s="1637"/>
      <c r="Q1026" s="585"/>
      <c r="R1026" s="224"/>
      <c r="S1026" s="970"/>
    </row>
    <row r="1027" ht="15.75" customHeight="1">
      <c r="D1027" s="314"/>
      <c r="E1027" s="314"/>
      <c r="F1027" s="314"/>
      <c r="G1027" s="1633"/>
      <c r="H1027" s="1634"/>
      <c r="I1027" s="1338"/>
      <c r="J1027" s="1168"/>
      <c r="K1027" s="1635"/>
      <c r="L1027" s="1636"/>
      <c r="N1027" s="585"/>
      <c r="O1027" s="1637"/>
      <c r="Q1027" s="585"/>
      <c r="R1027" s="224"/>
      <c r="S1027" s="970"/>
    </row>
    <row r="1028" ht="15.75" customHeight="1">
      <c r="D1028" s="314"/>
      <c r="E1028" s="314"/>
      <c r="F1028" s="314"/>
      <c r="G1028" s="1633"/>
      <c r="H1028" s="1634"/>
      <c r="I1028" s="1338"/>
      <c r="J1028" s="1168"/>
      <c r="K1028" s="1635"/>
      <c r="L1028" s="1636"/>
      <c r="N1028" s="585"/>
      <c r="O1028" s="1637"/>
      <c r="Q1028" s="585"/>
      <c r="R1028" s="224"/>
      <c r="S1028" s="970"/>
    </row>
    <row r="1029" ht="15.75" customHeight="1">
      <c r="D1029" s="314"/>
      <c r="E1029" s="314"/>
      <c r="F1029" s="314"/>
      <c r="G1029" s="1633"/>
      <c r="H1029" s="1634"/>
      <c r="I1029" s="1338"/>
      <c r="J1029" s="1168"/>
      <c r="K1029" s="1635"/>
      <c r="L1029" s="1636"/>
      <c r="N1029" s="585"/>
      <c r="O1029" s="1637"/>
      <c r="Q1029" s="585"/>
      <c r="R1029" s="224"/>
      <c r="S1029" s="970"/>
    </row>
    <row r="1030" ht="15.75" customHeight="1">
      <c r="D1030" s="314"/>
      <c r="E1030" s="314"/>
      <c r="F1030" s="314"/>
      <c r="G1030" s="1633"/>
      <c r="H1030" s="1634"/>
      <c r="I1030" s="1338"/>
      <c r="J1030" s="1168"/>
      <c r="K1030" s="1635"/>
      <c r="L1030" s="1636"/>
      <c r="N1030" s="585"/>
      <c r="O1030" s="1637"/>
      <c r="Q1030" s="585"/>
      <c r="R1030" s="224"/>
      <c r="S1030" s="970"/>
    </row>
    <row r="1031" ht="15.75" customHeight="1">
      <c r="D1031" s="314"/>
      <c r="E1031" s="314"/>
      <c r="F1031" s="314"/>
      <c r="G1031" s="1633"/>
      <c r="H1031" s="1634"/>
      <c r="I1031" s="1338"/>
      <c r="J1031" s="1168"/>
      <c r="K1031" s="1635"/>
      <c r="L1031" s="1636"/>
      <c r="N1031" s="585"/>
      <c r="O1031" s="1637"/>
      <c r="Q1031" s="585"/>
      <c r="R1031" s="224"/>
      <c r="S1031" s="970"/>
    </row>
    <row r="1032" ht="15.75" customHeight="1">
      <c r="D1032" s="314"/>
      <c r="E1032" s="314"/>
      <c r="F1032" s="314"/>
      <c r="G1032" s="1633"/>
      <c r="H1032" s="1634"/>
      <c r="I1032" s="1338"/>
      <c r="J1032" s="1168"/>
      <c r="K1032" s="1635"/>
      <c r="L1032" s="1636"/>
      <c r="N1032" s="585"/>
      <c r="O1032" s="1637"/>
      <c r="Q1032" s="585"/>
      <c r="R1032" s="224"/>
      <c r="S1032" s="970"/>
    </row>
    <row r="1033" ht="15.75" customHeight="1">
      <c r="D1033" s="314"/>
      <c r="E1033" s="314"/>
      <c r="F1033" s="314"/>
      <c r="G1033" s="1633"/>
      <c r="H1033" s="1634"/>
      <c r="I1033" s="1338"/>
      <c r="J1033" s="1168"/>
      <c r="K1033" s="1635"/>
      <c r="L1033" s="1636"/>
      <c r="N1033" s="585"/>
      <c r="O1033" s="1637"/>
      <c r="Q1033" s="585"/>
      <c r="R1033" s="224"/>
      <c r="S1033" s="970"/>
    </row>
    <row r="1034" ht="15.75" customHeight="1">
      <c r="D1034" s="314"/>
      <c r="E1034" s="314"/>
      <c r="F1034" s="314"/>
      <c r="G1034" s="1633"/>
      <c r="H1034" s="1634"/>
      <c r="I1034" s="1338"/>
      <c r="J1034" s="1168"/>
      <c r="K1034" s="1635"/>
      <c r="L1034" s="1636"/>
      <c r="N1034" s="585"/>
      <c r="O1034" s="1637"/>
      <c r="Q1034" s="585"/>
      <c r="R1034" s="224"/>
      <c r="S1034" s="970"/>
    </row>
    <row r="1035" ht="15.75" customHeight="1">
      <c r="D1035" s="314"/>
      <c r="E1035" s="314"/>
      <c r="F1035" s="314"/>
      <c r="G1035" s="1633"/>
      <c r="H1035" s="1634"/>
      <c r="I1035" s="1338"/>
      <c r="J1035" s="1168"/>
      <c r="K1035" s="1635"/>
      <c r="L1035" s="1636"/>
      <c r="N1035" s="585"/>
      <c r="O1035" s="1637"/>
      <c r="Q1035" s="585"/>
      <c r="R1035" s="224"/>
      <c r="S1035" s="970"/>
    </row>
    <row r="1036" ht="15.75" customHeight="1">
      <c r="D1036" s="314"/>
      <c r="E1036" s="314"/>
      <c r="F1036" s="314"/>
      <c r="G1036" s="1633"/>
      <c r="H1036" s="1634"/>
      <c r="I1036" s="1338"/>
      <c r="J1036" s="1168"/>
      <c r="K1036" s="1635"/>
      <c r="L1036" s="1636"/>
      <c r="N1036" s="585"/>
      <c r="O1036" s="1637"/>
      <c r="Q1036" s="585"/>
      <c r="R1036" s="224"/>
      <c r="S1036" s="970"/>
    </row>
    <row r="1037" ht="15.75" customHeight="1">
      <c r="D1037" s="314"/>
      <c r="E1037" s="314"/>
      <c r="F1037" s="314"/>
      <c r="G1037" s="1633"/>
      <c r="H1037" s="1634"/>
      <c r="I1037" s="1338"/>
      <c r="J1037" s="1168"/>
      <c r="K1037" s="1635"/>
      <c r="L1037" s="1636"/>
      <c r="N1037" s="585"/>
      <c r="O1037" s="1637"/>
      <c r="Q1037" s="585"/>
      <c r="R1037" s="224"/>
      <c r="S1037" s="970"/>
    </row>
    <row r="1038" ht="15.75" customHeight="1">
      <c r="D1038" s="314"/>
      <c r="E1038" s="314"/>
      <c r="F1038" s="314"/>
      <c r="G1038" s="1633"/>
      <c r="H1038" s="1634"/>
      <c r="I1038" s="1338"/>
      <c r="J1038" s="1168"/>
      <c r="K1038" s="1635"/>
      <c r="L1038" s="1636"/>
      <c r="N1038" s="585"/>
      <c r="O1038" s="1637"/>
      <c r="Q1038" s="585"/>
      <c r="R1038" s="224"/>
      <c r="S1038" s="970"/>
    </row>
    <row r="1039" ht="15.75" customHeight="1">
      <c r="D1039" s="314"/>
      <c r="E1039" s="314"/>
      <c r="F1039" s="314"/>
      <c r="G1039" s="1633"/>
      <c r="H1039" s="1634"/>
      <c r="I1039" s="1338"/>
      <c r="J1039" s="1168"/>
      <c r="K1039" s="1635"/>
      <c r="L1039" s="1636"/>
      <c r="N1039" s="585"/>
      <c r="O1039" s="1637"/>
      <c r="Q1039" s="585"/>
      <c r="R1039" s="224"/>
      <c r="S1039" s="970"/>
    </row>
    <row r="1040" ht="15.75" customHeight="1">
      <c r="D1040" s="314"/>
      <c r="E1040" s="314"/>
      <c r="F1040" s="314"/>
      <c r="G1040" s="1633"/>
      <c r="H1040" s="1634"/>
      <c r="I1040" s="1338"/>
      <c r="J1040" s="1168"/>
      <c r="K1040" s="1635"/>
      <c r="L1040" s="1636"/>
      <c r="N1040" s="585"/>
      <c r="O1040" s="1637"/>
      <c r="Q1040" s="585"/>
      <c r="R1040" s="224"/>
      <c r="S1040" s="970"/>
    </row>
    <row r="1041" ht="15.75" customHeight="1">
      <c r="D1041" s="314"/>
      <c r="E1041" s="314"/>
      <c r="F1041" s="314"/>
      <c r="G1041" s="1633"/>
      <c r="H1041" s="1634"/>
      <c r="I1041" s="1338"/>
      <c r="J1041" s="1168"/>
      <c r="K1041" s="1635"/>
      <c r="L1041" s="1636"/>
      <c r="N1041" s="585"/>
      <c r="O1041" s="1637"/>
      <c r="Q1041" s="585"/>
      <c r="R1041" s="224"/>
      <c r="S1041" s="970"/>
    </row>
    <row r="1042" ht="15.75" customHeight="1">
      <c r="D1042" s="314"/>
      <c r="E1042" s="314"/>
      <c r="F1042" s="314"/>
      <c r="G1042" s="1633"/>
      <c r="H1042" s="1634"/>
      <c r="I1042" s="1338"/>
      <c r="J1042" s="1168"/>
      <c r="K1042" s="1635"/>
      <c r="L1042" s="1636"/>
      <c r="N1042" s="585"/>
      <c r="O1042" s="1637"/>
      <c r="Q1042" s="585"/>
      <c r="R1042" s="224"/>
      <c r="S1042" s="970"/>
    </row>
    <row r="1043" ht="15.75" customHeight="1">
      <c r="D1043" s="314"/>
      <c r="E1043" s="314"/>
      <c r="F1043" s="314"/>
      <c r="G1043" s="1633"/>
      <c r="H1043" s="1634"/>
      <c r="I1043" s="1338"/>
      <c r="J1043" s="1168"/>
      <c r="K1043" s="1635"/>
      <c r="L1043" s="1636"/>
      <c r="N1043" s="585"/>
      <c r="O1043" s="1637"/>
      <c r="Q1043" s="585"/>
      <c r="R1043" s="224"/>
      <c r="S1043" s="970"/>
    </row>
    <row r="1044" ht="15.75" customHeight="1">
      <c r="D1044" s="314"/>
      <c r="E1044" s="314"/>
      <c r="F1044" s="314"/>
      <c r="G1044" s="1633"/>
      <c r="H1044" s="1634"/>
      <c r="I1044" s="1338"/>
      <c r="J1044" s="1168"/>
      <c r="K1044" s="1635"/>
      <c r="L1044" s="1636"/>
      <c r="N1044" s="585"/>
      <c r="O1044" s="1637"/>
      <c r="Q1044" s="585"/>
      <c r="R1044" s="224"/>
      <c r="S1044" s="970"/>
    </row>
    <row r="1045" ht="15.75" customHeight="1">
      <c r="D1045" s="314"/>
      <c r="E1045" s="314"/>
      <c r="F1045" s="314"/>
      <c r="G1045" s="1633"/>
      <c r="H1045" s="1634"/>
      <c r="I1045" s="1338"/>
      <c r="J1045" s="1168"/>
      <c r="K1045" s="1635"/>
      <c r="L1045" s="1636"/>
      <c r="N1045" s="585"/>
      <c r="O1045" s="1637"/>
      <c r="Q1045" s="585"/>
      <c r="R1045" s="224"/>
      <c r="S1045" s="970"/>
    </row>
    <row r="1046" ht="15.75" customHeight="1">
      <c r="D1046" s="314"/>
      <c r="E1046" s="314"/>
      <c r="F1046" s="314"/>
      <c r="G1046" s="1633"/>
      <c r="H1046" s="1634"/>
      <c r="I1046" s="1338"/>
      <c r="J1046" s="1168"/>
      <c r="K1046" s="1635"/>
      <c r="L1046" s="1636"/>
      <c r="N1046" s="585"/>
      <c r="O1046" s="1637"/>
      <c r="Q1046" s="585"/>
      <c r="R1046" s="224"/>
      <c r="S1046" s="970"/>
    </row>
    <row r="1047" ht="15.75" customHeight="1">
      <c r="D1047" s="314"/>
      <c r="E1047" s="314"/>
      <c r="F1047" s="314"/>
      <c r="G1047" s="1633"/>
      <c r="H1047" s="1634"/>
      <c r="I1047" s="1338"/>
      <c r="J1047" s="1168"/>
      <c r="K1047" s="1635"/>
      <c r="L1047" s="1636"/>
      <c r="N1047" s="585"/>
      <c r="O1047" s="1637"/>
      <c r="Q1047" s="585"/>
      <c r="R1047" s="224"/>
      <c r="S1047" s="970"/>
    </row>
    <row r="1048" ht="15.75" customHeight="1">
      <c r="D1048" s="314"/>
      <c r="E1048" s="314"/>
      <c r="F1048" s="314"/>
      <c r="G1048" s="1633"/>
      <c r="H1048" s="1634"/>
      <c r="I1048" s="1338"/>
      <c r="J1048" s="1168"/>
      <c r="K1048" s="1635"/>
      <c r="L1048" s="1636"/>
      <c r="N1048" s="585"/>
      <c r="O1048" s="1637"/>
      <c r="Q1048" s="585"/>
      <c r="R1048" s="224"/>
      <c r="S1048" s="970"/>
    </row>
    <row r="1049" ht="15.75" customHeight="1">
      <c r="D1049" s="314"/>
      <c r="E1049" s="314"/>
      <c r="F1049" s="314"/>
      <c r="G1049" s="1633"/>
      <c r="H1049" s="1634"/>
      <c r="I1049" s="1338"/>
      <c r="J1049" s="1168"/>
      <c r="K1049" s="1635"/>
      <c r="L1049" s="1636"/>
      <c r="N1049" s="585"/>
      <c r="O1049" s="1637"/>
      <c r="Q1049" s="585"/>
      <c r="R1049" s="224"/>
      <c r="S1049" s="970"/>
    </row>
    <row r="1050" ht="15.75" customHeight="1">
      <c r="D1050" s="314"/>
      <c r="E1050" s="314"/>
      <c r="F1050" s="314"/>
      <c r="G1050" s="1633"/>
      <c r="H1050" s="1634"/>
      <c r="I1050" s="1338"/>
      <c r="J1050" s="1168"/>
      <c r="K1050" s="1635"/>
      <c r="L1050" s="1636"/>
      <c r="N1050" s="585"/>
      <c r="O1050" s="1637"/>
      <c r="Q1050" s="585"/>
      <c r="R1050" s="224"/>
      <c r="S1050" s="970"/>
    </row>
    <row r="1051" ht="15.75" customHeight="1">
      <c r="D1051" s="314"/>
      <c r="E1051" s="314"/>
      <c r="F1051" s="314"/>
      <c r="G1051" s="1633"/>
      <c r="H1051" s="1634"/>
      <c r="I1051" s="1338"/>
      <c r="J1051" s="1168"/>
      <c r="K1051" s="1635"/>
      <c r="L1051" s="1636"/>
      <c r="N1051" s="585"/>
      <c r="O1051" s="1637"/>
      <c r="Q1051" s="585"/>
      <c r="R1051" s="224"/>
      <c r="S1051" s="970"/>
    </row>
    <row r="1052" ht="15.75" customHeight="1">
      <c r="D1052" s="314"/>
      <c r="E1052" s="314"/>
      <c r="F1052" s="314"/>
      <c r="G1052" s="1633"/>
      <c r="H1052" s="1634"/>
      <c r="I1052" s="1338"/>
      <c r="J1052" s="1168"/>
      <c r="K1052" s="1635"/>
      <c r="L1052" s="1636"/>
      <c r="N1052" s="585"/>
      <c r="O1052" s="1637"/>
      <c r="Q1052" s="585"/>
      <c r="R1052" s="224"/>
      <c r="S1052" s="970"/>
    </row>
    <row r="1053" ht="15.75" customHeight="1">
      <c r="D1053" s="314"/>
      <c r="E1053" s="314"/>
      <c r="F1053" s="314"/>
      <c r="G1053" s="1633"/>
      <c r="H1053" s="1634"/>
      <c r="I1053" s="1338"/>
      <c r="J1053" s="1168"/>
      <c r="K1053" s="1635"/>
      <c r="L1053" s="1636"/>
      <c r="N1053" s="585"/>
      <c r="O1053" s="1637"/>
      <c r="Q1053" s="585"/>
      <c r="R1053" s="224"/>
      <c r="S1053" s="970"/>
    </row>
    <row r="1054" ht="15.75" customHeight="1">
      <c r="D1054" s="314"/>
      <c r="E1054" s="314"/>
      <c r="F1054" s="314"/>
      <c r="G1054" s="1633"/>
      <c r="H1054" s="1634"/>
      <c r="I1054" s="1338"/>
      <c r="J1054" s="1168"/>
      <c r="K1054" s="1635"/>
      <c r="L1054" s="1636"/>
      <c r="N1054" s="585"/>
      <c r="O1054" s="1637"/>
      <c r="Q1054" s="585"/>
      <c r="R1054" s="224"/>
      <c r="S1054" s="970"/>
    </row>
    <row r="1055" ht="15.75" customHeight="1">
      <c r="D1055" s="314"/>
      <c r="E1055" s="314"/>
      <c r="F1055" s="314"/>
      <c r="G1055" s="1633"/>
      <c r="H1055" s="1634"/>
      <c r="I1055" s="1338"/>
      <c r="J1055" s="1168"/>
      <c r="K1055" s="1635"/>
      <c r="L1055" s="1636"/>
      <c r="N1055" s="585"/>
      <c r="O1055" s="1637"/>
      <c r="Q1055" s="585"/>
      <c r="R1055" s="224"/>
      <c r="S1055" s="970"/>
    </row>
    <row r="1056" ht="15.75" customHeight="1">
      <c r="D1056" s="314"/>
      <c r="E1056" s="314"/>
      <c r="F1056" s="314"/>
      <c r="G1056" s="1633"/>
      <c r="H1056" s="1634"/>
      <c r="I1056" s="1338"/>
      <c r="J1056" s="1168"/>
      <c r="K1056" s="1635"/>
      <c r="L1056" s="1636"/>
      <c r="N1056" s="585"/>
      <c r="O1056" s="1637"/>
      <c r="Q1056" s="585"/>
      <c r="R1056" s="224"/>
      <c r="S1056" s="970"/>
    </row>
    <row r="1057" ht="15.75" customHeight="1">
      <c r="D1057" s="314"/>
      <c r="E1057" s="314"/>
      <c r="F1057" s="314"/>
      <c r="G1057" s="1633"/>
      <c r="H1057" s="1634"/>
      <c r="I1057" s="1338"/>
      <c r="J1057" s="1168"/>
      <c r="K1057" s="1635"/>
      <c r="L1057" s="1636"/>
      <c r="N1057" s="585"/>
      <c r="O1057" s="1637"/>
      <c r="Q1057" s="585"/>
      <c r="R1057" s="224"/>
      <c r="S1057" s="970"/>
    </row>
    <row r="1058" ht="15.75" customHeight="1">
      <c r="D1058" s="314"/>
      <c r="E1058" s="314"/>
      <c r="F1058" s="314"/>
      <c r="G1058" s="1633"/>
      <c r="H1058" s="1634"/>
      <c r="I1058" s="1338"/>
      <c r="J1058" s="1168"/>
      <c r="K1058" s="1635"/>
      <c r="L1058" s="1636"/>
      <c r="N1058" s="585"/>
      <c r="O1058" s="1637"/>
      <c r="Q1058" s="585"/>
      <c r="R1058" s="224"/>
      <c r="S1058" s="970"/>
    </row>
    <row r="1059" ht="15.75" customHeight="1">
      <c r="D1059" s="314"/>
      <c r="E1059" s="314"/>
      <c r="F1059" s="314"/>
      <c r="G1059" s="1633"/>
      <c r="H1059" s="1634"/>
      <c r="I1059" s="1338"/>
      <c r="J1059" s="1168"/>
      <c r="K1059" s="1635"/>
      <c r="L1059" s="1636"/>
      <c r="N1059" s="585"/>
      <c r="O1059" s="1637"/>
      <c r="Q1059" s="585"/>
      <c r="R1059" s="224"/>
      <c r="S1059" s="970"/>
    </row>
    <row r="1060" ht="15.75" customHeight="1">
      <c r="D1060" s="314"/>
      <c r="E1060" s="314"/>
      <c r="F1060" s="314"/>
      <c r="G1060" s="1633"/>
      <c r="H1060" s="1634"/>
      <c r="I1060" s="1338"/>
      <c r="J1060" s="1168"/>
      <c r="K1060" s="1635"/>
      <c r="L1060" s="1636"/>
      <c r="N1060" s="585"/>
      <c r="O1060" s="1637"/>
      <c r="Q1060" s="585"/>
      <c r="R1060" s="224"/>
      <c r="S1060" s="970"/>
    </row>
    <row r="1061" ht="15.75" customHeight="1">
      <c r="D1061" s="314"/>
      <c r="E1061" s="314"/>
      <c r="F1061" s="314"/>
      <c r="G1061" s="1633"/>
      <c r="H1061" s="1634"/>
      <c r="I1061" s="1338"/>
      <c r="J1061" s="1168"/>
      <c r="K1061" s="1635"/>
      <c r="L1061" s="1636"/>
      <c r="N1061" s="585"/>
      <c r="O1061" s="1637"/>
      <c r="Q1061" s="585"/>
      <c r="R1061" s="224"/>
      <c r="S1061" s="970"/>
    </row>
    <row r="1062" ht="15.75" customHeight="1">
      <c r="D1062" s="314"/>
      <c r="E1062" s="314"/>
      <c r="F1062" s="314"/>
      <c r="G1062" s="1633"/>
      <c r="H1062" s="1634"/>
      <c r="I1062" s="1338"/>
      <c r="J1062" s="1168"/>
      <c r="K1062" s="1635"/>
      <c r="L1062" s="1636"/>
      <c r="N1062" s="585"/>
      <c r="O1062" s="1637"/>
      <c r="Q1062" s="585"/>
      <c r="R1062" s="224"/>
      <c r="S1062" s="970"/>
    </row>
    <row r="1063" ht="15.75" customHeight="1">
      <c r="D1063" s="314"/>
      <c r="E1063" s="314"/>
      <c r="F1063" s="314"/>
      <c r="G1063" s="1633"/>
      <c r="H1063" s="1634"/>
      <c r="I1063" s="1338"/>
      <c r="J1063" s="1168"/>
      <c r="K1063" s="1635"/>
      <c r="L1063" s="1636"/>
      <c r="N1063" s="585"/>
      <c r="O1063" s="1637"/>
      <c r="Q1063" s="585"/>
      <c r="R1063" s="224"/>
      <c r="S1063" s="970"/>
    </row>
    <row r="1064" ht="15.75" customHeight="1">
      <c r="D1064" s="314"/>
      <c r="E1064" s="314"/>
      <c r="F1064" s="314"/>
      <c r="G1064" s="1633"/>
      <c r="H1064" s="1634"/>
      <c r="I1064" s="1338"/>
      <c r="J1064" s="1168"/>
      <c r="K1064" s="1635"/>
      <c r="L1064" s="1636"/>
      <c r="N1064" s="585"/>
      <c r="O1064" s="1637"/>
      <c r="Q1064" s="585"/>
      <c r="R1064" s="224"/>
      <c r="S1064" s="970"/>
    </row>
    <row r="1065" ht="15.75" customHeight="1">
      <c r="D1065" s="314"/>
      <c r="E1065" s="314"/>
      <c r="F1065" s="314"/>
      <c r="G1065" s="1633"/>
      <c r="H1065" s="1634"/>
      <c r="I1065" s="1338"/>
      <c r="J1065" s="1168"/>
      <c r="K1065" s="1635"/>
      <c r="L1065" s="1636"/>
      <c r="N1065" s="585"/>
      <c r="O1065" s="1637"/>
      <c r="Q1065" s="585"/>
      <c r="R1065" s="224"/>
      <c r="S1065" s="970"/>
    </row>
    <row r="1066" ht="15.75" customHeight="1">
      <c r="D1066" s="314"/>
      <c r="E1066" s="314"/>
      <c r="F1066" s="314"/>
      <c r="G1066" s="1633"/>
      <c r="H1066" s="1634"/>
      <c r="I1066" s="1338"/>
      <c r="J1066" s="1168"/>
      <c r="K1066" s="1635"/>
      <c r="L1066" s="1636"/>
      <c r="N1066" s="585"/>
      <c r="O1066" s="1637"/>
      <c r="Q1066" s="585"/>
      <c r="R1066" s="224"/>
      <c r="S1066" s="970"/>
    </row>
    <row r="1067" ht="15.75" customHeight="1">
      <c r="D1067" s="314"/>
      <c r="E1067" s="314"/>
      <c r="F1067" s="314"/>
      <c r="G1067" s="1633"/>
      <c r="H1067" s="1634"/>
      <c r="I1067" s="1338"/>
      <c r="J1067" s="1168"/>
      <c r="K1067" s="1635"/>
      <c r="L1067" s="1636"/>
      <c r="N1067" s="585"/>
      <c r="O1067" s="1637"/>
      <c r="Q1067" s="585"/>
      <c r="R1067" s="224"/>
      <c r="S1067" s="970"/>
    </row>
    <row r="1068" ht="15.75" customHeight="1">
      <c r="D1068" s="314"/>
      <c r="E1068" s="314"/>
      <c r="F1068" s="314"/>
      <c r="G1068" s="1633"/>
      <c r="H1068" s="1634"/>
      <c r="I1068" s="1338"/>
      <c r="J1068" s="1168"/>
      <c r="K1068" s="1635"/>
      <c r="L1068" s="1636"/>
      <c r="N1068" s="585"/>
      <c r="O1068" s="1637"/>
      <c r="Q1068" s="585"/>
      <c r="R1068" s="224"/>
      <c r="S1068" s="970"/>
    </row>
    <row r="1069" ht="15.75" customHeight="1">
      <c r="D1069" s="314"/>
      <c r="E1069" s="314"/>
      <c r="F1069" s="314"/>
      <c r="G1069" s="1633"/>
      <c r="H1069" s="1634"/>
      <c r="I1069" s="1338"/>
      <c r="J1069" s="1168"/>
      <c r="K1069" s="1635"/>
      <c r="L1069" s="1636"/>
      <c r="N1069" s="585"/>
      <c r="O1069" s="1637"/>
      <c r="Q1069" s="585"/>
      <c r="R1069" s="224"/>
      <c r="S1069" s="970"/>
    </row>
    <row r="1070" ht="15.75" customHeight="1">
      <c r="D1070" s="314"/>
      <c r="E1070" s="314"/>
      <c r="F1070" s="314"/>
      <c r="G1070" s="1633"/>
      <c r="H1070" s="1634"/>
      <c r="I1070" s="1338"/>
      <c r="J1070" s="1168"/>
      <c r="K1070" s="1635"/>
      <c r="L1070" s="1636"/>
      <c r="N1070" s="585"/>
      <c r="O1070" s="1637"/>
      <c r="Q1070" s="585"/>
      <c r="R1070" s="224"/>
      <c r="S1070" s="970"/>
    </row>
    <row r="1071" ht="15.75" customHeight="1"/>
  </sheetData>
  <autoFilter ref="$C$1:$U$422">
    <sortState ref="C1:U422">
      <sortCondition ref="C1:C422"/>
      <sortCondition descending="1" ref="M1:M422"/>
      <sortCondition descending="1" ref="I1:I422"/>
      <sortCondition descending="1" ref="H1:H422"/>
      <sortCondition descending="1" ref="Q1:Q422"/>
      <sortCondition descending="1" ref="N1:N422"/>
      <sortCondition ref="S1:S422"/>
      <sortCondition ref="U1:U422"/>
    </sortState>
  </autoFilter>
  <mergeCells count="15">
    <mergeCell ref="AK1:AN1"/>
    <mergeCell ref="AK23:AQ23"/>
    <mergeCell ref="X25:AD25"/>
    <mergeCell ref="X48:AD48"/>
    <mergeCell ref="X71:AD71"/>
    <mergeCell ref="X94:AF94"/>
    <mergeCell ref="X117:AF117"/>
    <mergeCell ref="X140:AF140"/>
    <mergeCell ref="AO1:AR1"/>
    <mergeCell ref="AS1:AV1"/>
    <mergeCell ref="AW1:AZ1"/>
    <mergeCell ref="BA1:BD1"/>
    <mergeCell ref="BE1:BH1"/>
    <mergeCell ref="BI1:BL1"/>
    <mergeCell ref="X2:AD2"/>
  </mergeCells>
  <conditionalFormatting sqref="M1:M1071">
    <cfRule type="colorScale" priority="1">
      <colorScale>
        <cfvo type="min"/>
        <cfvo type="percentile" val="50"/>
        <cfvo type="max"/>
        <color rgb="FF63BE7B"/>
        <color rgb="FFFCFCFF"/>
        <color rgb="FFF8696B"/>
      </colorScale>
    </cfRule>
  </conditionalFormatting>
  <conditionalFormatting sqref="M2:M423">
    <cfRule type="colorScale" priority="2">
      <colorScale>
        <cfvo type="min"/>
        <cfvo type="percentile" val="50"/>
        <cfvo type="max"/>
        <color rgb="FF63BE7B"/>
        <color rgb="FFFCFCFF"/>
        <color rgb="FFF8696B"/>
      </colorScale>
    </cfRule>
  </conditionalFormatting>
  <conditionalFormatting sqref="P1:P1071">
    <cfRule type="colorScale" priority="3">
      <colorScale>
        <cfvo type="min"/>
        <cfvo type="percentile" val="50"/>
        <cfvo type="max"/>
        <color rgb="FFF8696B"/>
        <color rgb="FFFCFCFF"/>
        <color rgb="FF63BE7B"/>
      </colorScale>
    </cfRule>
  </conditionalFormatting>
  <conditionalFormatting sqref="P2:P423 R2:R423">
    <cfRule type="colorScale" priority="4">
      <colorScale>
        <cfvo type="min"/>
        <cfvo type="percentile" val="50"/>
        <cfvo type="max"/>
        <color rgb="FFF8696B"/>
        <color rgb="FFFCFCFF"/>
        <color rgb="FF63BE7B"/>
      </colorScale>
    </cfRule>
  </conditionalFormatting>
  <conditionalFormatting sqref="R1:R1071">
    <cfRule type="colorScale" priority="5">
      <colorScale>
        <cfvo type="min"/>
        <cfvo type="percentile" val="50"/>
        <cfvo type="max"/>
        <color rgb="FF63BE7B"/>
        <color rgb="FFFCFCFF"/>
        <color rgb="FFF8696B"/>
      </colorScale>
    </cfRule>
  </conditionalFormatting>
  <conditionalFormatting sqref="Y4:Y23">
    <cfRule type="colorScale" priority="6">
      <colorScale>
        <cfvo type="min"/>
        <cfvo type="max"/>
        <color rgb="FF63BE7B"/>
        <color rgb="FFFCFCFF"/>
      </colorScale>
    </cfRule>
  </conditionalFormatting>
  <conditionalFormatting sqref="Y27:Y46">
    <cfRule type="colorScale" priority="7">
      <colorScale>
        <cfvo type="min"/>
        <cfvo type="max"/>
        <color rgb="FFFCFCFF"/>
        <color rgb="FF63BE7B"/>
      </colorScale>
    </cfRule>
  </conditionalFormatting>
  <conditionalFormatting sqref="Y50:Y69">
    <cfRule type="colorScale" priority="8">
      <colorScale>
        <cfvo type="min"/>
        <cfvo type="max"/>
        <color rgb="FFFCFCFF"/>
        <color rgb="FF63BE7B"/>
      </colorScale>
    </cfRule>
  </conditionalFormatting>
  <conditionalFormatting sqref="Y96:Y115">
    <cfRule type="colorScale" priority="9">
      <colorScale>
        <cfvo type="min"/>
        <cfvo type="max"/>
        <color rgb="FF63BE7B"/>
        <color rgb="FFFCFCFF"/>
      </colorScale>
    </cfRule>
  </conditionalFormatting>
  <conditionalFormatting sqref="Y119:Y138">
    <cfRule type="colorScale" priority="10">
      <colorScale>
        <cfvo type="min"/>
        <cfvo type="max"/>
        <color rgb="FFFCFCFF"/>
        <color rgb="FFF8696B"/>
      </colorScale>
    </cfRule>
  </conditionalFormatting>
  <conditionalFormatting sqref="AE96:AE115">
    <cfRule type="colorScale" priority="11">
      <colorScale>
        <cfvo type="min"/>
        <cfvo type="max"/>
        <color rgb="FF63BE7B"/>
        <color rgb="FFFCFCFF"/>
      </colorScale>
    </cfRule>
  </conditionalFormatting>
  <conditionalFormatting sqref="AE119:AE138">
    <cfRule type="colorScale" priority="12">
      <colorScale>
        <cfvo type="min"/>
        <cfvo type="max"/>
        <color rgb="FFFCFCFF"/>
        <color rgb="FFF8696B"/>
      </colorScale>
    </cfRule>
  </conditionalFormatting>
  <conditionalFormatting sqref="AF96:AF115">
    <cfRule type="colorScale" priority="13">
      <colorScale>
        <cfvo type="min"/>
        <cfvo type="max"/>
        <color rgb="FFFCFCFF"/>
        <color rgb="FF63BE7B"/>
      </colorScale>
    </cfRule>
  </conditionalFormatting>
  <conditionalFormatting sqref="AF119:AF138">
    <cfRule type="colorScale" priority="14">
      <colorScale>
        <cfvo type="min"/>
        <cfvo type="max"/>
        <color rgb="FFF8696B"/>
        <color rgb="FFFCFCFF"/>
      </colorScale>
    </cfRule>
  </conditionalFormatting>
  <conditionalFormatting sqref="AK44:AK55">
    <cfRule type="colorScale" priority="15">
      <colorScale>
        <cfvo type="min"/>
        <cfvo type="max"/>
        <color theme="0"/>
        <color theme="0"/>
      </colorScale>
    </cfRule>
  </conditionalFormatting>
  <conditionalFormatting sqref="AK44:AK55">
    <cfRule type="colorScale" priority="16">
      <colorScale>
        <cfvo type="min"/>
        <cfvo type="max"/>
        <color rgb="FFFCFCFF"/>
        <color rgb="FF63BE7B"/>
      </colorScale>
    </cfRule>
  </conditionalFormatting>
  <conditionalFormatting sqref="AK4:AL21 AO4:AP21 AS4:AT21 AW4:AX21 BA4:BB21 BE4:BF16">
    <cfRule type="colorScale" priority="17">
      <colorScale>
        <cfvo type="min"/>
        <cfvo type="max"/>
        <color theme="0"/>
        <color theme="0"/>
      </colorScale>
    </cfRule>
  </conditionalFormatting>
  <conditionalFormatting sqref="AL44:AL55">
    <cfRule type="colorScale" priority="18">
      <colorScale>
        <cfvo type="min"/>
        <cfvo type="max"/>
        <color theme="0"/>
        <color theme="0"/>
      </colorScale>
    </cfRule>
  </conditionalFormatting>
  <conditionalFormatting sqref="AM4:AM16">
    <cfRule type="colorScale" priority="19">
      <colorScale>
        <cfvo type="min"/>
        <cfvo type="max"/>
        <color theme="0"/>
        <color theme="0"/>
      </colorScale>
    </cfRule>
  </conditionalFormatting>
  <conditionalFormatting sqref="AM4:AM16">
    <cfRule type="colorScale" priority="20">
      <colorScale>
        <cfvo type="min"/>
        <cfvo type="percentile" val="50"/>
        <cfvo type="max"/>
        <color rgb="FFF8696B"/>
        <color rgb="FFFCFCFF"/>
        <color rgb="FF63BE7B"/>
      </colorScale>
    </cfRule>
  </conditionalFormatting>
  <conditionalFormatting sqref="AM25:AM40">
    <cfRule type="colorScale" priority="21">
      <colorScale>
        <cfvo type="min"/>
        <cfvo type="percentile" val="50"/>
        <cfvo type="max"/>
        <color rgb="FFF8696B"/>
        <color rgb="FFFCFCFF"/>
        <color rgb="FF63BE7B"/>
      </colorScale>
    </cfRule>
  </conditionalFormatting>
  <conditionalFormatting sqref="AM44:AM55 AM57:AM59">
    <cfRule type="colorScale" priority="22">
      <colorScale>
        <cfvo type="min"/>
        <cfvo type="percentile" val="50"/>
        <cfvo type="max"/>
        <color rgb="FFF8696B"/>
        <color rgb="FFFCFCFF"/>
        <color rgb="FF63BE7B"/>
      </colorScale>
    </cfRule>
  </conditionalFormatting>
  <conditionalFormatting sqref="AN4:AN21">
    <cfRule type="colorScale" priority="23">
      <colorScale>
        <cfvo type="min"/>
        <cfvo type="percentile" val="50"/>
        <cfvo type="max"/>
        <color rgb="FF63BE7B"/>
        <color rgb="FFFCFCFF"/>
        <color rgb="FFF8696B"/>
      </colorScale>
    </cfRule>
  </conditionalFormatting>
  <conditionalFormatting sqref="AN44:AN55">
    <cfRule type="colorScale" priority="24">
      <colorScale>
        <cfvo type="min"/>
        <cfvo type="max"/>
        <color theme="0"/>
        <color theme="0"/>
      </colorScale>
    </cfRule>
  </conditionalFormatting>
  <conditionalFormatting sqref="AT44:AT55">
    <cfRule type="colorScale" priority="25">
      <colorScale>
        <cfvo type="min"/>
        <cfvo type="percentile" val="50"/>
        <cfvo type="max"/>
        <color rgb="FFF8696B"/>
        <color rgb="FFFCFCFF"/>
        <color rgb="FF63BE7B"/>
      </colorScale>
    </cfRule>
  </conditionalFormatting>
  <conditionalFormatting sqref="AT44:AT55">
    <cfRule type="colorScale" priority="26">
      <colorScale>
        <cfvo type="min"/>
        <cfvo type="percentile" val="50"/>
        <cfvo type="max"/>
        <color rgb="FFF8696B"/>
        <color rgb="FFFCFCFF"/>
        <color rgb="FF63BE7B"/>
      </colorScale>
    </cfRule>
  </conditionalFormatting>
  <conditionalFormatting sqref="AQ4:AQ15">
    <cfRule type="colorScale" priority="27">
      <colorScale>
        <cfvo type="min"/>
        <cfvo type="max"/>
        <color theme="0"/>
        <color theme="0"/>
      </colorScale>
    </cfRule>
  </conditionalFormatting>
  <conditionalFormatting sqref="AQ4:AQ15">
    <cfRule type="colorScale" priority="28">
      <colorScale>
        <cfvo type="min"/>
        <cfvo type="percentile" val="50"/>
        <cfvo type="max"/>
        <color rgb="FFF8696B"/>
        <color rgb="FFFCFCFF"/>
        <color rgb="FF63BE7B"/>
      </colorScale>
    </cfRule>
  </conditionalFormatting>
  <conditionalFormatting sqref="AQ16">
    <cfRule type="colorScale" priority="29">
      <colorScale>
        <cfvo type="min"/>
        <cfvo type="max"/>
        <color theme="0"/>
        <color theme="0"/>
      </colorScale>
    </cfRule>
  </conditionalFormatting>
  <conditionalFormatting sqref="AQ16">
    <cfRule type="colorScale" priority="30">
      <colorScale>
        <cfvo type="min"/>
        <cfvo type="percentile" val="50"/>
        <cfvo type="max"/>
        <color rgb="FFF8696B"/>
        <color rgb="FFFCFCFF"/>
        <color rgb="FF63BE7B"/>
      </colorScale>
    </cfRule>
  </conditionalFormatting>
  <conditionalFormatting sqref="AU44:AU55">
    <cfRule type="colorScale" priority="31">
      <colorScale>
        <cfvo type="min"/>
        <cfvo type="percentile" val="50"/>
        <cfvo type="max"/>
        <color rgb="FF63BE7B"/>
        <color rgb="FFFCFCFF"/>
        <color rgb="FFF8696B"/>
      </colorScale>
    </cfRule>
  </conditionalFormatting>
  <conditionalFormatting sqref="AU44:AU55">
    <cfRule type="colorScale" priority="32">
      <colorScale>
        <cfvo type="min"/>
        <cfvo type="percentile" val="50"/>
        <cfvo type="max"/>
        <color rgb="FF63BE7B"/>
        <color rgb="FFFCFCFF"/>
        <color rgb="FFF8696B"/>
      </colorScale>
    </cfRule>
  </conditionalFormatting>
  <conditionalFormatting sqref="AR4:AR21">
    <cfRule type="colorScale" priority="33">
      <colorScale>
        <cfvo type="min"/>
        <cfvo type="percentile" val="50"/>
        <cfvo type="max"/>
        <color rgb="FF63BE7B"/>
        <color rgb="FFFCFCFF"/>
        <color rgb="FFF8696B"/>
      </colorScale>
    </cfRule>
  </conditionalFormatting>
  <conditionalFormatting sqref="AV44:AW55">
    <cfRule type="colorScale" priority="34">
      <colorScale>
        <cfvo type="min"/>
        <cfvo type="max"/>
        <color theme="0"/>
        <color theme="0"/>
      </colorScale>
    </cfRule>
  </conditionalFormatting>
  <conditionalFormatting sqref="AX44:AX55">
    <cfRule type="colorScale" priority="35">
      <colorScale>
        <cfvo type="min"/>
        <cfvo type="percentile" val="50"/>
        <cfvo type="max"/>
        <color rgb="FFF8696B"/>
        <color rgb="FFFCFCFF"/>
        <color rgb="FF63BE7B"/>
      </colorScale>
    </cfRule>
  </conditionalFormatting>
  <conditionalFormatting sqref="AU4:AU15">
    <cfRule type="colorScale" priority="36">
      <colorScale>
        <cfvo type="min"/>
        <cfvo type="max"/>
        <color theme="0"/>
        <color theme="0"/>
      </colorScale>
    </cfRule>
  </conditionalFormatting>
  <conditionalFormatting sqref="AU4:AU15">
    <cfRule type="colorScale" priority="37">
      <colorScale>
        <cfvo type="min"/>
        <cfvo type="percentile" val="50"/>
        <cfvo type="max"/>
        <color rgb="FFF8696B"/>
        <color rgb="FFFCFCFF"/>
        <color rgb="FF63BE7B"/>
      </colorScale>
    </cfRule>
  </conditionalFormatting>
  <conditionalFormatting sqref="AU16">
    <cfRule type="colorScale" priority="38">
      <colorScale>
        <cfvo type="min"/>
        <cfvo type="max"/>
        <color theme="0"/>
        <color theme="0"/>
      </colorScale>
    </cfRule>
  </conditionalFormatting>
  <conditionalFormatting sqref="AU16">
    <cfRule type="colorScale" priority="39">
      <colorScale>
        <cfvo type="min"/>
        <cfvo type="percentile" val="50"/>
        <cfvo type="max"/>
        <color rgb="FFF8696B"/>
        <color rgb="FFFCFCFF"/>
        <color rgb="FF63BE7B"/>
      </colorScale>
    </cfRule>
  </conditionalFormatting>
  <conditionalFormatting sqref="AY44:AY55">
    <cfRule type="colorScale" priority="40">
      <colorScale>
        <cfvo type="min"/>
        <cfvo type="max"/>
        <color theme="0"/>
        <color theme="0"/>
      </colorScale>
    </cfRule>
  </conditionalFormatting>
  <conditionalFormatting sqref="AV4:AV21">
    <cfRule type="colorScale" priority="41">
      <colorScale>
        <cfvo type="min"/>
        <cfvo type="percentile" val="50"/>
        <cfvo type="max"/>
        <color rgb="FF63BE7B"/>
        <color rgb="FFFCFCFF"/>
        <color rgb="FFF8696B"/>
      </colorScale>
    </cfRule>
  </conditionalFormatting>
  <conditionalFormatting sqref="AZ44:BA55">
    <cfRule type="colorScale" priority="42">
      <colorScale>
        <cfvo type="min"/>
        <cfvo type="max"/>
        <color theme="0"/>
        <color theme="0"/>
      </colorScale>
    </cfRule>
  </conditionalFormatting>
  <conditionalFormatting sqref="BB44:BB55">
    <cfRule type="colorScale" priority="43">
      <colorScale>
        <cfvo type="min"/>
        <cfvo type="percentile" val="50"/>
        <cfvo type="max"/>
        <color rgb="FFF8696B"/>
        <color rgb="FFFCFCFF"/>
        <color rgb="FF63BE7B"/>
      </colorScale>
    </cfRule>
  </conditionalFormatting>
  <conditionalFormatting sqref="AY4:AY15">
    <cfRule type="colorScale" priority="44">
      <colorScale>
        <cfvo type="min"/>
        <cfvo type="max"/>
        <color theme="0"/>
        <color theme="0"/>
      </colorScale>
    </cfRule>
  </conditionalFormatting>
  <conditionalFormatting sqref="AY4:AY15">
    <cfRule type="colorScale" priority="45">
      <colorScale>
        <cfvo type="min"/>
        <cfvo type="percentile" val="50"/>
        <cfvo type="max"/>
        <color rgb="FFF8696B"/>
        <color rgb="FFFCFCFF"/>
        <color rgb="FF63BE7B"/>
      </colorScale>
    </cfRule>
  </conditionalFormatting>
  <conditionalFormatting sqref="AY16">
    <cfRule type="colorScale" priority="46">
      <colorScale>
        <cfvo type="min"/>
        <cfvo type="max"/>
        <color theme="0"/>
        <color theme="0"/>
      </colorScale>
    </cfRule>
  </conditionalFormatting>
  <conditionalFormatting sqref="AY16">
    <cfRule type="colorScale" priority="47">
      <colorScale>
        <cfvo type="min"/>
        <cfvo type="percentile" val="50"/>
        <cfvo type="max"/>
        <color rgb="FFF8696B"/>
        <color rgb="FFFCFCFF"/>
        <color rgb="FF63BE7B"/>
      </colorScale>
    </cfRule>
  </conditionalFormatting>
  <conditionalFormatting sqref="BC44:BC55">
    <cfRule type="colorScale" priority="48">
      <colorScale>
        <cfvo type="min"/>
        <cfvo type="max"/>
        <color theme="0"/>
        <color theme="0"/>
      </colorScale>
    </cfRule>
  </conditionalFormatting>
  <conditionalFormatting sqref="AZ4:AZ21">
    <cfRule type="colorScale" priority="49">
      <colorScale>
        <cfvo type="min"/>
        <cfvo type="percentile" val="50"/>
        <cfvo type="max"/>
        <color rgb="FF63BE7B"/>
        <color rgb="FFFCFCFF"/>
        <color rgb="FFF8696B"/>
      </colorScale>
    </cfRule>
  </conditionalFormatting>
  <conditionalFormatting sqref="BC16 BG16 BK16">
    <cfRule type="colorScale" priority="50">
      <colorScale>
        <cfvo type="min"/>
        <cfvo type="max"/>
        <color theme="0"/>
        <color theme="0"/>
      </colorScale>
    </cfRule>
  </conditionalFormatting>
  <conditionalFormatting sqref="BC16 BG16 BK16">
    <cfRule type="colorScale" priority="51">
      <colorScale>
        <cfvo type="min"/>
        <cfvo type="percentile" val="50"/>
        <cfvo type="max"/>
        <color rgb="FFF8696B"/>
        <color rgb="FFFCFCFF"/>
        <color rgb="FF63BE7B"/>
      </colorScale>
    </cfRule>
  </conditionalFormatting>
  <conditionalFormatting sqref="BC4:BC15 BC17:BC21 BG4:BG15">
    <cfRule type="colorScale" priority="52">
      <colorScale>
        <cfvo type="min"/>
        <cfvo type="max"/>
        <color theme="0"/>
        <color theme="0"/>
      </colorScale>
    </cfRule>
  </conditionalFormatting>
  <conditionalFormatting sqref="BC4:BC15 BC17:BC21 BG4:BG15">
    <cfRule type="colorScale" priority="53">
      <colorScale>
        <cfvo type="min"/>
        <cfvo type="percentile" val="50"/>
        <cfvo type="max"/>
        <color rgb="FFF8696B"/>
        <color rgb="FFFCFCFF"/>
        <color rgb="FF63BE7B"/>
      </colorScale>
    </cfRule>
  </conditionalFormatting>
  <conditionalFormatting sqref="BD4:BD21 BH4:BL16">
    <cfRule type="colorScale" priority="54">
      <colorScale>
        <cfvo type="min"/>
        <cfvo type="percentile" val="50"/>
        <cfvo type="max"/>
        <color rgb="FF63BE7B"/>
        <color rgb="FFFCFCFF"/>
        <color rgb="FFF8696B"/>
      </colorScale>
    </cfRule>
  </conditionalFormatting>
  <conditionalFormatting sqref="AN25:AN34">
    <cfRule type="colorScale" priority="55">
      <colorScale>
        <cfvo type="min"/>
        <cfvo type="percentile" val="50"/>
        <cfvo type="max"/>
        <color rgb="FF57BB8A"/>
        <color rgb="FFFFFFFF"/>
        <color rgb="FFE67C73"/>
      </colorScale>
    </cfRule>
  </conditionalFormatting>
  <conditionalFormatting sqref="AO25:AO34">
    <cfRule type="colorScale" priority="56">
      <colorScale>
        <cfvo type="min"/>
        <cfvo type="percentile" val="50"/>
        <cfvo type="max"/>
        <color rgb="FF57BB8A"/>
        <color rgb="FFFFFFFF"/>
        <color rgb="FFE67C73"/>
      </colorScale>
    </cfRule>
  </conditionalFormatting>
  <conditionalFormatting sqref="AE142:AE161">
    <cfRule type="colorScale" priority="57">
      <colorScale>
        <cfvo type="min"/>
        <cfvo type="percentile" val="50"/>
        <cfvo type="max"/>
        <color rgb="FF57BB8A"/>
        <color rgb="FFFFFFFF"/>
        <color rgb="FFE67C73"/>
      </colorScale>
    </cfRule>
  </conditionalFormatting>
  <conditionalFormatting sqref="AF142:AF161">
    <cfRule type="colorScale" priority="58">
      <colorScale>
        <cfvo type="min"/>
        <cfvo type="percentile" val="50"/>
        <cfvo type="max"/>
        <color rgb="FFE67C73"/>
        <color rgb="FFFFFFFF"/>
        <color rgb="FF57BB8A"/>
      </colorScale>
    </cfRule>
  </conditionalFormatting>
  <conditionalFormatting sqref="AO44:AO53">
    <cfRule type="colorScale" priority="59">
      <colorScale>
        <cfvo type="min"/>
        <cfvo type="max"/>
        <color rgb="FFFFFFFF"/>
        <color rgb="FF57BB8A"/>
      </colorScale>
    </cfRule>
  </conditionalFormatting>
  <conditionalFormatting sqref="AP44:AP53">
    <cfRule type="colorScale" priority="60">
      <colorScale>
        <cfvo type="min"/>
        <cfvo type="max"/>
        <color rgb="FFFFFFFF"/>
        <color rgb="FFE67C73"/>
      </colorScale>
    </cfRule>
  </conditionalFormatting>
  <conditionalFormatting sqref="AP44:AP55">
    <cfRule type="cellIs" dxfId="12" priority="61" operator="equal">
      <formula>0</formula>
    </cfRule>
  </conditionalFormatting>
  <conditionalFormatting sqref="AQ44:AQ53">
    <cfRule type="colorScale" priority="62">
      <colorScale>
        <cfvo type="min"/>
        <cfvo type="percentile" val="50"/>
        <cfvo type="max"/>
        <color rgb="FFE67C73"/>
        <color rgb="FFFFFFFF"/>
        <color rgb="FF57BB8A"/>
      </colorScale>
    </cfRule>
  </conditionalFormatting>
  <conditionalFormatting sqref="AR44:AR53">
    <cfRule type="colorScale" priority="63">
      <colorScale>
        <cfvo type="min"/>
        <cfvo type="max"/>
        <color rgb="FFFFFFFF"/>
        <color rgb="FF57BB8A"/>
      </colorScale>
    </cfRule>
  </conditionalFormatting>
  <conditionalFormatting sqref="AS44:AS53">
    <cfRule type="colorScale" priority="64">
      <colorScale>
        <cfvo type="min"/>
        <cfvo type="percentile" val="50"/>
        <cfvo type="max"/>
        <color rgb="FF57BB8A"/>
        <color rgb="FFFFFFFF"/>
        <color rgb="FFE67C73"/>
      </colorScale>
    </cfRule>
  </conditionalFormatting>
  <dataValidations>
    <dataValidation type="list" allowBlank="1" showInputMessage="1" showErrorMessage="1" prompt="Select a Team Name" sqref="G2:G38 J2:J53">
      <formula1>$A$3:$A$14</formula1>
    </dataValidation>
    <dataValidation type="list" allowBlank="1" showErrorMessage="1" sqref="AJ42">
      <formula1>$A$3:$A$18</formula1>
    </dataValidation>
    <dataValidation type="list" allowBlank="1" showErrorMessage="1" sqref="A17:B17">
      <formula1>$A$3:$A$14</formula1>
    </dataValidation>
  </dataValidations>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I13"/>
    <hyperlink r:id="rId25" ref="H14"/>
    <hyperlink r:id="rId26" ref="I14"/>
    <hyperlink r:id="rId27" ref="H15"/>
    <hyperlink r:id="rId28" ref="I15"/>
    <hyperlink r:id="rId29" ref="H16"/>
    <hyperlink r:id="rId30" ref="I16"/>
    <hyperlink r:id="rId31" ref="H17"/>
    <hyperlink r:id="rId32" ref="I17"/>
    <hyperlink r:id="rId33" ref="H18"/>
    <hyperlink r:id="rId34" ref="I18"/>
    <hyperlink r:id="rId35" ref="H19"/>
    <hyperlink r:id="rId36" ref="I19"/>
    <hyperlink r:id="rId37" ref="H20"/>
    <hyperlink r:id="rId38" ref="I20"/>
    <hyperlink r:id="rId39" ref="H21"/>
    <hyperlink r:id="rId40" ref="I21"/>
    <hyperlink r:id="rId41" ref="H22"/>
    <hyperlink r:id="rId42" ref="I22"/>
    <hyperlink r:id="rId43" ref="H23"/>
    <hyperlink r:id="rId44" ref="I23"/>
    <hyperlink r:id="rId45" ref="H24"/>
    <hyperlink r:id="rId46" ref="I24"/>
    <hyperlink r:id="rId47" ref="H25"/>
    <hyperlink r:id="rId48" ref="I25"/>
    <hyperlink r:id="rId49" ref="H26"/>
    <hyperlink r:id="rId50" ref="I26"/>
    <hyperlink r:id="rId51" ref="H27"/>
    <hyperlink r:id="rId52" ref="I27"/>
    <hyperlink r:id="rId53" ref="H28"/>
    <hyperlink r:id="rId54" ref="I28"/>
    <hyperlink r:id="rId55" ref="H29"/>
    <hyperlink r:id="rId56" ref="I29"/>
    <hyperlink r:id="rId57" ref="H30"/>
    <hyperlink r:id="rId58" ref="I30"/>
    <hyperlink r:id="rId59" ref="H31"/>
    <hyperlink r:id="rId60" ref="I31"/>
    <hyperlink r:id="rId61" ref="H32"/>
    <hyperlink r:id="rId62" ref="I32"/>
    <hyperlink r:id="rId63" ref="H33"/>
    <hyperlink r:id="rId64" ref="I33"/>
    <hyperlink r:id="rId65" ref="H34"/>
    <hyperlink r:id="rId66" ref="I34"/>
    <hyperlink r:id="rId67" ref="H35"/>
    <hyperlink r:id="rId68" ref="I35"/>
    <hyperlink r:id="rId69" ref="H36"/>
    <hyperlink r:id="rId70" ref="I36"/>
    <hyperlink r:id="rId71" ref="H37"/>
    <hyperlink r:id="rId72" ref="I37"/>
    <hyperlink r:id="rId73" ref="H38"/>
    <hyperlink r:id="rId74" ref="I38"/>
    <hyperlink r:id="rId75" ref="H39"/>
    <hyperlink r:id="rId76" ref="I39"/>
    <hyperlink r:id="rId77" ref="H40"/>
    <hyperlink r:id="rId78" ref="I40"/>
    <hyperlink r:id="rId79" ref="H41"/>
    <hyperlink r:id="rId80" ref="I41"/>
    <hyperlink r:id="rId81" ref="H42"/>
    <hyperlink r:id="rId82" ref="I42"/>
    <hyperlink r:id="rId83" ref="H43"/>
    <hyperlink r:id="rId84" ref="I43"/>
    <hyperlink r:id="rId85" ref="H44"/>
    <hyperlink r:id="rId86" ref="I44"/>
    <hyperlink r:id="rId87" ref="H45"/>
    <hyperlink r:id="rId88" ref="I45"/>
    <hyperlink r:id="rId89" ref="H46"/>
    <hyperlink r:id="rId90" ref="I46"/>
    <hyperlink r:id="rId91" ref="H47"/>
    <hyperlink r:id="rId92" ref="I47"/>
    <hyperlink r:id="rId93" ref="H48"/>
    <hyperlink r:id="rId94" ref="I48"/>
    <hyperlink r:id="rId95" ref="H49"/>
    <hyperlink r:id="rId96" ref="I49"/>
    <hyperlink r:id="rId97" ref="H50"/>
    <hyperlink r:id="rId98" ref="I50"/>
    <hyperlink r:id="rId99" ref="H51"/>
    <hyperlink r:id="rId100" ref="I51"/>
    <hyperlink r:id="rId101" ref="H52"/>
    <hyperlink r:id="rId102" ref="I52"/>
    <hyperlink r:id="rId103" ref="H53"/>
    <hyperlink r:id="rId104" ref="I53"/>
    <hyperlink r:id="rId105" ref="H54"/>
    <hyperlink r:id="rId106" ref="I54"/>
    <hyperlink r:id="rId107" ref="H55"/>
    <hyperlink r:id="rId108" ref="I55"/>
    <hyperlink r:id="rId109" ref="H56"/>
    <hyperlink r:id="rId110" ref="I56"/>
    <hyperlink r:id="rId111" ref="H57"/>
    <hyperlink r:id="rId112" ref="I57"/>
    <hyperlink r:id="rId113" ref="H58"/>
    <hyperlink r:id="rId114" ref="I58"/>
    <hyperlink r:id="rId115" ref="H59"/>
    <hyperlink r:id="rId116" ref="I59"/>
    <hyperlink r:id="rId117" ref="H60"/>
    <hyperlink r:id="rId118" ref="I60"/>
    <hyperlink r:id="rId119" ref="H61"/>
    <hyperlink r:id="rId120" ref="I61"/>
    <hyperlink r:id="rId121" ref="H62"/>
    <hyperlink r:id="rId122" ref="I62"/>
    <hyperlink r:id="rId123" ref="H63"/>
    <hyperlink r:id="rId124" ref="I63"/>
    <hyperlink r:id="rId125" ref="H64"/>
    <hyperlink r:id="rId126" ref="I64"/>
    <hyperlink r:id="rId127" ref="H65"/>
    <hyperlink r:id="rId128" ref="I65"/>
    <hyperlink r:id="rId129" ref="H66"/>
    <hyperlink r:id="rId130" ref="I66"/>
    <hyperlink r:id="rId131" ref="H67"/>
    <hyperlink r:id="rId132" ref="I67"/>
    <hyperlink r:id="rId133" ref="H68"/>
    <hyperlink r:id="rId134" ref="I68"/>
    <hyperlink r:id="rId135" ref="H69"/>
    <hyperlink r:id="rId136" ref="I69"/>
    <hyperlink r:id="rId137" ref="H70"/>
    <hyperlink r:id="rId138" ref="I70"/>
    <hyperlink r:id="rId139" ref="H71"/>
    <hyperlink r:id="rId140" ref="I71"/>
    <hyperlink r:id="rId141" ref="H72"/>
    <hyperlink r:id="rId142" ref="I72"/>
    <hyperlink r:id="rId143" ref="H73"/>
    <hyperlink r:id="rId144" ref="I73"/>
    <hyperlink r:id="rId145" ref="H74"/>
    <hyperlink r:id="rId146" ref="I74"/>
    <hyperlink r:id="rId147" ref="H75"/>
    <hyperlink r:id="rId148" ref="I75"/>
    <hyperlink r:id="rId149" ref="H76"/>
    <hyperlink r:id="rId150" ref="I76"/>
    <hyperlink r:id="rId151" ref="H77"/>
    <hyperlink r:id="rId152" ref="I77"/>
    <hyperlink r:id="rId153" ref="H78"/>
    <hyperlink r:id="rId154" ref="I78"/>
    <hyperlink r:id="rId155" ref="H79"/>
    <hyperlink r:id="rId156" ref="I79"/>
    <hyperlink r:id="rId157" ref="H80"/>
    <hyperlink r:id="rId158" ref="I80"/>
    <hyperlink r:id="rId159" ref="H81"/>
    <hyperlink r:id="rId160" ref="I81"/>
    <hyperlink r:id="rId161" ref="H82"/>
    <hyperlink r:id="rId162" ref="I82"/>
    <hyperlink r:id="rId163" ref="H83"/>
    <hyperlink r:id="rId164" ref="I83"/>
    <hyperlink r:id="rId165" ref="H84"/>
    <hyperlink r:id="rId166" ref="I84"/>
    <hyperlink r:id="rId167" ref="H85"/>
    <hyperlink r:id="rId168" ref="I85"/>
    <hyperlink r:id="rId169" ref="H86"/>
    <hyperlink r:id="rId170" ref="I86"/>
    <hyperlink r:id="rId171" ref="H87"/>
    <hyperlink r:id="rId172" ref="I87"/>
    <hyperlink r:id="rId173" ref="H88"/>
    <hyperlink r:id="rId174" ref="I88"/>
    <hyperlink r:id="rId175" ref="H89"/>
    <hyperlink r:id="rId176" ref="I89"/>
    <hyperlink r:id="rId177" ref="H90"/>
    <hyperlink r:id="rId178" ref="I90"/>
    <hyperlink r:id="rId179" ref="H91"/>
    <hyperlink r:id="rId180" ref="I91"/>
    <hyperlink r:id="rId181" ref="H92"/>
    <hyperlink r:id="rId182" ref="I92"/>
    <hyperlink r:id="rId183" ref="H93"/>
    <hyperlink r:id="rId184" ref="I93"/>
    <hyperlink r:id="rId185" ref="H94"/>
    <hyperlink r:id="rId186" ref="I94"/>
    <hyperlink r:id="rId187" ref="H95"/>
    <hyperlink r:id="rId188" ref="I95"/>
    <hyperlink r:id="rId189" ref="H96"/>
    <hyperlink r:id="rId190" ref="I96"/>
    <hyperlink r:id="rId191" ref="H97"/>
    <hyperlink r:id="rId192" ref="I97"/>
    <hyperlink r:id="rId193" ref="H98"/>
    <hyperlink r:id="rId194" ref="I98"/>
    <hyperlink r:id="rId195" ref="H99"/>
    <hyperlink r:id="rId196" ref="I99"/>
    <hyperlink r:id="rId197" ref="H100"/>
    <hyperlink r:id="rId198" ref="I100"/>
    <hyperlink r:id="rId199" ref="H101"/>
    <hyperlink r:id="rId200" ref="I101"/>
    <hyperlink r:id="rId201" ref="H102"/>
    <hyperlink r:id="rId202" ref="I102"/>
    <hyperlink r:id="rId203" ref="H103"/>
    <hyperlink r:id="rId204" ref="I103"/>
    <hyperlink r:id="rId205" ref="H104"/>
    <hyperlink r:id="rId206" ref="I104"/>
    <hyperlink r:id="rId207" ref="H105"/>
    <hyperlink r:id="rId208" ref="I105"/>
    <hyperlink r:id="rId209" ref="H106"/>
    <hyperlink r:id="rId210" ref="I106"/>
    <hyperlink r:id="rId211" ref="H107"/>
    <hyperlink r:id="rId212" ref="I107"/>
    <hyperlink r:id="rId213" ref="H108"/>
    <hyperlink r:id="rId214" ref="I108"/>
    <hyperlink r:id="rId215" ref="H109"/>
    <hyperlink r:id="rId216" ref="I109"/>
    <hyperlink r:id="rId217" ref="H110"/>
    <hyperlink r:id="rId218" ref="I110"/>
    <hyperlink r:id="rId219" ref="H111"/>
    <hyperlink r:id="rId220" ref="I111"/>
    <hyperlink r:id="rId221" ref="H112"/>
    <hyperlink r:id="rId222" ref="I112"/>
    <hyperlink r:id="rId223" ref="H113"/>
    <hyperlink r:id="rId224" ref="I113"/>
    <hyperlink r:id="rId225" ref="H114"/>
    <hyperlink r:id="rId226" ref="I114"/>
    <hyperlink r:id="rId227" ref="H115"/>
    <hyperlink r:id="rId228" ref="I115"/>
    <hyperlink r:id="rId229" ref="H116"/>
    <hyperlink r:id="rId230" ref="I116"/>
    <hyperlink r:id="rId231" ref="H117"/>
    <hyperlink r:id="rId232" ref="I117"/>
    <hyperlink r:id="rId233" ref="H118"/>
    <hyperlink r:id="rId234" ref="I118"/>
    <hyperlink r:id="rId235" ref="H119"/>
    <hyperlink r:id="rId236" ref="I119"/>
    <hyperlink r:id="rId237" ref="H120"/>
    <hyperlink r:id="rId238" ref="I120"/>
    <hyperlink r:id="rId239" ref="H121"/>
    <hyperlink r:id="rId240" ref="I121"/>
    <hyperlink r:id="rId241" ref="H122"/>
    <hyperlink r:id="rId242" ref="I122"/>
    <hyperlink r:id="rId243" ref="H123"/>
    <hyperlink r:id="rId244" ref="I123"/>
    <hyperlink r:id="rId245" ref="H124"/>
    <hyperlink r:id="rId246" ref="I124"/>
    <hyperlink r:id="rId247" ref="H125"/>
    <hyperlink r:id="rId248" ref="I125"/>
    <hyperlink r:id="rId249" ref="H126"/>
    <hyperlink r:id="rId250" ref="I126"/>
    <hyperlink r:id="rId251" ref="H127"/>
    <hyperlink r:id="rId252" ref="I127"/>
    <hyperlink r:id="rId253" ref="H128"/>
    <hyperlink r:id="rId254" ref="I128"/>
    <hyperlink r:id="rId255" ref="H129"/>
    <hyperlink r:id="rId256" ref="I129"/>
    <hyperlink r:id="rId257" ref="H130"/>
    <hyperlink r:id="rId258" ref="I130"/>
    <hyperlink r:id="rId259" ref="H131"/>
    <hyperlink r:id="rId260" ref="I131"/>
    <hyperlink r:id="rId261" ref="H132"/>
    <hyperlink r:id="rId262" ref="I132"/>
    <hyperlink r:id="rId263" ref="H133"/>
    <hyperlink r:id="rId264" ref="I133"/>
    <hyperlink r:id="rId265" ref="H134"/>
    <hyperlink r:id="rId266" ref="I134"/>
    <hyperlink r:id="rId267" ref="H135"/>
    <hyperlink r:id="rId268" ref="I135"/>
    <hyperlink r:id="rId269" ref="H136"/>
    <hyperlink r:id="rId270" ref="I136"/>
    <hyperlink r:id="rId271" ref="H137"/>
    <hyperlink r:id="rId272" ref="I137"/>
    <hyperlink r:id="rId273" ref="H138"/>
    <hyperlink r:id="rId274" ref="I138"/>
    <hyperlink r:id="rId275" ref="H139"/>
    <hyperlink r:id="rId276" ref="I139"/>
    <hyperlink r:id="rId277" ref="H140"/>
    <hyperlink r:id="rId278" ref="I140"/>
    <hyperlink r:id="rId279" ref="H141"/>
    <hyperlink r:id="rId280" ref="I141"/>
    <hyperlink r:id="rId281" ref="H142"/>
    <hyperlink r:id="rId282" ref="I142"/>
    <hyperlink r:id="rId283" ref="H143"/>
    <hyperlink r:id="rId284" ref="I143"/>
    <hyperlink r:id="rId285" ref="H144"/>
    <hyperlink r:id="rId286" ref="I144"/>
    <hyperlink r:id="rId287" ref="H145"/>
    <hyperlink r:id="rId288" ref="I145"/>
    <hyperlink r:id="rId289" ref="H146"/>
    <hyperlink r:id="rId290" ref="I146"/>
    <hyperlink r:id="rId291" ref="H147"/>
    <hyperlink r:id="rId292" ref="I147"/>
    <hyperlink r:id="rId293" ref="H148"/>
    <hyperlink r:id="rId294" ref="I148"/>
    <hyperlink r:id="rId295" ref="H149"/>
    <hyperlink r:id="rId296" ref="I149"/>
    <hyperlink r:id="rId297" ref="H150"/>
    <hyperlink r:id="rId298" ref="I150"/>
    <hyperlink r:id="rId299" ref="H151"/>
    <hyperlink r:id="rId300" ref="I151"/>
    <hyperlink r:id="rId301" ref="H152"/>
    <hyperlink r:id="rId302" ref="I152"/>
    <hyperlink r:id="rId303" ref="H153"/>
    <hyperlink r:id="rId304" ref="I153"/>
    <hyperlink r:id="rId305" ref="H154"/>
    <hyperlink r:id="rId306" ref="I154"/>
    <hyperlink r:id="rId307" ref="H155"/>
    <hyperlink r:id="rId308" ref="I155"/>
    <hyperlink r:id="rId309" ref="H156"/>
    <hyperlink r:id="rId310" ref="I156"/>
    <hyperlink r:id="rId311" ref="H157"/>
    <hyperlink r:id="rId312" ref="I157"/>
    <hyperlink r:id="rId313" ref="H158"/>
    <hyperlink r:id="rId314" ref="I158"/>
    <hyperlink r:id="rId315" ref="H159"/>
    <hyperlink r:id="rId316" ref="I159"/>
    <hyperlink r:id="rId317" ref="H160"/>
    <hyperlink r:id="rId318" ref="I160"/>
    <hyperlink r:id="rId319" ref="H161"/>
    <hyperlink r:id="rId320" ref="I161"/>
    <hyperlink r:id="rId321" ref="H162"/>
    <hyperlink r:id="rId322" ref="I162"/>
    <hyperlink r:id="rId323" ref="H163"/>
    <hyperlink r:id="rId324" ref="I163"/>
    <hyperlink r:id="rId325" ref="H164"/>
    <hyperlink r:id="rId326" ref="I164"/>
    <hyperlink r:id="rId327" ref="H165"/>
    <hyperlink r:id="rId328" ref="I165"/>
    <hyperlink r:id="rId329" ref="H166"/>
    <hyperlink r:id="rId330" ref="I166"/>
    <hyperlink r:id="rId331" ref="H167"/>
    <hyperlink r:id="rId332" ref="I167"/>
    <hyperlink r:id="rId333" ref="H168"/>
    <hyperlink r:id="rId334" ref="I168"/>
    <hyperlink r:id="rId335" ref="H169"/>
    <hyperlink r:id="rId336" ref="I169"/>
    <hyperlink r:id="rId337" ref="H170"/>
    <hyperlink r:id="rId338" ref="I170"/>
    <hyperlink r:id="rId339" ref="H171"/>
    <hyperlink r:id="rId340" ref="I171"/>
    <hyperlink r:id="rId341" ref="H172"/>
    <hyperlink r:id="rId342" ref="I172"/>
    <hyperlink r:id="rId343" ref="H173"/>
    <hyperlink r:id="rId344" ref="I173"/>
    <hyperlink r:id="rId345" ref="H174"/>
    <hyperlink r:id="rId346" ref="I174"/>
    <hyperlink r:id="rId347" ref="H175"/>
    <hyperlink r:id="rId348" ref="I175"/>
    <hyperlink r:id="rId349" ref="H176"/>
    <hyperlink r:id="rId350" ref="I176"/>
    <hyperlink r:id="rId351" ref="H177"/>
    <hyperlink r:id="rId352" ref="I177"/>
    <hyperlink r:id="rId353" ref="H178"/>
    <hyperlink r:id="rId354" ref="I178"/>
    <hyperlink r:id="rId355" ref="H179"/>
    <hyperlink r:id="rId356" ref="I179"/>
    <hyperlink r:id="rId357" ref="H180"/>
    <hyperlink r:id="rId358" ref="I180"/>
    <hyperlink r:id="rId359" ref="H181"/>
    <hyperlink r:id="rId360" ref="I181"/>
    <hyperlink r:id="rId361" ref="H182"/>
    <hyperlink r:id="rId362" ref="I182"/>
    <hyperlink r:id="rId363" ref="H183"/>
    <hyperlink r:id="rId364" ref="I183"/>
    <hyperlink r:id="rId365" ref="H184"/>
    <hyperlink r:id="rId366" ref="I184"/>
    <hyperlink r:id="rId367" ref="H185"/>
    <hyperlink r:id="rId368" ref="I185"/>
    <hyperlink r:id="rId369" ref="H186"/>
    <hyperlink r:id="rId370" ref="I186"/>
    <hyperlink r:id="rId371" ref="H187"/>
    <hyperlink r:id="rId372" ref="I187"/>
    <hyperlink r:id="rId373" ref="H188"/>
    <hyperlink r:id="rId374" ref="I188"/>
    <hyperlink r:id="rId375" ref="H189"/>
    <hyperlink r:id="rId376" ref="I189"/>
    <hyperlink r:id="rId377" ref="H190"/>
    <hyperlink r:id="rId378" ref="I190"/>
    <hyperlink r:id="rId379" ref="H191"/>
    <hyperlink r:id="rId380" ref="I191"/>
    <hyperlink r:id="rId381" ref="H192"/>
    <hyperlink r:id="rId382" ref="I192"/>
    <hyperlink r:id="rId383" ref="H193"/>
    <hyperlink r:id="rId384" ref="I193"/>
    <hyperlink r:id="rId385" ref="H194"/>
    <hyperlink r:id="rId386" ref="I194"/>
    <hyperlink r:id="rId387" ref="H195"/>
    <hyperlink r:id="rId388" ref="I195"/>
    <hyperlink r:id="rId389" ref="H196"/>
    <hyperlink r:id="rId390" ref="I196"/>
    <hyperlink r:id="rId391" ref="H197"/>
    <hyperlink r:id="rId392" ref="I197"/>
    <hyperlink r:id="rId393" ref="H198"/>
    <hyperlink r:id="rId394" ref="I198"/>
    <hyperlink r:id="rId395" ref="H199"/>
    <hyperlink r:id="rId396" ref="I199"/>
    <hyperlink r:id="rId397" ref="H200"/>
    <hyperlink r:id="rId398" ref="I200"/>
    <hyperlink r:id="rId399" ref="H201"/>
    <hyperlink r:id="rId400" ref="I201"/>
    <hyperlink r:id="rId401" ref="H202"/>
    <hyperlink r:id="rId402" ref="I202"/>
    <hyperlink r:id="rId403" ref="H203"/>
    <hyperlink r:id="rId404" ref="I203"/>
    <hyperlink r:id="rId405" ref="H204"/>
    <hyperlink r:id="rId406" ref="I204"/>
    <hyperlink r:id="rId407" ref="H205"/>
    <hyperlink r:id="rId408" ref="I205"/>
    <hyperlink r:id="rId409" ref="H206"/>
    <hyperlink r:id="rId410" ref="I206"/>
    <hyperlink r:id="rId411" ref="H207"/>
    <hyperlink r:id="rId412" ref="I207"/>
    <hyperlink r:id="rId413" ref="H208"/>
    <hyperlink r:id="rId414" ref="I208"/>
    <hyperlink r:id="rId415" ref="H209"/>
    <hyperlink r:id="rId416" ref="I209"/>
    <hyperlink r:id="rId417" ref="H210"/>
    <hyperlink r:id="rId418" ref="I210"/>
    <hyperlink r:id="rId419" ref="H211"/>
    <hyperlink r:id="rId420" ref="I211"/>
    <hyperlink r:id="rId421" ref="H212"/>
    <hyperlink r:id="rId422" ref="I212"/>
    <hyperlink r:id="rId423" ref="H213"/>
    <hyperlink r:id="rId424" ref="I213"/>
    <hyperlink r:id="rId425" ref="H214"/>
    <hyperlink r:id="rId426" ref="I214"/>
    <hyperlink r:id="rId427" ref="H215"/>
    <hyperlink r:id="rId428" ref="I215"/>
    <hyperlink r:id="rId429" ref="H216"/>
    <hyperlink r:id="rId430" ref="I216"/>
    <hyperlink r:id="rId431" ref="H217"/>
    <hyperlink r:id="rId432" ref="I217"/>
    <hyperlink r:id="rId433" ref="H218"/>
    <hyperlink r:id="rId434" ref="I218"/>
    <hyperlink r:id="rId435" ref="H219"/>
    <hyperlink r:id="rId436" ref="I219"/>
    <hyperlink r:id="rId437" ref="H220"/>
    <hyperlink r:id="rId438" ref="I220"/>
    <hyperlink r:id="rId439" ref="H221"/>
    <hyperlink r:id="rId440" ref="I221"/>
    <hyperlink r:id="rId441" ref="H222"/>
    <hyperlink r:id="rId442" ref="I222"/>
    <hyperlink r:id="rId443" ref="H223"/>
    <hyperlink r:id="rId444" ref="I223"/>
    <hyperlink r:id="rId445" ref="H224"/>
    <hyperlink r:id="rId446" ref="I224"/>
    <hyperlink r:id="rId447" ref="H225"/>
    <hyperlink r:id="rId448" ref="I225"/>
    <hyperlink r:id="rId449" ref="H226"/>
    <hyperlink r:id="rId450" ref="I226"/>
    <hyperlink r:id="rId451" ref="H227"/>
    <hyperlink r:id="rId452" ref="I227"/>
    <hyperlink r:id="rId453" ref="H228"/>
    <hyperlink r:id="rId454" ref="I228"/>
    <hyperlink r:id="rId455" ref="H229"/>
    <hyperlink r:id="rId456" ref="I229"/>
    <hyperlink r:id="rId457" ref="H230"/>
    <hyperlink r:id="rId458" ref="I230"/>
    <hyperlink r:id="rId459" ref="H231"/>
    <hyperlink r:id="rId460" ref="I231"/>
    <hyperlink r:id="rId461" ref="H232"/>
    <hyperlink r:id="rId462" ref="I232"/>
    <hyperlink r:id="rId463" ref="H233"/>
    <hyperlink r:id="rId464" ref="I233"/>
    <hyperlink r:id="rId465" ref="H234"/>
    <hyperlink r:id="rId466" ref="I234"/>
    <hyperlink r:id="rId467" ref="H235"/>
    <hyperlink r:id="rId468" ref="I235"/>
    <hyperlink r:id="rId469" ref="H236"/>
    <hyperlink r:id="rId470" ref="I236"/>
    <hyperlink r:id="rId471" ref="H237"/>
    <hyperlink r:id="rId472" ref="I237"/>
    <hyperlink r:id="rId473" ref="H238"/>
    <hyperlink r:id="rId474" ref="I238"/>
    <hyperlink r:id="rId475" ref="H239"/>
    <hyperlink r:id="rId476" ref="I239"/>
    <hyperlink r:id="rId477" ref="H240"/>
    <hyperlink r:id="rId478" ref="I240"/>
    <hyperlink r:id="rId479" ref="H241"/>
    <hyperlink r:id="rId480" ref="I241"/>
    <hyperlink r:id="rId481" ref="H242"/>
    <hyperlink r:id="rId482" ref="I242"/>
    <hyperlink r:id="rId483" ref="H243"/>
    <hyperlink r:id="rId484" ref="I243"/>
    <hyperlink r:id="rId485" ref="H244"/>
    <hyperlink r:id="rId486" ref="I244"/>
    <hyperlink r:id="rId487" ref="H245"/>
    <hyperlink r:id="rId488" ref="I245"/>
    <hyperlink r:id="rId489" ref="H246"/>
    <hyperlink r:id="rId490" ref="I246"/>
    <hyperlink r:id="rId491" ref="H247"/>
    <hyperlink r:id="rId492" ref="I247"/>
    <hyperlink r:id="rId493" ref="H248"/>
    <hyperlink r:id="rId494" ref="I248"/>
    <hyperlink r:id="rId495" ref="H249"/>
    <hyperlink r:id="rId496" ref="I249"/>
    <hyperlink r:id="rId497" ref="H250"/>
    <hyperlink r:id="rId498" ref="I250"/>
    <hyperlink r:id="rId499" ref="H251"/>
    <hyperlink r:id="rId500" ref="I251"/>
    <hyperlink r:id="rId501" ref="H252"/>
    <hyperlink r:id="rId502" ref="I252"/>
    <hyperlink r:id="rId503" ref="H253"/>
    <hyperlink r:id="rId504" ref="I253"/>
    <hyperlink r:id="rId505" ref="H254"/>
    <hyperlink r:id="rId506" ref="I254"/>
    <hyperlink r:id="rId507" ref="H255"/>
    <hyperlink r:id="rId508" ref="I255"/>
    <hyperlink r:id="rId509" ref="H256"/>
    <hyperlink r:id="rId510" ref="I256"/>
    <hyperlink r:id="rId511" ref="H257"/>
    <hyperlink r:id="rId512" ref="I257"/>
    <hyperlink r:id="rId513" ref="H258"/>
    <hyperlink r:id="rId514" ref="I258"/>
    <hyperlink r:id="rId515" ref="H259"/>
    <hyperlink r:id="rId516" ref="I259"/>
    <hyperlink r:id="rId517" ref="H260"/>
    <hyperlink r:id="rId518" ref="I260"/>
    <hyperlink r:id="rId519" ref="H261"/>
    <hyperlink r:id="rId520" ref="I261"/>
    <hyperlink r:id="rId521" ref="H262"/>
    <hyperlink r:id="rId522" ref="I262"/>
    <hyperlink r:id="rId523" ref="H263"/>
    <hyperlink r:id="rId524" ref="I263"/>
    <hyperlink r:id="rId525" ref="H264"/>
    <hyperlink r:id="rId526" ref="I264"/>
    <hyperlink r:id="rId527" ref="H265"/>
    <hyperlink r:id="rId528" ref="I265"/>
    <hyperlink r:id="rId529" ref="H266"/>
    <hyperlink r:id="rId530" ref="I266"/>
    <hyperlink r:id="rId531" ref="H267"/>
    <hyperlink r:id="rId532" ref="I267"/>
    <hyperlink r:id="rId533" ref="H268"/>
    <hyperlink r:id="rId534" ref="I268"/>
    <hyperlink r:id="rId535" ref="H269"/>
    <hyperlink r:id="rId536" ref="I269"/>
    <hyperlink r:id="rId537" ref="H270"/>
    <hyperlink r:id="rId538" ref="I270"/>
    <hyperlink r:id="rId539" ref="H271"/>
    <hyperlink r:id="rId540" ref="I271"/>
    <hyperlink r:id="rId541" ref="H272"/>
    <hyperlink r:id="rId542" ref="I272"/>
    <hyperlink r:id="rId543" ref="H273"/>
    <hyperlink r:id="rId544" ref="I273"/>
    <hyperlink r:id="rId545" ref="H274"/>
    <hyperlink r:id="rId546" ref="I274"/>
    <hyperlink r:id="rId547" ref="H275"/>
    <hyperlink r:id="rId548" ref="I275"/>
    <hyperlink r:id="rId549" ref="H276"/>
    <hyperlink r:id="rId550" ref="I276"/>
    <hyperlink r:id="rId551" ref="H277"/>
    <hyperlink r:id="rId552" ref="I277"/>
    <hyperlink r:id="rId553" ref="H278"/>
    <hyperlink r:id="rId554" ref="I278"/>
    <hyperlink r:id="rId555" ref="H279"/>
    <hyperlink r:id="rId556" ref="I279"/>
    <hyperlink r:id="rId557" ref="H280"/>
    <hyperlink r:id="rId558" ref="I280"/>
    <hyperlink r:id="rId559" ref="H281"/>
    <hyperlink r:id="rId560" ref="I281"/>
    <hyperlink r:id="rId561" ref="H282"/>
    <hyperlink r:id="rId562" ref="I282"/>
  </hyperlinks>
  <printOptions/>
  <pageMargins bottom="0.75" footer="0.0" header="0.0" left="0.7" right="0.7" top="0.75"/>
  <pageSetup orientation="portrait"/>
  <drawing r:id="rId563"/>
  <tableParts count="3">
    <tablePart r:id="rId567"/>
    <tablePart r:id="rId568"/>
    <tablePart r:id="rId56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039"/>
      <c r="B1" s="1039"/>
      <c r="C1" s="1039"/>
      <c r="D1" s="1039"/>
    </row>
    <row r="2" ht="15.75" customHeight="1">
      <c r="A2" s="1097" t="s">
        <v>701</v>
      </c>
      <c r="B2" s="1097" t="s">
        <v>702</v>
      </c>
      <c r="C2" s="1097" t="s">
        <v>703</v>
      </c>
      <c r="D2" s="1097" t="s">
        <v>704</v>
      </c>
      <c r="E2" s="1097" t="s">
        <v>705</v>
      </c>
      <c r="F2" s="1097" t="s">
        <v>706</v>
      </c>
      <c r="G2" s="1100">
        <f>IF('League History'!AJ44="N/A","N/A",
COUNTIFS('Playoff History'!$H:$H, 'League History'!AJ44, 'Playoff History'!$M:$M, 'League History'!AJ44, 'Playoff History'!$K:$K, 'League History'!$AJ$42, 'Playoff History'!$I:$I, "&lt;&gt;", 'Playoff History'!$E:$E, "YES")
+ COUNTIFS('Playoff History'!$K:$K, 'League History'!AJ44, 'Playoff History'!$M:$M, 'League History'!AJ44, 'Playoff History'!$H:$H, 'League History'!$AJ$42, 'Playoff History'!$I:$I, "&lt;&gt;", 'Playoff History'!$E:$E, "YES"))</f>
        <v>3</v>
      </c>
      <c r="H2" s="960">
        <f>IF('League History'!AJ44="N/A","N/A",COUNTIFS('Playoff History'!$H:$H,'League History'!AJ44,'Playoff History'!$L:$L,'League History'!AJ44,'Playoff History'!$K:$K,'League History'!$AJ$42,'Playoff History'!$I:$I,"&lt;&gt;",'Playoff History'!$E:$E, "YES")+COUNTIFS('Playoff History'!$K:$K,'League History'!AJ44,'Playoff History'!$L:$L,'League History'!AJ44,'Playoff History'!$H:$H,'League History'!$AJ$42,'Playoff History'!$I:$I,"&lt;&gt;", 'Playoff History'!$E:$E, "YES"))</f>
        <v>1</v>
      </c>
    </row>
    <row r="3" ht="15.75" customHeight="1">
      <c r="A3" s="13">
        <f>IFERROR(AVERAGEIFS('League History'!M:M,'League History'!G:G,'League History'!AJ44,'League History'!J:J,'League History'!$AJ$42,'League History'!N:N,"&lt;&gt;0"),"NO")</f>
        <v>26.44583333</v>
      </c>
      <c r="B3" s="13">
        <f>IFERROR(AVERAGEIFS('League History'!M:M,'League History'!J:J,'League History'!AJ44,'League History'!G:G,'League History'!$AJ$42,'League History'!N:N,"&lt;&gt;0"),"NO")</f>
        <v>57.81333333</v>
      </c>
      <c r="C3" s="13">
        <f>IFERROR(AVERAGEIFS('League History'!P:P,'League History'!G:G,'League History'!AJ44,'League History'!J:J,'League History'!$AJ$42,'League History'!Q:Q,"&lt;&gt;0"),"NO")</f>
        <v>321.5808333</v>
      </c>
      <c r="D3" s="13">
        <f>IFERROR(AVERAGEIFS('League History'!P:P,'League History'!J:J,'League History'!AJ44,'League History'!G:G,'League History'!$AJ$42,'League History'!Q:Q,"&lt;&gt;0"),"NO")</f>
        <v>392.5466667</v>
      </c>
      <c r="E3" s="13">
        <f>IFERROR(AVERAGEIFS('League History'!R:R,'League History'!G:G,'League History'!AJ44,'League History'!J:J,'League History'!$AJ$42,'League History'!S:S,"&lt;&gt;0"),"NO")</f>
        <v>206.1666667</v>
      </c>
      <c r="F3" s="13">
        <f>IFERROR(AVERAGEIFS('League History'!R:R,'League History'!J:J,'League History'!AJ44,'League History'!G:G,'League History'!$AJ$42,'League History'!S:S,"&lt;&gt;0"),"NO")</f>
        <v>185.4166667</v>
      </c>
      <c r="G3" s="1100" t="str">
        <f>IF('League History'!AJ45="N/A","N/A",
COUNTIFS('Playoff History'!$H:$H, 'League History'!AJ45, 'Playoff History'!$M:$M, 'League History'!AJ45, 'Playoff History'!$K:$K, 'League History'!$AJ$42, 'Playoff History'!$I:$I, "&lt;&gt;", 'Playoff History'!$E:$E, "YES")
+ COUNTIFS('Playoff History'!$K:$K, 'League History'!AJ45, 'Playoff History'!$M:$M, 'League History'!AJ45, 'Playoff History'!$H:$H, 'League History'!$AJ$42, 'Playoff History'!$I:$I, "&lt;&gt;", 'Playoff History'!$E:$E, "YES"))</f>
        <v>N/A</v>
      </c>
      <c r="H3" s="960" t="str">
        <f>IF('League History'!AJ45="N/A","N/A",COUNTIFS('Playoff History'!$H:$H,'League History'!AJ45,'Playoff History'!$L:$L,'League History'!AJ45,'Playoff History'!$K:$K,'League History'!$AJ$42,'Playoff History'!$I:$I,"&lt;&gt;",'Playoff History'!$E:$E, "YES")+COUNTIFS('Playoff History'!$K:$K,'League History'!AJ45,'Playoff History'!$L:$L,'League History'!AJ45,'Playoff History'!$H:$H,'League History'!$AJ$42,'Playoff History'!$I:$I,"&lt;&gt;", 'Playoff History'!$E:$E, "YES"))</f>
        <v>N/A</v>
      </c>
    </row>
    <row r="4" ht="15.75" customHeight="1">
      <c r="A4" s="13" t="str">
        <f>IFERROR(AVERAGEIFS('League History'!M:M,'League History'!G:G,'League History'!AJ45,'League History'!J:J,'League History'!$AJ$42,'League History'!N:N,"&lt;&gt;0"),"NO")</f>
        <v>NO</v>
      </c>
      <c r="B4" s="13" t="str">
        <f>IFERROR(AVERAGEIFS('League History'!M:M,'League History'!J:J,'League History'!AJ45,'League History'!G:G,'League History'!$AJ$42,'League History'!N:N,"&lt;&gt;0"),"NO")</f>
        <v>NO</v>
      </c>
      <c r="C4" s="13" t="str">
        <f>IFERROR(AVERAGEIFS('League History'!P:P,'League History'!G:G,'League History'!AJ45,'League History'!J:J,'League History'!$AJ$42,'League History'!Q:Q,"&lt;&gt;0"),"NO")</f>
        <v>NO</v>
      </c>
      <c r="D4" s="13" t="str">
        <f>IFERROR(AVERAGEIFS('League History'!P:P,'League History'!J:J,'League History'!AJ45,'League History'!G:G,'League History'!$AJ$42,'League History'!Q:Q,"&lt;&gt;0"),"NO")</f>
        <v>NO</v>
      </c>
      <c r="E4" s="13" t="str">
        <f>IFERROR(AVERAGEIFS('League History'!R:R,'League History'!G:G,'League History'!AJ45,'League History'!J:J,'League History'!$AJ$42,'League History'!S:S,"&lt;&gt;0"),"NO")</f>
        <v>NO</v>
      </c>
      <c r="F4" s="13" t="str">
        <f>IFERROR(AVERAGEIFS('League History'!R:R,'League History'!J:J,'League History'!AJ45,'League History'!G:G,'League History'!$AJ$42,'League History'!S:S,"&lt;&gt;0"),"NO")</f>
        <v>NO</v>
      </c>
      <c r="G4" s="1100">
        <f>IF('League History'!AJ46="N/A","N/A",
COUNTIFS('Playoff History'!$H:$H, 'League History'!AJ46, 'Playoff History'!$M:$M, 'League History'!AJ46, 'Playoff History'!$K:$K, 'League History'!$AJ$42, 'Playoff History'!$I:$I, "&lt;&gt;", 'Playoff History'!$E:$E, "YES")
+ COUNTIFS('Playoff History'!$K:$K, 'League History'!AJ46, 'Playoff History'!$M:$M, 'League History'!AJ46, 'Playoff History'!$H:$H, 'League History'!$AJ$42, 'Playoff History'!$I:$I, "&lt;&gt;", 'Playoff History'!$E:$E, "YES"))</f>
        <v>2</v>
      </c>
      <c r="H4" s="960">
        <f>IF('League History'!AJ46="N/A","N/A",COUNTIFS('Playoff History'!$H:$H,'League History'!AJ46,'Playoff History'!$L:$L,'League History'!AJ46,'Playoff History'!$K:$K,'League History'!$AJ$42,'Playoff History'!$I:$I,"&lt;&gt;",'Playoff History'!$E:$E, "YES")+COUNTIFS('Playoff History'!$K:$K,'League History'!AJ46,'Playoff History'!$L:$L,'League History'!AJ46,'Playoff History'!$H:$H,'League History'!$AJ$42,'Playoff History'!$I:$I,"&lt;&gt;", 'Playoff History'!$E:$E, "YES"))</f>
        <v>1</v>
      </c>
    </row>
    <row r="5" ht="15.75" customHeight="1">
      <c r="A5" s="13">
        <f>IFERROR(AVERAGEIFS('League History'!M:M,'League History'!G:G,'League History'!AJ46,'League History'!J:J,'League History'!$AJ$42,'League History'!N:N,"&lt;&gt;0"),"NO")</f>
        <v>29.282</v>
      </c>
      <c r="B5" s="13">
        <f>IFERROR(AVERAGEIFS('League History'!M:M,'League History'!J:J,'League History'!AJ46,'League History'!G:G,'League History'!$AJ$42,'League History'!N:N,"&lt;&gt;0"),"NO")</f>
        <v>42.51625</v>
      </c>
      <c r="C5" s="13">
        <f>IFERROR(AVERAGEIFS('League History'!P:P,'League History'!G:G,'League History'!AJ46,'League History'!J:J,'League History'!$AJ$42,'League History'!Q:Q,"&lt;&gt;0"),"NO")</f>
        <v>323.406</v>
      </c>
      <c r="D5" s="13">
        <f>IFERROR(AVERAGEIFS('League History'!P:P,'League History'!J:J,'League History'!AJ46,'League History'!G:G,'League History'!$AJ$42,'League History'!Q:Q,"&lt;&gt;0"),"NO")</f>
        <v>370.93125</v>
      </c>
      <c r="E5" s="13">
        <f>IFERROR(AVERAGEIFS('League History'!R:R,'League History'!G:G,'League History'!AJ46,'League History'!J:J,'League History'!$AJ$42,'League History'!S:S,"&lt;&gt;0"),"NO")</f>
        <v>207.9</v>
      </c>
      <c r="F5" s="13">
        <f>IFERROR(AVERAGEIFS('League History'!R:R,'League History'!J:J,'League History'!AJ46,'League History'!G:G,'League History'!$AJ$42,'League History'!S:S,"&lt;&gt;0"),"NO")</f>
        <v>187.625</v>
      </c>
      <c r="G5" s="1100">
        <f>IF('League History'!AJ47="N/A","N/A",
COUNTIFS('Playoff History'!$H:$H, 'League History'!AJ47, 'Playoff History'!$M:$M, 'League History'!AJ47, 'Playoff History'!$K:$K, 'League History'!$AJ$42, 'Playoff History'!$I:$I, "&lt;&gt;", 'Playoff History'!$E:$E, "YES")
+ COUNTIFS('Playoff History'!$K:$K, 'League History'!AJ47, 'Playoff History'!$M:$M, 'League History'!AJ47, 'Playoff History'!$H:$H, 'League History'!$AJ$42, 'Playoff History'!$I:$I, "&lt;&gt;", 'Playoff History'!$E:$E, "YES"))</f>
        <v>2</v>
      </c>
      <c r="H5" s="960">
        <f>IF('League History'!AJ47="N/A","N/A",COUNTIFS('Playoff History'!$H:$H,'League History'!AJ47,'Playoff History'!$L:$L,'League History'!AJ47,'Playoff History'!$K:$K,'League History'!$AJ$42,'Playoff History'!$I:$I,"&lt;&gt;",'Playoff History'!$E:$E, "YES")+COUNTIFS('Playoff History'!$K:$K,'League History'!AJ47,'Playoff History'!$L:$L,'League History'!AJ47,'Playoff History'!$H:$H,'League History'!$AJ$42,'Playoff History'!$I:$I,"&lt;&gt;", 'Playoff History'!$E:$E, "YES"))</f>
        <v>0</v>
      </c>
    </row>
    <row r="6" ht="15.75" customHeight="1">
      <c r="A6" s="13">
        <f>IFERROR(AVERAGEIFS('League History'!M:M,'League History'!G:G,'League History'!AJ47,'League History'!J:J,'League History'!$AJ$42,'League History'!N:N,"&lt;&gt;0"),"NO")</f>
        <v>23.65</v>
      </c>
      <c r="B6" s="13">
        <f>IFERROR(AVERAGEIFS('League History'!M:M,'League History'!J:J,'League History'!AJ47,'League History'!G:G,'League History'!$AJ$42,'League History'!N:N,"&lt;&gt;0"),"NO")</f>
        <v>35.22142857</v>
      </c>
      <c r="C6" s="13">
        <f>IFERROR(AVERAGEIFS('League History'!P:P,'League History'!G:G,'League History'!AJ47,'League History'!J:J,'League History'!$AJ$42,'League History'!Q:Q,"&lt;&gt;0"),"NO")</f>
        <v>313.395</v>
      </c>
      <c r="D6" s="13">
        <f>IFERROR(AVERAGEIFS('League History'!P:P,'League History'!J:J,'League History'!AJ47,'League History'!G:G,'League History'!$AJ$42,'League History'!Q:Q,"&lt;&gt;0"),"NO")</f>
        <v>341.0142857</v>
      </c>
      <c r="E6" s="13">
        <f>IFERROR(AVERAGEIFS('League History'!R:R,'League History'!G:G,'League History'!AJ47,'League History'!J:J,'League History'!$AJ$42,'League History'!S:S,"&lt;&gt;0"),"NO")</f>
        <v>212.25</v>
      </c>
      <c r="F6" s="13">
        <f>IFERROR(AVERAGEIFS('League History'!R:R,'League History'!J:J,'League History'!AJ47,'League History'!G:G,'League History'!$AJ$42,'League History'!S:S,"&lt;&gt;0"),"NO")</f>
        <v>200.9642857</v>
      </c>
      <c r="G6" s="1100">
        <f>IF('League History'!AJ48="N/A","N/A",
COUNTIFS('Playoff History'!$H:$H, 'League History'!AJ48, 'Playoff History'!$M:$M, 'League History'!AJ48, 'Playoff History'!$K:$K, 'League History'!$AJ$42, 'Playoff History'!$I:$I, "&lt;&gt;", 'Playoff History'!$E:$E, "YES")
+ COUNTIFS('Playoff History'!$K:$K, 'League History'!AJ48, 'Playoff History'!$M:$M, 'League History'!AJ48, 'Playoff History'!$H:$H, 'League History'!$AJ$42, 'Playoff History'!$I:$I, "&lt;&gt;", 'Playoff History'!$E:$E, "YES"))</f>
        <v>0</v>
      </c>
      <c r="H6" s="960">
        <f>IF('League History'!AJ48="N/A","N/A",COUNTIFS('Playoff History'!$H:$H,'League History'!AJ48,'Playoff History'!$L:$L,'League History'!AJ48,'Playoff History'!$K:$K,'League History'!$AJ$42,'Playoff History'!$I:$I,"&lt;&gt;",'Playoff History'!$E:$E, "YES")+COUNTIFS('Playoff History'!$K:$K,'League History'!AJ48,'Playoff History'!$L:$L,'League History'!AJ48,'Playoff History'!$H:$H,'League History'!$AJ$42,'Playoff History'!$I:$I,"&lt;&gt;", 'Playoff History'!$E:$E, "YES"))</f>
        <v>1</v>
      </c>
    </row>
    <row r="7" ht="15.75" customHeight="1">
      <c r="A7" s="13">
        <f>IFERROR(AVERAGEIFS('League History'!M:M,'League History'!G:G,'League History'!AJ48,'League History'!J:J,'League History'!$AJ$42,'League History'!N:N,"&lt;&gt;0"),"NO")</f>
        <v>20.33666667</v>
      </c>
      <c r="B7" s="13">
        <f>IFERROR(AVERAGEIFS('League History'!M:M,'League History'!J:J,'League History'!AJ48,'League History'!G:G,'League History'!$AJ$42,'League History'!N:N,"&lt;&gt;0"),"NO")</f>
        <v>41.87</v>
      </c>
      <c r="C7" s="13">
        <f>IFERROR(AVERAGEIFS('League History'!P:P,'League History'!G:G,'League History'!AJ48,'League History'!J:J,'League History'!$AJ$42,'League History'!Q:Q,"&lt;&gt;0"),"NO")</f>
        <v>349.9566667</v>
      </c>
      <c r="D7" s="13">
        <f>IFERROR(AVERAGEIFS('League History'!P:P,'League History'!J:J,'League History'!AJ48,'League History'!G:G,'League History'!$AJ$42,'League History'!Q:Q,"&lt;&gt;0"),"NO")</f>
        <v>246.85</v>
      </c>
      <c r="E7" s="13">
        <f>IFERROR(AVERAGEIFS('League History'!R:R,'League History'!G:G,'League History'!AJ48,'League History'!J:J,'League History'!$AJ$42,'League History'!S:S,"&lt;&gt;0"),"NO")</f>
        <v>152.1666667</v>
      </c>
      <c r="F7" s="13">
        <f>IFERROR(AVERAGEIFS('League History'!R:R,'League History'!J:J,'League History'!AJ48,'League History'!G:G,'League History'!$AJ$42,'League History'!S:S,"&lt;&gt;0"),"NO")</f>
        <v>334.5</v>
      </c>
      <c r="G7" s="1100">
        <f>IF('League History'!AJ49="N/A","N/A",
COUNTIFS('Playoff History'!$H:$H, 'League History'!AJ49, 'Playoff History'!$M:$M, 'League History'!AJ49, 'Playoff History'!$K:$K, 'League History'!$AJ$42, 'Playoff History'!$I:$I, "&lt;&gt;", 'Playoff History'!$E:$E, "YES")
+ COUNTIFS('Playoff History'!$K:$K, 'League History'!AJ49, 'Playoff History'!$M:$M, 'League History'!AJ49, 'Playoff History'!$H:$H, 'League History'!$AJ$42, 'Playoff History'!$I:$I, "&lt;&gt;", 'Playoff History'!$E:$E, "YES"))</f>
        <v>1</v>
      </c>
      <c r="H7" s="960">
        <f>IF('League History'!AJ49="N/A","N/A",COUNTIFS('Playoff History'!$H:$H,'League History'!AJ49,'Playoff History'!$L:$L,'League History'!AJ49,'Playoff History'!$K:$K,'League History'!$AJ$42,'Playoff History'!$I:$I,"&lt;&gt;",'Playoff History'!$E:$E, "YES")+COUNTIFS('Playoff History'!$K:$K,'League History'!AJ49,'Playoff History'!$L:$L,'League History'!AJ49,'Playoff History'!$H:$H,'League History'!$AJ$42,'Playoff History'!$I:$I,"&lt;&gt;", 'Playoff History'!$E:$E, "YES"))</f>
        <v>0</v>
      </c>
    </row>
    <row r="8" ht="15.75" customHeight="1">
      <c r="A8" s="13">
        <f>IFERROR(AVERAGEIFS('League History'!M:M,'League History'!G:G,'League History'!AJ49,'League History'!J:J,'League History'!$AJ$42,'League History'!N:N,"&lt;&gt;0"),"NO")</f>
        <v>36.54</v>
      </c>
      <c r="B8" s="13">
        <f>IFERROR(AVERAGEIFS('League History'!M:M,'League History'!J:J,'League History'!AJ49,'League History'!G:G,'League History'!$AJ$42,'League History'!N:N,"&lt;&gt;0"),"NO")</f>
        <v>40.91833333</v>
      </c>
      <c r="C8" s="13">
        <f>IFERROR(AVERAGEIFS('League History'!P:P,'League History'!G:G,'League History'!AJ49,'League History'!J:J,'League History'!$AJ$42,'League History'!Q:Q,"&lt;&gt;0"),"NO")</f>
        <v>292.14</v>
      </c>
      <c r="D8" s="13">
        <f>IFERROR(AVERAGEIFS('League History'!P:P,'League History'!J:J,'League History'!AJ49,'League History'!G:G,'League History'!$AJ$42,'League History'!Q:Q,"&lt;&gt;0"),"NO")</f>
        <v>320.4716667</v>
      </c>
      <c r="E8" s="13">
        <f>IFERROR(AVERAGEIFS('League History'!R:R,'League History'!G:G,'League History'!AJ49,'League History'!J:J,'League History'!$AJ$42,'League History'!S:S,"&lt;&gt;0"),"NO")</f>
        <v>281</v>
      </c>
      <c r="F8" s="13">
        <f>IFERROR(AVERAGEIFS('League History'!R:R,'League History'!J:J,'League History'!AJ49,'League History'!G:G,'League History'!$AJ$42,'League History'!S:S,"&lt;&gt;0"),"NO")</f>
        <v>244.4166667</v>
      </c>
      <c r="G8" s="1100">
        <f>IF('League History'!AJ50="N/A","N/A",
COUNTIFS('Playoff History'!$H:$H, 'League History'!AJ50, 'Playoff History'!$M:$M, 'League History'!AJ50, 'Playoff History'!$K:$K, 'League History'!$AJ$42, 'Playoff History'!$I:$I, "&lt;&gt;", 'Playoff History'!$E:$E, "YES")
+ COUNTIFS('Playoff History'!$K:$K, 'League History'!AJ50, 'Playoff History'!$M:$M, 'League History'!AJ50, 'Playoff History'!$H:$H, 'League History'!$AJ$42, 'Playoff History'!$I:$I, "&lt;&gt;", 'Playoff History'!$E:$E, "YES"))</f>
        <v>1</v>
      </c>
      <c r="H8" s="960">
        <f>IF('League History'!AJ50="N/A","N/A",COUNTIFS('Playoff History'!$H:$H,'League History'!AJ50,'Playoff History'!$L:$L,'League History'!AJ50,'Playoff History'!$K:$K,'League History'!$AJ$42,'Playoff History'!$I:$I,"&lt;&gt;",'Playoff History'!$E:$E, "YES")+COUNTIFS('Playoff History'!$K:$K,'League History'!AJ50,'Playoff History'!$L:$L,'League History'!AJ50,'Playoff History'!$H:$H,'League History'!$AJ$42,'Playoff History'!$I:$I,"&lt;&gt;", 'Playoff History'!$E:$E, "YES"))</f>
        <v>0</v>
      </c>
    </row>
    <row r="9" ht="15.75" customHeight="1">
      <c r="A9" s="13">
        <f>IFERROR(AVERAGEIFS('League History'!M:M,'League History'!G:G,'League History'!AJ50,'League History'!J:J,'League History'!$AJ$42,'League History'!N:N,"&lt;&gt;0"),"NO")</f>
        <v>11.82</v>
      </c>
      <c r="B9" s="13">
        <f>IFERROR(AVERAGEIFS('League History'!M:M,'League History'!J:J,'League History'!AJ50,'League History'!G:G,'League History'!$AJ$42,'League History'!N:N,"&lt;&gt;0"),"NO")</f>
        <v>35.29833333</v>
      </c>
      <c r="C9" s="13">
        <f>IFERROR(AVERAGEIFS('League History'!P:P,'League History'!G:G,'League History'!AJ50,'League History'!J:J,'League History'!$AJ$42,'League History'!Q:Q,"&lt;&gt;0"),"NO")</f>
        <v>310.08</v>
      </c>
      <c r="D9" s="13">
        <f>IFERROR(AVERAGEIFS('League History'!P:P,'League History'!J:J,'League History'!AJ50,'League History'!G:G,'League History'!$AJ$42,'League History'!Q:Q,"&lt;&gt;0"),"NO")</f>
        <v>329.3983333</v>
      </c>
      <c r="E9" s="13">
        <f>IFERROR(AVERAGEIFS('League History'!R:R,'League History'!G:G,'League History'!AJ50,'League History'!J:J,'League History'!$AJ$42,'League History'!S:S,"&lt;&gt;0"),"NO")</f>
        <v>183.25</v>
      </c>
      <c r="F9" s="13">
        <f>IFERROR(AVERAGEIFS('League History'!R:R,'League History'!J:J,'League History'!AJ50,'League History'!G:G,'League History'!$AJ$42,'League History'!S:S,"&lt;&gt;0"),"NO")</f>
        <v>211</v>
      </c>
      <c r="G9" s="1100">
        <f>IF('League History'!AJ51="N/A","N/A",
COUNTIFS('Playoff History'!$H:$H, 'League History'!AJ51, 'Playoff History'!$M:$M, 'League History'!AJ51, 'Playoff History'!$K:$K, 'League History'!$AJ$42, 'Playoff History'!$I:$I, "&lt;&gt;", 'Playoff History'!$E:$E, "YES")
+ COUNTIFS('Playoff History'!$K:$K, 'League History'!AJ51, 'Playoff History'!$M:$M, 'League History'!AJ51, 'Playoff History'!$H:$H, 'League History'!$AJ$42, 'Playoff History'!$I:$I, "&lt;&gt;", 'Playoff History'!$E:$E, "YES"))</f>
        <v>0</v>
      </c>
      <c r="H9" s="960">
        <f>IF('League History'!AJ51="N/A","N/A",COUNTIFS('Playoff History'!$H:$H,'League History'!AJ51,'Playoff History'!$L:$L,'League History'!AJ51,'Playoff History'!$K:$K,'League History'!$AJ$42,'Playoff History'!$I:$I,"&lt;&gt;",'Playoff History'!$E:$E, "YES")+COUNTIFS('Playoff History'!$K:$K,'League History'!AJ51,'Playoff History'!$L:$L,'League History'!AJ51,'Playoff History'!$H:$H,'League History'!$AJ$42,'Playoff History'!$I:$I,"&lt;&gt;", 'Playoff History'!$E:$E, "YES"))</f>
        <v>1</v>
      </c>
    </row>
    <row r="10" ht="15.75" customHeight="1">
      <c r="A10" s="13">
        <f>IFERROR(AVERAGEIFS('League History'!M:M,'League History'!G:G,'League History'!AJ51,'League History'!J:J,'League History'!$AJ$42,'League History'!N:N,"&lt;&gt;0"),"NO")</f>
        <v>37.898</v>
      </c>
      <c r="B10" s="13">
        <f>IFERROR(AVERAGEIFS('League History'!M:M,'League History'!J:J,'League History'!AJ51,'League History'!G:G,'League History'!$AJ$42,'League History'!N:N,"&lt;&gt;0"),"NO")</f>
        <v>50.8</v>
      </c>
      <c r="C10" s="13">
        <f>IFERROR(AVERAGEIFS('League History'!P:P,'League History'!G:G,'League History'!AJ51,'League History'!J:J,'League History'!$AJ$42,'League History'!Q:Q,"&lt;&gt;0"),"NO")</f>
        <v>329.022</v>
      </c>
      <c r="D10" s="13">
        <f>IFERROR(AVERAGEIFS('League History'!P:P,'League History'!J:J,'League History'!AJ51,'League History'!G:G,'League History'!$AJ$42,'League History'!Q:Q,"&lt;&gt;0"),"NO")</f>
        <v>361.1533333</v>
      </c>
      <c r="E10" s="13">
        <f>IFERROR(AVERAGEIFS('League History'!R:R,'League History'!G:G,'League History'!AJ51,'League History'!J:J,'League History'!$AJ$42,'League History'!S:S,"&lt;&gt;0"),"NO")</f>
        <v>208.1</v>
      </c>
      <c r="F10" s="13">
        <f>IFERROR(AVERAGEIFS('League History'!R:R,'League History'!J:J,'League History'!AJ51,'League History'!G:G,'League History'!$AJ$42,'League History'!S:S,"&lt;&gt;0"),"NO")</f>
        <v>209.1666667</v>
      </c>
      <c r="G10" s="1100">
        <f>IF('League History'!AJ52="N/A","N/A",
COUNTIFS('Playoff History'!$H:$H, 'League History'!AJ52, 'Playoff History'!$M:$M, 'League History'!AJ52, 'Playoff History'!$K:$K, 'League History'!$AJ$42, 'Playoff History'!$I:$I, "&lt;&gt;", 'Playoff History'!$E:$E, "YES")
+ COUNTIFS('Playoff History'!$K:$K, 'League History'!AJ52, 'Playoff History'!$M:$M, 'League History'!AJ52, 'Playoff History'!$H:$H, 'League History'!$AJ$42, 'Playoff History'!$I:$I, "&lt;&gt;", 'Playoff History'!$E:$E, "YES"))</f>
        <v>0</v>
      </c>
      <c r="H10" s="960">
        <f>IF('League History'!AJ52="N/A","N/A",COUNTIFS('Playoff History'!$H:$H,'League History'!AJ52,'Playoff History'!$L:$L,'League History'!AJ52,'Playoff History'!$K:$K,'League History'!$AJ$42,'Playoff History'!$I:$I,"&lt;&gt;",'Playoff History'!$E:$E, "YES")+COUNTIFS('Playoff History'!$K:$K,'League History'!AJ52,'Playoff History'!$L:$L,'League History'!AJ52,'Playoff History'!$H:$H,'League History'!$AJ$42,'Playoff History'!$I:$I,"&lt;&gt;", 'Playoff History'!$E:$E, "YES"))</f>
        <v>0</v>
      </c>
    </row>
    <row r="11" ht="15.75" customHeight="1">
      <c r="A11" s="13">
        <f>IFERROR(AVERAGEIFS('League History'!M:M,'League History'!G:G,'League History'!AJ52,'League History'!J:J,'League History'!$AJ$42,'League History'!N:N,"&lt;&gt;0"),"NO")</f>
        <v>19.895</v>
      </c>
      <c r="B11" s="13">
        <f>IFERROR(AVERAGEIFS('League History'!M:M,'League History'!J:J,'League History'!AJ52,'League History'!G:G,'League History'!$AJ$42,'League History'!N:N,"&lt;&gt;0"),"NO")</f>
        <v>15.33</v>
      </c>
      <c r="C11" s="13">
        <f>IFERROR(AVERAGEIFS('League History'!P:P,'League History'!G:G,'League History'!AJ52,'League History'!J:J,'League History'!$AJ$42,'League History'!Q:Q,"&lt;&gt;0"),"NO")</f>
        <v>368.13</v>
      </c>
      <c r="D11" s="13">
        <f>IFERROR(AVERAGEIFS('League History'!P:P,'League History'!J:J,'League History'!AJ52,'League History'!G:G,'League History'!$AJ$42,'League History'!Q:Q,"&lt;&gt;0"),"NO")</f>
        <v>291.2033333</v>
      </c>
      <c r="E11" s="13">
        <f>IFERROR(AVERAGEIFS('League History'!R:R,'League History'!G:G,'League History'!AJ52,'League History'!J:J,'League History'!$AJ$42,'League History'!S:S,"&lt;&gt;0"),"NO")</f>
        <v>130</v>
      </c>
      <c r="F11" s="13">
        <f>IFERROR(AVERAGEIFS('League History'!R:R,'League History'!J:J,'League History'!AJ52,'League History'!G:G,'League History'!$AJ$42,'League History'!S:S,"&lt;&gt;0"),"NO")</f>
        <v>214</v>
      </c>
      <c r="G11" s="1100">
        <f>IF('League History'!AJ53="N/A","N/A",
COUNTIFS('Playoff History'!$H:$H, 'League History'!AJ53, 'Playoff History'!$M:$M, 'League History'!AJ53, 'Playoff History'!$K:$K, 'League History'!$AJ$42, 'Playoff History'!$I:$I, "&lt;&gt;", 'Playoff History'!$E:$E, "YES")
+ COUNTIFS('Playoff History'!$K:$K, 'League History'!AJ53, 'Playoff History'!$M:$M, 'League History'!AJ53, 'Playoff History'!$H:$H, 'League History'!$AJ$42, 'Playoff History'!$I:$I, "&lt;&gt;", 'Playoff History'!$E:$E, "YES"))</f>
        <v>0</v>
      </c>
      <c r="H11" s="960">
        <f>IF('League History'!AJ53="N/A","N/A",COUNTIFS('Playoff History'!$H:$H,'League History'!AJ53,'Playoff History'!$L:$L,'League History'!AJ53,'Playoff History'!$K:$K,'League History'!$AJ$42,'Playoff History'!$I:$I,"&lt;&gt;",'Playoff History'!$E:$E, "YES")+COUNTIFS('Playoff History'!$K:$K,'League History'!AJ53,'Playoff History'!$L:$L,'League History'!AJ53,'Playoff History'!$H:$H,'League History'!$AJ$42,'Playoff History'!$I:$I,"&lt;&gt;", 'Playoff History'!$E:$E, "YES"))</f>
        <v>0</v>
      </c>
    </row>
    <row r="12" ht="15.75" customHeight="1">
      <c r="A12" s="13">
        <f>IFERROR(AVERAGEIFS('League History'!M:M,'League History'!G:G,'League History'!AJ53,'League History'!J:J,'League History'!$AJ$42,'League History'!N:N,"&lt;&gt;0"),"NO")</f>
        <v>33.115</v>
      </c>
      <c r="B12" s="13">
        <f>IFERROR(AVERAGEIFS('League History'!M:M,'League History'!J:J,'League History'!AJ53,'League History'!G:G,'League History'!$AJ$42,'League History'!N:N,"&lt;&gt;0"),"NO")</f>
        <v>36.1</v>
      </c>
      <c r="C12" s="13">
        <f>IFERROR(AVERAGEIFS('League History'!P:P,'League History'!G:G,'League History'!AJ53,'League History'!J:J,'League History'!$AJ$42,'League History'!Q:Q,"&lt;&gt;0"),"NO")</f>
        <v>300.415</v>
      </c>
      <c r="D12" s="13">
        <f>IFERROR(AVERAGEIFS('League History'!P:P,'League History'!J:J,'League History'!AJ53,'League History'!G:G,'League History'!$AJ$42,'League History'!Q:Q,"&lt;&gt;0"),"NO")</f>
        <v>276.34</v>
      </c>
      <c r="E12" s="13">
        <f>IFERROR(AVERAGEIFS('League History'!R:R,'League History'!G:G,'League History'!AJ53,'League History'!J:J,'League History'!$AJ$42,'League History'!S:S,"&lt;&gt;0"),"NO")</f>
        <v>252.75</v>
      </c>
      <c r="F12" s="13">
        <f>IFERROR(AVERAGEIFS('League History'!R:R,'League History'!J:J,'League History'!AJ53,'League History'!G:G,'League History'!$AJ$42,'League History'!S:S,"&lt;&gt;0"),"NO")</f>
        <v>297</v>
      </c>
      <c r="G12" s="1100">
        <f>IF('League History'!AJ54="N/A","N/A",
COUNTIFS('Playoff History'!$H:$H, 'League History'!AJ54, 'Playoff History'!$M:$M, 'League History'!AJ54, 'Playoff History'!$K:$K, 'League History'!$AJ$42, 'Playoff History'!$I:$I, "&lt;&gt;", 'Playoff History'!$E:$E, "YES")
+ COUNTIFS('Playoff History'!$K:$K, 'League History'!AJ54, 'Playoff History'!$M:$M, 'League History'!AJ54, 'Playoff History'!$H:$H, 'League History'!$AJ$42, 'Playoff History'!$I:$I, "&lt;&gt;", 'Playoff History'!$E:$E, "YES"))</f>
        <v>0</v>
      </c>
      <c r="H12" s="960">
        <f>IF('League History'!AJ54="N/A","N/A",COUNTIFS('Playoff History'!$H:$H,'League History'!AJ54,'Playoff History'!$L:$L,'League History'!AJ54,'Playoff History'!$K:$K,'League History'!$AJ$42,'Playoff History'!$I:$I,"&lt;&gt;",'Playoff History'!$E:$E, "YES")+COUNTIFS('Playoff History'!$K:$K,'League History'!AJ54,'Playoff History'!$L:$L,'League History'!AJ54,'Playoff History'!$H:$H,'League History'!$AJ$42,'Playoff History'!$I:$I,"&lt;&gt;", 'Playoff History'!$E:$E, "YES"))</f>
        <v>0</v>
      </c>
    </row>
    <row r="13" ht="15.75" customHeight="1">
      <c r="A13" s="13" t="str">
        <f>IFERROR(AVERAGEIFS('League History'!M:M,'League History'!G:G,'League History'!AJ54,'League History'!J:J,'League History'!$AJ$42,'League History'!N:N,"&lt;&gt;0"),"NO")</f>
        <v>NO</v>
      </c>
      <c r="B13" s="13">
        <f>IFERROR(AVERAGEIFS('League History'!M:M,'League History'!J:J,'League History'!AJ54,'League History'!G:G,'League History'!$AJ$42,'League History'!N:N,"&lt;&gt;0"),"NO")</f>
        <v>43.875</v>
      </c>
      <c r="C13" s="13" t="str">
        <f>IFERROR(AVERAGEIFS('League History'!P:P,'League History'!G:G,'League History'!AJ54,'League History'!J:J,'League History'!$AJ$42,'League History'!Q:Q,"&lt;&gt;0"),"NO")</f>
        <v>NO</v>
      </c>
      <c r="D13" s="13">
        <f>IFERROR(AVERAGEIFS('League History'!P:P,'League History'!J:J,'League History'!AJ54,'League History'!G:G,'League History'!$AJ$42,'League History'!Q:Q,"&lt;&gt;0"),"NO")</f>
        <v>276.085</v>
      </c>
      <c r="E13" s="13" t="str">
        <f>IFERROR(AVERAGEIFS('League History'!R:R,'League History'!G:G,'League History'!AJ54,'League History'!J:J,'League History'!$AJ$42,'League History'!S:S,"&lt;&gt;0"),"NO")</f>
        <v>NO</v>
      </c>
      <c r="F13" s="13">
        <f>IFERROR(AVERAGEIFS('League History'!R:R,'League History'!J:J,'League History'!AJ54,'League History'!G:G,'League History'!$AJ$42,'League History'!S:S,"&lt;&gt;0"),"NO")</f>
        <v>289</v>
      </c>
      <c r="G13" s="1100">
        <f>IF('League History'!AJ55="N/A","N/A",
COUNTIFS('Playoff History'!$H:$H, 'League History'!AJ55, 'Playoff History'!$M:$M, 'League History'!AJ55, 'Playoff History'!$K:$K, 'League History'!$AJ$42, 'Playoff History'!$I:$I, "&lt;&gt;", 'Playoff History'!$E:$E, "YES")
+ COUNTIFS('Playoff History'!$K:$K, 'League History'!AJ55, 'Playoff History'!$M:$M, 'League History'!AJ55, 'Playoff History'!$H:$H, 'League History'!$AJ$42, 'Playoff History'!$I:$I, "&lt;&gt;", 'Playoff History'!$E:$E, "YES"))</f>
        <v>0</v>
      </c>
      <c r="H13" s="960">
        <f>IF('League History'!AJ55="N/A","N/A",COUNTIFS('Playoff History'!$H:$H,'League History'!AJ55,'Playoff History'!$L:$L,'League History'!AJ55,'Playoff History'!$K:$K,'League History'!$AJ$42,'Playoff History'!$I:$I,"&lt;&gt;",'Playoff History'!$E:$E, "YES")+COUNTIFS('Playoff History'!$K:$K,'League History'!AJ55,'Playoff History'!$L:$L,'League History'!AJ55,'Playoff History'!$H:$H,'League History'!$AJ$42,'Playoff History'!$I:$I,"&lt;&gt;", 'Playoff History'!$E:$E, "YES"))</f>
        <v>0</v>
      </c>
    </row>
    <row r="14" ht="15.75" customHeight="1">
      <c r="A14" s="13" t="str">
        <f>IFERROR(AVERAGEIFS('League History'!M:M,'League History'!G:G,'League History'!AJ55,'League History'!J:J,'League History'!$AJ$42,'League History'!N:N,"&lt;&gt;0"),"NO")</f>
        <v>NO</v>
      </c>
      <c r="B14" s="13">
        <f>IFERROR(AVERAGEIFS('League History'!M:M,'League History'!J:J,'League History'!AJ55,'League History'!G:G,'League History'!$AJ$42,'League History'!N:N,"&lt;&gt;0"),"NO")</f>
        <v>37.98</v>
      </c>
      <c r="C14" s="13" t="str">
        <f>IFERROR(AVERAGEIFS('League History'!P:P,'League History'!G:G,'League History'!AJ55,'League History'!J:J,'League History'!$AJ$42,'League History'!Q:Q,"&lt;&gt;0"),"NO")</f>
        <v>NO</v>
      </c>
      <c r="D14" s="13">
        <f>IFERROR(AVERAGEIFS('League History'!P:P,'League History'!J:J,'League History'!AJ55,'League History'!G:G,'League History'!$AJ$42,'League History'!Q:Q,"&lt;&gt;0"),"NO")</f>
        <v>394.08</v>
      </c>
      <c r="E14" s="13" t="str">
        <f>IFERROR(AVERAGEIFS('League History'!R:R,'League History'!G:G,'League History'!AJ55,'League History'!J:J,'League History'!$AJ$42,'League History'!S:S,"&lt;&gt;0"),"NO")</f>
        <v>NO</v>
      </c>
      <c r="F14" s="13">
        <f>IFERROR(AVERAGEIFS('League History'!R:R,'League History'!J:J,'League History'!AJ55,'League History'!G:G,'League History'!$AJ$42,'League History'!S:S,"&lt;&gt;0"),"NO")</f>
        <v>135.75</v>
      </c>
      <c r="G14" s="1100">
        <f>IF('League History'!AJ57="N/A","N/A",
COUNTIFS('Playoff History'!$H:$H, 'League History'!AJ57, 'Playoff History'!$M:$M, 'League History'!AJ57, 'Playoff History'!$K:$K, 'League History'!$AJ$42, 'Playoff History'!$I:$I, "&lt;&gt;", 'Playoff History'!$E:$E, "YES")
+ COUNTIFS('Playoff History'!$K:$K, 'League History'!AJ57, 'Playoff History'!$M:$M, 'League History'!AJ57, 'Playoff History'!$H:$H, 'League History'!$AJ$42, 'Playoff History'!$I:$I, "&lt;&gt;", 'Playoff History'!$E:$E, "YES"))</f>
        <v>0</v>
      </c>
      <c r="H14" s="960">
        <f>IF('League History'!AJ57="N/A","N/A",COUNTIFS('Playoff History'!$H:$H,'League History'!AJ57,'Playoff History'!$L:$L,'League History'!AJ57,'Playoff History'!$K:$K,'League History'!$AJ$42,'Playoff History'!$I:$I,"&lt;&gt;",'Playoff History'!$E:$E, "YES")+COUNTIFS('Playoff History'!$K:$K,'League History'!AJ57,'Playoff History'!$L:$L,'League History'!AJ57,'Playoff History'!$H:$H,'League History'!$AJ$42,'Playoff History'!$I:$I,"&lt;&gt;", 'Playoff History'!$E:$E, "YES"))</f>
        <v>0</v>
      </c>
    </row>
    <row r="15" ht="15.75" customHeight="1"/>
    <row r="16" ht="15.75" customHeight="1">
      <c r="A16" s="1169" t="s">
        <v>717</v>
      </c>
      <c r="C16" s="1169" t="s">
        <v>701</v>
      </c>
      <c r="D16" s="1169" t="s">
        <v>702</v>
      </c>
      <c r="E16" s="1169" t="s">
        <v>703</v>
      </c>
      <c r="F16" s="1169" t="s">
        <v>704</v>
      </c>
      <c r="G16" s="1170" t="s">
        <v>705</v>
      </c>
      <c r="H16" s="1170" t="s">
        <v>706</v>
      </c>
    </row>
    <row r="17" ht="15.75" customHeight="1">
      <c r="A17" s="314"/>
      <c r="C17" s="13" t="str">
        <f>IFERROR(AVERAGEIFS(#REF!,#REF!,'Playoff History'!N16,#REF!,'Playoff History'!$AC$36,#REF!,"&lt;&gt;0"),"NO")</f>
        <v>NO</v>
      </c>
      <c r="D17" s="13" t="str">
        <f>IFERROR(AVERAGEIFS(#REF!,#REF!,'Playoff History'!N16,#REF!,'Playoff History'!$AC$36,#REF!,"&lt;&gt;0"),"NO")</f>
        <v>NO</v>
      </c>
      <c r="E17" s="13" t="str">
        <f>IFERROR(AVERAGEIFS(#REF!,#REF!,'Playoff History'!N16,#REF!,'Playoff History'!$AC$36,'Playoff History'!A:A,"&lt;&gt;0"),"NO")</f>
        <v>NO</v>
      </c>
      <c r="F17" s="13" t="str">
        <f>IFERROR(AVERAGEIFS(#REF!,#REF!,'Playoff History'!N16,#REF!,'Playoff History'!$AC$36,'Playoff History'!A:A,"&lt;&gt;0"),"NO")</f>
        <v>NO</v>
      </c>
      <c r="G17" s="13" t="str">
        <f>IFERROR(AVERAGEIFS('Playoff History'!B:B,#REF!,'Playoff History'!N16,#REF!,'Playoff History'!$AC$36,'Playoff History'!C:C,"&lt;&gt;0"),"NO")</f>
        <v>NO</v>
      </c>
      <c r="H17" s="13" t="str">
        <f>IFERROR(AVERAGEIFS('Playoff History'!B:B,#REF!,'Playoff History'!N16,#REF!,'Playoff History'!$AC$36,'Playoff History'!C:C,"&lt;&gt;0"),"NO")</f>
        <v>NO</v>
      </c>
    </row>
    <row r="18" ht="15.75" customHeight="1">
      <c r="A18" s="314"/>
      <c r="C18" s="13" t="str">
        <f>IFERROR(AVERAGEIFS(#REF!,#REF!,'Playoff History'!N17,#REF!,'Playoff History'!$AC$36,#REF!,"&lt;&gt;0"),"NO")</f>
        <v>NO</v>
      </c>
      <c r="D18" s="13" t="str">
        <f>IFERROR(AVERAGEIFS(#REF!,#REF!,'Playoff History'!N17,#REF!,'Playoff History'!$AC$36,#REF!,"&lt;&gt;0"),"NO")</f>
        <v>NO</v>
      </c>
      <c r="E18" s="13" t="str">
        <f>IFERROR(AVERAGEIFS(#REF!,#REF!,'Playoff History'!N17,#REF!,'Playoff History'!$AC$36,'Playoff History'!A:A,"&lt;&gt;0"),"NO")</f>
        <v>NO</v>
      </c>
      <c r="F18" s="13" t="str">
        <f>IFERROR(AVERAGEIFS(#REF!,#REF!,'Playoff History'!N17,#REF!,'Playoff History'!$AC$36,'Playoff History'!A:A,"&lt;&gt;0"),"NO")</f>
        <v>NO</v>
      </c>
      <c r="G18" s="13" t="str">
        <f>IFERROR(AVERAGEIFS('Playoff History'!B:B,#REF!,'Playoff History'!N17,#REF!,'Playoff History'!$AC$36,'Playoff History'!C:C,"&lt;&gt;0"),"NO")</f>
        <v>NO</v>
      </c>
      <c r="H18" s="13" t="str">
        <f>IFERROR(AVERAGEIFS('Playoff History'!B:B,#REF!,'Playoff History'!N17,#REF!,'Playoff History'!$AC$36,'Playoff History'!C:C,"&lt;&gt;0"),"NO")</f>
        <v>NO</v>
      </c>
    </row>
    <row r="19" ht="15.75" customHeight="1">
      <c r="A19" s="314"/>
      <c r="C19" s="13" t="str">
        <f>IFERROR(AVERAGEIFS(#REF!,#REF!,'Playoff History'!N18,#REF!,'Playoff History'!$AC$36,#REF!,"&lt;&gt;0"),"NO")</f>
        <v>NO</v>
      </c>
      <c r="D19" s="13" t="str">
        <f>IFERROR(AVERAGEIFS(#REF!,#REF!,'Playoff History'!N18,#REF!,'Playoff History'!$AC$36,#REF!,"&lt;&gt;0"),"NO")</f>
        <v>NO</v>
      </c>
      <c r="E19" s="13" t="str">
        <f>IFERROR(AVERAGEIFS(#REF!,#REF!,'Playoff History'!N18,#REF!,'Playoff History'!$AC$36,'Playoff History'!A:A,"&lt;&gt;0"),"NO")</f>
        <v>NO</v>
      </c>
      <c r="F19" s="13" t="str">
        <f>IFERROR(AVERAGEIFS(#REF!,#REF!,'Playoff History'!N18,#REF!,'Playoff History'!$AC$36,'Playoff History'!A:A,"&lt;&gt;0"),"NO")</f>
        <v>NO</v>
      </c>
      <c r="G19" s="13" t="str">
        <f>IFERROR(AVERAGEIFS('Playoff History'!B:B,#REF!,'Playoff History'!N18,#REF!,'Playoff History'!$AC$36,'Playoff History'!C:C,"&lt;&gt;0"),"NO")</f>
        <v>NO</v>
      </c>
      <c r="H19" s="13" t="str">
        <f>IFERROR(AVERAGEIFS('Playoff History'!B:B,#REF!,'Playoff History'!N18,#REF!,'Playoff History'!$AC$36,'Playoff History'!C:C,"&lt;&gt;0"),"NO")</f>
        <v>NO</v>
      </c>
    </row>
    <row r="20" ht="15.75" customHeight="1">
      <c r="A20" s="314"/>
      <c r="C20" s="13" t="str">
        <f>IFERROR(AVERAGEIFS(#REF!,#REF!,'Playoff History'!N19,#REF!,'Playoff History'!$AC$36,#REF!,"&lt;&gt;0"),"NO")</f>
        <v>NO</v>
      </c>
      <c r="D20" s="13" t="str">
        <f>IFERROR(AVERAGEIFS(#REF!,#REF!,'Playoff History'!N19,#REF!,'Playoff History'!$AC$36,#REF!,"&lt;&gt;0"),"NO")</f>
        <v>NO</v>
      </c>
      <c r="E20" s="13" t="str">
        <f>IFERROR(AVERAGEIFS(#REF!,#REF!,'Playoff History'!N19,#REF!,'Playoff History'!$AC$36,'Playoff History'!A:A,"&lt;&gt;0"),"NO")</f>
        <v>NO</v>
      </c>
      <c r="F20" s="13" t="str">
        <f>IFERROR(AVERAGEIFS(#REF!,#REF!,'Playoff History'!N19,#REF!,'Playoff History'!$AC$36,'Playoff History'!A:A,"&lt;&gt;0"),"NO")</f>
        <v>NO</v>
      </c>
      <c r="G20" s="13" t="str">
        <f>IFERROR(AVERAGEIFS('Playoff History'!B:B,#REF!,'Playoff History'!N19,#REF!,'Playoff History'!$AC$36,'Playoff History'!C:C,"&lt;&gt;0"),"NO")</f>
        <v>NO</v>
      </c>
      <c r="H20" s="13" t="str">
        <f>IFERROR(AVERAGEIFS('Playoff History'!B:B,#REF!,'Playoff History'!N19,#REF!,'Playoff History'!$AC$36,'Playoff History'!C:C,"&lt;&gt;0"),"NO")</f>
        <v>NO</v>
      </c>
    </row>
    <row r="21" ht="15.75" customHeight="1">
      <c r="A21" s="314"/>
      <c r="C21" s="13" t="str">
        <f>IFERROR(AVERAGEIFS(#REF!,#REF!,'Playoff History'!N20,#REF!,'Playoff History'!$AC$36,#REF!,"&lt;&gt;0"),"NO")</f>
        <v>NO</v>
      </c>
      <c r="D21" s="13" t="str">
        <f>IFERROR(AVERAGEIFS(#REF!,#REF!,'Playoff History'!N20,#REF!,'Playoff History'!$AC$36,#REF!,"&lt;&gt;0"),"NO")</f>
        <v>NO</v>
      </c>
      <c r="E21" s="13" t="str">
        <f>IFERROR(AVERAGEIFS(#REF!,#REF!,'Playoff History'!N20,#REF!,'Playoff History'!$AC$36,'Playoff History'!A:A,"&lt;&gt;0"),"NO")</f>
        <v>NO</v>
      </c>
      <c r="F21" s="13" t="str">
        <f>IFERROR(AVERAGEIFS(#REF!,#REF!,'Playoff History'!N20,#REF!,'Playoff History'!$AC$36,'Playoff History'!A:A,"&lt;&gt;0"),"NO")</f>
        <v>NO</v>
      </c>
      <c r="G21" s="13" t="str">
        <f>IFERROR(AVERAGEIFS('Playoff History'!B:B,#REF!,'Playoff History'!N20,#REF!,'Playoff History'!$AC$36,'Playoff History'!C:C,"&lt;&gt;0"),"NO")</f>
        <v>NO</v>
      </c>
      <c r="H21" s="13" t="str">
        <f>IFERROR(AVERAGEIFS('Playoff History'!B:B,#REF!,'Playoff History'!N20,#REF!,'Playoff History'!$AC$36,'Playoff History'!C:C,"&lt;&gt;0"),"NO")</f>
        <v>NO</v>
      </c>
    </row>
    <row r="22" ht="15.75" customHeight="1">
      <c r="A22" s="314"/>
      <c r="C22" s="13" t="str">
        <f>IFERROR(AVERAGEIFS(#REF!,#REF!,'Playoff History'!N21,#REF!,'Playoff History'!$AC$36,#REF!,"&lt;&gt;0"),"NO")</f>
        <v>NO</v>
      </c>
      <c r="D22" s="13" t="str">
        <f>IFERROR(AVERAGEIFS(#REF!,#REF!,'Playoff History'!N21,#REF!,'Playoff History'!$AC$36,#REF!,"&lt;&gt;0"),"NO")</f>
        <v>NO</v>
      </c>
      <c r="E22" s="13" t="str">
        <f>IFERROR(AVERAGEIFS(#REF!,#REF!,'Playoff History'!N21,#REF!,'Playoff History'!$AC$36,'Playoff History'!A:A,"&lt;&gt;0"),"NO")</f>
        <v>NO</v>
      </c>
      <c r="F22" s="13" t="str">
        <f>IFERROR(AVERAGEIFS(#REF!,#REF!,'Playoff History'!N21,#REF!,'Playoff History'!$AC$36,'Playoff History'!A:A,"&lt;&gt;0"),"NO")</f>
        <v>NO</v>
      </c>
      <c r="G22" s="13" t="str">
        <f>IFERROR(AVERAGEIFS('Playoff History'!B:B,#REF!,'Playoff History'!N21,#REF!,'Playoff History'!$AC$36,'Playoff History'!C:C,"&lt;&gt;0"),"NO")</f>
        <v>NO</v>
      </c>
      <c r="H22" s="13" t="str">
        <f>IFERROR(AVERAGEIFS('Playoff History'!B:B,#REF!,'Playoff History'!N21,#REF!,'Playoff History'!$AC$36,'Playoff History'!C:C,"&lt;&gt;0"),"NO")</f>
        <v>NO</v>
      </c>
    </row>
    <row r="23" ht="15.75" customHeight="1">
      <c r="A23" s="314"/>
      <c r="C23" s="13" t="str">
        <f>IFERROR(AVERAGEIFS(#REF!,#REF!,'Playoff History'!N22,#REF!,'Playoff History'!$AC$36,#REF!,"&lt;&gt;0"),"NO")</f>
        <v>NO</v>
      </c>
      <c r="D23" s="13" t="str">
        <f>IFERROR(AVERAGEIFS(#REF!,#REF!,'Playoff History'!N22,#REF!,'Playoff History'!$AC$36,#REF!,"&lt;&gt;0"),"NO")</f>
        <v>NO</v>
      </c>
      <c r="E23" s="13" t="str">
        <f>IFERROR(AVERAGEIFS(#REF!,#REF!,'Playoff History'!N22,#REF!,'Playoff History'!$AC$36,'Playoff History'!A:A,"&lt;&gt;0"),"NO")</f>
        <v>NO</v>
      </c>
      <c r="F23" s="13" t="str">
        <f>IFERROR(AVERAGEIFS(#REF!,#REF!,'Playoff History'!N22,#REF!,'Playoff History'!$AC$36,'Playoff History'!A:A,"&lt;&gt;0"),"NO")</f>
        <v>NO</v>
      </c>
      <c r="G23" s="13" t="str">
        <f>IFERROR(AVERAGEIFS('Playoff History'!B:B,#REF!,'Playoff History'!N22,#REF!,'Playoff History'!$AC$36,'Playoff History'!C:C,"&lt;&gt;0"),"NO")</f>
        <v>NO</v>
      </c>
      <c r="H23" s="13" t="str">
        <f>IFERROR(AVERAGEIFS('Playoff History'!B:B,#REF!,'Playoff History'!N22,#REF!,'Playoff History'!$AC$36,'Playoff History'!C:C,"&lt;&gt;0"),"NO")</f>
        <v>NO</v>
      </c>
    </row>
    <row r="24" ht="15.75" customHeight="1">
      <c r="A24" s="314"/>
      <c r="C24" s="13" t="str">
        <f>IFERROR(AVERAGEIFS(#REF!,#REF!,'Playoff History'!N23,#REF!,'Playoff History'!$AC$36,#REF!,"&lt;&gt;0"),"NO")</f>
        <v>NO</v>
      </c>
      <c r="D24" s="13" t="str">
        <f>IFERROR(AVERAGEIFS(#REF!,#REF!,'Playoff History'!N23,#REF!,'Playoff History'!$AC$36,#REF!,"&lt;&gt;0"),"NO")</f>
        <v>NO</v>
      </c>
      <c r="E24" s="13" t="str">
        <f>IFERROR(AVERAGEIFS(#REF!,#REF!,'Playoff History'!N23,#REF!,'Playoff History'!$AC$36,'Playoff History'!A:A,"&lt;&gt;0"),"NO")</f>
        <v>NO</v>
      </c>
      <c r="F24" s="13" t="str">
        <f>IFERROR(AVERAGEIFS(#REF!,#REF!,'Playoff History'!N23,#REF!,'Playoff History'!$AC$36,'Playoff History'!A:A,"&lt;&gt;0"),"NO")</f>
        <v>NO</v>
      </c>
      <c r="G24" s="13" t="str">
        <f>IFERROR(AVERAGEIFS('Playoff History'!B:B,#REF!,'Playoff History'!N23,#REF!,'Playoff History'!$AC$36,'Playoff History'!C:C,"&lt;&gt;0"),"NO")</f>
        <v>NO</v>
      </c>
      <c r="H24" s="13" t="str">
        <f>IFERROR(AVERAGEIFS('Playoff History'!B:B,#REF!,'Playoff History'!N23,#REF!,'Playoff History'!$AC$36,'Playoff History'!C:C,"&lt;&gt;0"),"NO")</f>
        <v>NO</v>
      </c>
    </row>
    <row r="25" ht="15.75" customHeight="1">
      <c r="A25" s="314"/>
      <c r="C25" s="13" t="str">
        <f>IFERROR(AVERAGEIFS(#REF!,#REF!,'Playoff History'!N24,#REF!,'Playoff History'!$AC$36,#REF!,"&lt;&gt;0"),"NO")</f>
        <v>NO</v>
      </c>
      <c r="D25" s="13" t="str">
        <f>IFERROR(AVERAGEIFS(#REF!,#REF!,'Playoff History'!N24,#REF!,'Playoff History'!$AC$36,#REF!,"&lt;&gt;0"),"NO")</f>
        <v>NO</v>
      </c>
      <c r="E25" s="13" t="str">
        <f>IFERROR(AVERAGEIFS(#REF!,#REF!,'Playoff History'!N24,#REF!,'Playoff History'!$AC$36,'Playoff History'!A:A,"&lt;&gt;0"),"NO")</f>
        <v>NO</v>
      </c>
      <c r="F25" s="13" t="str">
        <f>IFERROR(AVERAGEIFS(#REF!,#REF!,'Playoff History'!N24,#REF!,'Playoff History'!$AC$36,'Playoff History'!A:A,"&lt;&gt;0"),"NO")</f>
        <v>NO</v>
      </c>
      <c r="G25" s="13" t="str">
        <f>IFERROR(AVERAGEIFS('Playoff History'!B:B,#REF!,'Playoff History'!N24,#REF!,'Playoff History'!$AC$36,'Playoff History'!C:C,"&lt;&gt;0"),"NO")</f>
        <v>NO</v>
      </c>
      <c r="H25" s="13" t="str">
        <f>IFERROR(AVERAGEIFS('Playoff History'!B:B,#REF!,'Playoff History'!N24,#REF!,'Playoff History'!$AC$36,'Playoff History'!C:C,"&lt;&gt;0"),"NO")</f>
        <v>NO</v>
      </c>
    </row>
    <row r="26" ht="15.75" customHeight="1">
      <c r="A26" s="314"/>
      <c r="C26" s="13" t="str">
        <f>IFERROR(AVERAGEIFS(#REF!,#REF!,'Playoff History'!N25,#REF!,'Playoff History'!$AC$36,#REF!,"&lt;&gt;0"),"NO")</f>
        <v>NO</v>
      </c>
      <c r="D26" s="13" t="str">
        <f>IFERROR(AVERAGEIFS(#REF!,#REF!,'Playoff History'!N25,#REF!,'Playoff History'!$AC$36,#REF!,"&lt;&gt;0"),"NO")</f>
        <v>NO</v>
      </c>
      <c r="E26" s="13" t="str">
        <f>IFERROR(AVERAGEIFS(#REF!,#REF!,'Playoff History'!N25,#REF!,'Playoff History'!$AC$36,'Playoff History'!A:A,"&lt;&gt;0"),"NO")</f>
        <v>NO</v>
      </c>
      <c r="F26" s="13" t="str">
        <f>IFERROR(AVERAGEIFS(#REF!,#REF!,'Playoff History'!N25,#REF!,'Playoff History'!$AC$36,'Playoff History'!A:A,"&lt;&gt;0"),"NO")</f>
        <v>NO</v>
      </c>
      <c r="G26" s="13" t="str">
        <f>IFERROR(AVERAGEIFS('Playoff History'!B:B,#REF!,'Playoff History'!N25,#REF!,'Playoff History'!$AC$36,'Playoff History'!C:C,"&lt;&gt;0"),"NO")</f>
        <v>NO</v>
      </c>
      <c r="H26" s="13" t="str">
        <f>IFERROR(AVERAGEIFS('Playoff History'!B:B,#REF!,'Playoff History'!N25,#REF!,'Playoff History'!$AC$36,'Playoff History'!C:C,"&lt;&gt;0"),"NO")</f>
        <v>NO</v>
      </c>
    </row>
    <row r="27" ht="15.75" customHeight="1">
      <c r="A27" s="314"/>
      <c r="C27" s="13" t="str">
        <f>IFERROR(AVERAGEIFS(#REF!,#REF!,'Playoff History'!N26,#REF!,'Playoff History'!$AC$36,#REF!,"&lt;&gt;0"),"NO")</f>
        <v>NO</v>
      </c>
      <c r="D27" s="13" t="str">
        <f>IFERROR(AVERAGEIFS(#REF!,#REF!,'Playoff History'!N26,#REF!,'Playoff History'!$AC$36,#REF!,"&lt;&gt;0"),"NO")</f>
        <v>NO</v>
      </c>
      <c r="E27" s="13" t="str">
        <f>IFERROR(AVERAGEIFS(#REF!,#REF!,'Playoff History'!N26,#REF!,'Playoff History'!$AC$36,'Playoff History'!A:A,"&lt;&gt;0"),"NO")</f>
        <v>NO</v>
      </c>
      <c r="F27" s="13" t="str">
        <f>IFERROR(AVERAGEIFS(#REF!,#REF!,'Playoff History'!N26,#REF!,'Playoff History'!$AC$36,'Playoff History'!A:A,"&lt;&gt;0"),"NO")</f>
        <v>NO</v>
      </c>
      <c r="G27" s="13" t="str">
        <f>IFERROR(AVERAGEIFS('Playoff History'!B:B,#REF!,'Playoff History'!N26,#REF!,'Playoff History'!$AC$36,'Playoff History'!C:C,"&lt;&gt;0"),"NO")</f>
        <v>NO</v>
      </c>
      <c r="H27" s="13" t="str">
        <f>IFERROR(AVERAGEIFS('Playoff History'!B:B,#REF!,'Playoff History'!N26,#REF!,'Playoff History'!$AC$36,'Playoff History'!C:C,"&lt;&gt;0"),"NO")</f>
        <v>NO</v>
      </c>
    </row>
    <row r="28" ht="15.75" customHeight="1">
      <c r="A28" s="314"/>
      <c r="C28" s="13" t="str">
        <f>IFERROR(AVERAGEIFS(#REF!,#REF!,'Playoff History'!N27,#REF!,'Playoff History'!$AC$36,#REF!,"&lt;&gt;0"),"NO")</f>
        <v>NO</v>
      </c>
      <c r="D28" s="13" t="str">
        <f>IFERROR(AVERAGEIFS(#REF!,#REF!,'Playoff History'!N27,#REF!,'Playoff History'!$AC$36,#REF!,"&lt;&gt;0"),"NO")</f>
        <v>NO</v>
      </c>
      <c r="E28" s="13" t="str">
        <f>IFERROR(AVERAGEIFS(#REF!,#REF!,'Playoff History'!N27,#REF!,'Playoff History'!$AC$36,'Playoff History'!A:A,"&lt;&gt;0"),"NO")</f>
        <v>NO</v>
      </c>
      <c r="F28" s="13" t="str">
        <f>IFERROR(AVERAGEIFS(#REF!,#REF!,'Playoff History'!N27,#REF!,'Playoff History'!$AC$36,'Playoff History'!A:A,"&lt;&gt;0"),"NO")</f>
        <v>NO</v>
      </c>
      <c r="G28" s="13" t="str">
        <f>IFERROR(AVERAGEIFS('Playoff History'!B:B,#REF!,'Playoff History'!N27,#REF!,'Playoff History'!$AC$36,'Playoff History'!C:C,"&lt;&gt;0"),"NO")</f>
        <v>NO</v>
      </c>
      <c r="H28" s="13" t="str">
        <f>IFERROR(AVERAGEIFS('Playoff History'!B:B,#REF!,'Playoff History'!N27,#REF!,'Playoff History'!$AC$36,'Playoff History'!C:C,"&lt;&gt;0"),"NO")</f>
        <v>NO</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7:A28">
    <cfRule type="colorScale" priority="1">
      <colorScale>
        <cfvo type="min"/>
        <cfvo type="percentile" val="50"/>
        <cfvo type="max"/>
        <color rgb="FF63BE7B"/>
        <color rgb="FFFCFCFF"/>
        <color rgb="FFF8696B"/>
      </colorScale>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1.22" defaultRowHeight="15.0"/>
  <cols>
    <col customWidth="1" min="1" max="3" width="10.56"/>
    <col customWidth="1" min="4" max="4" width="24.11"/>
    <col customWidth="1" min="5" max="5" width="6.33"/>
    <col customWidth="1" min="6" max="6" width="9.0"/>
    <col customWidth="1" min="7" max="7" width="10.56"/>
    <col customWidth="1" min="8" max="8" width="18.0"/>
    <col customWidth="1" min="9" max="10" width="10.78"/>
    <col customWidth="1" min="11" max="13" width="18.0"/>
    <col customWidth="1" min="14" max="14" width="6.67"/>
    <col customWidth="1" min="15" max="15" width="3.11"/>
    <col customWidth="1" min="16" max="16" width="6.67"/>
    <col customWidth="1" min="17" max="17" width="3.11"/>
    <col customWidth="1" min="18" max="18" width="5.67"/>
    <col customWidth="1" min="19" max="19" width="3.11"/>
    <col customWidth="1" min="20" max="20" width="10.56"/>
    <col customWidth="1" min="21" max="21" width="12.11"/>
    <col customWidth="1" min="22" max="22" width="19.33"/>
    <col customWidth="1" min="23" max="23" width="17.44"/>
    <col customWidth="1" min="24" max="24" width="20.67"/>
    <col customWidth="1" min="25" max="25" width="18.0"/>
    <col customWidth="1" min="26" max="26" width="19.0"/>
    <col customWidth="1" min="27" max="27" width="18.0"/>
    <col customWidth="1" min="28" max="28" width="11.44"/>
    <col customWidth="1" min="29" max="29" width="18.11"/>
    <col customWidth="1" min="30" max="44" width="12.78"/>
    <col customWidth="1" min="45" max="45" width="7.44"/>
    <col customWidth="1" min="46" max="46" width="10.56"/>
    <col customWidth="1" min="47" max="50" width="14.0"/>
    <col customWidth="1" min="51" max="51" width="10.56"/>
  </cols>
  <sheetData>
    <row r="1" ht="45.0" customHeight="1">
      <c r="B1" s="313" t="s">
        <v>157</v>
      </c>
      <c r="C1" s="1101" t="s">
        <v>153</v>
      </c>
      <c r="D1" s="1102" t="s">
        <v>653</v>
      </c>
      <c r="E1" s="1102" t="s">
        <v>707</v>
      </c>
      <c r="F1" s="1102" t="s">
        <v>7</v>
      </c>
      <c r="G1" s="1102" t="s">
        <v>654</v>
      </c>
      <c r="H1" s="1103" t="s">
        <v>655</v>
      </c>
      <c r="I1" s="1104" t="s">
        <v>656</v>
      </c>
      <c r="J1" s="1105" t="s">
        <v>657</v>
      </c>
      <c r="K1" s="1106" t="s">
        <v>658</v>
      </c>
      <c r="L1" s="1107" t="s">
        <v>155</v>
      </c>
      <c r="M1" s="1108" t="s">
        <v>659</v>
      </c>
      <c r="N1" s="1109" t="s">
        <v>375</v>
      </c>
      <c r="O1" s="1110"/>
      <c r="P1" s="1111" t="s">
        <v>467</v>
      </c>
      <c r="Q1" s="1111"/>
      <c r="R1" s="1112" t="s">
        <v>662</v>
      </c>
      <c r="S1" s="1113"/>
      <c r="U1" s="971" t="s">
        <v>708</v>
      </c>
      <c r="V1" s="23"/>
      <c r="W1" s="23"/>
      <c r="X1" s="23"/>
      <c r="Y1" s="23"/>
      <c r="Z1" s="23"/>
      <c r="AA1" s="29"/>
      <c r="AC1" s="1114"/>
      <c r="AD1" s="953">
        <v>2019.0</v>
      </c>
      <c r="AE1" s="954"/>
      <c r="AF1" s="932"/>
      <c r="AG1" s="955">
        <v>2020.0</v>
      </c>
      <c r="AH1" s="954"/>
      <c r="AI1" s="932"/>
      <c r="AJ1" s="953">
        <v>2021.0</v>
      </c>
      <c r="AK1" s="954"/>
      <c r="AL1" s="932"/>
      <c r="AM1" s="955">
        <v>2022.0</v>
      </c>
      <c r="AN1" s="954"/>
      <c r="AO1" s="932"/>
      <c r="AP1" s="953">
        <v>2023.0</v>
      </c>
      <c r="AQ1" s="954"/>
      <c r="AR1" s="932"/>
      <c r="AS1" s="953">
        <v>2024.0</v>
      </c>
      <c r="AT1" s="954"/>
      <c r="AU1" s="932"/>
      <c r="AV1" s="958">
        <v>2025.0</v>
      </c>
    </row>
    <row r="2" ht="19.5" customHeight="1">
      <c r="B2" s="13">
        <v>1.0</v>
      </c>
      <c r="C2" s="1116">
        <v>2019.0</v>
      </c>
      <c r="D2" s="645" t="s">
        <v>709</v>
      </c>
      <c r="E2" s="1119" t="str">
        <f t="shared" ref="E2:E82" si="1">IF(OR(D2="WILD CARD",D2="DIV CHAMP",D2="FANTASY BOWL"),"YES","-")</f>
        <v>YES</v>
      </c>
      <c r="F2" s="1120" t="s">
        <v>710</v>
      </c>
      <c r="G2" s="1122" t="s">
        <v>663</v>
      </c>
      <c r="H2" s="1123" t="s">
        <v>495</v>
      </c>
      <c r="I2" s="1125">
        <v>101.86</v>
      </c>
      <c r="J2" s="1127">
        <v>155.85</v>
      </c>
      <c r="K2" s="1129" t="s">
        <v>672</v>
      </c>
      <c r="L2" s="1132" t="str">
        <f t="shared" ref="L2:L82" si="2">IF(I2 &gt; J2, H2, IF(J2 &gt; I2, K2, "Tie"))</f>
        <v>DEEZ NUTS</v>
      </c>
      <c r="M2" s="1135" t="str">
        <f t="shared" ref="M2:M82" si="3">IF(I2 &lt; J2, H2, IF(J2 &lt; I2, K2, "Tie"))</f>
        <v>GREEN</v>
      </c>
      <c r="N2" s="1138">
        <f t="array" ref="N2">IFERROR(IF(ABS(I2-J2)=0,Tie,ABS(I2-J2)),"UPCOMING")</f>
        <v>53.99</v>
      </c>
      <c r="O2" s="1139">
        <f t="shared" ref="O2:O82" si="4">IFERROR(IF(E2="-","-",_xlfn.RANK.EQ(N2,$N:$N,1)+(COUNTIFS(N:N, N2, I:I, "&gt;" &amp; I2))),"UPCOMING")</f>
        <v>58</v>
      </c>
      <c r="P2" s="1138">
        <f t="shared" ref="P2:P82" si="5">IF(I2+J2=0,"UPCOMING",I2+J2)</f>
        <v>257.71</v>
      </c>
      <c r="Q2" s="1139">
        <f t="shared" ref="Q2:Q82" si="6">IFERROR(IF(E2="-","-",_xlfn.RANK.EQ(P2,$P:$P,0)+(COUNTIFS(P:P, P2, O:O, "&lt;" &amp; O2))),"UPCOMING")</f>
        <v>74</v>
      </c>
      <c r="R2" s="1140">
        <f t="shared" ref="R2:R82" si="7">IFERROR(IF(E2="-","-",AVERAGE(O2,Q2)),"UPCOMING")</f>
        <v>66</v>
      </c>
      <c r="S2" s="1141">
        <f t="shared" ref="S2:S82" si="8">IFERROR(IF(E2="-","-",_xlfn.RANK.EQ(R2, R:R, 1) + (COUNTIFS(R:R, R2, N:N, "&lt;" &amp; N2))),"UPCOMING")</f>
        <v>35</v>
      </c>
      <c r="U2" s="980" t="s">
        <v>148</v>
      </c>
      <c r="V2" s="981" t="s">
        <v>375</v>
      </c>
      <c r="W2" s="981" t="s">
        <v>153</v>
      </c>
      <c r="X2" s="981" t="s">
        <v>30</v>
      </c>
      <c r="Y2" s="981" t="s">
        <v>155</v>
      </c>
      <c r="Z2" s="981" t="s">
        <v>156</v>
      </c>
      <c r="AA2" s="982" t="s">
        <v>157</v>
      </c>
      <c r="AC2" s="1142"/>
      <c r="AD2" s="1143" t="s">
        <v>638</v>
      </c>
      <c r="AE2" s="1144" t="s">
        <v>639</v>
      </c>
      <c r="AF2" s="1145" t="s">
        <v>711</v>
      </c>
      <c r="AG2" s="1143" t="s">
        <v>638</v>
      </c>
      <c r="AH2" s="1144" t="s">
        <v>639</v>
      </c>
      <c r="AI2" s="1145" t="s">
        <v>711</v>
      </c>
      <c r="AJ2" s="1143" t="s">
        <v>638</v>
      </c>
      <c r="AK2" s="1144" t="s">
        <v>639</v>
      </c>
      <c r="AL2" s="1145" t="s">
        <v>711</v>
      </c>
      <c r="AM2" s="1143" t="s">
        <v>638</v>
      </c>
      <c r="AN2" s="1144" t="s">
        <v>639</v>
      </c>
      <c r="AO2" s="1145" t="s">
        <v>711</v>
      </c>
      <c r="AP2" s="1143" t="s">
        <v>638</v>
      </c>
      <c r="AQ2" s="1144" t="s">
        <v>639</v>
      </c>
      <c r="AR2" s="1145" t="s">
        <v>711</v>
      </c>
      <c r="AS2" s="1143" t="s">
        <v>638</v>
      </c>
      <c r="AT2" s="1144" t="s">
        <v>639</v>
      </c>
      <c r="AU2" s="1145" t="s">
        <v>711</v>
      </c>
      <c r="AV2" s="1146" t="s">
        <v>638</v>
      </c>
      <c r="AW2" s="1146" t="s">
        <v>712</v>
      </c>
      <c r="AX2" s="1146" t="s">
        <v>711</v>
      </c>
    </row>
    <row r="3" ht="15.75" customHeight="1">
      <c r="B3" s="13">
        <v>2.0</v>
      </c>
      <c r="C3" s="1147">
        <v>2019.0</v>
      </c>
      <c r="D3" s="471" t="s">
        <v>709</v>
      </c>
      <c r="E3" s="314" t="str">
        <f t="shared" si="1"/>
        <v>YES</v>
      </c>
      <c r="F3" s="1148" t="s">
        <v>710</v>
      </c>
      <c r="G3" s="960" t="s">
        <v>665</v>
      </c>
      <c r="H3" s="1149" t="s">
        <v>493</v>
      </c>
      <c r="I3" s="1150">
        <v>161.38</v>
      </c>
      <c r="J3" s="1151">
        <v>92.61</v>
      </c>
      <c r="K3" s="428" t="s">
        <v>538</v>
      </c>
      <c r="L3" s="965" t="str">
        <f t="shared" si="2"/>
        <v>DECOUPES</v>
      </c>
      <c r="M3" s="966" t="str">
        <f t="shared" si="3"/>
        <v>MUTTS</v>
      </c>
      <c r="N3" s="967">
        <f t="array" ref="N3">IFERROR(IF(ABS(I3-J3)=0,Tie,ABS(I3-J3)),"UPCOMING")</f>
        <v>68.77</v>
      </c>
      <c r="O3" s="1156">
        <f t="shared" si="4"/>
        <v>73</v>
      </c>
      <c r="P3" s="967">
        <f t="shared" si="5"/>
        <v>253.99</v>
      </c>
      <c r="Q3" s="1156">
        <f t="shared" si="6"/>
        <v>75</v>
      </c>
      <c r="R3" s="96">
        <f t="shared" si="7"/>
        <v>74</v>
      </c>
      <c r="S3" s="1158">
        <f t="shared" si="8"/>
        <v>37</v>
      </c>
      <c r="U3" s="988">
        <v>1.0</v>
      </c>
      <c r="V3" s="989">
        <f t="array" ref="V3">SMALL(IF($E:$E="Yes", $N:$N), U3)</f>
        <v>0.08</v>
      </c>
      <c r="W3" s="990">
        <f t="array" ref="W3">INDEX($C:$C, MATCH(V3,$N:$N* ("Yes"=$E:$E),0))</f>
        <v>2025</v>
      </c>
      <c r="X3" s="990" t="str">
        <f t="array" ref="X3">INDEX($D:$D, MATCH(V3,$N:$N* ("Yes"=$E:$E),0))</f>
        <v>FANTASY BOWL</v>
      </c>
      <c r="Y3" s="991" t="str">
        <f t="array" ref="Y3">INDEX($L:$L, MATCH(V3,$N:$N* ("Yes"=$E:$E),0))</f>
        <v>YARDIES</v>
      </c>
      <c r="Z3" s="990" t="str">
        <f t="array" ref="Z3">INDEX($M:$M, MATCH(V3,$N:$N* ("Yes"=$E:$E),0))</f>
        <v>POPEYES</v>
      </c>
      <c r="AA3" s="992" t="str">
        <f t="array" ref="AA3">"PVE FFL PLAYOFF " &amp; INDEX($B:$B, MATCH(V3,$N:$N* ("Yes"=$E:$E),0))</f>
        <v>PVE FFL PLAYOFF 80</v>
      </c>
      <c r="AC3" s="13" t="str">
        <f>'League History'!AJ4</f>
        <v>DECOUPES</v>
      </c>
      <c r="AD3" s="1163">
        <f t="shared" ref="AD3:AD14" si="9">COUNTIFS($C:$C, $AD$1, $L:$L, $AC3,$E:$E,"YES")</f>
        <v>1</v>
      </c>
      <c r="AE3" s="1164">
        <f t="shared" ref="AE3:AE14" si="10">COUNTIFS($C:$C, $AD$1, $M:$M, $AC3,$E:$E,"YES")</f>
        <v>1</v>
      </c>
      <c r="AF3" s="1165" t="str">
        <f t="shared" ref="AF3:AF14" si="11">IF((COUNTIFS($C:$C,AD$1,$E:$E,"YES",$H:$H,$AC3))+(COUNTIFS($C:$C,AD$1,$E:$E,"YES",$K:$K,$AC3))&gt;0,"YES","-")</f>
        <v>YES</v>
      </c>
      <c r="AG3" s="1166">
        <f t="shared" ref="AG3:AG14" si="12">COUNTIFS($C:$C, $AG$1, $L:$L, $AC3,$E:$E,"YES")</f>
        <v>0</v>
      </c>
      <c r="AH3" s="1164">
        <f t="shared" ref="AH3:AH14" si="13">COUNTIFS($C:$C, $AG$1, $M:$M, $AC3,$E:$E,"YES")</f>
        <v>1</v>
      </c>
      <c r="AI3" s="1165" t="str">
        <f t="shared" ref="AI3:AI14" si="14">IF((COUNTIFS($C:$C,AG$1,$E:$E,"YES",$H:$H,$AC3))+(COUNTIFS($C:$C,AG$1,$E:$E,"YES",$K:$K,$AC3))&gt;0,"YES","-")</f>
        <v>YES</v>
      </c>
      <c r="AJ3" s="1166">
        <f t="shared" ref="AJ3:AJ14" si="15">COUNTIFS($C:$C, $AJ$1, $L:$L, $AC3,$E:$E,"YES")</f>
        <v>3</v>
      </c>
      <c r="AK3" s="1164">
        <f t="shared" ref="AK3:AK14" si="16">COUNTIFS($C:$C, $AJ$1, $M:$M, $AC3,$E:$E,"YES")</f>
        <v>0</v>
      </c>
      <c r="AL3" s="1165" t="str">
        <f t="shared" ref="AL3:AL14" si="17">IF((COUNTIFS($C:$C,AJ$1,$E:$E,"YES",$H:$H,$AC3))+(COUNTIFS($C:$C,AJ$1,$E:$E,"YES",$K:$K,$AC3))&gt;0,"YES","-")</f>
        <v>YES</v>
      </c>
      <c r="AM3" s="1166">
        <f t="shared" ref="AM3:AM14" si="18">COUNTIFS($C:$C, $AM$1, $L:$L, $AC3,$E:$E,"YES")</f>
        <v>0</v>
      </c>
      <c r="AN3" s="1164">
        <f t="shared" ref="AN3:AN14" si="19">COUNTIFS($C:$C, $AM$1, $M:$M, $AC3,$E:$E,"YES")</f>
        <v>1</v>
      </c>
      <c r="AO3" s="1165" t="str">
        <f t="shared" ref="AO3:AO14" si="20">IF((COUNTIFS($C:$C,AM$1,$E:$E,"YES",$H:$H,$AC3))+(COUNTIFS($C:$C,AM$1,$E:$E,"YES",$K:$K,$AC3))&gt;0,"YES","-")</f>
        <v>YES</v>
      </c>
      <c r="AP3" s="1166">
        <f t="shared" ref="AP3:AP14" si="21">COUNTIFS($C:$C, AP$1, $L:$L, $AC3,$E:$E,"YES")</f>
        <v>0</v>
      </c>
      <c r="AQ3" s="1164">
        <f t="shared" ref="AQ3:AQ14" si="22">COUNTIFS($C:$C, AP$1, $M:$M, $AC3,$E:$E,"YES")</f>
        <v>1</v>
      </c>
      <c r="AR3" s="1165" t="str">
        <f t="shared" ref="AR3:AR14" si="23">IF((COUNTIFS($C:$C,AP$1,$E:$E,"YES",$H:$H,$AC3))+(COUNTIFS($C:$C,AP$1,$E:$E,"YES",$K:$K,$AC3))&gt;0,"YES","-")</f>
        <v>YES</v>
      </c>
      <c r="AS3" s="1166">
        <f t="shared" ref="AS3:AS14" si="24">COUNTIFS($C:$C, AS$1, $L:$L, $AC3,$E:$E,"YES")</f>
        <v>0</v>
      </c>
      <c r="AT3" s="1164">
        <f t="shared" ref="AT3:AT14" si="25">COUNTIFS($C:$C, AS$1, $M:$M, $AC3,$E:$E,"YES")</f>
        <v>1</v>
      </c>
      <c r="AU3" s="1165" t="str">
        <f t="shared" ref="AU3:AU14" si="26">IF((COUNTIFS($C:$C,AS$1,$E:$E,"YES",$H:$H,$AC3))+(COUNTIFS($C:$C,AS$1,$E:$E,"YES",$K:$K,$AC3))&gt;0,"YES","-")</f>
        <v>YES</v>
      </c>
      <c r="AV3" s="314">
        <f t="shared" ref="AV3:AV12" si="27">COUNTIFS($C:$C, AV$1, $L:$L, $AC3,$E:$E,"YES")</f>
        <v>0</v>
      </c>
      <c r="AW3" s="314">
        <f t="shared" ref="AW3:AW12" si="28">COUNTIFS($C:$C, AV$1, $M:$M, $AC3,$E:$E,"YES")</f>
        <v>1</v>
      </c>
      <c r="AX3" s="314" t="str">
        <f t="shared" ref="AX3:AX12" si="29">IF((COUNTIFS($C:$C,AV$1,$E:$E,"YES",$H:$H,$AC3))+(COUNTIFS($C:$C,AV$1,$E:$E,"YES",$K:$K,$AC3))&gt;0,"YES","-")</f>
        <v>YES</v>
      </c>
    </row>
    <row r="4" ht="15.75" customHeight="1">
      <c r="B4" s="13">
        <v>3.0</v>
      </c>
      <c r="C4" s="1147">
        <v>2019.0</v>
      </c>
      <c r="D4" s="1167" t="s">
        <v>715</v>
      </c>
      <c r="E4" s="314" t="str">
        <f t="shared" si="1"/>
        <v>-</v>
      </c>
      <c r="F4" s="1148" t="s">
        <v>710</v>
      </c>
      <c r="G4" s="960" t="s">
        <v>670</v>
      </c>
      <c r="H4" s="1149" t="s">
        <v>537</v>
      </c>
      <c r="I4" s="1150">
        <v>120.06</v>
      </c>
      <c r="J4" s="1151">
        <v>152.5</v>
      </c>
      <c r="K4" s="428" t="s">
        <v>494</v>
      </c>
      <c r="L4" s="965" t="str">
        <f t="shared" si="2"/>
        <v>POPEYES</v>
      </c>
      <c r="M4" s="966" t="str">
        <f t="shared" si="3"/>
        <v>YARDIES</v>
      </c>
      <c r="N4" s="967">
        <f t="array" ref="N4">IFERROR(IF(ABS(I4-J4)=0,Tie,ABS(I4-J4)),"UPCOMING")</f>
        <v>32.44</v>
      </c>
      <c r="O4" s="1156" t="str">
        <f t="shared" si="4"/>
        <v>-</v>
      </c>
      <c r="P4" s="967">
        <f t="shared" si="5"/>
        <v>272.56</v>
      </c>
      <c r="Q4" s="1156" t="str">
        <f t="shared" si="6"/>
        <v>-</v>
      </c>
      <c r="R4" s="96" t="str">
        <f t="shared" si="7"/>
        <v>-</v>
      </c>
      <c r="S4" s="1158" t="str">
        <f t="shared" si="8"/>
        <v>-</v>
      </c>
      <c r="U4" s="988">
        <v>2.0</v>
      </c>
      <c r="V4" s="989">
        <f t="array" ref="V4">SMALL(IF($E:$E="Yes", $N:$N), U4)</f>
        <v>0.31</v>
      </c>
      <c r="W4" s="990">
        <f t="array" ref="W4">INDEX($C:$C, MATCH(V4,$N:$N* ("Yes"=$E:$E),0))</f>
        <v>2019</v>
      </c>
      <c r="X4" s="990" t="str">
        <f t="array" ref="X4">INDEX($D:$D, MATCH(V4,$N:$N* ("Yes"=$E:$E),0))</f>
        <v>DIV CHAMP</v>
      </c>
      <c r="Y4" s="991" t="str">
        <f t="array" ref="Y4">INDEX($L:$L, MATCH(V4,$N:$N* ("Yes"=$E:$E),0))</f>
        <v>SAVAGES</v>
      </c>
      <c r="Z4" s="990" t="str">
        <f t="array" ref="Z4">INDEX($M:$M, MATCH(V4,$N:$N* ("Yes"=$E:$E),0))</f>
        <v>DECOUPES</v>
      </c>
      <c r="AA4" s="992" t="str">
        <f t="array" ref="AA4">"PVE FFL PLAYOFF " &amp; INDEX($B:$B, MATCH(V4,$N:$N* ("Yes"=$E:$E),0))</f>
        <v>PVE FFL PLAYOFF 4</v>
      </c>
      <c r="AC4" s="13" t="str">
        <f>'League History'!AJ5</f>
        <v>POPEYES</v>
      </c>
      <c r="AD4" s="1163">
        <f t="shared" si="9"/>
        <v>0</v>
      </c>
      <c r="AE4" s="1164">
        <f t="shared" si="10"/>
        <v>0</v>
      </c>
      <c r="AF4" s="1165" t="str">
        <f t="shared" si="11"/>
        <v>-</v>
      </c>
      <c r="AG4" s="1166">
        <f t="shared" si="12"/>
        <v>2</v>
      </c>
      <c r="AH4" s="1164">
        <f t="shared" si="13"/>
        <v>0</v>
      </c>
      <c r="AI4" s="1165" t="str">
        <f t="shared" si="14"/>
        <v>YES</v>
      </c>
      <c r="AJ4" s="1166">
        <f t="shared" si="15"/>
        <v>1</v>
      </c>
      <c r="AK4" s="1164">
        <f t="shared" si="16"/>
        <v>1</v>
      </c>
      <c r="AL4" s="1165" t="str">
        <f t="shared" si="17"/>
        <v>YES</v>
      </c>
      <c r="AM4" s="1166">
        <f t="shared" si="18"/>
        <v>1</v>
      </c>
      <c r="AN4" s="1164">
        <f t="shared" si="19"/>
        <v>1</v>
      </c>
      <c r="AO4" s="1165" t="str">
        <f t="shared" si="20"/>
        <v>YES</v>
      </c>
      <c r="AP4" s="1166">
        <f t="shared" si="21"/>
        <v>3</v>
      </c>
      <c r="AQ4" s="1164">
        <f t="shared" si="22"/>
        <v>0</v>
      </c>
      <c r="AR4" s="1165" t="str">
        <f t="shared" si="23"/>
        <v>YES</v>
      </c>
      <c r="AS4" s="1166">
        <f t="shared" si="24"/>
        <v>0</v>
      </c>
      <c r="AT4" s="1164">
        <f t="shared" si="25"/>
        <v>1</v>
      </c>
      <c r="AU4" s="1165" t="str">
        <f t="shared" si="26"/>
        <v>YES</v>
      </c>
      <c r="AV4" s="314">
        <f t="shared" si="27"/>
        <v>2</v>
      </c>
      <c r="AW4" s="314">
        <f t="shared" si="28"/>
        <v>1</v>
      </c>
      <c r="AX4" s="314" t="str">
        <f t="shared" si="29"/>
        <v>YES</v>
      </c>
    </row>
    <row r="5" ht="15.75" customHeight="1">
      <c r="B5" s="13">
        <v>4.0</v>
      </c>
      <c r="C5" s="1147">
        <v>2019.0</v>
      </c>
      <c r="D5" s="731" t="s">
        <v>716</v>
      </c>
      <c r="E5" s="314" t="str">
        <f t="shared" si="1"/>
        <v>YES</v>
      </c>
      <c r="F5" s="1168" t="s">
        <v>587</v>
      </c>
      <c r="G5" s="960" t="s">
        <v>663</v>
      </c>
      <c r="H5" s="1149" t="s">
        <v>493</v>
      </c>
      <c r="I5" s="1150">
        <v>152.75</v>
      </c>
      <c r="J5" s="1151">
        <v>153.06</v>
      </c>
      <c r="K5" s="428" t="s">
        <v>497</v>
      </c>
      <c r="L5" s="965" t="str">
        <f t="shared" si="2"/>
        <v>SAVAGES</v>
      </c>
      <c r="M5" s="966" t="str">
        <f t="shared" si="3"/>
        <v>DECOUPES</v>
      </c>
      <c r="N5" s="967">
        <f t="array" ref="N5">IFERROR(IF(ABS(I5-J5)=0,Tie,ABS(I5-J5)),"UPCOMING")</f>
        <v>0.31</v>
      </c>
      <c r="O5" s="1156">
        <f t="shared" si="4"/>
        <v>3</v>
      </c>
      <c r="P5" s="967">
        <f t="shared" si="5"/>
        <v>305.81</v>
      </c>
      <c r="Q5" s="1156">
        <f t="shared" si="6"/>
        <v>49</v>
      </c>
      <c r="R5" s="96">
        <f t="shared" si="7"/>
        <v>26</v>
      </c>
      <c r="S5" s="1158">
        <f t="shared" si="8"/>
        <v>8</v>
      </c>
      <c r="U5" s="988">
        <v>3.0</v>
      </c>
      <c r="V5" s="989">
        <f t="array" ref="V5">SMALL(IF($E:$E="Yes", $N:$N), U5)</f>
        <v>1.14</v>
      </c>
      <c r="W5" s="990">
        <f t="array" ref="W5">INDEX($C:$C, MATCH(V5,$N:$N* ("Yes"=$E:$E),0))</f>
        <v>2020</v>
      </c>
      <c r="X5" s="990" t="str">
        <f t="array" ref="X5">INDEX($D:$D, MATCH(V5,$N:$N* ("Yes"=$E:$E),0))</f>
        <v>DIV CHAMP</v>
      </c>
      <c r="Y5" s="991" t="str">
        <f t="array" ref="Y5">INDEX($L:$L, MATCH(V5,$N:$N* ("Yes"=$E:$E),0))</f>
        <v>METAMOOKDAWGS</v>
      </c>
      <c r="Z5" s="990" t="str">
        <f t="array" ref="Z5">INDEX($M:$M, MATCH(V5,$N:$N* ("Yes"=$E:$E),0))</f>
        <v>MUTTS</v>
      </c>
      <c r="AA5" s="992" t="str">
        <f t="array" ref="AA5">"PVE FFL PLAYOFF " &amp; INDEX($B:$B, MATCH(V5,$N:$N* ("Yes"=$E:$E),0))</f>
        <v>PVE FFL PLAYOFF 16</v>
      </c>
      <c r="AC5" s="13" t="str">
        <f>'League History'!AJ6</f>
        <v>GREEN</v>
      </c>
      <c r="AD5" s="1163">
        <f t="shared" si="9"/>
        <v>0</v>
      </c>
      <c r="AE5" s="1164">
        <f t="shared" si="10"/>
        <v>1</v>
      </c>
      <c r="AF5" s="1165" t="str">
        <f t="shared" si="11"/>
        <v>YES</v>
      </c>
      <c r="AG5" s="1166">
        <f t="shared" si="12"/>
        <v>0</v>
      </c>
      <c r="AH5" s="1164">
        <f t="shared" si="13"/>
        <v>0</v>
      </c>
      <c r="AI5" s="1165" t="str">
        <f t="shared" si="14"/>
        <v>-</v>
      </c>
      <c r="AJ5" s="1166">
        <f t="shared" si="15"/>
        <v>0</v>
      </c>
      <c r="AK5" s="1164">
        <f t="shared" si="16"/>
        <v>1</v>
      </c>
      <c r="AL5" s="1165" t="str">
        <f t="shared" si="17"/>
        <v>YES</v>
      </c>
      <c r="AM5" s="1166">
        <f t="shared" si="18"/>
        <v>2</v>
      </c>
      <c r="AN5" s="1164">
        <f t="shared" si="19"/>
        <v>0</v>
      </c>
      <c r="AO5" s="1165" t="str">
        <f t="shared" si="20"/>
        <v>YES</v>
      </c>
      <c r="AP5" s="1166">
        <f t="shared" si="21"/>
        <v>0</v>
      </c>
      <c r="AQ5" s="1164">
        <f t="shared" si="22"/>
        <v>1</v>
      </c>
      <c r="AR5" s="1165" t="str">
        <f t="shared" si="23"/>
        <v>YES</v>
      </c>
      <c r="AS5" s="1166">
        <f t="shared" si="24"/>
        <v>0</v>
      </c>
      <c r="AT5" s="1164">
        <f t="shared" si="25"/>
        <v>0</v>
      </c>
      <c r="AU5" s="1165" t="str">
        <f t="shared" si="26"/>
        <v>-</v>
      </c>
      <c r="AV5" s="314">
        <f t="shared" si="27"/>
        <v>0</v>
      </c>
      <c r="AW5" s="314">
        <f t="shared" si="28"/>
        <v>1</v>
      </c>
      <c r="AX5" s="314" t="str">
        <f t="shared" si="29"/>
        <v>YES</v>
      </c>
    </row>
    <row r="6" ht="15.75" customHeight="1">
      <c r="B6" s="13">
        <v>5.0</v>
      </c>
      <c r="C6" s="1147">
        <v>2019.0</v>
      </c>
      <c r="D6" s="731" t="s">
        <v>716</v>
      </c>
      <c r="E6" s="314" t="str">
        <f t="shared" si="1"/>
        <v>YES</v>
      </c>
      <c r="F6" s="1168" t="s">
        <v>587</v>
      </c>
      <c r="G6" s="960" t="s">
        <v>665</v>
      </c>
      <c r="H6" s="1149" t="s">
        <v>672</v>
      </c>
      <c r="I6" s="1150">
        <v>129.3</v>
      </c>
      <c r="J6" s="1151">
        <v>141.14</v>
      </c>
      <c r="K6" s="428" t="s">
        <v>578</v>
      </c>
      <c r="L6" s="965" t="str">
        <f t="shared" si="2"/>
        <v>METAMOOKDAWGS</v>
      </c>
      <c r="M6" s="966" t="str">
        <f t="shared" si="3"/>
        <v>DEEZ NUTS</v>
      </c>
      <c r="N6" s="967">
        <f t="array" ref="N6">IFERROR(IF(ABS(I6-J6)=0,Tie,ABS(I6-J6)),"UPCOMING")</f>
        <v>11.84</v>
      </c>
      <c r="O6" s="1156">
        <f t="shared" si="4"/>
        <v>26</v>
      </c>
      <c r="P6" s="967">
        <f t="shared" si="5"/>
        <v>270.44</v>
      </c>
      <c r="Q6" s="1156">
        <f t="shared" si="6"/>
        <v>69</v>
      </c>
      <c r="R6" s="96">
        <f t="shared" si="7"/>
        <v>47.5</v>
      </c>
      <c r="S6" s="1158">
        <f t="shared" si="8"/>
        <v>24</v>
      </c>
      <c r="U6" s="988">
        <v>4.0</v>
      </c>
      <c r="V6" s="989">
        <f t="array" ref="V6">SMALL(IF($E:$E="Yes", $N:$N), U6)</f>
        <v>5.71</v>
      </c>
      <c r="W6" s="990">
        <f t="array" ref="W6">INDEX($C:$C, MATCH(V6,$N:$N* ("Yes"=$E:$E),0))</f>
        <v>2023</v>
      </c>
      <c r="X6" s="990" t="str">
        <f t="array" ref="X6">INDEX($D:$D, MATCH(V6,$N:$N* ("Yes"=$E:$E),0))</f>
        <v>WILD CARD</v>
      </c>
      <c r="Y6" s="991" t="str">
        <f t="array" ref="Y6">INDEX($L:$L, MATCH(V6,$N:$N* ("Yes"=$E:$E),0))</f>
        <v>CHAMPS</v>
      </c>
      <c r="Z6" s="990" t="str">
        <f t="array" ref="Z6">INDEX($M:$M, MATCH(V6,$N:$N* ("Yes"=$E:$E),0))</f>
        <v>MUTTS</v>
      </c>
      <c r="AA6" s="992" t="str">
        <f t="array" ref="AA6">"PVE FFL PLAYOFF " &amp; INDEX($B:$B, MATCH(V6,$N:$N* ("Yes"=$E:$E),0))</f>
        <v>PVE FFL PLAYOFF 50</v>
      </c>
      <c r="AC6" s="13" t="str">
        <f>'League History'!AJ7</f>
        <v>SAVAGES</v>
      </c>
      <c r="AD6" s="1163">
        <f t="shared" si="9"/>
        <v>2</v>
      </c>
      <c r="AE6" s="1164">
        <f t="shared" si="10"/>
        <v>0</v>
      </c>
      <c r="AF6" s="1165" t="str">
        <f t="shared" si="11"/>
        <v>YES</v>
      </c>
      <c r="AG6" s="1166">
        <f t="shared" si="12"/>
        <v>1</v>
      </c>
      <c r="AH6" s="1164">
        <f t="shared" si="13"/>
        <v>1</v>
      </c>
      <c r="AI6" s="1165" t="str">
        <f t="shared" si="14"/>
        <v>YES</v>
      </c>
      <c r="AJ6" s="1166">
        <f t="shared" si="15"/>
        <v>0</v>
      </c>
      <c r="AK6" s="1164">
        <f t="shared" si="16"/>
        <v>1</v>
      </c>
      <c r="AL6" s="1165" t="str">
        <f t="shared" si="17"/>
        <v>YES</v>
      </c>
      <c r="AM6" s="1166">
        <f t="shared" si="18"/>
        <v>0</v>
      </c>
      <c r="AN6" s="1164">
        <f t="shared" si="19"/>
        <v>0</v>
      </c>
      <c r="AO6" s="1165" t="str">
        <f t="shared" si="20"/>
        <v>-</v>
      </c>
      <c r="AP6" s="1166">
        <f t="shared" si="21"/>
        <v>0</v>
      </c>
      <c r="AQ6" s="1164">
        <f t="shared" si="22"/>
        <v>0</v>
      </c>
      <c r="AR6" s="1165" t="str">
        <f t="shared" si="23"/>
        <v>-</v>
      </c>
      <c r="AS6" s="1166">
        <f t="shared" si="24"/>
        <v>0</v>
      </c>
      <c r="AT6" s="1164">
        <f t="shared" si="25"/>
        <v>0</v>
      </c>
      <c r="AU6" s="1165" t="str">
        <f t="shared" si="26"/>
        <v>-</v>
      </c>
      <c r="AV6" s="314">
        <f t="shared" si="27"/>
        <v>0</v>
      </c>
      <c r="AW6" s="314">
        <f t="shared" si="28"/>
        <v>0</v>
      </c>
      <c r="AX6" s="314" t="str">
        <f t="shared" si="29"/>
        <v>-</v>
      </c>
    </row>
    <row r="7" ht="15.75" customHeight="1">
      <c r="B7" s="13">
        <v>6.0</v>
      </c>
      <c r="C7" s="1147">
        <v>2019.0</v>
      </c>
      <c r="D7" s="1172" t="s">
        <v>718</v>
      </c>
      <c r="E7" s="314" t="str">
        <f t="shared" si="1"/>
        <v>-</v>
      </c>
      <c r="F7" s="1168" t="s">
        <v>587</v>
      </c>
      <c r="G7" s="960" t="s">
        <v>670</v>
      </c>
      <c r="H7" s="1149" t="s">
        <v>495</v>
      </c>
      <c r="I7" s="1150">
        <v>161.53</v>
      </c>
      <c r="J7" s="1151">
        <v>128.82</v>
      </c>
      <c r="K7" s="428" t="s">
        <v>538</v>
      </c>
      <c r="L7" s="965" t="str">
        <f t="shared" si="2"/>
        <v>GREEN</v>
      </c>
      <c r="M7" s="966" t="str">
        <f t="shared" si="3"/>
        <v>MUTTS</v>
      </c>
      <c r="N7" s="967">
        <f t="array" ref="N7">IFERROR(IF(ABS(I7-J7)=0,Tie,ABS(I7-J7)),"UPCOMING")</f>
        <v>32.71</v>
      </c>
      <c r="O7" s="1156" t="str">
        <f t="shared" si="4"/>
        <v>-</v>
      </c>
      <c r="P7" s="967">
        <f t="shared" si="5"/>
        <v>290.35</v>
      </c>
      <c r="Q7" s="1156" t="str">
        <f t="shared" si="6"/>
        <v>-</v>
      </c>
      <c r="R7" s="96" t="str">
        <f t="shared" si="7"/>
        <v>-</v>
      </c>
      <c r="S7" s="1158" t="str">
        <f t="shared" si="8"/>
        <v>-</v>
      </c>
      <c r="U7" s="988">
        <v>5.0</v>
      </c>
      <c r="V7" s="989">
        <f t="array" ref="V7">SMALL(IF($E:$E="Yes", $N:$N), U7)</f>
        <v>6.29</v>
      </c>
      <c r="W7" s="990">
        <f t="array" ref="W7">INDEX($C:$C, MATCH(V7,$N:$N* ("Yes"=$E:$E),0))</f>
        <v>2021</v>
      </c>
      <c r="X7" s="990" t="str">
        <f t="array" ref="X7">INDEX($D:$D, MATCH(V7,$N:$N* ("Yes"=$E:$E),0))</f>
        <v>WILD CARD</v>
      </c>
      <c r="Y7" s="991" t="str">
        <f t="array" ref="Y7">INDEX($L:$L, MATCH(V7,$N:$N* ("Yes"=$E:$E),0))</f>
        <v>CHAMPS</v>
      </c>
      <c r="Z7" s="990" t="str">
        <f t="array" ref="Z7">INDEX($M:$M, MATCH(V7,$N:$N* ("Yes"=$E:$E),0))</f>
        <v>YARDIES</v>
      </c>
      <c r="AA7" s="992" t="str">
        <f t="array" ref="AA7">"PVE FFL PLAYOFF " &amp; INDEX($B:$B, MATCH(V7,$N:$N* ("Yes"=$E:$E),0))</f>
        <v>PVE FFL PLAYOFF 25</v>
      </c>
      <c r="AC7" s="13" t="str">
        <f>'League History'!AJ8</f>
        <v>KINGS</v>
      </c>
      <c r="AD7" s="998">
        <f t="shared" si="9"/>
        <v>0</v>
      </c>
      <c r="AE7" s="995">
        <f t="shared" si="10"/>
        <v>0</v>
      </c>
      <c r="AF7" s="997" t="str">
        <f t="shared" si="11"/>
        <v>-</v>
      </c>
      <c r="AG7" s="994">
        <f t="shared" si="12"/>
        <v>0</v>
      </c>
      <c r="AH7" s="995">
        <f t="shared" si="13"/>
        <v>0</v>
      </c>
      <c r="AI7" s="997" t="str">
        <f t="shared" si="14"/>
        <v>-</v>
      </c>
      <c r="AJ7" s="994">
        <f t="shared" si="15"/>
        <v>0</v>
      </c>
      <c r="AK7" s="995">
        <f t="shared" si="16"/>
        <v>0</v>
      </c>
      <c r="AL7" s="997" t="str">
        <f t="shared" si="17"/>
        <v>-</v>
      </c>
      <c r="AM7" s="994">
        <f t="shared" si="18"/>
        <v>0</v>
      </c>
      <c r="AN7" s="995">
        <f t="shared" si="19"/>
        <v>0</v>
      </c>
      <c r="AO7" s="997" t="str">
        <f t="shared" si="20"/>
        <v>-</v>
      </c>
      <c r="AP7" s="994">
        <f t="shared" si="21"/>
        <v>0</v>
      </c>
      <c r="AQ7" s="995">
        <f t="shared" si="22"/>
        <v>0</v>
      </c>
      <c r="AR7" s="997" t="str">
        <f t="shared" si="23"/>
        <v>-</v>
      </c>
      <c r="AS7" s="1166">
        <f t="shared" si="24"/>
        <v>2</v>
      </c>
      <c r="AT7" s="1164">
        <f t="shared" si="25"/>
        <v>1</v>
      </c>
      <c r="AU7" s="1165" t="str">
        <f t="shared" si="26"/>
        <v>YES</v>
      </c>
      <c r="AV7" s="314">
        <f t="shared" si="27"/>
        <v>0</v>
      </c>
      <c r="AW7" s="314">
        <f t="shared" si="28"/>
        <v>0</v>
      </c>
      <c r="AX7" s="314" t="str">
        <f t="shared" si="29"/>
        <v>-</v>
      </c>
    </row>
    <row r="8" ht="15.75" customHeight="1">
      <c r="B8" s="13">
        <v>7.0</v>
      </c>
      <c r="C8" s="1147">
        <v>2019.0</v>
      </c>
      <c r="D8" s="1167" t="s">
        <v>720</v>
      </c>
      <c r="E8" s="314" t="str">
        <f t="shared" si="1"/>
        <v>-</v>
      </c>
      <c r="F8" s="1168" t="s">
        <v>587</v>
      </c>
      <c r="G8" s="960" t="s">
        <v>671</v>
      </c>
      <c r="H8" s="1149" t="s">
        <v>537</v>
      </c>
      <c r="I8" s="1150">
        <v>145.65</v>
      </c>
      <c r="J8" s="1151">
        <v>126.73</v>
      </c>
      <c r="K8" s="428" t="s">
        <v>494</v>
      </c>
      <c r="L8" s="965" t="str">
        <f t="shared" si="2"/>
        <v>YARDIES</v>
      </c>
      <c r="M8" s="966" t="str">
        <f t="shared" si="3"/>
        <v>POPEYES</v>
      </c>
      <c r="N8" s="967">
        <f t="array" ref="N8">IFERROR(IF(ABS(I8-J8)=0,Tie,ABS(I8-J8)),"UPCOMING")</f>
        <v>18.92</v>
      </c>
      <c r="O8" s="1156" t="str">
        <f t="shared" si="4"/>
        <v>-</v>
      </c>
      <c r="P8" s="967">
        <f t="shared" si="5"/>
        <v>272.38</v>
      </c>
      <c r="Q8" s="1156" t="str">
        <f t="shared" si="6"/>
        <v>-</v>
      </c>
      <c r="R8" s="96" t="str">
        <f t="shared" si="7"/>
        <v>-</v>
      </c>
      <c r="S8" s="1158" t="str">
        <f t="shared" si="8"/>
        <v>-</v>
      </c>
      <c r="U8" s="988">
        <v>6.0</v>
      </c>
      <c r="V8" s="989">
        <f t="array" ref="V8">SMALL(IF($E:$E="Yes", $N:$N), U8)</f>
        <v>7.55</v>
      </c>
      <c r="W8" s="990">
        <f t="array" ref="W8">INDEX($C:$C, MATCH(V8,$N:$N* ("Yes"=$E:$E),0))</f>
        <v>2023</v>
      </c>
      <c r="X8" s="990" t="str">
        <f t="array" ref="X8">INDEX($D:$D, MATCH(V8,$N:$N* ("Yes"=$E:$E),0))</f>
        <v>DIV CHAMP</v>
      </c>
      <c r="Y8" s="991" t="str">
        <f t="array" ref="Y8">INDEX($L:$L, MATCH(V8,$N:$N* ("Yes"=$E:$E),0))</f>
        <v>CHAMPS</v>
      </c>
      <c r="Z8" s="990" t="str">
        <f t="array" ref="Z8">INDEX($M:$M, MATCH(V8,$N:$N* ("Yes"=$E:$E),0))</f>
        <v>YARDIES</v>
      </c>
      <c r="AA8" s="992" t="str">
        <f t="array" ref="AA8">"PVE FFL PLAYOFF " &amp; INDEX($B:$B, MATCH(V8,$N:$N* ("Yes"=$E:$E),0))</f>
        <v>PVE FFL PLAYOFF 52</v>
      </c>
      <c r="AC8" s="13" t="str">
        <f>'League History'!AJ9</f>
        <v>CHAMPS</v>
      </c>
      <c r="AD8" s="998">
        <f t="shared" si="9"/>
        <v>0</v>
      </c>
      <c r="AE8" s="995">
        <f t="shared" si="10"/>
        <v>0</v>
      </c>
      <c r="AF8" s="997" t="str">
        <f t="shared" si="11"/>
        <v>-</v>
      </c>
      <c r="AG8" s="994">
        <f t="shared" si="12"/>
        <v>0</v>
      </c>
      <c r="AH8" s="995">
        <f t="shared" si="13"/>
        <v>0</v>
      </c>
      <c r="AI8" s="997" t="str">
        <f t="shared" si="14"/>
        <v>-</v>
      </c>
      <c r="AJ8" s="1166">
        <f t="shared" si="15"/>
        <v>2</v>
      </c>
      <c r="AK8" s="1164">
        <f t="shared" si="16"/>
        <v>1</v>
      </c>
      <c r="AL8" s="1165" t="str">
        <f t="shared" si="17"/>
        <v>YES</v>
      </c>
      <c r="AM8" s="1166">
        <f t="shared" si="18"/>
        <v>0</v>
      </c>
      <c r="AN8" s="1164">
        <f t="shared" si="19"/>
        <v>1</v>
      </c>
      <c r="AO8" s="1165" t="str">
        <f t="shared" si="20"/>
        <v>YES</v>
      </c>
      <c r="AP8" s="1166">
        <f t="shared" si="21"/>
        <v>2</v>
      </c>
      <c r="AQ8" s="1164">
        <f t="shared" si="22"/>
        <v>1</v>
      </c>
      <c r="AR8" s="1165" t="str">
        <f t="shared" si="23"/>
        <v>YES</v>
      </c>
      <c r="AS8" s="1166">
        <f t="shared" si="24"/>
        <v>0</v>
      </c>
      <c r="AT8" s="1164">
        <f t="shared" si="25"/>
        <v>0</v>
      </c>
      <c r="AU8" s="1165" t="str">
        <f t="shared" si="26"/>
        <v>-</v>
      </c>
      <c r="AV8" s="314">
        <f t="shared" si="27"/>
        <v>0</v>
      </c>
      <c r="AW8" s="314">
        <f t="shared" si="28"/>
        <v>1</v>
      </c>
      <c r="AX8" s="314" t="str">
        <f t="shared" si="29"/>
        <v>YES</v>
      </c>
    </row>
    <row r="9" ht="15.75" customHeight="1">
      <c r="B9" s="13">
        <v>8.0</v>
      </c>
      <c r="C9" s="1147">
        <v>2019.0</v>
      </c>
      <c r="D9" s="498" t="s">
        <v>742</v>
      </c>
      <c r="E9" s="314" t="str">
        <f t="shared" si="1"/>
        <v>YES</v>
      </c>
      <c r="F9" s="1190" t="s">
        <v>588</v>
      </c>
      <c r="G9" s="960" t="s">
        <v>663</v>
      </c>
      <c r="H9" s="1149" t="s">
        <v>578</v>
      </c>
      <c r="I9" s="1150">
        <v>140.87</v>
      </c>
      <c r="J9" s="1151">
        <v>202.93</v>
      </c>
      <c r="K9" s="428" t="s">
        <v>497</v>
      </c>
      <c r="L9" s="965" t="str">
        <f t="shared" si="2"/>
        <v>SAVAGES</v>
      </c>
      <c r="M9" s="966" t="str">
        <f t="shared" si="3"/>
        <v>METAMOOKDAWGS</v>
      </c>
      <c r="N9" s="967">
        <f t="array" ref="N9">IFERROR(IF(ABS(I9-J9)=0,Tie,ABS(I9-J9)),"UPCOMING")</f>
        <v>62.06</v>
      </c>
      <c r="O9" s="1156">
        <f t="shared" si="4"/>
        <v>65</v>
      </c>
      <c r="P9" s="967">
        <f t="shared" si="5"/>
        <v>343.8</v>
      </c>
      <c r="Q9" s="1156">
        <f t="shared" si="6"/>
        <v>37</v>
      </c>
      <c r="R9" s="96">
        <f t="shared" si="7"/>
        <v>51</v>
      </c>
      <c r="S9" s="1158">
        <f t="shared" si="8"/>
        <v>28</v>
      </c>
      <c r="U9" s="988">
        <v>7.0</v>
      </c>
      <c r="V9" s="989">
        <f t="array" ref="V9">SMALL(IF($E:$E="Yes", $N:$N), U9)</f>
        <v>7.66</v>
      </c>
      <c r="W9" s="990">
        <f t="array" ref="W9">INDEX($C:$C, MATCH(V9,$N:$N* ("Yes"=$E:$E),0))</f>
        <v>2021</v>
      </c>
      <c r="X9" s="990" t="str">
        <f t="array" ref="X9">INDEX($D:$D, MATCH(V9,$N:$N* ("Yes"=$E:$E),0))</f>
        <v>DIV CHAMP</v>
      </c>
      <c r="Y9" s="991" t="str">
        <f t="array" ref="Y9">INDEX($L:$L, MATCH(V9,$N:$N* ("Yes"=$E:$E),0))</f>
        <v>CHAMPS</v>
      </c>
      <c r="Z9" s="990" t="str">
        <f t="array" ref="Z9">INDEX($M:$M, MATCH(V9,$N:$N* ("Yes"=$E:$E),0))</f>
        <v>METAMOOKDAWGS</v>
      </c>
      <c r="AA9" s="992" t="str">
        <f t="array" ref="AA9">"PVE FFL PLAYOFF " &amp; INDEX($B:$B, MATCH(V9,$N:$N* ("Yes"=$E:$E),0))</f>
        <v>PVE FFL PLAYOFF 29</v>
      </c>
      <c r="AC9" s="13" t="str">
        <f>'League History'!AJ10</f>
        <v>METAMOOKDAWGS</v>
      </c>
      <c r="AD9" s="1163">
        <f t="shared" si="9"/>
        <v>1</v>
      </c>
      <c r="AE9" s="1164">
        <f t="shared" si="10"/>
        <v>1</v>
      </c>
      <c r="AF9" s="1165" t="str">
        <f t="shared" si="11"/>
        <v>YES</v>
      </c>
      <c r="AG9" s="1166">
        <f t="shared" si="12"/>
        <v>1</v>
      </c>
      <c r="AH9" s="1164">
        <f t="shared" si="13"/>
        <v>1</v>
      </c>
      <c r="AI9" s="1165" t="str">
        <f t="shared" si="14"/>
        <v>YES</v>
      </c>
      <c r="AJ9" s="1166">
        <f t="shared" si="15"/>
        <v>1</v>
      </c>
      <c r="AK9" s="1164">
        <f t="shared" si="16"/>
        <v>1</v>
      </c>
      <c r="AL9" s="1165" t="str">
        <f t="shared" si="17"/>
        <v>YES</v>
      </c>
      <c r="AM9" s="1166">
        <f t="shared" si="18"/>
        <v>0</v>
      </c>
      <c r="AN9" s="1164">
        <f t="shared" si="19"/>
        <v>0</v>
      </c>
      <c r="AO9" s="1165" t="str">
        <f t="shared" si="20"/>
        <v>-</v>
      </c>
      <c r="AP9" s="1166">
        <f t="shared" si="21"/>
        <v>0</v>
      </c>
      <c r="AQ9" s="1164">
        <f t="shared" si="22"/>
        <v>0</v>
      </c>
      <c r="AR9" s="1165" t="str">
        <f t="shared" si="23"/>
        <v>-</v>
      </c>
      <c r="AS9" s="1166">
        <f t="shared" si="24"/>
        <v>0</v>
      </c>
      <c r="AT9" s="1164">
        <f t="shared" si="25"/>
        <v>0</v>
      </c>
      <c r="AU9" s="1165" t="str">
        <f t="shared" si="26"/>
        <v>-</v>
      </c>
      <c r="AV9" s="314">
        <f t="shared" si="27"/>
        <v>0</v>
      </c>
      <c r="AW9" s="314">
        <f t="shared" si="28"/>
        <v>0</v>
      </c>
      <c r="AX9" s="314" t="str">
        <f t="shared" si="29"/>
        <v>-</v>
      </c>
    </row>
    <row r="10" ht="15.75" customHeight="1">
      <c r="B10" s="13">
        <v>9.0</v>
      </c>
      <c r="C10" s="1147">
        <v>2019.0</v>
      </c>
      <c r="D10" s="1191" t="s">
        <v>765</v>
      </c>
      <c r="E10" s="314" t="str">
        <f t="shared" si="1"/>
        <v>-</v>
      </c>
      <c r="F10" s="1190" t="s">
        <v>588</v>
      </c>
      <c r="G10" s="960" t="s">
        <v>665</v>
      </c>
      <c r="H10" s="1149" t="s">
        <v>493</v>
      </c>
      <c r="I10" s="1150">
        <v>125.39</v>
      </c>
      <c r="J10" s="1151">
        <v>108.41</v>
      </c>
      <c r="K10" s="428" t="s">
        <v>672</v>
      </c>
      <c r="L10" s="965" t="str">
        <f t="shared" si="2"/>
        <v>DECOUPES</v>
      </c>
      <c r="M10" s="966" t="str">
        <f t="shared" si="3"/>
        <v>DEEZ NUTS</v>
      </c>
      <c r="N10" s="967">
        <f t="array" ref="N10">IFERROR(IF(ABS(I10-J10)=0,Tie,ABS(I10-J10)),"UPCOMING")</f>
        <v>16.98</v>
      </c>
      <c r="O10" s="1156" t="str">
        <f t="shared" si="4"/>
        <v>-</v>
      </c>
      <c r="P10" s="967">
        <f t="shared" si="5"/>
        <v>233.8</v>
      </c>
      <c r="Q10" s="1156" t="str">
        <f t="shared" si="6"/>
        <v>-</v>
      </c>
      <c r="R10" s="96" t="str">
        <f t="shared" si="7"/>
        <v>-</v>
      </c>
      <c r="S10" s="1158" t="str">
        <f t="shared" si="8"/>
        <v>-</v>
      </c>
      <c r="U10" s="988">
        <v>8.0</v>
      </c>
      <c r="V10" s="989">
        <f t="array" ref="V10">SMALL(IF($E:$E="Yes", $N:$N), U10)</f>
        <v>8.2</v>
      </c>
      <c r="W10" s="990">
        <f t="array" ref="W10">INDEX($C:$C, MATCH(V10,$N:$N* ("Yes"=$E:$E),0))</f>
        <v>2024</v>
      </c>
      <c r="X10" s="990" t="str">
        <f t="array" ref="X10">INDEX($D:$D, MATCH(V10,$N:$N* ("Yes"=$E:$E),0))</f>
        <v>WILD CARD</v>
      </c>
      <c r="Y10" s="991" t="str">
        <f t="array" ref="Y10">INDEX($L:$L, MATCH(V10,$N:$N* ("Yes"=$E:$E),0))</f>
        <v>EAGLES</v>
      </c>
      <c r="Z10" s="990" t="str">
        <f t="array" ref="Z10">INDEX($M:$M, MATCH(V10,$N:$N* ("Yes"=$E:$E),0))</f>
        <v>MUTTS</v>
      </c>
      <c r="AA10" s="992" t="str">
        <f t="array" ref="AA10">"PVE FFL PLAYOFF " &amp; INDEX($B:$B, MATCH(V10,$N:$N* ("Yes"=$E:$E),0))</f>
        <v>PVE FFL PLAYOFF 61</v>
      </c>
      <c r="AC10" s="13" t="str">
        <f>'League History'!AJ11</f>
        <v>YARDIES</v>
      </c>
      <c r="AD10" s="1163">
        <f t="shared" si="9"/>
        <v>0</v>
      </c>
      <c r="AE10" s="1164">
        <f t="shared" si="10"/>
        <v>0</v>
      </c>
      <c r="AF10" s="1165" t="str">
        <f t="shared" si="11"/>
        <v>-</v>
      </c>
      <c r="AG10" s="1166">
        <f t="shared" si="12"/>
        <v>0</v>
      </c>
      <c r="AH10" s="1164">
        <f t="shared" si="13"/>
        <v>0</v>
      </c>
      <c r="AI10" s="1165" t="str">
        <f t="shared" si="14"/>
        <v>-</v>
      </c>
      <c r="AJ10" s="1166">
        <f t="shared" si="15"/>
        <v>0</v>
      </c>
      <c r="AK10" s="1164">
        <f t="shared" si="16"/>
        <v>1</v>
      </c>
      <c r="AL10" s="1165" t="str">
        <f t="shared" si="17"/>
        <v>YES</v>
      </c>
      <c r="AM10" s="1166">
        <f t="shared" si="18"/>
        <v>0</v>
      </c>
      <c r="AN10" s="1164">
        <f t="shared" si="19"/>
        <v>1</v>
      </c>
      <c r="AO10" s="1165" t="str">
        <f t="shared" si="20"/>
        <v>YES</v>
      </c>
      <c r="AP10" s="1166">
        <f t="shared" si="21"/>
        <v>0</v>
      </c>
      <c r="AQ10" s="1164">
        <f t="shared" si="22"/>
        <v>1</v>
      </c>
      <c r="AR10" s="1165" t="str">
        <f t="shared" si="23"/>
        <v>YES</v>
      </c>
      <c r="AS10" s="1166">
        <f t="shared" si="24"/>
        <v>2</v>
      </c>
      <c r="AT10" s="1164">
        <f t="shared" si="25"/>
        <v>0</v>
      </c>
      <c r="AU10" s="1165" t="str">
        <f t="shared" si="26"/>
        <v>YES</v>
      </c>
      <c r="AV10" s="314">
        <f t="shared" si="27"/>
        <v>2</v>
      </c>
      <c r="AW10" s="314">
        <f t="shared" si="28"/>
        <v>0</v>
      </c>
      <c r="AX10" s="314" t="str">
        <f t="shared" si="29"/>
        <v>YES</v>
      </c>
    </row>
    <row r="11" ht="15.75" customHeight="1">
      <c r="B11" s="13">
        <v>10.0</v>
      </c>
      <c r="C11" s="1147">
        <v>2019.0</v>
      </c>
      <c r="D11" s="1172" t="s">
        <v>793</v>
      </c>
      <c r="E11" s="314" t="str">
        <f t="shared" si="1"/>
        <v>-</v>
      </c>
      <c r="F11" s="1190" t="s">
        <v>588</v>
      </c>
      <c r="G11" s="960" t="s">
        <v>670</v>
      </c>
      <c r="H11" s="1149" t="s">
        <v>495</v>
      </c>
      <c r="I11" s="1150">
        <v>113.96</v>
      </c>
      <c r="J11" s="1151">
        <v>116.12</v>
      </c>
      <c r="K11" s="428" t="s">
        <v>538</v>
      </c>
      <c r="L11" s="965" t="str">
        <f t="shared" si="2"/>
        <v>MUTTS</v>
      </c>
      <c r="M11" s="966" t="str">
        <f t="shared" si="3"/>
        <v>GREEN</v>
      </c>
      <c r="N11" s="967">
        <f t="array" ref="N11">IFERROR(IF(ABS(I11-J11)=0,Tie,ABS(I11-J11)),"UPCOMING")</f>
        <v>2.16</v>
      </c>
      <c r="O11" s="1156" t="str">
        <f t="shared" si="4"/>
        <v>-</v>
      </c>
      <c r="P11" s="967">
        <f t="shared" si="5"/>
        <v>230.08</v>
      </c>
      <c r="Q11" s="1156" t="str">
        <f t="shared" si="6"/>
        <v>-</v>
      </c>
      <c r="R11" s="96" t="str">
        <f t="shared" si="7"/>
        <v>-</v>
      </c>
      <c r="S11" s="1158" t="str">
        <f t="shared" si="8"/>
        <v>-</v>
      </c>
      <c r="U11" s="988">
        <v>9.0</v>
      </c>
      <c r="V11" s="989">
        <f t="array" ref="V11">SMALL(IF($E:$E="Yes", $N:$N), U11)</f>
        <v>10.67</v>
      </c>
      <c r="W11" s="990">
        <f t="array" ref="W11">INDEX($C:$C, MATCH(V11,$N:$N* ("Yes"=$E:$E),0))</f>
        <v>2023</v>
      </c>
      <c r="X11" s="990" t="str">
        <f t="array" ref="X11">INDEX($D:$D, MATCH(V11,$N:$N* ("Yes"=$E:$E),0))</f>
        <v>DIV CHAMP</v>
      </c>
      <c r="Y11" s="991" t="str">
        <f t="array" ref="Y11">INDEX($L:$L, MATCH(V11,$N:$N* ("Yes"=$E:$E),0))</f>
        <v>POPEYES</v>
      </c>
      <c r="Z11" s="990" t="str">
        <f t="array" ref="Z11">INDEX($M:$M, MATCH(V11,$N:$N* ("Yes"=$E:$E),0))</f>
        <v>DECOUPES</v>
      </c>
      <c r="AA11" s="992" t="str">
        <f t="array" ref="AA11">"PVE FFL PLAYOFF " &amp; INDEX($B:$B, MATCH(V11,$N:$N* ("Yes"=$E:$E),0))</f>
        <v>PVE FFL PLAYOFF 53</v>
      </c>
      <c r="AC11" s="13" t="str">
        <f>'League History'!AJ12</f>
        <v>MUTTS</v>
      </c>
      <c r="AD11" s="1163">
        <f t="shared" si="9"/>
        <v>0</v>
      </c>
      <c r="AE11" s="1164">
        <f t="shared" si="10"/>
        <v>1</v>
      </c>
      <c r="AF11" s="1165" t="str">
        <f t="shared" si="11"/>
        <v>YES</v>
      </c>
      <c r="AG11" s="1166">
        <f t="shared" si="12"/>
        <v>1</v>
      </c>
      <c r="AH11" s="1164">
        <f t="shared" si="13"/>
        <v>1</v>
      </c>
      <c r="AI11" s="1165" t="str">
        <f t="shared" si="14"/>
        <v>YES</v>
      </c>
      <c r="AJ11" s="1166">
        <f t="shared" si="15"/>
        <v>0</v>
      </c>
      <c r="AK11" s="1164">
        <f t="shared" si="16"/>
        <v>1</v>
      </c>
      <c r="AL11" s="1165" t="str">
        <f t="shared" si="17"/>
        <v>YES</v>
      </c>
      <c r="AM11" s="1166">
        <f t="shared" si="18"/>
        <v>2</v>
      </c>
      <c r="AN11" s="1164">
        <f t="shared" si="19"/>
        <v>1</v>
      </c>
      <c r="AO11" s="1165" t="str">
        <f t="shared" si="20"/>
        <v>YES</v>
      </c>
      <c r="AP11" s="1166">
        <f t="shared" si="21"/>
        <v>0</v>
      </c>
      <c r="AQ11" s="1164">
        <f t="shared" si="22"/>
        <v>1</v>
      </c>
      <c r="AR11" s="1165" t="str">
        <f t="shared" si="23"/>
        <v>YES</v>
      </c>
      <c r="AS11" s="1166">
        <f t="shared" si="24"/>
        <v>0</v>
      </c>
      <c r="AT11" s="1164">
        <f t="shared" si="25"/>
        <v>1</v>
      </c>
      <c r="AU11" s="1165" t="str">
        <f t="shared" si="26"/>
        <v>YES</v>
      </c>
      <c r="AV11" s="314">
        <f t="shared" si="27"/>
        <v>1</v>
      </c>
      <c r="AW11" s="314">
        <f t="shared" si="28"/>
        <v>1</v>
      </c>
      <c r="AX11" s="314" t="str">
        <f t="shared" si="29"/>
        <v>YES</v>
      </c>
    </row>
    <row r="12" ht="15.75" customHeight="1">
      <c r="B12" s="13">
        <v>11.0</v>
      </c>
      <c r="C12" s="1192">
        <v>2019.0</v>
      </c>
      <c r="D12" s="1193" t="s">
        <v>817</v>
      </c>
      <c r="E12" s="1194" t="str">
        <f t="shared" si="1"/>
        <v>-</v>
      </c>
      <c r="F12" s="1195" t="s">
        <v>588</v>
      </c>
      <c r="G12" s="1196" t="s">
        <v>671</v>
      </c>
      <c r="H12" s="1197" t="s">
        <v>537</v>
      </c>
      <c r="I12" s="1198">
        <v>137.57</v>
      </c>
      <c r="J12" s="1199">
        <v>144.41</v>
      </c>
      <c r="K12" s="1200" t="s">
        <v>494</v>
      </c>
      <c r="L12" s="1201" t="str">
        <f t="shared" si="2"/>
        <v>POPEYES</v>
      </c>
      <c r="M12" s="1202" t="str">
        <f t="shared" si="3"/>
        <v>YARDIES</v>
      </c>
      <c r="N12" s="1203">
        <f t="array" ref="N12">IFERROR(IF(ABS(I12-J12)=0,Tie,ABS(I12-J12)),"UPCOMING")</f>
        <v>6.84</v>
      </c>
      <c r="O12" s="1204" t="str">
        <f t="shared" si="4"/>
        <v>-</v>
      </c>
      <c r="P12" s="1203">
        <f t="shared" si="5"/>
        <v>281.98</v>
      </c>
      <c r="Q12" s="1204" t="str">
        <f t="shared" si="6"/>
        <v>-</v>
      </c>
      <c r="R12" s="1205" t="str">
        <f t="shared" si="7"/>
        <v>-</v>
      </c>
      <c r="S12" s="1206" t="str">
        <f t="shared" si="8"/>
        <v>-</v>
      </c>
      <c r="U12" s="988">
        <v>10.0</v>
      </c>
      <c r="V12" s="989">
        <f t="array" ref="V12">SMALL(IF($E:$E="Yes", $N:$N), U12)</f>
        <v>10.73</v>
      </c>
      <c r="W12" s="990">
        <f t="array" ref="W12">INDEX($C:$C, MATCH(V12,$N:$N* ("Yes"=$E:$E),0))</f>
        <v>2020</v>
      </c>
      <c r="X12" s="990" t="str">
        <f t="array" ref="X12">INDEX($D:$D, MATCH(V12,$N:$N* ("Yes"=$E:$E),0))</f>
        <v>WILD CARD</v>
      </c>
      <c r="Y12" s="991" t="str">
        <f t="array" ref="Y12">INDEX($L:$L, MATCH(V12,$N:$N* ("Yes"=$E:$E),0))</f>
        <v>SAVAGES</v>
      </c>
      <c r="Z12" s="990" t="str">
        <f t="array" ref="Z12">INDEX($M:$M, MATCH(V12,$N:$N* ("Yes"=$E:$E),0))</f>
        <v>DECOUPES</v>
      </c>
      <c r="AA12" s="992" t="str">
        <f t="array" ref="AA12">"PVE FFL PLAYOFF " &amp; INDEX($B:$B, MATCH(V12,$N:$N* ("Yes"=$E:$E),0))</f>
        <v>PVE FFL PLAYOFF 12</v>
      </c>
      <c r="AC12" s="13" t="str">
        <f>'League History'!AJ13</f>
        <v>EAGLES</v>
      </c>
      <c r="AD12" s="998">
        <f t="shared" si="9"/>
        <v>0</v>
      </c>
      <c r="AE12" s="995">
        <f t="shared" si="10"/>
        <v>0</v>
      </c>
      <c r="AF12" s="997" t="str">
        <f t="shared" si="11"/>
        <v>-</v>
      </c>
      <c r="AG12" s="994">
        <f t="shared" si="12"/>
        <v>0</v>
      </c>
      <c r="AH12" s="995">
        <f t="shared" si="13"/>
        <v>0</v>
      </c>
      <c r="AI12" s="997" t="str">
        <f t="shared" si="14"/>
        <v>-</v>
      </c>
      <c r="AJ12" s="994">
        <f t="shared" si="15"/>
        <v>0</v>
      </c>
      <c r="AK12" s="995">
        <f t="shared" si="16"/>
        <v>0</v>
      </c>
      <c r="AL12" s="997" t="str">
        <f t="shared" si="17"/>
        <v>-</v>
      </c>
      <c r="AM12" s="994">
        <f t="shared" si="18"/>
        <v>0</v>
      </c>
      <c r="AN12" s="995">
        <f t="shared" si="19"/>
        <v>0</v>
      </c>
      <c r="AO12" s="997" t="str">
        <f t="shared" si="20"/>
        <v>-</v>
      </c>
      <c r="AP12" s="994">
        <f t="shared" si="21"/>
        <v>0</v>
      </c>
      <c r="AQ12" s="995">
        <f t="shared" si="22"/>
        <v>0</v>
      </c>
      <c r="AR12" s="997" t="str">
        <f t="shared" si="23"/>
        <v>-</v>
      </c>
      <c r="AS12" s="1166">
        <f t="shared" si="24"/>
        <v>1</v>
      </c>
      <c r="AT12" s="1164">
        <f t="shared" si="25"/>
        <v>1</v>
      </c>
      <c r="AU12" s="1165" t="str">
        <f t="shared" si="26"/>
        <v>YES</v>
      </c>
      <c r="AV12" s="314">
        <f t="shared" si="27"/>
        <v>0</v>
      </c>
      <c r="AW12" s="314">
        <f t="shared" si="28"/>
        <v>0</v>
      </c>
      <c r="AX12" s="314" t="str">
        <f t="shared" si="29"/>
        <v>-</v>
      </c>
    </row>
    <row r="13" ht="15.75" customHeight="1">
      <c r="B13" s="13">
        <v>12.0</v>
      </c>
      <c r="C13" s="1207">
        <v>2020.0</v>
      </c>
      <c r="D13" s="645" t="s">
        <v>709</v>
      </c>
      <c r="E13" s="1119" t="str">
        <f t="shared" si="1"/>
        <v>YES</v>
      </c>
      <c r="F13" s="1120" t="s">
        <v>710</v>
      </c>
      <c r="G13" s="1122" t="s">
        <v>663</v>
      </c>
      <c r="H13" s="1123" t="s">
        <v>497</v>
      </c>
      <c r="I13" s="1125">
        <v>256.1</v>
      </c>
      <c r="J13" s="1127">
        <v>245.37</v>
      </c>
      <c r="K13" s="1129" t="s">
        <v>493</v>
      </c>
      <c r="L13" s="1132" t="str">
        <f t="shared" si="2"/>
        <v>SAVAGES</v>
      </c>
      <c r="M13" s="1135" t="str">
        <f t="shared" si="3"/>
        <v>DECOUPES</v>
      </c>
      <c r="N13" s="1138">
        <f t="array" ref="N13">IFERROR(IF(ABS(I13-J13)=0,Tie,ABS(I13-J13)),"UPCOMING")</f>
        <v>10.73</v>
      </c>
      <c r="O13" s="1139">
        <f t="shared" si="4"/>
        <v>21</v>
      </c>
      <c r="P13" s="1138">
        <f t="shared" si="5"/>
        <v>501.47</v>
      </c>
      <c r="Q13" s="1139">
        <f t="shared" si="6"/>
        <v>1</v>
      </c>
      <c r="R13" s="1140">
        <f t="shared" si="7"/>
        <v>11</v>
      </c>
      <c r="S13" s="1141">
        <f t="shared" si="8"/>
        <v>2</v>
      </c>
      <c r="U13" s="988">
        <v>11.0</v>
      </c>
      <c r="V13" s="989">
        <f t="array" ref="V13">SMALL(IF($E:$E="Yes", $N:$N), U13)</f>
        <v>11.27</v>
      </c>
      <c r="W13" s="990">
        <f t="array" ref="W13">INDEX($C:$C, MATCH(V13,$N:$N* ("Yes"=$E:$E),0))</f>
        <v>2021</v>
      </c>
      <c r="X13" s="990" t="str">
        <f t="array" ref="X13">INDEX($D:$D, MATCH(V13,$N:$N* ("Yes"=$E:$E),0))</f>
        <v>DIV CHAMP</v>
      </c>
      <c r="Y13" s="991" t="str">
        <f t="array" ref="Y13">INDEX($L:$L, MATCH(V13,$N:$N* ("Yes"=$E:$E),0))</f>
        <v>DECOUPES</v>
      </c>
      <c r="Z13" s="990" t="str">
        <f t="array" ref="Z13">INDEX($M:$M, MATCH(V13,$N:$N* ("Yes"=$E:$E),0))</f>
        <v>POPEYES</v>
      </c>
      <c r="AA13" s="992" t="str">
        <f t="array" ref="AA13">"PVE FFL PLAYOFF " &amp; INDEX($B:$B, MATCH(V13,$N:$N* ("Yes"=$E:$E),0))</f>
        <v>PVE FFL PLAYOFF 28</v>
      </c>
      <c r="AC13" s="13" t="str">
        <f>'League History'!AJ14</f>
        <v>DEEZ NUTS</v>
      </c>
      <c r="AD13" s="1163">
        <f t="shared" si="9"/>
        <v>1</v>
      </c>
      <c r="AE13" s="1164">
        <f t="shared" si="10"/>
        <v>1</v>
      </c>
      <c r="AF13" s="1165" t="str">
        <f t="shared" si="11"/>
        <v>YES</v>
      </c>
      <c r="AG13" s="994">
        <f t="shared" si="12"/>
        <v>0</v>
      </c>
      <c r="AH13" s="995">
        <f t="shared" si="13"/>
        <v>0</v>
      </c>
      <c r="AI13" s="997" t="str">
        <f t="shared" si="14"/>
        <v>-</v>
      </c>
      <c r="AJ13" s="1166">
        <f t="shared" si="15"/>
        <v>0</v>
      </c>
      <c r="AK13" s="1164">
        <f t="shared" si="16"/>
        <v>0</v>
      </c>
      <c r="AL13" s="1165" t="str">
        <f t="shared" si="17"/>
        <v>-</v>
      </c>
      <c r="AM13" s="994">
        <f t="shared" si="18"/>
        <v>0</v>
      </c>
      <c r="AN13" s="995">
        <f t="shared" si="19"/>
        <v>0</v>
      </c>
      <c r="AO13" s="997" t="str">
        <f t="shared" si="20"/>
        <v>-</v>
      </c>
      <c r="AP13" s="994">
        <f t="shared" si="21"/>
        <v>0</v>
      </c>
      <c r="AQ13" s="995">
        <f t="shared" si="22"/>
        <v>0</v>
      </c>
      <c r="AR13" s="997" t="str">
        <f t="shared" si="23"/>
        <v>-</v>
      </c>
      <c r="AS13" s="994">
        <f t="shared" si="24"/>
        <v>0</v>
      </c>
      <c r="AT13" s="995">
        <f t="shared" si="25"/>
        <v>0</v>
      </c>
      <c r="AU13" s="997" t="str">
        <f t="shared" si="26"/>
        <v>-</v>
      </c>
      <c r="AV13" s="999"/>
      <c r="AW13" s="999"/>
      <c r="AX13" s="999"/>
    </row>
    <row r="14" ht="15.75" customHeight="1">
      <c r="B14" s="13">
        <v>13.0</v>
      </c>
      <c r="C14" s="1210">
        <v>2020.0</v>
      </c>
      <c r="D14" s="471" t="s">
        <v>709</v>
      </c>
      <c r="E14" s="314" t="str">
        <f t="shared" si="1"/>
        <v>YES</v>
      </c>
      <c r="F14" s="1148" t="s">
        <v>710</v>
      </c>
      <c r="G14" s="960" t="s">
        <v>665</v>
      </c>
      <c r="H14" s="1149" t="s">
        <v>673</v>
      </c>
      <c r="I14" s="1150">
        <v>165.86</v>
      </c>
      <c r="J14" s="1151">
        <v>232.42</v>
      </c>
      <c r="K14" s="428" t="s">
        <v>538</v>
      </c>
      <c r="L14" s="965" t="str">
        <f t="shared" si="2"/>
        <v>MUTTS</v>
      </c>
      <c r="M14" s="966" t="str">
        <f t="shared" si="3"/>
        <v>GIRLS</v>
      </c>
      <c r="N14" s="967">
        <f t="array" ref="N14">IFERROR(IF(ABS(I14-J14)=0,Tie,ABS(I14-J14)),"UPCOMING")</f>
        <v>66.56</v>
      </c>
      <c r="O14" s="1156">
        <f t="shared" si="4"/>
        <v>71</v>
      </c>
      <c r="P14" s="967">
        <f t="shared" si="5"/>
        <v>398.28</v>
      </c>
      <c r="Q14" s="1156">
        <f t="shared" si="6"/>
        <v>17</v>
      </c>
      <c r="R14" s="96">
        <f t="shared" si="7"/>
        <v>44</v>
      </c>
      <c r="S14" s="1158">
        <f t="shared" si="8"/>
        <v>21</v>
      </c>
      <c r="U14" s="988">
        <v>12.0</v>
      </c>
      <c r="V14" s="989">
        <f t="array" ref="V14">SMALL(IF($E:$E="Yes", $N:$N), U14)</f>
        <v>11.84</v>
      </c>
      <c r="W14" s="990">
        <f t="array" ref="W14">INDEX($C:$C, MATCH(V14,$N:$N* ("Yes"=$E:$E),0))</f>
        <v>2019</v>
      </c>
      <c r="X14" s="990" t="str">
        <f t="array" ref="X14">INDEX($D:$D, MATCH(V14,$N:$N* ("Yes"=$E:$E),0))</f>
        <v>DIV CHAMP</v>
      </c>
      <c r="Y14" s="991" t="str">
        <f t="array" ref="Y14">INDEX($L:$L, MATCH(V14,$N:$N* ("Yes"=$E:$E),0))</f>
        <v>METAMOOKDAWGS</v>
      </c>
      <c r="Z14" s="990" t="str">
        <f t="array" ref="Z14">INDEX($M:$M, MATCH(V14,$N:$N* ("Yes"=$E:$E),0))</f>
        <v>DEEZ NUTS</v>
      </c>
      <c r="AA14" s="992" t="str">
        <f t="array" ref="AA14">"PVE FFL PLAYOFF " &amp; INDEX($B:$B, MATCH(V14,$N:$N* ("Yes"=$E:$E),0))</f>
        <v>PVE FFL PLAYOFF 5</v>
      </c>
      <c r="AC14" s="13" t="str">
        <f>'League History'!AJ15</f>
        <v>GIRLS</v>
      </c>
      <c r="AD14" s="998">
        <f t="shared" si="9"/>
        <v>0</v>
      </c>
      <c r="AE14" s="995">
        <f t="shared" si="10"/>
        <v>0</v>
      </c>
      <c r="AF14" s="997" t="str">
        <f t="shared" si="11"/>
        <v>-</v>
      </c>
      <c r="AG14" s="1166">
        <f t="shared" si="12"/>
        <v>0</v>
      </c>
      <c r="AH14" s="1164">
        <f t="shared" si="13"/>
        <v>1</v>
      </c>
      <c r="AI14" s="1165" t="str">
        <f t="shared" si="14"/>
        <v>YES</v>
      </c>
      <c r="AJ14" s="1166">
        <f t="shared" si="15"/>
        <v>0</v>
      </c>
      <c r="AK14" s="1164">
        <f t="shared" si="16"/>
        <v>0</v>
      </c>
      <c r="AL14" s="1165" t="str">
        <f t="shared" si="17"/>
        <v>-</v>
      </c>
      <c r="AM14" s="994">
        <f t="shared" si="18"/>
        <v>0</v>
      </c>
      <c r="AN14" s="995">
        <f t="shared" si="19"/>
        <v>0</v>
      </c>
      <c r="AO14" s="997" t="str">
        <f t="shared" si="20"/>
        <v>-</v>
      </c>
      <c r="AP14" s="994">
        <f t="shared" si="21"/>
        <v>0</v>
      </c>
      <c r="AQ14" s="995">
        <f t="shared" si="22"/>
        <v>0</v>
      </c>
      <c r="AR14" s="997" t="str">
        <f t="shared" si="23"/>
        <v>-</v>
      </c>
      <c r="AS14" s="994">
        <f t="shared" si="24"/>
        <v>0</v>
      </c>
      <c r="AT14" s="995">
        <f t="shared" si="25"/>
        <v>0</v>
      </c>
      <c r="AU14" s="997" t="str">
        <f t="shared" si="26"/>
        <v>-</v>
      </c>
      <c r="AV14" s="999"/>
      <c r="AW14" s="999"/>
      <c r="AX14" s="999"/>
    </row>
    <row r="15" ht="15.75" customHeight="1">
      <c r="B15" s="13">
        <v>14.0</v>
      </c>
      <c r="C15" s="1210">
        <v>2020.0</v>
      </c>
      <c r="D15" s="1167" t="s">
        <v>715</v>
      </c>
      <c r="E15" s="314" t="str">
        <f t="shared" si="1"/>
        <v>-</v>
      </c>
      <c r="F15" s="1148" t="s">
        <v>710</v>
      </c>
      <c r="G15" s="960" t="s">
        <v>670</v>
      </c>
      <c r="H15" s="1149" t="s">
        <v>495</v>
      </c>
      <c r="I15" s="1150">
        <v>178.75</v>
      </c>
      <c r="J15" s="1151">
        <v>114.94</v>
      </c>
      <c r="K15" s="428" t="s">
        <v>537</v>
      </c>
      <c r="L15" s="965" t="str">
        <f t="shared" si="2"/>
        <v>GREEN</v>
      </c>
      <c r="M15" s="966" t="str">
        <f t="shared" si="3"/>
        <v>YARDIES</v>
      </c>
      <c r="N15" s="967">
        <f t="array" ref="N15">IFERROR(IF(ABS(I15-J15)=0,Tie,ABS(I15-J15)),"UPCOMING")</f>
        <v>63.81</v>
      </c>
      <c r="O15" s="1156" t="str">
        <f t="shared" si="4"/>
        <v>-</v>
      </c>
      <c r="P15" s="967">
        <f t="shared" si="5"/>
        <v>293.69</v>
      </c>
      <c r="Q15" s="1156" t="str">
        <f t="shared" si="6"/>
        <v>-</v>
      </c>
      <c r="R15" s="96" t="str">
        <f t="shared" si="7"/>
        <v>-</v>
      </c>
      <c r="S15" s="1158" t="str">
        <f t="shared" si="8"/>
        <v>-</v>
      </c>
      <c r="U15" s="988">
        <v>13.0</v>
      </c>
      <c r="V15" s="989">
        <f t="array" ref="V15">SMALL(IF($E:$E="Yes", $N:$N), U15)</f>
        <v>16.53</v>
      </c>
      <c r="W15" s="990">
        <f t="array" ref="W15">INDEX($C:$C, MATCH(V15,$N:$N* ("Yes"=$E:$E),0))</f>
        <v>2020</v>
      </c>
      <c r="X15" s="990" t="str">
        <f t="array" ref="X15">INDEX($D:$D, MATCH(V15,$N:$N* ("Yes"=$E:$E),0))</f>
        <v>FANTASY BOWL</v>
      </c>
      <c r="Y15" s="991" t="str">
        <f t="array" ref="Y15">INDEX($L:$L, MATCH(V15,$N:$N* ("Yes"=$E:$E),0))</f>
        <v>POPEYES</v>
      </c>
      <c r="Z15" s="990" t="str">
        <f t="array" ref="Z15">INDEX($M:$M, MATCH(V15,$N:$N* ("Yes"=$E:$E),0))</f>
        <v>METAMOOKDAWGS</v>
      </c>
      <c r="AA15" s="992" t="str">
        <f t="array" ref="AA15">"PVE FFL PLAYOFF " &amp; INDEX($B:$B, MATCH(V15,$N:$N* ("Yes"=$E:$E),0))</f>
        <v>PVE FFL PLAYOFF 19</v>
      </c>
      <c r="AT15" s="314"/>
      <c r="AU15" s="314"/>
      <c r="AV15" s="314"/>
      <c r="AW15" s="314"/>
      <c r="AX15" s="314"/>
      <c r="AY15" s="314"/>
    </row>
    <row r="16" ht="15.75" customHeight="1">
      <c r="B16" s="13">
        <v>15.0</v>
      </c>
      <c r="C16" s="1210">
        <v>2020.0</v>
      </c>
      <c r="D16" s="731" t="s">
        <v>716</v>
      </c>
      <c r="E16" s="314" t="str">
        <f t="shared" si="1"/>
        <v>YES</v>
      </c>
      <c r="F16" s="1168" t="s">
        <v>587</v>
      </c>
      <c r="G16" s="960" t="s">
        <v>663</v>
      </c>
      <c r="H16" s="1149" t="s">
        <v>497</v>
      </c>
      <c r="I16" s="1150">
        <v>146.54</v>
      </c>
      <c r="J16" s="1151">
        <v>281.5</v>
      </c>
      <c r="K16" s="428" t="s">
        <v>494</v>
      </c>
      <c r="L16" s="965" t="str">
        <f t="shared" si="2"/>
        <v>POPEYES</v>
      </c>
      <c r="M16" s="966" t="str">
        <f t="shared" si="3"/>
        <v>SAVAGES</v>
      </c>
      <c r="N16" s="967">
        <f t="array" ref="N16">IFERROR(IF(ABS(I16-J16)=0,Tie,ABS(I16-J16)),"UPCOMING")</f>
        <v>134.96</v>
      </c>
      <c r="O16" s="1156">
        <f t="shared" si="4"/>
        <v>81</v>
      </c>
      <c r="P16" s="967">
        <f t="shared" si="5"/>
        <v>428.04</v>
      </c>
      <c r="Q16" s="1156">
        <f t="shared" si="6"/>
        <v>7</v>
      </c>
      <c r="R16" s="96">
        <f t="shared" si="7"/>
        <v>44</v>
      </c>
      <c r="S16" s="1158">
        <f t="shared" si="8"/>
        <v>22</v>
      </c>
      <c r="U16" s="988">
        <v>14.0</v>
      </c>
      <c r="V16" s="989">
        <f t="array" ref="V16">SMALL(IF($E:$E="Yes", $N:$N), U16)</f>
        <v>16.78</v>
      </c>
      <c r="W16" s="990">
        <f t="array" ref="W16">INDEX($C:$C, MATCH(V16,$N:$N* ("Yes"=$E:$E),0))</f>
        <v>2025</v>
      </c>
      <c r="X16" s="990" t="str">
        <f t="array" ref="X16">INDEX($D:$D, MATCH(V16,$N:$N* ("Yes"=$E:$E),0))</f>
        <v>WILD CARD</v>
      </c>
      <c r="Y16" s="991" t="str">
        <f t="array" ref="Y16">INDEX($L:$L, MATCH(V16,$N:$N* ("Yes"=$E:$E),0))</f>
        <v>MUTTS</v>
      </c>
      <c r="Z16" s="990" t="str">
        <f t="array" ref="Z16">INDEX($M:$M, MATCH(V16,$N:$N* ("Yes"=$E:$E),0))</f>
        <v>CHAMPS</v>
      </c>
      <c r="AA16" s="992" t="str">
        <f t="array" ref="AA16">"PVE FFL PLAYOFF " &amp; INDEX($B:$B, MATCH(V16,$N:$N* ("Yes"=$E:$E),0))</f>
        <v>PVE FFL PLAYOFF 72</v>
      </c>
      <c r="AL16" s="336"/>
      <c r="AT16" s="314"/>
      <c r="AU16" s="314"/>
      <c r="AV16" s="314"/>
      <c r="AW16" s="314"/>
      <c r="AX16" s="314"/>
      <c r="AY16" s="314"/>
    </row>
    <row r="17" ht="15.75" customHeight="1">
      <c r="B17" s="13">
        <v>16.0</v>
      </c>
      <c r="C17" s="1210">
        <v>2020.0</v>
      </c>
      <c r="D17" s="731" t="s">
        <v>716</v>
      </c>
      <c r="E17" s="314" t="str">
        <f t="shared" si="1"/>
        <v>YES</v>
      </c>
      <c r="F17" s="1168" t="s">
        <v>587</v>
      </c>
      <c r="G17" s="960" t="s">
        <v>665</v>
      </c>
      <c r="H17" s="1149" t="s">
        <v>538</v>
      </c>
      <c r="I17" s="1150">
        <v>217.99</v>
      </c>
      <c r="J17" s="1151">
        <v>219.13</v>
      </c>
      <c r="K17" s="428" t="s">
        <v>578</v>
      </c>
      <c r="L17" s="965" t="str">
        <f t="shared" si="2"/>
        <v>METAMOOKDAWGS</v>
      </c>
      <c r="M17" s="966" t="str">
        <f t="shared" si="3"/>
        <v>MUTTS</v>
      </c>
      <c r="N17" s="967">
        <f t="array" ref="N17">IFERROR(IF(ABS(I17-J17)=0,Tie,ABS(I17-J17)),"UPCOMING")</f>
        <v>1.14</v>
      </c>
      <c r="O17" s="1156">
        <f t="shared" si="4"/>
        <v>4</v>
      </c>
      <c r="P17" s="967">
        <f t="shared" si="5"/>
        <v>437.12</v>
      </c>
      <c r="Q17" s="1156">
        <f t="shared" si="6"/>
        <v>4</v>
      </c>
      <c r="R17" s="96">
        <f t="shared" si="7"/>
        <v>4</v>
      </c>
      <c r="S17" s="1158">
        <f t="shared" si="8"/>
        <v>1</v>
      </c>
      <c r="U17" s="988">
        <v>15.0</v>
      </c>
      <c r="V17" s="989">
        <f t="array" ref="V17">SMALL(IF($E:$E="Yes", $N:$N), U17)</f>
        <v>25.33</v>
      </c>
      <c r="W17" s="990">
        <f t="array" ref="W17">INDEX($C:$C, MATCH(V17,$N:$N* ("Yes"=$E:$E),0))</f>
        <v>2025</v>
      </c>
      <c r="X17" s="990" t="str">
        <f t="array" ref="X17">INDEX($D:$D, MATCH(V17,$N:$N* ("Yes"=$E:$E),0))</f>
        <v>DIV CHAMP</v>
      </c>
      <c r="Y17" s="991" t="str">
        <f t="array" ref="Y17">INDEX($L:$L, MATCH(V17,$N:$N* ("Yes"=$E:$E),0))</f>
        <v>POPEYES</v>
      </c>
      <c r="Z17" s="990" t="str">
        <f t="array" ref="Z17">INDEX($M:$M, MATCH(V17,$N:$N* ("Yes"=$E:$E),0))</f>
        <v>GREEN</v>
      </c>
      <c r="AA17" s="992" t="str">
        <f t="array" ref="AA17">"PVE FFL PLAYOFF " &amp; INDEX($B:$B, MATCH(V17,$N:$N* ("Yes"=$E:$E),0))</f>
        <v>PVE FFL PLAYOFF 75</v>
      </c>
      <c r="AT17" s="314"/>
      <c r="AU17" s="314"/>
      <c r="AV17" s="314"/>
      <c r="AW17" s="314"/>
      <c r="AX17" s="314"/>
      <c r="AY17" s="314"/>
    </row>
    <row r="18" ht="15.75" customHeight="1">
      <c r="B18" s="13">
        <v>17.0</v>
      </c>
      <c r="C18" s="1210">
        <v>2020.0</v>
      </c>
      <c r="D18" s="1172" t="s">
        <v>718</v>
      </c>
      <c r="E18" s="314" t="str">
        <f t="shared" si="1"/>
        <v>-</v>
      </c>
      <c r="F18" s="1168" t="s">
        <v>587</v>
      </c>
      <c r="G18" s="960" t="s">
        <v>670</v>
      </c>
      <c r="H18" s="1149" t="s">
        <v>673</v>
      </c>
      <c r="I18" s="1150">
        <v>159.62</v>
      </c>
      <c r="J18" s="1151">
        <v>229.02</v>
      </c>
      <c r="K18" s="428" t="s">
        <v>493</v>
      </c>
      <c r="L18" s="965" t="str">
        <f t="shared" si="2"/>
        <v>DECOUPES</v>
      </c>
      <c r="M18" s="966" t="str">
        <f t="shared" si="3"/>
        <v>GIRLS</v>
      </c>
      <c r="N18" s="967">
        <f t="array" ref="N18">IFERROR(IF(ABS(I18-J18)=0,Tie,ABS(I18-J18)),"UPCOMING")</f>
        <v>69.4</v>
      </c>
      <c r="O18" s="1156" t="str">
        <f t="shared" si="4"/>
        <v>-</v>
      </c>
      <c r="P18" s="967">
        <f t="shared" si="5"/>
        <v>388.64</v>
      </c>
      <c r="Q18" s="1156" t="str">
        <f t="shared" si="6"/>
        <v>-</v>
      </c>
      <c r="R18" s="96" t="str">
        <f t="shared" si="7"/>
        <v>-</v>
      </c>
      <c r="S18" s="1158" t="str">
        <f t="shared" si="8"/>
        <v>-</v>
      </c>
      <c r="U18" s="988">
        <v>16.0</v>
      </c>
      <c r="V18" s="989">
        <f t="array" ref="V18">SMALL(IF($E:$E="Yes", $N:$N), U18)</f>
        <v>28.9</v>
      </c>
      <c r="W18" s="990">
        <f t="array" ref="W18">INDEX($C:$C, MATCH(V18,$N:$N* ("Yes"=$E:$E),0))</f>
        <v>2021</v>
      </c>
      <c r="X18" s="990" t="str">
        <f t="array" ref="X18">INDEX($D:$D, MATCH(V18,$N:$N* ("Yes"=$E:$E),0))</f>
        <v>FANTASY BOWL</v>
      </c>
      <c r="Y18" s="991" t="str">
        <f t="array" ref="Y18">INDEX($L:$L, MATCH(V18,$N:$N* ("Yes"=$E:$E),0))</f>
        <v>DECOUPES</v>
      </c>
      <c r="Z18" s="990" t="str">
        <f t="array" ref="Z18">INDEX($M:$M, MATCH(V18,$N:$N* ("Yes"=$E:$E),0))</f>
        <v>CHAMPS</v>
      </c>
      <c r="AA18" s="992" t="str">
        <f t="array" ref="AA18">"PVE FFL PLAYOFF " &amp; INDEX($B:$B, MATCH(V18,$N:$N* ("Yes"=$E:$E),0))</f>
        <v>PVE FFL PLAYOFF 33</v>
      </c>
      <c r="AD18" s="1224" t="s">
        <v>954</v>
      </c>
      <c r="AE18" s="514"/>
      <c r="AF18" s="514"/>
      <c r="AG18" s="514"/>
      <c r="AH18" s="514"/>
      <c r="AI18" s="514"/>
      <c r="AJ18" s="514"/>
      <c r="AK18" s="514"/>
      <c r="AL18" s="514"/>
      <c r="AM18" s="514"/>
      <c r="AN18" s="514"/>
      <c r="AO18" s="514"/>
      <c r="AP18" s="515"/>
      <c r="AQ18" s="1225"/>
      <c r="AT18" s="314"/>
      <c r="AU18" s="314"/>
      <c r="AV18" s="314"/>
      <c r="AW18" s="314"/>
      <c r="AX18" s="314"/>
      <c r="AY18" s="314"/>
    </row>
    <row r="19" ht="15.75" customHeight="1">
      <c r="B19" s="13">
        <v>18.0</v>
      </c>
      <c r="C19" s="1210">
        <v>2020.0</v>
      </c>
      <c r="D19" s="1167" t="s">
        <v>720</v>
      </c>
      <c r="E19" s="314" t="str">
        <f t="shared" si="1"/>
        <v>-</v>
      </c>
      <c r="F19" s="1168" t="s">
        <v>587</v>
      </c>
      <c r="G19" s="960" t="s">
        <v>671</v>
      </c>
      <c r="H19" s="1149" t="s">
        <v>495</v>
      </c>
      <c r="I19" s="1150">
        <v>181.82</v>
      </c>
      <c r="J19" s="1151">
        <v>229.69</v>
      </c>
      <c r="K19" s="428" t="s">
        <v>537</v>
      </c>
      <c r="L19" s="965" t="str">
        <f t="shared" si="2"/>
        <v>YARDIES</v>
      </c>
      <c r="M19" s="966" t="str">
        <f t="shared" si="3"/>
        <v>GREEN</v>
      </c>
      <c r="N19" s="967">
        <f t="array" ref="N19">IFERROR(IF(ABS(I19-J19)=0,Tie,ABS(I19-J19)),"UPCOMING")</f>
        <v>47.87</v>
      </c>
      <c r="O19" s="1156" t="str">
        <f t="shared" si="4"/>
        <v>-</v>
      </c>
      <c r="P19" s="967">
        <f t="shared" si="5"/>
        <v>411.51</v>
      </c>
      <c r="Q19" s="1156" t="str">
        <f t="shared" si="6"/>
        <v>-</v>
      </c>
      <c r="R19" s="96" t="str">
        <f t="shared" si="7"/>
        <v>-</v>
      </c>
      <c r="S19" s="1158" t="str">
        <f t="shared" si="8"/>
        <v>-</v>
      </c>
      <c r="U19" s="988">
        <v>17.0</v>
      </c>
      <c r="V19" s="989">
        <f t="array" ref="V19">SMALL(IF($E:$E="Yes", $N:$N), U19)</f>
        <v>29.17</v>
      </c>
      <c r="W19" s="990">
        <f t="array" ref="W19">INDEX($C:$C, MATCH(V19,$N:$N* ("Yes"=$E:$E),0))</f>
        <v>2024</v>
      </c>
      <c r="X19" s="990" t="str">
        <f t="array" ref="X19">INDEX($D:$D, MATCH(V19,$N:$N* ("Yes"=$E:$E),0))</f>
        <v>DIV CHAMP</v>
      </c>
      <c r="Y19" s="991" t="str">
        <f t="array" ref="Y19">INDEX($L:$L, MATCH(V19,$N:$N* ("Yes"=$E:$E),0))</f>
        <v>KINGS</v>
      </c>
      <c r="Z19" s="990" t="str">
        <f t="array" ref="Z19">INDEX($M:$M, MATCH(V19,$N:$N* ("Yes"=$E:$E),0))</f>
        <v>POPEYES</v>
      </c>
      <c r="AA19" s="992" t="str">
        <f t="array" ref="AA19">"PVE FFL PLAYOFF " &amp; INDEX($B:$B, MATCH(V19,$N:$N* ("Yes"=$E:$E),0))</f>
        <v>PVE FFL PLAYOFF 64</v>
      </c>
      <c r="AD19" s="1226" t="s">
        <v>692</v>
      </c>
      <c r="AE19" s="1227" t="s">
        <v>693</v>
      </c>
      <c r="AF19" s="1228" t="s">
        <v>694</v>
      </c>
      <c r="AG19" s="1229" t="s">
        <v>974</v>
      </c>
      <c r="AH19" s="1230" t="s">
        <v>975</v>
      </c>
      <c r="AI19" s="1231" t="s">
        <v>976</v>
      </c>
      <c r="AJ19" s="1232" t="s">
        <v>977</v>
      </c>
      <c r="AK19" s="1232" t="s">
        <v>978</v>
      </c>
      <c r="AL19" s="1233" t="s">
        <v>979</v>
      </c>
      <c r="AM19" s="1234" t="s">
        <v>980</v>
      </c>
      <c r="AN19" s="1235" t="s">
        <v>981</v>
      </c>
      <c r="AO19" s="1236" t="s">
        <v>982</v>
      </c>
      <c r="AP19" s="1237" t="s">
        <v>983</v>
      </c>
      <c r="AQ19" s="1237" t="s">
        <v>984</v>
      </c>
      <c r="AT19" s="314"/>
      <c r="AU19" s="314"/>
      <c r="AV19" s="314"/>
      <c r="AW19" s="314"/>
      <c r="AX19" s="314"/>
      <c r="AY19" s="314"/>
    </row>
    <row r="20" ht="15.75" customHeight="1">
      <c r="B20" s="13">
        <v>19.0</v>
      </c>
      <c r="C20" s="1210">
        <v>2020.0</v>
      </c>
      <c r="D20" s="498" t="s">
        <v>742</v>
      </c>
      <c r="E20" s="314" t="str">
        <f t="shared" si="1"/>
        <v>YES</v>
      </c>
      <c r="F20" s="1190" t="s">
        <v>588</v>
      </c>
      <c r="G20" s="960" t="s">
        <v>663</v>
      </c>
      <c r="H20" s="1149" t="s">
        <v>578</v>
      </c>
      <c r="I20" s="1150">
        <v>194.8</v>
      </c>
      <c r="J20" s="1151">
        <v>211.33</v>
      </c>
      <c r="K20" s="428" t="s">
        <v>494</v>
      </c>
      <c r="L20" s="965" t="str">
        <f t="shared" si="2"/>
        <v>POPEYES</v>
      </c>
      <c r="M20" s="966" t="str">
        <f t="shared" si="3"/>
        <v>METAMOOKDAWGS</v>
      </c>
      <c r="N20" s="967">
        <f t="array" ref="N20">IFERROR(IF(ABS(I20-J20)=0,Tie,ABS(I20-J20)),"UPCOMING")</f>
        <v>16.53</v>
      </c>
      <c r="O20" s="1156">
        <f t="shared" si="4"/>
        <v>29</v>
      </c>
      <c r="P20" s="967">
        <f t="shared" si="5"/>
        <v>406.13</v>
      </c>
      <c r="Q20" s="1156">
        <f t="shared" si="6"/>
        <v>15</v>
      </c>
      <c r="R20" s="96">
        <f t="shared" si="7"/>
        <v>22</v>
      </c>
      <c r="S20" s="1158">
        <f t="shared" si="8"/>
        <v>5</v>
      </c>
      <c r="U20" s="988">
        <v>18.0</v>
      </c>
      <c r="V20" s="989">
        <f t="array" ref="V20">SMALL(IF($E:$E="Yes", $N:$N), U20)</f>
        <v>30.02</v>
      </c>
      <c r="W20" s="990">
        <f t="array" ref="W20">INDEX($C:$C, MATCH(V20,$N:$N* ("Yes"=$E:$E),0))</f>
        <v>2022</v>
      </c>
      <c r="X20" s="990" t="str">
        <f t="array" ref="X20">INDEX($D:$D, MATCH(V20,$N:$N* ("Yes"=$E:$E),0))</f>
        <v>WILD CARD</v>
      </c>
      <c r="Y20" s="991" t="str">
        <f t="array" ref="Y20">INDEX($L:$L, MATCH(V20,$N:$N* ("Yes"=$E:$E),0))</f>
        <v>POPEYES</v>
      </c>
      <c r="Z20" s="990" t="str">
        <f t="array" ref="Z20">INDEX($M:$M, MATCH(V20,$N:$N* ("Yes"=$E:$E),0))</f>
        <v>DECOUPES</v>
      </c>
      <c r="AA20" s="992" t="str">
        <f t="array" ref="AA20">"PVE FFL PLAYOFF " &amp; INDEX($B:$B, MATCH(V20,$N:$N* ("Yes"=$E:$E),0))</f>
        <v>PVE FFL PLAYOFF 39</v>
      </c>
      <c r="AC20" s="1239" t="str">
        <f t="shared" ref="AC20:AC31" si="31">AC3</f>
        <v>DECOUPES</v>
      </c>
      <c r="AD20" s="1240">
        <f t="shared" ref="AD20:AE20" si="30">AD3+AG3+AJ3+AM3+AP3+AS3</f>
        <v>4</v>
      </c>
      <c r="AE20" s="1241">
        <f t="shared" si="30"/>
        <v>5</v>
      </c>
      <c r="AF20" s="1242">
        <f t="shared" ref="AF20:AF31" si="33">IFERROR(AD20/(AD20+AE20),0)</f>
        <v>0.4444444444</v>
      </c>
      <c r="AG20" s="1243">
        <f t="shared" ref="AG20:AG29" si="34">_xlfn.RANK.EQ(AF20,$AF$20:$AF$29,0)</f>
        <v>7</v>
      </c>
      <c r="AH20" s="1244">
        <f t="shared" ref="AH20:AH31" si="35">COUNTIF(AD3:AX3,"YES")</f>
        <v>7</v>
      </c>
      <c r="AI20" s="1245">
        <f t="shared" ref="AI20:AI29" si="36">_xlfn.RANK.EQ(AH20,$AH$20:$AH$29)</f>
        <v>1</v>
      </c>
      <c r="AJ20" s="1244">
        <f t="shared" ref="AJ20:AJ31" si="37">AD20+AE20</f>
        <v>9</v>
      </c>
      <c r="AK20" s="1246">
        <f t="shared" ref="AK20:AK29" si="38">_xlfn.RANK.EQ(AJ20,$AJ$20:$AJ$29)</f>
        <v>2</v>
      </c>
      <c r="AL20" s="1247">
        <f t="shared" ref="AL20:AL31" si="39">COUNTIFS($D:$D,"FANTASY BOWL",$L:$L,$AC20)</f>
        <v>1</v>
      </c>
      <c r="AM20" s="1248">
        <f t="shared" ref="AM20:AM31" si="40">COUNTIFS($D:$D,"FANTASY BOWL",$H:$H,$AC20)+COUNTIFS($D:$D,"FANTASY BOWL",$K:$K,$AC20)</f>
        <v>1</v>
      </c>
      <c r="AN20" s="1249">
        <f t="shared" ref="AN20:AN31" si="41">COUNTIFS($D:$D,"DIV CHAMP",$H:$H,$AC20)+COUNTIFS($D:$D,"DIV CHAMP",$K:$K,$AC20)</f>
        <v>3</v>
      </c>
      <c r="AO20" s="208">
        <f t="shared" ref="AO20:AO31" si="42">(AL20*8)+(AM20*4)+(AN20*2)+(AH20*1)</f>
        <v>25</v>
      </c>
      <c r="AP20" s="1250">
        <f t="shared" ref="AP20:AP31" si="43">_xlfn.RANK.EQ(AO20,$AO$20:$AO$29)</f>
        <v>3</v>
      </c>
      <c r="AQ20" s="1251">
        <f t="shared" ref="AQ20:AQ24" si="44">_xlfn.RANK.EQ(AO20,$AO$20:$AO$24)</f>
        <v>2</v>
      </c>
      <c r="AT20" s="314"/>
      <c r="AU20" s="314"/>
      <c r="AV20" s="314"/>
      <c r="AW20" s="314"/>
      <c r="AX20" s="314"/>
      <c r="AY20" s="314"/>
    </row>
    <row r="21" ht="15.75" customHeight="1">
      <c r="B21" s="13">
        <v>20.0</v>
      </c>
      <c r="C21" s="1210">
        <v>2020.0</v>
      </c>
      <c r="D21" s="1191" t="s">
        <v>765</v>
      </c>
      <c r="E21" s="314" t="str">
        <f t="shared" si="1"/>
        <v>-</v>
      </c>
      <c r="F21" s="1190" t="s">
        <v>588</v>
      </c>
      <c r="G21" s="960" t="s">
        <v>665</v>
      </c>
      <c r="H21" s="1149" t="s">
        <v>497</v>
      </c>
      <c r="I21" s="1150">
        <v>128.44</v>
      </c>
      <c r="J21" s="1151">
        <v>242.12</v>
      </c>
      <c r="K21" s="428" t="s">
        <v>538</v>
      </c>
      <c r="L21" s="965" t="str">
        <f t="shared" si="2"/>
        <v>MUTTS</v>
      </c>
      <c r="M21" s="966" t="str">
        <f t="shared" si="3"/>
        <v>SAVAGES</v>
      </c>
      <c r="N21" s="967">
        <f t="array" ref="N21">IFERROR(IF(ABS(I21-J21)=0,Tie,ABS(I21-J21)),"UPCOMING")</f>
        <v>113.68</v>
      </c>
      <c r="O21" s="1156" t="str">
        <f t="shared" si="4"/>
        <v>-</v>
      </c>
      <c r="P21" s="967">
        <f t="shared" si="5"/>
        <v>370.56</v>
      </c>
      <c r="Q21" s="1156" t="str">
        <f t="shared" si="6"/>
        <v>-</v>
      </c>
      <c r="R21" s="96" t="str">
        <f t="shared" si="7"/>
        <v>-</v>
      </c>
      <c r="S21" s="1158" t="str">
        <f t="shared" si="8"/>
        <v>-</v>
      </c>
      <c r="U21" s="988">
        <v>19.0</v>
      </c>
      <c r="V21" s="989">
        <f t="array" ref="V21">SMALL(IF($E:$E="Yes", $N:$N), U21)</f>
        <v>45.26</v>
      </c>
      <c r="W21" s="990">
        <f t="array" ref="W21">INDEX($C:$C, MATCH(V21,$N:$N* ("Yes"=$E:$E),0))</f>
        <v>2023</v>
      </c>
      <c r="X21" s="990" t="str">
        <f t="array" ref="X21">INDEX($D:$D, MATCH(V21,$N:$N* ("Yes"=$E:$E),0))</f>
        <v>FANTASY BOWL</v>
      </c>
      <c r="Y21" s="991" t="str">
        <f t="array" ref="Y21">INDEX($L:$L, MATCH(V21,$N:$N* ("Yes"=$E:$E),0))</f>
        <v>POPEYES</v>
      </c>
      <c r="Z21" s="990" t="str">
        <f t="array" ref="Z21">INDEX($M:$M, MATCH(V21,$N:$N* ("Yes"=$E:$E),0))</f>
        <v>CHAMPS</v>
      </c>
      <c r="AA21" s="992" t="str">
        <f t="array" ref="AA21">"PVE FFL PLAYOFF " &amp; INDEX($B:$B, MATCH(V21,$N:$N* ("Yes"=$E:$E),0))</f>
        <v>PVE FFL PLAYOFF 56</v>
      </c>
      <c r="AC21" s="993" t="str">
        <f t="shared" si="31"/>
        <v>POPEYES</v>
      </c>
      <c r="AD21" s="1240">
        <f t="shared" ref="AD21:AE21" si="32">AD4+AG4+AJ4+AM4+AP4+AS4</f>
        <v>7</v>
      </c>
      <c r="AE21" s="1241">
        <f t="shared" si="32"/>
        <v>3</v>
      </c>
      <c r="AF21" s="1242">
        <f t="shared" si="33"/>
        <v>0.7</v>
      </c>
      <c r="AG21" s="1243">
        <f t="shared" si="34"/>
        <v>1</v>
      </c>
      <c r="AH21" s="1244">
        <f t="shared" si="35"/>
        <v>6</v>
      </c>
      <c r="AI21" s="1245">
        <f t="shared" si="36"/>
        <v>3</v>
      </c>
      <c r="AJ21" s="1244">
        <f t="shared" si="37"/>
        <v>10</v>
      </c>
      <c r="AK21" s="1246">
        <f t="shared" si="38"/>
        <v>1</v>
      </c>
      <c r="AL21" s="1247">
        <f t="shared" si="39"/>
        <v>2</v>
      </c>
      <c r="AM21" s="1248">
        <f t="shared" si="40"/>
        <v>3</v>
      </c>
      <c r="AN21" s="1249">
        <f t="shared" si="41"/>
        <v>6</v>
      </c>
      <c r="AO21" s="208">
        <f t="shared" si="42"/>
        <v>46</v>
      </c>
      <c r="AP21" s="1250">
        <f t="shared" si="43"/>
        <v>1</v>
      </c>
      <c r="AQ21" s="1251">
        <f t="shared" si="44"/>
        <v>1</v>
      </c>
      <c r="AT21" s="314"/>
      <c r="AU21" s="314"/>
      <c r="AV21" s="314"/>
      <c r="AW21" s="314"/>
      <c r="AX21" s="314"/>
      <c r="AY21" s="314"/>
    </row>
    <row r="22" ht="15.75" customHeight="1">
      <c r="B22" s="13">
        <v>21.0</v>
      </c>
      <c r="C22" s="1210">
        <v>2020.0</v>
      </c>
      <c r="D22" s="1172" t="s">
        <v>793</v>
      </c>
      <c r="E22" s="314" t="str">
        <f t="shared" si="1"/>
        <v>-</v>
      </c>
      <c r="F22" s="1190" t="s">
        <v>588</v>
      </c>
      <c r="G22" s="960" t="s">
        <v>670</v>
      </c>
      <c r="H22" s="1149" t="s">
        <v>673</v>
      </c>
      <c r="I22" s="1150">
        <v>230.1</v>
      </c>
      <c r="J22" s="1151">
        <v>188.22</v>
      </c>
      <c r="K22" s="428" t="s">
        <v>493</v>
      </c>
      <c r="L22" s="965" t="str">
        <f t="shared" si="2"/>
        <v>GIRLS</v>
      </c>
      <c r="M22" s="966" t="str">
        <f t="shared" si="3"/>
        <v>DECOUPES</v>
      </c>
      <c r="N22" s="967">
        <f t="array" ref="N22">IFERROR(IF(ABS(I22-J22)=0,Tie,ABS(I22-J22)),"UPCOMING")</f>
        <v>41.88</v>
      </c>
      <c r="O22" s="1156" t="str">
        <f t="shared" si="4"/>
        <v>-</v>
      </c>
      <c r="P22" s="967">
        <f t="shared" si="5"/>
        <v>418.32</v>
      </c>
      <c r="Q22" s="1156" t="str">
        <f t="shared" si="6"/>
        <v>-</v>
      </c>
      <c r="R22" s="96" t="str">
        <f t="shared" si="7"/>
        <v>-</v>
      </c>
      <c r="S22" s="1158" t="str">
        <f t="shared" si="8"/>
        <v>-</v>
      </c>
      <c r="U22" s="1018">
        <v>20.0</v>
      </c>
      <c r="V22" s="1019">
        <f t="array" ref="V22">SMALL(IF($E:$E="Yes", $N:$N), U22)</f>
        <v>45.35</v>
      </c>
      <c r="W22" s="1020">
        <f t="array" ref="W22">INDEX($C:$C, MATCH(V22,$N:$N* ("Yes"=$E:$E),0))</f>
        <v>2024</v>
      </c>
      <c r="X22" s="1020" t="str">
        <f t="array" ref="X22">INDEX($D:$D, MATCH(V22,$N:$N* ("Yes"=$E:$E),0))</f>
        <v>FANTASY BOWL</v>
      </c>
      <c r="Y22" s="1021" t="str">
        <f t="array" ref="Y22">INDEX($L:$L, MATCH(V22,$N:$N* ("Yes"=$E:$E),0))</f>
        <v>YARDIES</v>
      </c>
      <c r="Z22" s="1020" t="str">
        <f t="array" ref="Z22">INDEX($M:$M, MATCH(V22,$N:$N* ("Yes"=$E:$E),0))</f>
        <v>KINGS</v>
      </c>
      <c r="AA22" s="1022" t="str">
        <f t="array" ref="AA22">"PVE FFL PLAYOFF " &amp; INDEX($B:$B, MATCH(V22,$N:$N* ("Yes"=$E:$E),0))</f>
        <v>PVE FFL PLAYOFF 69</v>
      </c>
      <c r="AC22" s="993" t="str">
        <f t="shared" si="31"/>
        <v>GREEN</v>
      </c>
      <c r="AD22" s="1240">
        <f t="shared" ref="AD22:AE22" si="45">AD5+AG5+AJ5+AM5+AP5+AS5</f>
        <v>2</v>
      </c>
      <c r="AE22" s="1241">
        <f t="shared" si="45"/>
        <v>3</v>
      </c>
      <c r="AF22" s="1242">
        <f t="shared" si="33"/>
        <v>0.4</v>
      </c>
      <c r="AG22" s="1243">
        <f t="shared" si="34"/>
        <v>8</v>
      </c>
      <c r="AH22" s="1244">
        <f t="shared" si="35"/>
        <v>5</v>
      </c>
      <c r="AI22" s="1245">
        <f t="shared" si="36"/>
        <v>4</v>
      </c>
      <c r="AJ22" s="1244">
        <f t="shared" si="37"/>
        <v>5</v>
      </c>
      <c r="AK22" s="1246">
        <f t="shared" si="38"/>
        <v>6</v>
      </c>
      <c r="AL22" s="1247">
        <f t="shared" si="39"/>
        <v>1</v>
      </c>
      <c r="AM22" s="1248">
        <f t="shared" si="40"/>
        <v>1</v>
      </c>
      <c r="AN22" s="1249">
        <f t="shared" si="41"/>
        <v>2</v>
      </c>
      <c r="AO22" s="208">
        <f t="shared" si="42"/>
        <v>21</v>
      </c>
      <c r="AP22" s="1250">
        <f t="shared" si="43"/>
        <v>4</v>
      </c>
      <c r="AQ22" s="1251">
        <f t="shared" si="44"/>
        <v>3</v>
      </c>
      <c r="AT22" s="314"/>
      <c r="AU22" s="314"/>
      <c r="AV22" s="314"/>
      <c r="AW22" s="314"/>
      <c r="AX22" s="314"/>
      <c r="AY22" s="314"/>
    </row>
    <row r="23" ht="15.75" customHeight="1">
      <c r="B23" s="13">
        <v>22.0</v>
      </c>
      <c r="C23" s="1267">
        <v>2020.0</v>
      </c>
      <c r="D23" s="1167" t="s">
        <v>817</v>
      </c>
      <c r="E23" s="314" t="str">
        <f t="shared" si="1"/>
        <v>-</v>
      </c>
      <c r="F23" s="1190" t="s">
        <v>588</v>
      </c>
      <c r="G23" s="1269" t="s">
        <v>671</v>
      </c>
      <c r="H23" s="1149" t="s">
        <v>495</v>
      </c>
      <c r="I23" s="1150">
        <v>170.97</v>
      </c>
      <c r="J23" s="1151">
        <v>167.35</v>
      </c>
      <c r="K23" s="428" t="s">
        <v>537</v>
      </c>
      <c r="L23" s="1278" t="str">
        <f t="shared" si="2"/>
        <v>GREEN</v>
      </c>
      <c r="M23" s="1280" t="str">
        <f t="shared" si="3"/>
        <v>YARDIES</v>
      </c>
      <c r="N23" s="1283">
        <f t="array" ref="N23">IFERROR(IF(ABS(I23-J23)=0,Tie,ABS(I23-J23)),"UPCOMING")</f>
        <v>3.62</v>
      </c>
      <c r="O23" s="1284" t="str">
        <f t="shared" si="4"/>
        <v>-</v>
      </c>
      <c r="P23" s="1283">
        <f t="shared" si="5"/>
        <v>338.32</v>
      </c>
      <c r="Q23" s="1284" t="str">
        <f t="shared" si="6"/>
        <v>-</v>
      </c>
      <c r="R23" s="1285" t="str">
        <f t="shared" si="7"/>
        <v>-</v>
      </c>
      <c r="S23" s="1158" t="str">
        <f t="shared" si="8"/>
        <v>-</v>
      </c>
      <c r="AC23" s="993" t="str">
        <f t="shared" si="31"/>
        <v>SAVAGES</v>
      </c>
      <c r="AD23" s="1240">
        <f t="shared" ref="AD23:AE23" si="46">AD6+AG6+AJ6+AM6+AP6+AS6</f>
        <v>3</v>
      </c>
      <c r="AE23" s="1241">
        <f t="shared" si="46"/>
        <v>2</v>
      </c>
      <c r="AF23" s="1242">
        <f t="shared" si="33"/>
        <v>0.6</v>
      </c>
      <c r="AG23" s="1243">
        <f t="shared" si="34"/>
        <v>3</v>
      </c>
      <c r="AH23" s="1244">
        <f t="shared" si="35"/>
        <v>3</v>
      </c>
      <c r="AI23" s="1245">
        <f t="shared" si="36"/>
        <v>7</v>
      </c>
      <c r="AJ23" s="1244">
        <f t="shared" si="37"/>
        <v>5</v>
      </c>
      <c r="AK23" s="1246">
        <f t="shared" si="38"/>
        <v>6</v>
      </c>
      <c r="AL23" s="1247">
        <f t="shared" si="39"/>
        <v>1</v>
      </c>
      <c r="AM23" s="1248">
        <f t="shared" si="40"/>
        <v>1</v>
      </c>
      <c r="AN23" s="1249">
        <f t="shared" si="41"/>
        <v>2</v>
      </c>
      <c r="AO23" s="208">
        <f t="shared" si="42"/>
        <v>19</v>
      </c>
      <c r="AP23" s="1250">
        <f t="shared" si="43"/>
        <v>5</v>
      </c>
      <c r="AQ23" s="1251">
        <f t="shared" si="44"/>
        <v>4</v>
      </c>
      <c r="AT23" s="314"/>
      <c r="AU23" s="314"/>
      <c r="AV23" s="314"/>
      <c r="AW23" s="314"/>
      <c r="AX23" s="314"/>
      <c r="AY23" s="314"/>
    </row>
    <row r="24" ht="15.75" customHeight="1">
      <c r="B24" s="13">
        <v>23.0</v>
      </c>
      <c r="C24" s="1116">
        <v>2021.0</v>
      </c>
      <c r="D24" s="645" t="s">
        <v>709</v>
      </c>
      <c r="E24" s="1119" t="str">
        <f t="shared" si="1"/>
        <v>YES</v>
      </c>
      <c r="F24" s="1120" t="s">
        <v>1052</v>
      </c>
      <c r="G24" s="1286" t="s">
        <v>663</v>
      </c>
      <c r="H24" s="1123" t="s">
        <v>493</v>
      </c>
      <c r="I24" s="1125">
        <v>184.15</v>
      </c>
      <c r="J24" s="1127">
        <v>120.4</v>
      </c>
      <c r="K24" s="1129" t="s">
        <v>495</v>
      </c>
      <c r="L24" s="1132" t="str">
        <f t="shared" si="2"/>
        <v>DECOUPES</v>
      </c>
      <c r="M24" s="1135" t="str">
        <f t="shared" si="3"/>
        <v>GREEN</v>
      </c>
      <c r="N24" s="1138">
        <f t="array" ref="N24">IFERROR(IF(ABS(I24-J24)=0,Tie,ABS(I24-J24)),"UPCOMING")</f>
        <v>63.75</v>
      </c>
      <c r="O24" s="1139">
        <f t="shared" si="4"/>
        <v>66</v>
      </c>
      <c r="P24" s="1138">
        <f t="shared" si="5"/>
        <v>304.55</v>
      </c>
      <c r="Q24" s="1139">
        <f t="shared" si="6"/>
        <v>50</v>
      </c>
      <c r="R24" s="1140">
        <f t="shared" si="7"/>
        <v>58</v>
      </c>
      <c r="S24" s="1141">
        <f t="shared" si="8"/>
        <v>33</v>
      </c>
      <c r="U24" s="971" t="s">
        <v>1053</v>
      </c>
      <c r="V24" s="23"/>
      <c r="W24" s="23"/>
      <c r="X24" s="23"/>
      <c r="Y24" s="23"/>
      <c r="Z24" s="23"/>
      <c r="AA24" s="29"/>
      <c r="AC24" s="993" t="str">
        <f t="shared" si="31"/>
        <v>KINGS</v>
      </c>
      <c r="AD24" s="1240">
        <f t="shared" ref="AD24:AE24" si="47">AD7+AG7+AJ7+AM7+AP7+AS7</f>
        <v>2</v>
      </c>
      <c r="AE24" s="1241">
        <f t="shared" si="47"/>
        <v>1</v>
      </c>
      <c r="AF24" s="1242">
        <f t="shared" si="33"/>
        <v>0.6666666667</v>
      </c>
      <c r="AG24" s="1243">
        <f t="shared" si="34"/>
        <v>2</v>
      </c>
      <c r="AH24" s="1244">
        <f t="shared" si="35"/>
        <v>1</v>
      </c>
      <c r="AI24" s="1245">
        <f t="shared" si="36"/>
        <v>9</v>
      </c>
      <c r="AJ24" s="1244">
        <f t="shared" si="37"/>
        <v>3</v>
      </c>
      <c r="AK24" s="1246">
        <f t="shared" si="38"/>
        <v>9</v>
      </c>
      <c r="AL24" s="1247">
        <f t="shared" si="39"/>
        <v>0</v>
      </c>
      <c r="AM24" s="1248">
        <f t="shared" si="40"/>
        <v>1</v>
      </c>
      <c r="AN24" s="1249">
        <f t="shared" si="41"/>
        <v>1</v>
      </c>
      <c r="AO24" s="208">
        <f t="shared" si="42"/>
        <v>7</v>
      </c>
      <c r="AP24" s="1250">
        <f t="shared" si="43"/>
        <v>9</v>
      </c>
      <c r="AQ24" s="1251">
        <f t="shared" si="44"/>
        <v>5</v>
      </c>
      <c r="AT24" s="314"/>
      <c r="AU24" s="314"/>
      <c r="AV24" s="314"/>
      <c r="AW24" s="314"/>
      <c r="AX24" s="314"/>
      <c r="AY24" s="314"/>
    </row>
    <row r="25" ht="15.75" customHeight="1">
      <c r="B25" s="13">
        <v>24.0</v>
      </c>
      <c r="C25" s="1147">
        <v>2021.0</v>
      </c>
      <c r="D25" s="471" t="s">
        <v>709</v>
      </c>
      <c r="E25" s="314" t="str">
        <f t="shared" si="1"/>
        <v>YES</v>
      </c>
      <c r="F25" s="1148" t="s">
        <v>1052</v>
      </c>
      <c r="G25" s="1287" t="s">
        <v>665</v>
      </c>
      <c r="H25" s="1149" t="s">
        <v>497</v>
      </c>
      <c r="I25" s="1150">
        <v>101.02</v>
      </c>
      <c r="J25" s="1151">
        <v>175.47</v>
      </c>
      <c r="K25" s="428" t="s">
        <v>494</v>
      </c>
      <c r="L25" s="965" t="str">
        <f t="shared" si="2"/>
        <v>POPEYES</v>
      </c>
      <c r="M25" s="966" t="str">
        <f t="shared" si="3"/>
        <v>SAVAGES</v>
      </c>
      <c r="N25" s="967">
        <f t="array" ref="N25">IFERROR(IF(ABS(I25-J25)=0,Tie,ABS(I25-J25)),"UPCOMING")</f>
        <v>74.45</v>
      </c>
      <c r="O25" s="1156">
        <f t="shared" si="4"/>
        <v>77</v>
      </c>
      <c r="P25" s="967">
        <f t="shared" si="5"/>
        <v>276.49</v>
      </c>
      <c r="Q25" s="1156">
        <f t="shared" si="6"/>
        <v>64</v>
      </c>
      <c r="R25" s="96">
        <f t="shared" si="7"/>
        <v>70.5</v>
      </c>
      <c r="S25" s="1158">
        <f t="shared" si="8"/>
        <v>36</v>
      </c>
      <c r="U25" s="1035" t="s">
        <v>148</v>
      </c>
      <c r="V25" s="1036" t="s">
        <v>375</v>
      </c>
      <c r="W25" s="1036" t="s">
        <v>153</v>
      </c>
      <c r="X25" s="1036" t="s">
        <v>30</v>
      </c>
      <c r="Y25" s="1036" t="s">
        <v>155</v>
      </c>
      <c r="Z25" s="1036" t="s">
        <v>156</v>
      </c>
      <c r="AA25" s="1037" t="s">
        <v>157</v>
      </c>
      <c r="AC25" s="993" t="str">
        <f t="shared" si="31"/>
        <v>CHAMPS</v>
      </c>
      <c r="AD25" s="1240">
        <f t="shared" ref="AD25:AE25" si="48">AD8+AG8+AJ8+AM8+AP8+AS8</f>
        <v>4</v>
      </c>
      <c r="AE25" s="1241">
        <f t="shared" si="48"/>
        <v>3</v>
      </c>
      <c r="AF25" s="1242">
        <f t="shared" si="33"/>
        <v>0.5714285714</v>
      </c>
      <c r="AG25" s="1243">
        <f t="shared" si="34"/>
        <v>4</v>
      </c>
      <c r="AH25" s="1244">
        <f t="shared" si="35"/>
        <v>4</v>
      </c>
      <c r="AI25" s="1245">
        <f t="shared" si="36"/>
        <v>6</v>
      </c>
      <c r="AJ25" s="1244">
        <f t="shared" si="37"/>
        <v>7</v>
      </c>
      <c r="AK25" s="1246">
        <f t="shared" si="38"/>
        <v>4</v>
      </c>
      <c r="AL25" s="1247">
        <f t="shared" si="39"/>
        <v>0</v>
      </c>
      <c r="AM25" s="1248">
        <f t="shared" si="40"/>
        <v>2</v>
      </c>
      <c r="AN25" s="1249">
        <f t="shared" si="41"/>
        <v>2</v>
      </c>
      <c r="AO25" s="208">
        <f t="shared" si="42"/>
        <v>16</v>
      </c>
      <c r="AP25" s="1250">
        <f t="shared" si="43"/>
        <v>8</v>
      </c>
      <c r="AQ25" s="1290">
        <f t="shared" ref="AQ25:AQ29" si="50">_xlfn.RANK.EQ(AO25,$AO$25:$AO$29)</f>
        <v>4</v>
      </c>
      <c r="AT25" s="314"/>
      <c r="AU25" s="314"/>
      <c r="AV25" s="314"/>
      <c r="AW25" s="314"/>
      <c r="AX25" s="314"/>
      <c r="AY25" s="314"/>
    </row>
    <row r="26" ht="15.75" customHeight="1">
      <c r="B26" s="13">
        <v>25.0</v>
      </c>
      <c r="C26" s="1147">
        <v>2021.0</v>
      </c>
      <c r="D26" s="471" t="s">
        <v>709</v>
      </c>
      <c r="E26" s="314" t="str">
        <f t="shared" si="1"/>
        <v>YES</v>
      </c>
      <c r="F26" s="1148" t="s">
        <v>1052</v>
      </c>
      <c r="G26" s="1287" t="s">
        <v>670</v>
      </c>
      <c r="H26" s="1149" t="s">
        <v>537</v>
      </c>
      <c r="I26" s="1150">
        <v>139.1</v>
      </c>
      <c r="J26" s="1151">
        <v>145.39</v>
      </c>
      <c r="K26" s="428" t="s">
        <v>536</v>
      </c>
      <c r="L26" s="965" t="str">
        <f t="shared" si="2"/>
        <v>CHAMPS</v>
      </c>
      <c r="M26" s="966" t="str">
        <f t="shared" si="3"/>
        <v>YARDIES</v>
      </c>
      <c r="N26" s="967">
        <f t="array" ref="N26">IFERROR(IF(ABS(I26-J26)=0,Tie,ABS(I26-J26)),"UPCOMING")</f>
        <v>6.29</v>
      </c>
      <c r="O26" s="1156">
        <f t="shared" si="4"/>
        <v>11</v>
      </c>
      <c r="P26" s="967">
        <f t="shared" si="5"/>
        <v>284.49</v>
      </c>
      <c r="Q26" s="1156">
        <f t="shared" si="6"/>
        <v>62</v>
      </c>
      <c r="R26" s="96">
        <f t="shared" si="7"/>
        <v>36.5</v>
      </c>
      <c r="S26" s="1158">
        <f t="shared" si="8"/>
        <v>15</v>
      </c>
      <c r="U26" s="988">
        <v>1.0</v>
      </c>
      <c r="V26" s="989">
        <f t="array" ref="V26">LARGE(IF($E:$E="Yes", $N:$N), U3)</f>
        <v>134.96</v>
      </c>
      <c r="W26" s="990">
        <f t="array" ref="W26">INDEX($C:$C, MATCH(V26,$N:$N* ("Yes"=$E:$E),0))</f>
        <v>2020</v>
      </c>
      <c r="X26" s="990" t="str">
        <f t="array" ref="X26">INDEX($D:$D, MATCH(V26,$N:$N* ("Yes"=$E:$E),0))</f>
        <v>DIV CHAMP</v>
      </c>
      <c r="Y26" s="991" t="str">
        <f t="array" ref="Y26">INDEX($L:$L, MATCH(V26,$N:$N* ("Yes"=$E:$E),0))</f>
        <v>POPEYES</v>
      </c>
      <c r="Z26" s="990" t="str">
        <f t="array" ref="Z26">INDEX($M:$M, MATCH(V26,$N:$N* ("Yes"=$E:$E),0))</f>
        <v>SAVAGES</v>
      </c>
      <c r="AA26" s="992" t="str">
        <f t="array" ref="AA26">"PVE FFL PLAYOFF " &amp; INDEX($B:$B, MATCH(V26,$N:$N* ("Yes"=$E:$E),0))</f>
        <v>PVE FFL PLAYOFF 15</v>
      </c>
      <c r="AC26" s="993" t="str">
        <f t="shared" si="31"/>
        <v>METAMOOKDAWGS</v>
      </c>
      <c r="AD26" s="1240">
        <f t="shared" ref="AD26:AE26" si="49">AD9+AG9+AJ9+AM9+AP9+AS9</f>
        <v>3</v>
      </c>
      <c r="AE26" s="1241">
        <f t="shared" si="49"/>
        <v>3</v>
      </c>
      <c r="AF26" s="1242">
        <f t="shared" si="33"/>
        <v>0.5</v>
      </c>
      <c r="AG26" s="1243">
        <f t="shared" si="34"/>
        <v>5</v>
      </c>
      <c r="AH26" s="1244">
        <f t="shared" si="35"/>
        <v>3</v>
      </c>
      <c r="AI26" s="1245">
        <f t="shared" si="36"/>
        <v>7</v>
      </c>
      <c r="AJ26" s="1244">
        <f t="shared" si="37"/>
        <v>6</v>
      </c>
      <c r="AK26" s="1246">
        <f t="shared" si="38"/>
        <v>5</v>
      </c>
      <c r="AL26" s="1247">
        <f t="shared" si="39"/>
        <v>0</v>
      </c>
      <c r="AM26" s="1248">
        <f t="shared" si="40"/>
        <v>2</v>
      </c>
      <c r="AN26" s="1249">
        <f t="shared" si="41"/>
        <v>3</v>
      </c>
      <c r="AO26" s="208">
        <f t="shared" si="42"/>
        <v>17</v>
      </c>
      <c r="AP26" s="1250">
        <f t="shared" si="43"/>
        <v>6</v>
      </c>
      <c r="AQ26" s="1290">
        <f t="shared" si="50"/>
        <v>2</v>
      </c>
      <c r="AR26" s="314"/>
      <c r="AS26" s="314"/>
    </row>
    <row r="27" ht="15.75" customHeight="1">
      <c r="B27" s="13">
        <v>26.0</v>
      </c>
      <c r="C27" s="1147">
        <v>2021.0</v>
      </c>
      <c r="D27" s="471" t="s">
        <v>709</v>
      </c>
      <c r="E27" s="314" t="str">
        <f t="shared" si="1"/>
        <v>YES</v>
      </c>
      <c r="F27" s="1148" t="s">
        <v>1052</v>
      </c>
      <c r="G27" s="1287" t="s">
        <v>671</v>
      </c>
      <c r="H27" s="1149" t="s">
        <v>538</v>
      </c>
      <c r="I27" s="1150">
        <v>93.25</v>
      </c>
      <c r="J27" s="1151">
        <v>139.73</v>
      </c>
      <c r="K27" s="428" t="s">
        <v>578</v>
      </c>
      <c r="L27" s="965" t="str">
        <f t="shared" si="2"/>
        <v>METAMOOKDAWGS</v>
      </c>
      <c r="M27" s="966" t="str">
        <f t="shared" si="3"/>
        <v>MUTTS</v>
      </c>
      <c r="N27" s="967">
        <f t="array" ref="N27">IFERROR(IF(ABS(I27-J27)=0,Tie,ABS(I27-J27)),"UPCOMING")</f>
        <v>46.48</v>
      </c>
      <c r="O27" s="1156">
        <f t="shared" si="4"/>
        <v>51</v>
      </c>
      <c r="P27" s="967">
        <f t="shared" si="5"/>
        <v>232.98</v>
      </c>
      <c r="Q27" s="1156">
        <f t="shared" si="6"/>
        <v>77</v>
      </c>
      <c r="R27" s="96">
        <f t="shared" si="7"/>
        <v>64</v>
      </c>
      <c r="S27" s="1158">
        <f t="shared" si="8"/>
        <v>34</v>
      </c>
      <c r="U27" s="988">
        <v>2.0</v>
      </c>
      <c r="V27" s="989">
        <f t="array" ref="V27">LARGE(IF($E:$E="Yes", $N:$N), U4)</f>
        <v>74.45</v>
      </c>
      <c r="W27" s="990">
        <f t="array" ref="W27">INDEX($C:$C, MATCH(V27,$N:$N* ("Yes"=$E:$E),0))</f>
        <v>2021</v>
      </c>
      <c r="X27" s="990" t="str">
        <f t="array" ref="X27">INDEX($D:$D, MATCH(V27,$N:$N* ("Yes"=$E:$E),0))</f>
        <v>WILD CARD</v>
      </c>
      <c r="Y27" s="991" t="str">
        <f t="array" ref="Y27">INDEX($L:$L, MATCH(V27,$N:$N* ("Yes"=$E:$E),0))</f>
        <v>POPEYES</v>
      </c>
      <c r="Z27" s="990" t="str">
        <f t="array" ref="Z27">INDEX($M:$M, MATCH(V27,$N:$N* ("Yes"=$E:$E),0))</f>
        <v>SAVAGES</v>
      </c>
      <c r="AA27" s="992" t="str">
        <f t="array" ref="AA27">"PVE FFL PLAYOFF " &amp; INDEX($B:$B, MATCH(V27,$N:$N* ("Yes"=$E:$E),0))</f>
        <v>PVE FFL PLAYOFF 24</v>
      </c>
      <c r="AC27" s="993" t="str">
        <f t="shared" si="31"/>
        <v>YARDIES</v>
      </c>
      <c r="AD27" s="1240">
        <f t="shared" ref="AD27:AE27" si="51">AD10+AG10+AJ10+AM10+AP10+AS10</f>
        <v>2</v>
      </c>
      <c r="AE27" s="1241">
        <f t="shared" si="51"/>
        <v>3</v>
      </c>
      <c r="AF27" s="1242">
        <f t="shared" si="33"/>
        <v>0.4</v>
      </c>
      <c r="AG27" s="1243">
        <f t="shared" si="34"/>
        <v>8</v>
      </c>
      <c r="AH27" s="1244">
        <f t="shared" si="35"/>
        <v>5</v>
      </c>
      <c r="AI27" s="1245">
        <f t="shared" si="36"/>
        <v>4</v>
      </c>
      <c r="AJ27" s="1244">
        <f t="shared" si="37"/>
        <v>5</v>
      </c>
      <c r="AK27" s="1246">
        <f t="shared" si="38"/>
        <v>6</v>
      </c>
      <c r="AL27" s="1247">
        <f t="shared" si="39"/>
        <v>2</v>
      </c>
      <c r="AM27" s="1248">
        <f t="shared" si="40"/>
        <v>2</v>
      </c>
      <c r="AN27" s="1249">
        <f t="shared" si="41"/>
        <v>4</v>
      </c>
      <c r="AO27" s="208">
        <f t="shared" si="42"/>
        <v>37</v>
      </c>
      <c r="AP27" s="1250">
        <f t="shared" si="43"/>
        <v>2</v>
      </c>
      <c r="AQ27" s="1290">
        <f t="shared" si="50"/>
        <v>1</v>
      </c>
      <c r="AR27" s="314"/>
      <c r="AS27" s="314"/>
    </row>
    <row r="28" ht="15.75" customHeight="1">
      <c r="B28" s="13">
        <v>27.0</v>
      </c>
      <c r="C28" s="1147">
        <v>2021.0</v>
      </c>
      <c r="D28" s="1167" t="s">
        <v>715</v>
      </c>
      <c r="E28" s="314" t="str">
        <f t="shared" si="1"/>
        <v>-</v>
      </c>
      <c r="F28" s="1148" t="s">
        <v>1052</v>
      </c>
      <c r="G28" s="1287" t="s">
        <v>1018</v>
      </c>
      <c r="H28" s="1149" t="s">
        <v>673</v>
      </c>
      <c r="I28" s="1150">
        <v>110.2</v>
      </c>
      <c r="J28" s="1151">
        <v>117.09</v>
      </c>
      <c r="K28" s="428" t="s">
        <v>672</v>
      </c>
      <c r="L28" s="965" t="str">
        <f t="shared" si="2"/>
        <v>DEEZ NUTS</v>
      </c>
      <c r="M28" s="966" t="str">
        <f t="shared" si="3"/>
        <v>GIRLS</v>
      </c>
      <c r="N28" s="967">
        <f t="array" ref="N28">IFERROR(IF(ABS(I28-J28)=0,Tie,ABS(I28-J28)),"UPCOMING")</f>
        <v>6.89</v>
      </c>
      <c r="O28" s="1156" t="str">
        <f t="shared" si="4"/>
        <v>-</v>
      </c>
      <c r="P28" s="967">
        <f t="shared" si="5"/>
        <v>227.29</v>
      </c>
      <c r="Q28" s="1156" t="str">
        <f t="shared" si="6"/>
        <v>-</v>
      </c>
      <c r="R28" s="96" t="str">
        <f t="shared" si="7"/>
        <v>-</v>
      </c>
      <c r="S28" s="1158" t="str">
        <f t="shared" si="8"/>
        <v>-</v>
      </c>
      <c r="U28" s="988">
        <v>3.0</v>
      </c>
      <c r="V28" s="989">
        <f t="array" ref="V28">LARGE(IF($E:$E="Yes", $N:$N), U5)</f>
        <v>74.23</v>
      </c>
      <c r="W28" s="990">
        <f t="array" ref="W28">INDEX($C:$C, MATCH(V28,$N:$N* ("Yes"=$E:$E),0))</f>
        <v>2022</v>
      </c>
      <c r="X28" s="990" t="str">
        <f t="array" ref="X28">INDEX($D:$D, MATCH(V28,$N:$N* ("Yes"=$E:$E),0))</f>
        <v>DIV CHAMP</v>
      </c>
      <c r="Y28" s="991" t="str">
        <f t="array" ref="Y28">INDEX($L:$L, MATCH(V28,$N:$N* ("Yes"=$E:$E),0))</f>
        <v>MUTTS</v>
      </c>
      <c r="Z28" s="990" t="str">
        <f t="array" ref="Z28">INDEX($M:$M, MATCH(V28,$N:$N* ("Yes"=$E:$E),0))</f>
        <v>YARDIES</v>
      </c>
      <c r="AA28" s="992" t="str">
        <f t="array" ref="AA28">"PVE FFL PLAYOFF " &amp; INDEX($B:$B, MATCH(V28,$N:$N* ("Yes"=$E:$E),0))</f>
        <v>PVE FFL PLAYOFF 41</v>
      </c>
      <c r="AC28" s="993" t="str">
        <f t="shared" si="31"/>
        <v>MUTTS</v>
      </c>
      <c r="AD28" s="1240">
        <f t="shared" ref="AD28:AE28" si="52">AD11+AG11+AJ11+AM11+AP11+AS11</f>
        <v>3</v>
      </c>
      <c r="AE28" s="1241">
        <f t="shared" si="52"/>
        <v>6</v>
      </c>
      <c r="AF28" s="1242">
        <f t="shared" si="33"/>
        <v>0.3333333333</v>
      </c>
      <c r="AG28" s="1243">
        <f t="shared" si="34"/>
        <v>10</v>
      </c>
      <c r="AH28" s="1244">
        <f t="shared" si="35"/>
        <v>7</v>
      </c>
      <c r="AI28" s="1245">
        <f t="shared" si="36"/>
        <v>1</v>
      </c>
      <c r="AJ28" s="1244">
        <f t="shared" si="37"/>
        <v>9</v>
      </c>
      <c r="AK28" s="1246">
        <f t="shared" si="38"/>
        <v>2</v>
      </c>
      <c r="AL28" s="1247">
        <f t="shared" si="39"/>
        <v>0</v>
      </c>
      <c r="AM28" s="1248">
        <f t="shared" si="40"/>
        <v>1</v>
      </c>
      <c r="AN28" s="1249">
        <f t="shared" si="41"/>
        <v>3</v>
      </c>
      <c r="AO28" s="208">
        <f t="shared" si="42"/>
        <v>17</v>
      </c>
      <c r="AP28" s="1327">
        <f t="shared" si="43"/>
        <v>6</v>
      </c>
      <c r="AQ28" s="1290">
        <f t="shared" si="50"/>
        <v>2</v>
      </c>
      <c r="AR28" s="314"/>
      <c r="AS28" s="314"/>
    </row>
    <row r="29" ht="15.75" customHeight="1">
      <c r="B29" s="13">
        <v>28.0</v>
      </c>
      <c r="C29" s="1147">
        <v>2021.0</v>
      </c>
      <c r="D29" s="731" t="s">
        <v>716</v>
      </c>
      <c r="E29" s="314" t="str">
        <f t="shared" si="1"/>
        <v>YES</v>
      </c>
      <c r="F29" s="1168" t="s">
        <v>588</v>
      </c>
      <c r="G29" s="1287" t="s">
        <v>663</v>
      </c>
      <c r="H29" s="1149" t="s">
        <v>494</v>
      </c>
      <c r="I29" s="1150">
        <v>131.81</v>
      </c>
      <c r="J29" s="1151">
        <v>143.08</v>
      </c>
      <c r="K29" s="428" t="s">
        <v>493</v>
      </c>
      <c r="L29" s="965" t="str">
        <f t="shared" si="2"/>
        <v>DECOUPES</v>
      </c>
      <c r="M29" s="966" t="str">
        <f t="shared" si="3"/>
        <v>POPEYES</v>
      </c>
      <c r="N29" s="967">
        <f t="array" ref="N29">IFERROR(IF(ABS(I29-J29)=0,Tie,ABS(I29-J29)),"UPCOMING")</f>
        <v>11.27</v>
      </c>
      <c r="O29" s="1156">
        <f t="shared" si="4"/>
        <v>23</v>
      </c>
      <c r="P29" s="967">
        <f t="shared" si="5"/>
        <v>274.89</v>
      </c>
      <c r="Q29" s="1156">
        <f t="shared" si="6"/>
        <v>65</v>
      </c>
      <c r="R29" s="96">
        <f t="shared" si="7"/>
        <v>44</v>
      </c>
      <c r="S29" s="1158">
        <f t="shared" si="8"/>
        <v>20</v>
      </c>
      <c r="U29" s="988">
        <v>4.0</v>
      </c>
      <c r="V29" s="989">
        <f t="array" ref="V29">LARGE(IF($E:$E="Yes", $N:$N), U6)</f>
        <v>68.77</v>
      </c>
      <c r="W29" s="990">
        <f t="array" ref="W29">INDEX($C:$C, MATCH(V29,$N:$N* ("Yes"=$E:$E),0))</f>
        <v>2019</v>
      </c>
      <c r="X29" s="990" t="str">
        <f t="array" ref="X29">INDEX($D:$D, MATCH(V29,$N:$N* ("Yes"=$E:$E),0))</f>
        <v>WILD CARD</v>
      </c>
      <c r="Y29" s="991" t="str">
        <f t="array" ref="Y29">INDEX($L:$L, MATCH(V29,$N:$N* ("Yes"=$E:$E),0))</f>
        <v>DECOUPES</v>
      </c>
      <c r="Z29" s="990" t="str">
        <f t="array" ref="Z29">INDEX($M:$M, MATCH(V29,$N:$N* ("Yes"=$E:$E),0))</f>
        <v>MUTTS</v>
      </c>
      <c r="AA29" s="992" t="str">
        <f t="array" ref="AA29">"PVE FFL PLAYOFF " &amp; INDEX($B:$B, MATCH(V29,$N:$N* ("Yes"=$E:$E),0))</f>
        <v>PVE FFL PLAYOFF 2</v>
      </c>
      <c r="AC29" s="993" t="str">
        <f t="shared" si="31"/>
        <v>EAGLES</v>
      </c>
      <c r="AD29" s="1240">
        <f t="shared" ref="AD29:AE29" si="53">AD12+AG12+AJ12+AM12+AP12+AS12</f>
        <v>1</v>
      </c>
      <c r="AE29" s="1241">
        <f t="shared" si="53"/>
        <v>1</v>
      </c>
      <c r="AF29" s="1242">
        <f t="shared" si="33"/>
        <v>0.5</v>
      </c>
      <c r="AG29" s="1243">
        <f t="shared" si="34"/>
        <v>5</v>
      </c>
      <c r="AH29" s="1244">
        <f t="shared" si="35"/>
        <v>1</v>
      </c>
      <c r="AI29" s="1245">
        <f t="shared" si="36"/>
        <v>9</v>
      </c>
      <c r="AJ29" s="1244">
        <f t="shared" si="37"/>
        <v>2</v>
      </c>
      <c r="AK29" s="1246">
        <f t="shared" si="38"/>
        <v>10</v>
      </c>
      <c r="AL29" s="1247">
        <f t="shared" si="39"/>
        <v>0</v>
      </c>
      <c r="AM29" s="1248">
        <f t="shared" si="40"/>
        <v>0</v>
      </c>
      <c r="AN29" s="1249">
        <f t="shared" si="41"/>
        <v>1</v>
      </c>
      <c r="AO29" s="208">
        <f t="shared" si="42"/>
        <v>3</v>
      </c>
      <c r="AP29" s="1340">
        <f t="shared" si="43"/>
        <v>10</v>
      </c>
      <c r="AQ29" s="1290">
        <f t="shared" si="50"/>
        <v>5</v>
      </c>
    </row>
    <row r="30" ht="15.75" customHeight="1">
      <c r="B30" s="13">
        <v>29.0</v>
      </c>
      <c r="C30" s="1147">
        <v>2021.0</v>
      </c>
      <c r="D30" s="731" t="s">
        <v>716</v>
      </c>
      <c r="E30" s="314" t="str">
        <f t="shared" si="1"/>
        <v>YES</v>
      </c>
      <c r="F30" s="1168" t="s">
        <v>588</v>
      </c>
      <c r="G30" s="1287" t="s">
        <v>665</v>
      </c>
      <c r="H30" s="1149" t="s">
        <v>578</v>
      </c>
      <c r="I30" s="1150">
        <v>176.98</v>
      </c>
      <c r="J30" s="1151">
        <v>184.64</v>
      </c>
      <c r="K30" s="428" t="s">
        <v>536</v>
      </c>
      <c r="L30" s="965" t="str">
        <f t="shared" si="2"/>
        <v>CHAMPS</v>
      </c>
      <c r="M30" s="966" t="str">
        <f t="shared" si="3"/>
        <v>METAMOOKDAWGS</v>
      </c>
      <c r="N30" s="967">
        <f t="array" ref="N30">IFERROR(IF(ABS(I30-J30)=0,Tie,ABS(I30-J30)),"UPCOMING")</f>
        <v>7.66</v>
      </c>
      <c r="O30" s="1156">
        <f t="shared" si="4"/>
        <v>16</v>
      </c>
      <c r="P30" s="967">
        <f t="shared" si="5"/>
        <v>361.62</v>
      </c>
      <c r="Q30" s="1156">
        <f t="shared" si="6"/>
        <v>29</v>
      </c>
      <c r="R30" s="96">
        <f t="shared" si="7"/>
        <v>22.5</v>
      </c>
      <c r="S30" s="1158">
        <f t="shared" si="8"/>
        <v>6</v>
      </c>
      <c r="U30" s="988">
        <v>5.0</v>
      </c>
      <c r="V30" s="989">
        <f t="array" ref="V30">LARGE(IF($E:$E="Yes", $N:$N), U7)</f>
        <v>66.56</v>
      </c>
      <c r="W30" s="990">
        <f t="array" ref="W30">INDEX($C:$C, MATCH(V30,$N:$N* ("Yes"=$E:$E),0))</f>
        <v>2020</v>
      </c>
      <c r="X30" s="990" t="str">
        <f t="array" ref="X30">INDEX($D:$D, MATCH(V30,$N:$N* ("Yes"=$E:$E),0))</f>
        <v>WILD CARD</v>
      </c>
      <c r="Y30" s="991" t="str">
        <f t="array" ref="Y30">INDEX($L:$L, MATCH(V30,$N:$N* ("Yes"=$E:$E),0))</f>
        <v>MUTTS</v>
      </c>
      <c r="Z30" s="990" t="str">
        <f t="array" ref="Z30">INDEX($M:$M, MATCH(V30,$N:$N* ("Yes"=$E:$E),0))</f>
        <v>GIRLS</v>
      </c>
      <c r="AA30" s="992" t="str">
        <f t="array" ref="AA30">"PVE FFL PLAYOFF " &amp; INDEX($B:$B, MATCH(V30,$N:$N* ("Yes"=$E:$E),0))</f>
        <v>PVE FFL PLAYOFF 13</v>
      </c>
      <c r="AC30" s="993" t="str">
        <f t="shared" si="31"/>
        <v>DEEZ NUTS</v>
      </c>
      <c r="AD30" s="1240">
        <f t="shared" ref="AD30:AE30" si="54">AD13+AG13+AJ13+AM13+AP13+AS13</f>
        <v>1</v>
      </c>
      <c r="AE30" s="1241">
        <f t="shared" si="54"/>
        <v>1</v>
      </c>
      <c r="AF30" s="1242">
        <f t="shared" si="33"/>
        <v>0.5</v>
      </c>
      <c r="AG30" s="1009"/>
      <c r="AH30" s="1244">
        <f t="shared" si="35"/>
        <v>1</v>
      </c>
      <c r="AI30" s="1009"/>
      <c r="AJ30" s="1244">
        <f t="shared" si="37"/>
        <v>2</v>
      </c>
      <c r="AK30" s="1363"/>
      <c r="AL30" s="1247">
        <f t="shared" si="39"/>
        <v>0</v>
      </c>
      <c r="AM30" s="1248">
        <f t="shared" si="40"/>
        <v>0</v>
      </c>
      <c r="AN30" s="1249">
        <f t="shared" si="41"/>
        <v>1</v>
      </c>
      <c r="AO30" s="208">
        <f t="shared" si="42"/>
        <v>3</v>
      </c>
      <c r="AP30" s="1364">
        <f t="shared" si="43"/>
        <v>10</v>
      </c>
      <c r="AQ30" s="201"/>
    </row>
    <row r="31" ht="15.75" customHeight="1">
      <c r="B31" s="13">
        <v>30.0</v>
      </c>
      <c r="C31" s="1147">
        <v>2021.0</v>
      </c>
      <c r="D31" s="1172" t="s">
        <v>1130</v>
      </c>
      <c r="E31" s="314" t="str">
        <f t="shared" si="1"/>
        <v>-</v>
      </c>
      <c r="F31" s="1168" t="s">
        <v>588</v>
      </c>
      <c r="G31" s="1287" t="s">
        <v>670</v>
      </c>
      <c r="H31" s="1149" t="s">
        <v>497</v>
      </c>
      <c r="I31" s="1150">
        <v>166.4</v>
      </c>
      <c r="J31" s="1151">
        <v>196.18</v>
      </c>
      <c r="K31" s="428" t="s">
        <v>495</v>
      </c>
      <c r="L31" s="965" t="str">
        <f t="shared" si="2"/>
        <v>GREEN</v>
      </c>
      <c r="M31" s="966" t="str">
        <f t="shared" si="3"/>
        <v>SAVAGES</v>
      </c>
      <c r="N31" s="967">
        <f t="array" ref="N31">IFERROR(IF(ABS(I31-J31)=0,Tie,ABS(I31-J31)),"UPCOMING")</f>
        <v>29.78</v>
      </c>
      <c r="O31" s="1156" t="str">
        <f t="shared" si="4"/>
        <v>-</v>
      </c>
      <c r="P31" s="967">
        <f t="shared" si="5"/>
        <v>362.58</v>
      </c>
      <c r="Q31" s="1156" t="str">
        <f t="shared" si="6"/>
        <v>-</v>
      </c>
      <c r="R31" s="96" t="str">
        <f t="shared" si="7"/>
        <v>-</v>
      </c>
      <c r="S31" s="1158" t="str">
        <f t="shared" si="8"/>
        <v>-</v>
      </c>
      <c r="U31" s="988">
        <v>6.0</v>
      </c>
      <c r="V31" s="989">
        <f t="array" ref="V31">LARGE(IF($E:$E="Yes", $N:$N), U8)</f>
        <v>65.57</v>
      </c>
      <c r="W31" s="990">
        <f t="array" ref="W31">INDEX($C:$C, MATCH(V31,$N:$N* ("Yes"=$E:$E),0))</f>
        <v>2024</v>
      </c>
      <c r="X31" s="990" t="str">
        <f t="array" ref="X31">INDEX($D:$D, MATCH(V31,$N:$N* ("Yes"=$E:$E),0))</f>
        <v>WILD CARD</v>
      </c>
      <c r="Y31" s="991" t="str">
        <f t="array" ref="Y31">INDEX($L:$L, MATCH(V31,$N:$N* ("Yes"=$E:$E),0))</f>
        <v>KINGS</v>
      </c>
      <c r="Z31" s="990" t="str">
        <f t="array" ref="Z31">INDEX($M:$M, MATCH(V31,$N:$N* ("Yes"=$E:$E),0))</f>
        <v>DECOUPES</v>
      </c>
      <c r="AA31" s="992" t="str">
        <f t="array" ref="AA31">"PVE FFL PLAYOFF " &amp; INDEX($B:$B, MATCH(V31,$N:$N* ("Yes"=$E:$E),0))</f>
        <v>PVE FFL PLAYOFF 60</v>
      </c>
      <c r="AC31" s="993" t="str">
        <f t="shared" si="31"/>
        <v>GIRLS</v>
      </c>
      <c r="AD31" s="1240">
        <f t="shared" ref="AD31:AE31" si="55">AD14+AG14+AJ14+AM14+AP14+AS14</f>
        <v>0</v>
      </c>
      <c r="AE31" s="1241">
        <f t="shared" si="55"/>
        <v>1</v>
      </c>
      <c r="AF31" s="1242">
        <f t="shared" si="33"/>
        <v>0</v>
      </c>
      <c r="AG31" s="1009"/>
      <c r="AH31" s="1244">
        <f t="shared" si="35"/>
        <v>1</v>
      </c>
      <c r="AI31" s="1009"/>
      <c r="AJ31" s="1244">
        <f t="shared" si="37"/>
        <v>1</v>
      </c>
      <c r="AK31" s="1363"/>
      <c r="AL31" s="1247">
        <f t="shared" si="39"/>
        <v>0</v>
      </c>
      <c r="AM31" s="1248">
        <f t="shared" si="40"/>
        <v>0</v>
      </c>
      <c r="AN31" s="1249">
        <f t="shared" si="41"/>
        <v>0</v>
      </c>
      <c r="AO31" s="208">
        <f t="shared" si="42"/>
        <v>1</v>
      </c>
      <c r="AP31" s="1364" t="str">
        <f t="shared" si="43"/>
        <v>#N/A</v>
      </c>
      <c r="AQ31" s="201"/>
    </row>
    <row r="32" ht="15.75" customHeight="1">
      <c r="B32" s="13">
        <v>31.0</v>
      </c>
      <c r="C32" s="1147">
        <v>2021.0</v>
      </c>
      <c r="D32" s="1172" t="s">
        <v>1130</v>
      </c>
      <c r="E32" s="314" t="str">
        <f t="shared" si="1"/>
        <v>-</v>
      </c>
      <c r="F32" s="1168" t="s">
        <v>588</v>
      </c>
      <c r="G32" s="1287" t="s">
        <v>671</v>
      </c>
      <c r="H32" s="1149" t="s">
        <v>538</v>
      </c>
      <c r="I32" s="1150">
        <v>170.84</v>
      </c>
      <c r="J32" s="1151">
        <v>209.59</v>
      </c>
      <c r="K32" s="428" t="s">
        <v>537</v>
      </c>
      <c r="L32" s="965" t="str">
        <f t="shared" si="2"/>
        <v>YARDIES</v>
      </c>
      <c r="M32" s="966" t="str">
        <f t="shared" si="3"/>
        <v>MUTTS</v>
      </c>
      <c r="N32" s="967">
        <f t="array" ref="N32">IFERROR(IF(ABS(I32-J32)=0,Tie,ABS(I32-J32)),"UPCOMING")</f>
        <v>38.75</v>
      </c>
      <c r="O32" s="1156" t="str">
        <f t="shared" si="4"/>
        <v>-</v>
      </c>
      <c r="P32" s="967">
        <f t="shared" si="5"/>
        <v>380.43</v>
      </c>
      <c r="Q32" s="1156" t="str">
        <f t="shared" si="6"/>
        <v>-</v>
      </c>
      <c r="R32" s="96" t="str">
        <f t="shared" si="7"/>
        <v>-</v>
      </c>
      <c r="S32" s="1158" t="str">
        <f t="shared" si="8"/>
        <v>-</v>
      </c>
      <c r="U32" s="988">
        <v>7.0</v>
      </c>
      <c r="V32" s="989">
        <f t="array" ref="V32">LARGE(IF($E:$E="Yes", $N:$N), U9)</f>
        <v>65.27</v>
      </c>
      <c r="W32" s="990">
        <f t="array" ref="W32">INDEX($C:$C, MATCH(V32,$N:$N* ("Yes"=$E:$E),0))</f>
        <v>2025</v>
      </c>
      <c r="X32" s="990" t="str">
        <f t="array" ref="X32">INDEX($D:$D, MATCH(V32,$N:$N* ("Yes"=$E:$E),0))</f>
        <v>WILD CARD</v>
      </c>
      <c r="Y32" s="991" t="str">
        <f t="array" ref="Y32">INDEX($L:$L, MATCH(V32,$N:$N* ("Yes"=$E:$E),0))</f>
        <v>POPEYES</v>
      </c>
      <c r="Z32" s="990" t="str">
        <f t="array" ref="Z32">INDEX($M:$M, MATCH(V32,$N:$N* ("Yes"=$E:$E),0))</f>
        <v>DECOUPES</v>
      </c>
      <c r="AA32" s="992" t="str">
        <f t="array" ref="AA32">"PVE FFL PLAYOFF " &amp; INDEX($B:$B, MATCH(V32,$N:$N* ("Yes"=$E:$E),0))</f>
        <v>PVE FFL PLAYOFF 71</v>
      </c>
      <c r="AH32" s="13" t="s">
        <v>1138</v>
      </c>
      <c r="AL32" s="13" t="s">
        <v>1139</v>
      </c>
      <c r="AM32" s="13" t="s">
        <v>1140</v>
      </c>
      <c r="AN32" s="13" t="s">
        <v>1141</v>
      </c>
      <c r="AP32" s="13" t="s">
        <v>1142</v>
      </c>
    </row>
    <row r="33" ht="15.75" customHeight="1">
      <c r="B33" s="13">
        <v>32.0</v>
      </c>
      <c r="C33" s="1147">
        <v>2021.0</v>
      </c>
      <c r="D33" s="1167" t="s">
        <v>720</v>
      </c>
      <c r="E33" s="314" t="str">
        <f t="shared" si="1"/>
        <v>-</v>
      </c>
      <c r="F33" s="1168" t="s">
        <v>588</v>
      </c>
      <c r="G33" s="1287" t="s">
        <v>1018</v>
      </c>
      <c r="H33" s="1149" t="s">
        <v>673</v>
      </c>
      <c r="I33" s="1150">
        <v>153.68</v>
      </c>
      <c r="J33" s="1151">
        <v>70.29</v>
      </c>
      <c r="K33" s="428" t="s">
        <v>672</v>
      </c>
      <c r="L33" s="965" t="str">
        <f t="shared" si="2"/>
        <v>GIRLS</v>
      </c>
      <c r="M33" s="966" t="str">
        <f t="shared" si="3"/>
        <v>DEEZ NUTS</v>
      </c>
      <c r="N33" s="967">
        <f t="array" ref="N33">IFERROR(IF(ABS(I33-J33)=0,Tie,ABS(I33-J33)),"UPCOMING")</f>
        <v>83.39</v>
      </c>
      <c r="O33" s="1156" t="str">
        <f t="shared" si="4"/>
        <v>-</v>
      </c>
      <c r="P33" s="967">
        <f t="shared" si="5"/>
        <v>223.97</v>
      </c>
      <c r="Q33" s="1156" t="str">
        <f t="shared" si="6"/>
        <v>-</v>
      </c>
      <c r="R33" s="96" t="str">
        <f t="shared" si="7"/>
        <v>-</v>
      </c>
      <c r="S33" s="1158" t="str">
        <f t="shared" si="8"/>
        <v>-</v>
      </c>
      <c r="U33" s="988">
        <v>8.0</v>
      </c>
      <c r="V33" s="989">
        <f t="array" ref="V33">LARGE(IF($E:$E="Yes", $N:$N), U10)</f>
        <v>63.75</v>
      </c>
      <c r="W33" s="990">
        <f t="array" ref="W33">INDEX($C:$C, MATCH(V33,$N:$N* ("Yes"=$E:$E),0))</f>
        <v>2021</v>
      </c>
      <c r="X33" s="990" t="str">
        <f t="array" ref="X33">INDEX($D:$D, MATCH(V33,$N:$N* ("Yes"=$E:$E),0))</f>
        <v>WILD CARD</v>
      </c>
      <c r="Y33" s="991" t="str">
        <f t="array" ref="Y33">INDEX($L:$L, MATCH(V33,$N:$N* ("Yes"=$E:$E),0))</f>
        <v>DECOUPES</v>
      </c>
      <c r="Z33" s="990" t="str">
        <f t="array" ref="Z33">INDEX($M:$M, MATCH(V33,$N:$N* ("Yes"=$E:$E),0))</f>
        <v>GREEN</v>
      </c>
      <c r="AA33" s="992" t="str">
        <f t="array" ref="AA33">"PVE FFL PLAYOFF " &amp; INDEX($B:$B, MATCH(V33,$N:$N* ("Yes"=$E:$E),0))</f>
        <v>PVE FFL PLAYOFF 23</v>
      </c>
      <c r="AN33" s="314"/>
      <c r="AO33" s="314"/>
    </row>
    <row r="34" ht="15.75" customHeight="1">
      <c r="B34" s="13">
        <v>33.0</v>
      </c>
      <c r="C34" s="1147">
        <v>2021.0</v>
      </c>
      <c r="D34" s="498" t="s">
        <v>742</v>
      </c>
      <c r="E34" s="314" t="str">
        <f t="shared" si="1"/>
        <v>YES</v>
      </c>
      <c r="F34" s="1190" t="s">
        <v>589</v>
      </c>
      <c r="G34" s="1287" t="s">
        <v>663</v>
      </c>
      <c r="H34" s="1149" t="s">
        <v>536</v>
      </c>
      <c r="I34" s="1150">
        <v>135.25</v>
      </c>
      <c r="J34" s="1151">
        <v>164.15</v>
      </c>
      <c r="K34" s="428" t="s">
        <v>493</v>
      </c>
      <c r="L34" s="965" t="str">
        <f t="shared" si="2"/>
        <v>DECOUPES</v>
      </c>
      <c r="M34" s="966" t="str">
        <f t="shared" si="3"/>
        <v>CHAMPS</v>
      </c>
      <c r="N34" s="967">
        <f t="array" ref="N34">IFERROR(IF(ABS(I34-J34)=0,Tie,ABS(I34-J34)),"UPCOMING")</f>
        <v>28.9</v>
      </c>
      <c r="O34" s="1156">
        <f t="shared" si="4"/>
        <v>40</v>
      </c>
      <c r="P34" s="967">
        <f t="shared" si="5"/>
        <v>299.4</v>
      </c>
      <c r="Q34" s="1156">
        <f t="shared" si="6"/>
        <v>55</v>
      </c>
      <c r="R34" s="96">
        <f t="shared" si="7"/>
        <v>47.5</v>
      </c>
      <c r="S34" s="1158">
        <f t="shared" si="8"/>
        <v>25</v>
      </c>
      <c r="U34" s="988">
        <v>9.0</v>
      </c>
      <c r="V34" s="989">
        <f t="array" ref="V34">LARGE(IF($E:$E="Yes", $N:$N), U11)</f>
        <v>62.06</v>
      </c>
      <c r="W34" s="990">
        <f t="array" ref="W34">INDEX($C:$C, MATCH(V34,$N:$N* ("Yes"=$E:$E),0))</f>
        <v>2019</v>
      </c>
      <c r="X34" s="990" t="str">
        <f t="array" ref="X34">INDEX($D:$D, MATCH(V34,$N:$N* ("Yes"=$E:$E),0))</f>
        <v>FANTASY BOWL</v>
      </c>
      <c r="Y34" s="991" t="str">
        <f t="array" ref="Y34">INDEX($L:$L, MATCH(V34,$N:$N* ("Yes"=$E:$E),0))</f>
        <v>SAVAGES</v>
      </c>
      <c r="Z34" s="990" t="str">
        <f t="array" ref="Z34">INDEX($M:$M, MATCH(V34,$N:$N* ("Yes"=$E:$E),0))</f>
        <v>METAMOOKDAWGS</v>
      </c>
      <c r="AA34" s="992" t="str">
        <f t="array" ref="AA34">"PVE FFL PLAYOFF " &amp; INDEX($B:$B, MATCH(V34,$N:$N* ("Yes"=$E:$E),0))</f>
        <v>PVE FFL PLAYOFF 8</v>
      </c>
      <c r="AN34" s="314"/>
      <c r="AO34" s="314"/>
    </row>
    <row r="35" ht="15.75" customHeight="1">
      <c r="B35" s="13">
        <v>34.0</v>
      </c>
      <c r="C35" s="1147">
        <v>2021.0</v>
      </c>
      <c r="D35" s="1191" t="s">
        <v>765</v>
      </c>
      <c r="E35" s="314" t="str">
        <f t="shared" si="1"/>
        <v>-</v>
      </c>
      <c r="F35" s="1190" t="s">
        <v>589</v>
      </c>
      <c r="G35" s="1287" t="s">
        <v>665</v>
      </c>
      <c r="H35" s="1149" t="s">
        <v>578</v>
      </c>
      <c r="I35" s="1150">
        <v>143.79</v>
      </c>
      <c r="J35" s="1151">
        <v>116.5</v>
      </c>
      <c r="K35" s="428" t="s">
        <v>494</v>
      </c>
      <c r="L35" s="965" t="str">
        <f t="shared" si="2"/>
        <v>METAMOOKDAWGS</v>
      </c>
      <c r="M35" s="966" t="str">
        <f t="shared" si="3"/>
        <v>POPEYES</v>
      </c>
      <c r="N35" s="967">
        <f t="array" ref="N35">IFERROR(IF(ABS(I35-J35)=0,Tie,ABS(I35-J35)),"UPCOMING")</f>
        <v>27.29</v>
      </c>
      <c r="O35" s="1156" t="str">
        <f t="shared" si="4"/>
        <v>-</v>
      </c>
      <c r="P35" s="967">
        <f t="shared" si="5"/>
        <v>260.29</v>
      </c>
      <c r="Q35" s="1156" t="str">
        <f t="shared" si="6"/>
        <v>-</v>
      </c>
      <c r="R35" s="96" t="str">
        <f t="shared" si="7"/>
        <v>-</v>
      </c>
      <c r="S35" s="1158" t="str">
        <f t="shared" si="8"/>
        <v>-</v>
      </c>
      <c r="U35" s="988">
        <v>10.0</v>
      </c>
      <c r="V35" s="989">
        <f t="array" ref="V35">LARGE(IF($E:$E="Yes", $N:$N), U12)</f>
        <v>61.14</v>
      </c>
      <c r="W35" s="990">
        <f t="array" ref="W35">INDEX($C:$C, MATCH(V35,$N:$N* ("Yes"=$E:$E),0))</f>
        <v>2023</v>
      </c>
      <c r="X35" s="990" t="str">
        <f t="array" ref="X35">INDEX($D:$D, MATCH(V35,$N:$N* ("Yes"=$E:$E),0))</f>
        <v>WILD CARD</v>
      </c>
      <c r="Y35" s="991" t="str">
        <f t="array" ref="Y35">INDEX($L:$L, MATCH(V35,$N:$N* ("Yes"=$E:$E),0))</f>
        <v>POPEYES</v>
      </c>
      <c r="Z35" s="990" t="str">
        <f t="array" ref="Z35">INDEX($M:$M, MATCH(V35,$N:$N* ("Yes"=$E:$E),0))</f>
        <v>GREEN</v>
      </c>
      <c r="AA35" s="992" t="str">
        <f t="array" ref="AA35">"PVE FFL PLAYOFF " &amp; INDEX($B:$B, MATCH(V35,$N:$N* ("Yes"=$E:$E),0))</f>
        <v>PVE FFL PLAYOFF 49</v>
      </c>
      <c r="AC35" s="1401" t="s">
        <v>1147</v>
      </c>
      <c r="AD35" s="514"/>
      <c r="AE35" s="514"/>
      <c r="AF35" s="514"/>
      <c r="AG35" s="515"/>
      <c r="AN35" s="314"/>
      <c r="AO35" s="314"/>
    </row>
    <row r="36" ht="15.75" customHeight="1">
      <c r="B36" s="13">
        <v>35.0</v>
      </c>
      <c r="C36" s="1147">
        <v>2021.0</v>
      </c>
      <c r="D36" s="1172" t="s">
        <v>1148</v>
      </c>
      <c r="E36" s="314" t="str">
        <f t="shared" si="1"/>
        <v>-</v>
      </c>
      <c r="F36" s="1190" t="s">
        <v>589</v>
      </c>
      <c r="G36" s="1287" t="s">
        <v>670</v>
      </c>
      <c r="H36" s="1149" t="s">
        <v>495</v>
      </c>
      <c r="I36" s="1150">
        <v>196.52</v>
      </c>
      <c r="J36" s="1151">
        <v>192.86</v>
      </c>
      <c r="K36" s="428" t="s">
        <v>537</v>
      </c>
      <c r="L36" s="965" t="str">
        <f t="shared" si="2"/>
        <v>GREEN</v>
      </c>
      <c r="M36" s="966" t="str">
        <f t="shared" si="3"/>
        <v>YARDIES</v>
      </c>
      <c r="N36" s="967">
        <f t="array" ref="N36">IFERROR(IF(ABS(I36-J36)=0,Tie,ABS(I36-J36)),"UPCOMING")</f>
        <v>3.66</v>
      </c>
      <c r="O36" s="1156" t="str">
        <f t="shared" si="4"/>
        <v>-</v>
      </c>
      <c r="P36" s="967">
        <f t="shared" si="5"/>
        <v>389.38</v>
      </c>
      <c r="Q36" s="1156" t="str">
        <f t="shared" si="6"/>
        <v>-</v>
      </c>
      <c r="R36" s="96" t="str">
        <f t="shared" si="7"/>
        <v>-</v>
      </c>
      <c r="S36" s="1158" t="str">
        <f t="shared" si="8"/>
        <v>-</v>
      </c>
      <c r="U36" s="988">
        <v>11.0</v>
      </c>
      <c r="V36" s="989">
        <f t="array" ref="V36">LARGE(IF($E:$E="Yes", $N:$N), U13)</f>
        <v>60.26</v>
      </c>
      <c r="W36" s="990">
        <f t="array" ref="W36">INDEX($C:$C, MATCH(V36,$N:$N* ("Yes"=$E:$E),0))</f>
        <v>2025</v>
      </c>
      <c r="X36" s="990" t="str">
        <f t="array" ref="X36">INDEX($D:$D, MATCH(V36,$N:$N* ("Yes"=$E:$E),0))</f>
        <v>DIV CHAMP</v>
      </c>
      <c r="Y36" s="991" t="str">
        <f t="array" ref="Y36">INDEX($L:$L, MATCH(V36,$N:$N* ("Yes"=$E:$E),0))</f>
        <v>YARDIES</v>
      </c>
      <c r="Z36" s="990" t="str">
        <f t="array" ref="Z36">INDEX($M:$M, MATCH(V36,$N:$N* ("Yes"=$E:$E),0))</f>
        <v>MUTTS</v>
      </c>
      <c r="AA36" s="992" t="str">
        <f t="array" ref="AA36">"PVE FFL PLAYOFF " &amp; INDEX($B:$B, MATCH(V36,$N:$N* ("Yes"=$E:$E),0))</f>
        <v>PVE FFL PLAYOFF 76</v>
      </c>
      <c r="AC36" s="1410" t="s">
        <v>493</v>
      </c>
      <c r="AD36" s="1411"/>
      <c r="AE36" s="1411"/>
      <c r="AF36" s="1411"/>
      <c r="AG36" s="1411"/>
      <c r="AN36" s="314"/>
      <c r="AO36" s="314"/>
    </row>
    <row r="37" ht="15.75" customHeight="1">
      <c r="B37" s="13">
        <v>36.0</v>
      </c>
      <c r="C37" s="1147">
        <v>2021.0</v>
      </c>
      <c r="D37" s="1172" t="s">
        <v>1150</v>
      </c>
      <c r="E37" s="314" t="str">
        <f t="shared" si="1"/>
        <v>-</v>
      </c>
      <c r="F37" s="1190" t="s">
        <v>589</v>
      </c>
      <c r="G37" s="1287" t="s">
        <v>671</v>
      </c>
      <c r="H37" s="1149" t="s">
        <v>497</v>
      </c>
      <c r="I37" s="1150">
        <v>235.53</v>
      </c>
      <c r="J37" s="1151">
        <v>171.18</v>
      </c>
      <c r="K37" s="428" t="s">
        <v>538</v>
      </c>
      <c r="L37" s="965" t="str">
        <f t="shared" si="2"/>
        <v>SAVAGES</v>
      </c>
      <c r="M37" s="966" t="str">
        <f t="shared" si="3"/>
        <v>MUTTS</v>
      </c>
      <c r="N37" s="967">
        <f t="array" ref="N37">IFERROR(IF(ABS(I37-J37)=0,Tie,ABS(I37-J37)),"UPCOMING")</f>
        <v>64.35</v>
      </c>
      <c r="O37" s="1156" t="str">
        <f t="shared" si="4"/>
        <v>-</v>
      </c>
      <c r="P37" s="967">
        <f t="shared" si="5"/>
        <v>406.71</v>
      </c>
      <c r="Q37" s="1156" t="str">
        <f t="shared" si="6"/>
        <v>-</v>
      </c>
      <c r="R37" s="96" t="str">
        <f t="shared" si="7"/>
        <v>-</v>
      </c>
      <c r="S37" s="1158" t="str">
        <f t="shared" si="8"/>
        <v>-</v>
      </c>
      <c r="U37" s="988">
        <v>12.0</v>
      </c>
      <c r="V37" s="989">
        <f t="array" ref="V37">LARGE(IF($E:$E="Yes", $N:$N), U14)</f>
        <v>59.84</v>
      </c>
      <c r="W37" s="990">
        <f t="array" ref="W37">INDEX($C:$C, MATCH(V37,$N:$N* ("Yes"=$E:$E),0))</f>
        <v>2022</v>
      </c>
      <c r="X37" s="990" t="str">
        <f t="array" ref="X37">INDEX($D:$D, MATCH(V37,$N:$N* ("Yes"=$E:$E),0))</f>
        <v>DIV CHAMP</v>
      </c>
      <c r="Y37" s="991" t="str">
        <f t="array" ref="Y37">INDEX($L:$L, MATCH(V37,$N:$N* ("Yes"=$E:$E),0))</f>
        <v>GREEN</v>
      </c>
      <c r="Z37" s="990" t="str">
        <f t="array" ref="Z37">INDEX($M:$M, MATCH(V37,$N:$N* ("Yes"=$E:$E),0))</f>
        <v>POPEYES</v>
      </c>
      <c r="AA37" s="992" t="str">
        <f t="array" ref="AA37">"PVE FFL PLAYOFF " &amp; INDEX($B:$B, MATCH(V37,$N:$N* ("Yes"=$E:$E),0))</f>
        <v>PVE FFL PLAYOFF 42</v>
      </c>
      <c r="AC37" s="1427" t="s">
        <v>683</v>
      </c>
      <c r="AD37" s="1429" t="s">
        <v>692</v>
      </c>
      <c r="AE37" s="1430" t="s">
        <v>693</v>
      </c>
      <c r="AF37" s="1431" t="s">
        <v>694</v>
      </c>
      <c r="AG37" s="1432" t="s">
        <v>695</v>
      </c>
      <c r="AN37" s="314"/>
      <c r="AO37" s="314"/>
    </row>
    <row r="38" ht="15.75" customHeight="1">
      <c r="B38" s="13">
        <v>37.0</v>
      </c>
      <c r="C38" s="1192">
        <v>2021.0</v>
      </c>
      <c r="D38" s="1193" t="s">
        <v>817</v>
      </c>
      <c r="E38" s="1194" t="str">
        <f t="shared" si="1"/>
        <v>-</v>
      </c>
      <c r="F38" s="1195" t="s">
        <v>589</v>
      </c>
      <c r="G38" s="1434" t="s">
        <v>1018</v>
      </c>
      <c r="H38" s="1197" t="s">
        <v>673</v>
      </c>
      <c r="I38" s="1198">
        <v>154.98</v>
      </c>
      <c r="J38" s="1199">
        <v>143.2</v>
      </c>
      <c r="K38" s="1200" t="s">
        <v>672</v>
      </c>
      <c r="L38" s="1201" t="str">
        <f t="shared" si="2"/>
        <v>GIRLS</v>
      </c>
      <c r="M38" s="1202" t="str">
        <f t="shared" si="3"/>
        <v>DEEZ NUTS</v>
      </c>
      <c r="N38" s="1203">
        <f t="array" ref="N38">IFERROR(IF(ABS(I38-J38)=0,Tie,ABS(I38-J38)),"UPCOMING")</f>
        <v>11.78</v>
      </c>
      <c r="O38" s="1204" t="str">
        <f t="shared" si="4"/>
        <v>-</v>
      </c>
      <c r="P38" s="1203">
        <f t="shared" si="5"/>
        <v>298.18</v>
      </c>
      <c r="Q38" s="1204" t="str">
        <f t="shared" si="6"/>
        <v>-</v>
      </c>
      <c r="R38" s="1205" t="str">
        <f t="shared" si="7"/>
        <v>-</v>
      </c>
      <c r="S38" s="1206" t="str">
        <f t="shared" si="8"/>
        <v>-</v>
      </c>
      <c r="U38" s="988">
        <v>13.0</v>
      </c>
      <c r="V38" s="989">
        <f t="array" ref="V38">LARGE(IF($E:$E="Yes", $N:$N), U15)</f>
        <v>54.99</v>
      </c>
      <c r="W38" s="990">
        <f t="array" ref="W38">INDEX($C:$C, MATCH(V38,$N:$N* ("Yes"=$E:$E),0))</f>
        <v>2022</v>
      </c>
      <c r="X38" s="990" t="str">
        <f t="array" ref="X38">INDEX($D:$D, MATCH(V38,$N:$N* ("Yes"=$E:$E),0))</f>
        <v>FANTASY BOWL</v>
      </c>
      <c r="Y38" s="991" t="str">
        <f t="array" ref="Y38">INDEX($L:$L, MATCH(V38,$N:$N* ("Yes"=$E:$E),0))</f>
        <v>GREEN</v>
      </c>
      <c r="Z38" s="990" t="str">
        <f t="array" ref="Z38">INDEX($M:$M, MATCH(V38,$N:$N* ("Yes"=$E:$E),0))</f>
        <v>MUTTS</v>
      </c>
      <c r="AA38" s="992" t="str">
        <f t="array" ref="AA38">"PVE FFL PLAYOFF " &amp; INDEX($B:$B, MATCH(V38,$N:$N* ("Yes"=$E:$E),0))</f>
        <v>PVE FFL PLAYOFF 45</v>
      </c>
      <c r="AC38" s="1437" t="str">
        <f t="shared" ref="AC38:AC49" si="56">IF(AC3=$AC$36,"N/A",AC3)</f>
        <v>N/A</v>
      </c>
      <c r="AD38" s="1438" t="str">
        <f t="shared" ref="AD38:AD49" si="57">IF(AC38="N/A", "N/A",
    COUNTIFS($H:$H, AC38, $M:$M, AC38, $K:$K, $AC$36, $I:$I, "&lt;&gt;", $E:$E, "Yes") +
    COUNTIFS($K:$K, AC38, $M:$M, AC38, $H:$H, $AC$36, $I:$I, "&lt;&gt;", $E:$E, "Yes"))</f>
        <v>N/A</v>
      </c>
      <c r="AE38" s="1439" t="str">
        <f t="shared" ref="AE38:AE49" si="58">IF(
    AC38="N/A",
    "N/A",
    COUNTIFS($H:$H, AC38, $L:$L, AC38, $K:$K, $AC$36, $I:$I, "&lt;&gt;", $E:$E, "Yes")
    +
    COUNTIFS($K:$K, AC38, $L:$L, AC38, $H:$H, $AC$36, $I:$I, "&lt;&gt;", $E:$E, "Yes")
)</f>
        <v>N/A</v>
      </c>
      <c r="AF38" s="1443" t="str">
        <f t="shared" ref="AF38:AF49" si="59">IF(AC38="N/A","N/A",IFERROR(AD38/(AE38+AD38),0))</f>
        <v>N/A</v>
      </c>
      <c r="AG38" s="1445" t="str">
        <f t="shared" ref="AG38:AG49" si="60">IFERROR(AE38+AD38,"N/A")</f>
        <v>N/A</v>
      </c>
      <c r="AN38" s="314"/>
      <c r="AO38" s="314"/>
    </row>
    <row r="39" ht="15.75" customHeight="1">
      <c r="B39" s="13">
        <v>38.0</v>
      </c>
      <c r="C39" s="1207">
        <v>2022.0</v>
      </c>
      <c r="D39" s="645" t="s">
        <v>709</v>
      </c>
      <c r="E39" s="1119" t="str">
        <f t="shared" si="1"/>
        <v>YES</v>
      </c>
      <c r="F39" s="1120" t="s">
        <v>1052</v>
      </c>
      <c r="G39" s="1122" t="s">
        <v>663</v>
      </c>
      <c r="H39" s="1123" t="str">
        <f>'League History BACKEND 2022'!G118</f>
        <v>CHAMPS</v>
      </c>
      <c r="I39" s="1446">
        <v>149.36</v>
      </c>
      <c r="J39" s="1447">
        <v>198.83</v>
      </c>
      <c r="K39" s="1129" t="str">
        <f>'League History BACKEND 2022'!J118</f>
        <v>MUTTS</v>
      </c>
      <c r="L39" s="1132" t="str">
        <f t="shared" si="2"/>
        <v>MUTTS</v>
      </c>
      <c r="M39" s="1135" t="str">
        <f t="shared" si="3"/>
        <v>CHAMPS</v>
      </c>
      <c r="N39" s="1138">
        <f t="array" ref="N39">IFERROR(IF(ABS(I39-J39)=0,Tie,ABS(I39-J39)),"UPCOMING")</f>
        <v>49.47</v>
      </c>
      <c r="O39" s="1139">
        <f t="shared" si="4"/>
        <v>55</v>
      </c>
      <c r="P39" s="1138">
        <f t="shared" si="5"/>
        <v>348.19</v>
      </c>
      <c r="Q39" s="1139">
        <f t="shared" si="6"/>
        <v>35</v>
      </c>
      <c r="R39" s="1140">
        <f t="shared" si="7"/>
        <v>45</v>
      </c>
      <c r="S39" s="1141">
        <f t="shared" si="8"/>
        <v>23</v>
      </c>
      <c r="U39" s="988">
        <v>14.0</v>
      </c>
      <c r="V39" s="989">
        <f t="array" ref="V39">LARGE(IF($E:$E="Yes", $N:$N), U16)</f>
        <v>54.5</v>
      </c>
      <c r="W39" s="990">
        <f t="array" ref="W39">INDEX($C:$C, MATCH(V39,$N:$N* ("Yes"=$E:$E),0))</f>
        <v>2024</v>
      </c>
      <c r="X39" s="990" t="str">
        <f t="array" ref="X39">INDEX($D:$D, MATCH(V39,$N:$N* ("Yes"=$E:$E),0))</f>
        <v>DIV CHAMP</v>
      </c>
      <c r="Y39" s="991" t="str">
        <f t="array" ref="Y39">INDEX($L:$L, MATCH(V39,$N:$N* ("Yes"=$E:$E),0))</f>
        <v>YARDIES</v>
      </c>
      <c r="Z39" s="990" t="str">
        <f t="array" ref="Z39">INDEX($M:$M, MATCH(V39,$N:$N* ("Yes"=$E:$E),0))</f>
        <v>EAGLES</v>
      </c>
      <c r="AA39" s="992" t="str">
        <f t="array" ref="AA39">"PVE FFL PLAYOFF " &amp; INDEX($B:$B, MATCH(V39,$N:$N* ("Yes"=$E:$E),0))</f>
        <v>PVE FFL PLAYOFF 65</v>
      </c>
      <c r="AC39" s="1437" t="str">
        <f t="shared" si="56"/>
        <v>POPEYES</v>
      </c>
      <c r="AD39" s="1438">
        <f t="shared" si="57"/>
        <v>1</v>
      </c>
      <c r="AE39" s="1439">
        <f t="shared" si="58"/>
        <v>3</v>
      </c>
      <c r="AF39" s="1443">
        <f t="shared" si="59"/>
        <v>0.25</v>
      </c>
      <c r="AG39" s="1445">
        <f t="shared" si="60"/>
        <v>4</v>
      </c>
      <c r="AN39" s="314"/>
      <c r="AO39" s="314"/>
    </row>
    <row r="40" ht="15.75" customHeight="1">
      <c r="B40" s="13">
        <v>39.0</v>
      </c>
      <c r="C40" s="1210">
        <v>2022.0</v>
      </c>
      <c r="D40" s="471" t="s">
        <v>709</v>
      </c>
      <c r="E40" s="314" t="str">
        <f t="shared" si="1"/>
        <v>YES</v>
      </c>
      <c r="F40" s="1148" t="s">
        <v>1052</v>
      </c>
      <c r="G40" s="960" t="s">
        <v>665</v>
      </c>
      <c r="H40" s="1149" t="str">
        <f>'League History BACKEND 2022'!G120</f>
        <v>POPEYES</v>
      </c>
      <c r="I40" s="1454">
        <v>214.97</v>
      </c>
      <c r="J40" s="1455">
        <v>184.95</v>
      </c>
      <c r="K40" s="428" t="str">
        <f>'League History BACKEND 2022'!J120</f>
        <v>DECOUPES</v>
      </c>
      <c r="L40" s="965" t="str">
        <f t="shared" si="2"/>
        <v>POPEYES</v>
      </c>
      <c r="M40" s="966" t="str">
        <f t="shared" si="3"/>
        <v>DECOUPES</v>
      </c>
      <c r="N40" s="967">
        <f t="array" ref="N40">IFERROR(IF(ABS(I40-J40)=0,Tie,ABS(I40-J40)),"UPCOMING")</f>
        <v>30.02</v>
      </c>
      <c r="O40" s="1156">
        <f t="shared" si="4"/>
        <v>43</v>
      </c>
      <c r="P40" s="967">
        <f t="shared" si="5"/>
        <v>399.92</v>
      </c>
      <c r="Q40" s="1156">
        <f t="shared" si="6"/>
        <v>16</v>
      </c>
      <c r="R40" s="96">
        <f t="shared" si="7"/>
        <v>29.5</v>
      </c>
      <c r="S40" s="1158">
        <f t="shared" si="8"/>
        <v>12</v>
      </c>
      <c r="U40" s="988">
        <v>15.0</v>
      </c>
      <c r="V40" s="989">
        <f t="array" ref="V40">LARGE(IF($E:$E="Yes", $N:$N), U17)</f>
        <v>53.99</v>
      </c>
      <c r="W40" s="990">
        <f t="array" ref="W40">INDEX($C:$C, MATCH(V40,$N:$N* ("Yes"=$E:$E),0))</f>
        <v>2019</v>
      </c>
      <c r="X40" s="990" t="str">
        <f t="array" ref="X40">INDEX($D:$D, MATCH(V40,$N:$N* ("Yes"=$E:$E),0))</f>
        <v>WILD CARD</v>
      </c>
      <c r="Y40" s="991" t="str">
        <f t="array" ref="Y40">INDEX($L:$L, MATCH(V40,$N:$N* ("Yes"=$E:$E),0))</f>
        <v>DEEZ NUTS</v>
      </c>
      <c r="Z40" s="990" t="str">
        <f t="array" ref="Z40">INDEX($M:$M, MATCH(V40,$N:$N* ("Yes"=$E:$E),0))</f>
        <v>GREEN</v>
      </c>
      <c r="AA40" s="992" t="str">
        <f t="array" ref="AA40">"PVE FFL PLAYOFF " &amp; INDEX($B:$B, MATCH(V40,$N:$N* ("Yes"=$E:$E),0))</f>
        <v>PVE FFL PLAYOFF 1</v>
      </c>
      <c r="AC40" s="1437" t="str">
        <f t="shared" si="56"/>
        <v>GREEN</v>
      </c>
      <c r="AD40" s="1438">
        <f t="shared" si="57"/>
        <v>1</v>
      </c>
      <c r="AE40" s="1439">
        <f t="shared" si="58"/>
        <v>0</v>
      </c>
      <c r="AF40" s="1443">
        <f t="shared" si="59"/>
        <v>1</v>
      </c>
      <c r="AG40" s="1445">
        <f t="shared" si="60"/>
        <v>1</v>
      </c>
      <c r="AN40" s="314"/>
      <c r="AO40" s="314"/>
    </row>
    <row r="41" ht="15.75" customHeight="1">
      <c r="B41" s="13">
        <v>40.0</v>
      </c>
      <c r="C41" s="1210">
        <v>2022.0</v>
      </c>
      <c r="D41" s="1167" t="s">
        <v>715</v>
      </c>
      <c r="E41" s="314" t="str">
        <f t="shared" si="1"/>
        <v>-</v>
      </c>
      <c r="F41" s="1148" t="s">
        <v>1052</v>
      </c>
      <c r="G41" s="960" t="s">
        <v>670</v>
      </c>
      <c r="H41" s="1149" t="str">
        <f>'League History BACKEND 2022'!G121</f>
        <v>METAMOOKDAWGS</v>
      </c>
      <c r="I41" s="1454">
        <v>205.58</v>
      </c>
      <c r="J41" s="1455">
        <v>156.21</v>
      </c>
      <c r="K41" s="428" t="str">
        <f>'League History BACKEND 2022'!J121</f>
        <v>SAVAGES</v>
      </c>
      <c r="L41" s="965" t="str">
        <f t="shared" si="2"/>
        <v>METAMOOKDAWGS</v>
      </c>
      <c r="M41" s="966" t="str">
        <f t="shared" si="3"/>
        <v>SAVAGES</v>
      </c>
      <c r="N41" s="967">
        <f t="array" ref="N41">IFERROR(IF(ABS(I41-J41)=0,Tie,ABS(I41-J41)),"UPCOMING")</f>
        <v>49.37</v>
      </c>
      <c r="O41" s="1156" t="str">
        <f t="shared" si="4"/>
        <v>-</v>
      </c>
      <c r="P41" s="967">
        <f t="shared" si="5"/>
        <v>361.79</v>
      </c>
      <c r="Q41" s="1156" t="str">
        <f t="shared" si="6"/>
        <v>-</v>
      </c>
      <c r="R41" s="96" t="str">
        <f t="shared" si="7"/>
        <v>-</v>
      </c>
      <c r="S41" s="1158" t="str">
        <f t="shared" si="8"/>
        <v>-</v>
      </c>
      <c r="U41" s="988">
        <v>16.0</v>
      </c>
      <c r="V41" s="989">
        <f t="array" ref="V41">LARGE(IF($E:$E="Yes", $N:$N), U18)</f>
        <v>49.47</v>
      </c>
      <c r="W41" s="990">
        <f t="array" ref="W41">INDEX($C:$C, MATCH(V41,$N:$N* ("Yes"=$E:$E),0))</f>
        <v>2022</v>
      </c>
      <c r="X41" s="990" t="str">
        <f t="array" ref="X41">INDEX($D:$D, MATCH(V41,$N:$N* ("Yes"=$E:$E),0))</f>
        <v>WILD CARD</v>
      </c>
      <c r="Y41" s="991" t="str">
        <f t="array" ref="Y41">INDEX($L:$L, MATCH(V41,$N:$N* ("Yes"=$E:$E),0))</f>
        <v>MUTTS</v>
      </c>
      <c r="Z41" s="990" t="str">
        <f t="array" ref="Z41">INDEX($M:$M, MATCH(V41,$N:$N* ("Yes"=$E:$E),0))</f>
        <v>CHAMPS</v>
      </c>
      <c r="AA41" s="992" t="str">
        <f t="array" ref="AA41">"PVE FFL PLAYOFF " &amp; INDEX($B:$B, MATCH(V41,$N:$N* ("Yes"=$E:$E),0))</f>
        <v>PVE FFL PLAYOFF 38</v>
      </c>
      <c r="AC41" s="1437" t="str">
        <f t="shared" si="56"/>
        <v>SAVAGES</v>
      </c>
      <c r="AD41" s="1438">
        <f t="shared" si="57"/>
        <v>0</v>
      </c>
      <c r="AE41" s="1439">
        <f t="shared" si="58"/>
        <v>2</v>
      </c>
      <c r="AF41" s="1443">
        <f t="shared" si="59"/>
        <v>0</v>
      </c>
      <c r="AG41" s="1445">
        <f t="shared" si="60"/>
        <v>2</v>
      </c>
      <c r="AN41" s="314"/>
      <c r="AO41" s="314"/>
      <c r="AR41" s="314"/>
      <c r="AS41" s="314"/>
    </row>
    <row r="42" ht="15.75" customHeight="1">
      <c r="B42" s="13">
        <v>41.0</v>
      </c>
      <c r="C42" s="1210">
        <v>2022.0</v>
      </c>
      <c r="D42" s="731" t="s">
        <v>716</v>
      </c>
      <c r="E42" s="314" t="str">
        <f t="shared" si="1"/>
        <v>YES</v>
      </c>
      <c r="F42" s="1168" t="s">
        <v>588</v>
      </c>
      <c r="G42" s="960" t="s">
        <v>663</v>
      </c>
      <c r="H42" s="1149" t="str">
        <f>'League History BACKEND 2022'!G127</f>
        <v>MUTTS</v>
      </c>
      <c r="I42" s="1454">
        <v>216.44</v>
      </c>
      <c r="J42" s="1455">
        <v>142.21</v>
      </c>
      <c r="K42" s="428" t="str">
        <f>'League History BACKEND 2022'!J127</f>
        <v>YARDIES</v>
      </c>
      <c r="L42" s="965" t="str">
        <f t="shared" si="2"/>
        <v>MUTTS</v>
      </c>
      <c r="M42" s="966" t="str">
        <f t="shared" si="3"/>
        <v>YARDIES</v>
      </c>
      <c r="N42" s="967">
        <f t="array" ref="N42">IFERROR(IF(ABS(I42-J42)=0,Tie,ABS(I42-J42)),"UPCOMING")</f>
        <v>74.23</v>
      </c>
      <c r="O42" s="1156">
        <f t="shared" si="4"/>
        <v>76</v>
      </c>
      <c r="P42" s="967">
        <f t="shared" si="5"/>
        <v>358.65</v>
      </c>
      <c r="Q42" s="1156">
        <f t="shared" si="6"/>
        <v>31</v>
      </c>
      <c r="R42" s="96">
        <f t="shared" si="7"/>
        <v>53.5</v>
      </c>
      <c r="S42" s="1158">
        <f t="shared" si="8"/>
        <v>31</v>
      </c>
      <c r="U42" s="988">
        <v>17.0</v>
      </c>
      <c r="V42" s="989">
        <f t="array" ref="V42">LARGE(IF($E:$E="Yes", $N:$N), U19)</f>
        <v>46.48</v>
      </c>
      <c r="W42" s="990">
        <f t="array" ref="W42">INDEX($C:$C, MATCH(V42,$N:$N* ("Yes"=$E:$E),0))</f>
        <v>2021</v>
      </c>
      <c r="X42" s="990" t="str">
        <f t="array" ref="X42">INDEX($D:$D, MATCH(V42,$N:$N* ("Yes"=$E:$E),0))</f>
        <v>WILD CARD</v>
      </c>
      <c r="Y42" s="991" t="str">
        <f t="array" ref="Y42">INDEX($L:$L, MATCH(V42,$N:$N* ("Yes"=$E:$E),0))</f>
        <v>METAMOOKDAWGS</v>
      </c>
      <c r="Z42" s="990" t="str">
        <f t="array" ref="Z42">INDEX($M:$M, MATCH(V42,$N:$N* ("Yes"=$E:$E),0))</f>
        <v>MUTTS</v>
      </c>
      <c r="AA42" s="992" t="str">
        <f t="array" ref="AA42">"PVE FFL PLAYOFF " &amp; INDEX($B:$B, MATCH(V42,$N:$N* ("Yes"=$E:$E),0))</f>
        <v>PVE FFL PLAYOFF 26</v>
      </c>
      <c r="AC42" s="1437" t="str">
        <f t="shared" si="56"/>
        <v>KINGS</v>
      </c>
      <c r="AD42" s="1438">
        <f t="shared" si="57"/>
        <v>0</v>
      </c>
      <c r="AE42" s="1439">
        <f t="shared" si="58"/>
        <v>1</v>
      </c>
      <c r="AF42" s="1443">
        <f t="shared" si="59"/>
        <v>0</v>
      </c>
      <c r="AG42" s="1445">
        <f t="shared" si="60"/>
        <v>1</v>
      </c>
      <c r="AN42" s="314"/>
      <c r="AO42" s="314"/>
      <c r="AR42" s="314"/>
      <c r="AS42" s="314"/>
    </row>
    <row r="43" ht="15.75" customHeight="1">
      <c r="B43" s="13">
        <v>42.0</v>
      </c>
      <c r="C43" s="1210">
        <v>2022.0</v>
      </c>
      <c r="D43" s="731" t="s">
        <v>716</v>
      </c>
      <c r="E43" s="314" t="str">
        <f t="shared" si="1"/>
        <v>YES</v>
      </c>
      <c r="F43" s="1168" t="s">
        <v>588</v>
      </c>
      <c r="G43" s="960" t="s">
        <v>665</v>
      </c>
      <c r="H43" s="1149" t="str">
        <f>'League History BACKEND 2022'!G128</f>
        <v>POPEYES</v>
      </c>
      <c r="I43" s="1454">
        <v>174.78</v>
      </c>
      <c r="J43" s="1455">
        <v>234.62</v>
      </c>
      <c r="K43" s="428" t="str">
        <f>'League History BACKEND 2022'!J128</f>
        <v>GREEN</v>
      </c>
      <c r="L43" s="965" t="str">
        <f t="shared" si="2"/>
        <v>GREEN</v>
      </c>
      <c r="M43" s="966" t="str">
        <f t="shared" si="3"/>
        <v>POPEYES</v>
      </c>
      <c r="N43" s="967">
        <f t="array" ref="N43">IFERROR(IF(ABS(I43-J43)=0,Tie,ABS(I43-J43)),"UPCOMING")</f>
        <v>59.84</v>
      </c>
      <c r="O43" s="1156">
        <f t="shared" si="4"/>
        <v>61</v>
      </c>
      <c r="P43" s="967">
        <f t="shared" si="5"/>
        <v>409.4</v>
      </c>
      <c r="Q43" s="1156">
        <f t="shared" si="6"/>
        <v>13</v>
      </c>
      <c r="R43" s="96">
        <f t="shared" si="7"/>
        <v>37</v>
      </c>
      <c r="S43" s="1158">
        <f t="shared" si="8"/>
        <v>16</v>
      </c>
      <c r="U43" s="988">
        <v>18.0</v>
      </c>
      <c r="V43" s="989">
        <f t="array" ref="V43">LARGE(IF($E:$E="Yes", $N:$N), U20)</f>
        <v>45.35</v>
      </c>
      <c r="W43" s="990">
        <f t="array" ref="W43">INDEX($C:$C, MATCH(V43,$N:$N* ("Yes"=$E:$E),0))</f>
        <v>2024</v>
      </c>
      <c r="X43" s="990" t="str">
        <f t="array" ref="X43">INDEX($D:$D, MATCH(V43,$N:$N* ("Yes"=$E:$E),0))</f>
        <v>FANTASY BOWL</v>
      </c>
      <c r="Y43" s="991" t="str">
        <f t="array" ref="Y43">INDEX($L:$L, MATCH(V43,$N:$N* ("Yes"=$E:$E),0))</f>
        <v>YARDIES</v>
      </c>
      <c r="Z43" s="990" t="str">
        <f t="array" ref="Z43">INDEX($M:$M, MATCH(V43,$N:$N* ("Yes"=$E:$E),0))</f>
        <v>KINGS</v>
      </c>
      <c r="AA43" s="992" t="str">
        <f t="array" ref="AA43">"PVE FFL PLAYOFF " &amp; INDEX($B:$B, MATCH(V43,$N:$N* ("Yes"=$E:$E),0))</f>
        <v>PVE FFL PLAYOFF 69</v>
      </c>
      <c r="AC43" s="1437" t="str">
        <f t="shared" si="56"/>
        <v>CHAMPS</v>
      </c>
      <c r="AD43" s="1438">
        <f t="shared" si="57"/>
        <v>1</v>
      </c>
      <c r="AE43" s="1439">
        <f t="shared" si="58"/>
        <v>0</v>
      </c>
      <c r="AF43" s="1443">
        <f t="shared" si="59"/>
        <v>1</v>
      </c>
      <c r="AG43" s="1445">
        <f t="shared" si="60"/>
        <v>1</v>
      </c>
      <c r="AN43" s="314"/>
      <c r="AO43" s="314"/>
      <c r="AR43" s="314"/>
      <c r="AS43" s="314"/>
    </row>
    <row r="44" ht="15.75" customHeight="1">
      <c r="B44" s="13">
        <v>43.0</v>
      </c>
      <c r="C44" s="1210">
        <v>2022.0</v>
      </c>
      <c r="D44" s="1172" t="s">
        <v>718</v>
      </c>
      <c r="E44" s="314" t="str">
        <f t="shared" si="1"/>
        <v>-</v>
      </c>
      <c r="F44" s="1168" t="s">
        <v>588</v>
      </c>
      <c r="G44" s="960" t="s">
        <v>670</v>
      </c>
      <c r="H44" s="1149" t="str">
        <f>'League History BACKEND 2022'!G129</f>
        <v>CHAMPS</v>
      </c>
      <c r="I44" s="1454">
        <v>176.39</v>
      </c>
      <c r="J44" s="1455">
        <v>125.08</v>
      </c>
      <c r="K44" s="428" t="str">
        <f>'League History BACKEND 2022'!J129</f>
        <v>DECOUPES</v>
      </c>
      <c r="L44" s="965" t="str">
        <f t="shared" si="2"/>
        <v>CHAMPS</v>
      </c>
      <c r="M44" s="966" t="str">
        <f t="shared" si="3"/>
        <v>DECOUPES</v>
      </c>
      <c r="N44" s="967">
        <f t="array" ref="N44">IFERROR(IF(ABS(I44-J44)=0,Tie,ABS(I44-J44)),"UPCOMING")</f>
        <v>51.31</v>
      </c>
      <c r="O44" s="1156" t="str">
        <f t="shared" si="4"/>
        <v>-</v>
      </c>
      <c r="P44" s="967">
        <f t="shared" si="5"/>
        <v>301.47</v>
      </c>
      <c r="Q44" s="1156" t="str">
        <f t="shared" si="6"/>
        <v>-</v>
      </c>
      <c r="R44" s="96" t="str">
        <f t="shared" si="7"/>
        <v>-</v>
      </c>
      <c r="S44" s="1158" t="str">
        <f t="shared" si="8"/>
        <v>-</v>
      </c>
      <c r="U44" s="988">
        <v>19.0</v>
      </c>
      <c r="V44" s="989">
        <f t="array" ref="V44">LARGE(IF($E:$E="Yes", $N:$N), U21)</f>
        <v>45.26</v>
      </c>
      <c r="W44" s="990">
        <f t="array" ref="W44">INDEX($C:$C, MATCH(V44,$N:$N* ("Yes"=$E:$E),0))</f>
        <v>2023</v>
      </c>
      <c r="X44" s="990" t="str">
        <f t="array" ref="X44">INDEX($D:$D, MATCH(V44,$N:$N* ("Yes"=$E:$E),0))</f>
        <v>FANTASY BOWL</v>
      </c>
      <c r="Y44" s="991" t="str">
        <f t="array" ref="Y44">INDEX($L:$L, MATCH(V44,$N:$N* ("Yes"=$E:$E),0))</f>
        <v>POPEYES</v>
      </c>
      <c r="Z44" s="990" t="str">
        <f t="array" ref="Z44">INDEX($M:$M, MATCH(V44,$N:$N* ("Yes"=$E:$E),0))</f>
        <v>CHAMPS</v>
      </c>
      <c r="AA44" s="992" t="str">
        <f t="array" ref="AA44">"PVE FFL PLAYOFF " &amp; INDEX($B:$B, MATCH(V44,$N:$N* ("Yes"=$E:$E),0))</f>
        <v>PVE FFL PLAYOFF 56</v>
      </c>
      <c r="AC44" s="1437" t="str">
        <f t="shared" si="56"/>
        <v>METAMOOKDAWGS</v>
      </c>
      <c r="AD44" s="1438">
        <f t="shared" si="57"/>
        <v>0</v>
      </c>
      <c r="AE44" s="1439">
        <f t="shared" si="58"/>
        <v>0</v>
      </c>
      <c r="AF44" s="1443">
        <f t="shared" si="59"/>
        <v>0</v>
      </c>
      <c r="AG44" s="1445">
        <f t="shared" si="60"/>
        <v>0</v>
      </c>
      <c r="AN44" s="314"/>
      <c r="AO44" s="314"/>
      <c r="AR44" s="314"/>
      <c r="AS44" s="314"/>
    </row>
    <row r="45" ht="15.75" customHeight="1">
      <c r="B45" s="13">
        <v>44.0</v>
      </c>
      <c r="C45" s="1210">
        <v>2022.0</v>
      </c>
      <c r="D45" s="1167" t="s">
        <v>720</v>
      </c>
      <c r="E45" s="314" t="str">
        <f t="shared" si="1"/>
        <v>-</v>
      </c>
      <c r="F45" s="1168" t="s">
        <v>588</v>
      </c>
      <c r="G45" s="960" t="s">
        <v>671</v>
      </c>
      <c r="H45" s="1149" t="str">
        <f>'League History BACKEND 2022'!G131</f>
        <v>METAMOOKDAWGS</v>
      </c>
      <c r="I45" s="1454">
        <v>153.22</v>
      </c>
      <c r="J45" s="1455">
        <v>154.57</v>
      </c>
      <c r="K45" s="428" t="str">
        <f>'League History BACKEND 2022'!J131</f>
        <v>SAVAGES</v>
      </c>
      <c r="L45" s="965" t="str">
        <f t="shared" si="2"/>
        <v>SAVAGES</v>
      </c>
      <c r="M45" s="966" t="str">
        <f t="shared" si="3"/>
        <v>METAMOOKDAWGS</v>
      </c>
      <c r="N45" s="967">
        <f t="array" ref="N45">IFERROR(IF(ABS(I45-J45)=0,Tie,ABS(I45-J45)),"UPCOMING")</f>
        <v>1.35</v>
      </c>
      <c r="O45" s="1156" t="str">
        <f t="shared" si="4"/>
        <v>-</v>
      </c>
      <c r="P45" s="967">
        <f t="shared" si="5"/>
        <v>307.79</v>
      </c>
      <c r="Q45" s="1156" t="str">
        <f t="shared" si="6"/>
        <v>-</v>
      </c>
      <c r="R45" s="96" t="str">
        <f t="shared" si="7"/>
        <v>-</v>
      </c>
      <c r="S45" s="1158" t="str">
        <f t="shared" si="8"/>
        <v>-</v>
      </c>
      <c r="U45" s="1018">
        <v>20.0</v>
      </c>
      <c r="V45" s="1019">
        <f t="array" ref="V45">LARGE(IF($E:$E="Yes", $N:$N), U22)</f>
        <v>30.02</v>
      </c>
      <c r="W45" s="1020">
        <f t="array" ref="W45">INDEX($C:$C, MATCH(V45,$N:$N* ("Yes"=$E:$E),0))</f>
        <v>2022</v>
      </c>
      <c r="X45" s="1020" t="str">
        <f t="array" ref="X45">INDEX($D:$D, MATCH(V45,$N:$N* ("Yes"=$E:$E),0))</f>
        <v>WILD CARD</v>
      </c>
      <c r="Y45" s="1021" t="str">
        <f t="array" ref="Y45">INDEX($L:$L, MATCH(V45,$N:$N* ("Yes"=$E:$E),0))</f>
        <v>POPEYES</v>
      </c>
      <c r="Z45" s="1020" t="str">
        <f t="array" ref="Z45">INDEX($M:$M, MATCH(V45,$N:$N* ("Yes"=$E:$E),0))</f>
        <v>DECOUPES</v>
      </c>
      <c r="AA45" s="1022" t="str">
        <f t="array" ref="AA45">"PVE FFL PLAYOFF " &amp; INDEX($B:$B, MATCH(V45,$N:$N* ("Yes"=$E:$E),0))</f>
        <v>PVE FFL PLAYOFF 39</v>
      </c>
      <c r="AC45" s="1437" t="str">
        <f t="shared" si="56"/>
        <v>YARDIES</v>
      </c>
      <c r="AD45" s="1438">
        <f t="shared" si="57"/>
        <v>0</v>
      </c>
      <c r="AE45" s="1439">
        <f t="shared" si="58"/>
        <v>0</v>
      </c>
      <c r="AF45" s="1443">
        <f t="shared" si="59"/>
        <v>0</v>
      </c>
      <c r="AG45" s="1445">
        <f t="shared" si="60"/>
        <v>0</v>
      </c>
      <c r="AR45" s="314"/>
      <c r="AS45" s="314"/>
    </row>
    <row r="46" ht="15.75" customHeight="1">
      <c r="B46" s="13">
        <v>45.0</v>
      </c>
      <c r="C46" s="1210">
        <v>2022.0</v>
      </c>
      <c r="D46" s="498" t="s">
        <v>742</v>
      </c>
      <c r="E46" s="314" t="str">
        <f t="shared" si="1"/>
        <v>YES</v>
      </c>
      <c r="F46" s="1190" t="s">
        <v>589</v>
      </c>
      <c r="G46" s="960" t="s">
        <v>663</v>
      </c>
      <c r="H46" s="1149" t="str">
        <f>'League History BACKEND 2022'!G134</f>
        <v>MUTTS</v>
      </c>
      <c r="I46" s="1454">
        <v>135.08</v>
      </c>
      <c r="J46" s="1455">
        <v>190.07</v>
      </c>
      <c r="K46" s="428" t="str">
        <f>'League History BACKEND 2022'!J134</f>
        <v>GREEN</v>
      </c>
      <c r="L46" s="965" t="str">
        <f t="shared" si="2"/>
        <v>GREEN</v>
      </c>
      <c r="M46" s="966" t="str">
        <f t="shared" si="3"/>
        <v>MUTTS</v>
      </c>
      <c r="N46" s="967">
        <f t="array" ref="N46">IFERROR(IF(ABS(I46-J46)=0,Tie,ABS(I46-J46)),"UPCOMING")</f>
        <v>54.99</v>
      </c>
      <c r="O46" s="1156">
        <f t="shared" si="4"/>
        <v>60</v>
      </c>
      <c r="P46" s="967">
        <f t="shared" si="5"/>
        <v>325.15</v>
      </c>
      <c r="Q46" s="1156">
        <f t="shared" si="6"/>
        <v>43</v>
      </c>
      <c r="R46" s="96">
        <f t="shared" si="7"/>
        <v>51.5</v>
      </c>
      <c r="S46" s="1158">
        <f t="shared" si="8"/>
        <v>30</v>
      </c>
      <c r="AC46" s="1437" t="str">
        <f t="shared" si="56"/>
        <v>MUTTS</v>
      </c>
      <c r="AD46" s="1438">
        <f t="shared" si="57"/>
        <v>1</v>
      </c>
      <c r="AE46" s="1439">
        <f t="shared" si="58"/>
        <v>0</v>
      </c>
      <c r="AF46" s="1443">
        <f t="shared" si="59"/>
        <v>1</v>
      </c>
      <c r="AG46" s="1445">
        <f t="shared" si="60"/>
        <v>1</v>
      </c>
      <c r="AR46" s="314"/>
      <c r="AS46" s="314"/>
    </row>
    <row r="47" ht="15.75" customHeight="1">
      <c r="B47" s="13">
        <v>46.0</v>
      </c>
      <c r="C47" s="1210">
        <v>2022.0</v>
      </c>
      <c r="D47" s="1191" t="s">
        <v>765</v>
      </c>
      <c r="E47" s="314" t="str">
        <f t="shared" si="1"/>
        <v>-</v>
      </c>
      <c r="F47" s="1190" t="s">
        <v>589</v>
      </c>
      <c r="G47" s="960" t="s">
        <v>665</v>
      </c>
      <c r="H47" s="1149" t="str">
        <f>'League History BACKEND 2022'!G135</f>
        <v>POPEYES</v>
      </c>
      <c r="I47" s="1454">
        <v>129.85</v>
      </c>
      <c r="J47" s="1455">
        <v>158.52</v>
      </c>
      <c r="K47" s="428" t="str">
        <f>'League History BACKEND 2022'!J135</f>
        <v>YARDIES</v>
      </c>
      <c r="L47" s="965" t="str">
        <f t="shared" si="2"/>
        <v>YARDIES</v>
      </c>
      <c r="M47" s="966" t="str">
        <f t="shared" si="3"/>
        <v>POPEYES</v>
      </c>
      <c r="N47" s="967">
        <f t="array" ref="N47">IFERROR(IF(ABS(I47-J47)=0,Tie,ABS(I47-J47)),"UPCOMING")</f>
        <v>28.67</v>
      </c>
      <c r="O47" s="1156" t="str">
        <f t="shared" si="4"/>
        <v>-</v>
      </c>
      <c r="P47" s="967">
        <f t="shared" si="5"/>
        <v>288.37</v>
      </c>
      <c r="Q47" s="1156" t="str">
        <f t="shared" si="6"/>
        <v>-</v>
      </c>
      <c r="R47" s="96" t="str">
        <f t="shared" si="7"/>
        <v>-</v>
      </c>
      <c r="S47" s="1158" t="str">
        <f t="shared" si="8"/>
        <v>-</v>
      </c>
      <c r="U47" s="971" t="s">
        <v>1157</v>
      </c>
      <c r="V47" s="23"/>
      <c r="W47" s="23"/>
      <c r="X47" s="23"/>
      <c r="Y47" s="23"/>
      <c r="Z47" s="23"/>
      <c r="AA47" s="29"/>
      <c r="AC47" s="1437" t="str">
        <f t="shared" si="56"/>
        <v>EAGLES</v>
      </c>
      <c r="AD47" s="1438">
        <f t="shared" si="57"/>
        <v>0</v>
      </c>
      <c r="AE47" s="1439">
        <f t="shared" si="58"/>
        <v>0</v>
      </c>
      <c r="AF47" s="1443">
        <f t="shared" si="59"/>
        <v>0</v>
      </c>
      <c r="AG47" s="1445">
        <f t="shared" si="60"/>
        <v>0</v>
      </c>
      <c r="AR47" s="314"/>
      <c r="AS47" s="314"/>
    </row>
    <row r="48" ht="15.75" customHeight="1">
      <c r="B48" s="13">
        <v>47.0</v>
      </c>
      <c r="C48" s="1210">
        <v>2022.0</v>
      </c>
      <c r="D48" s="1172" t="s">
        <v>793</v>
      </c>
      <c r="E48" s="314" t="str">
        <f t="shared" si="1"/>
        <v>-</v>
      </c>
      <c r="F48" s="1190" t="s">
        <v>589</v>
      </c>
      <c r="G48" s="960" t="s">
        <v>670</v>
      </c>
      <c r="H48" s="1149" t="str">
        <f>'League History BACKEND 2022'!G136</f>
        <v>CHAMPS</v>
      </c>
      <c r="I48" s="1454">
        <v>153.82</v>
      </c>
      <c r="J48" s="1455">
        <v>142.58</v>
      </c>
      <c r="K48" s="428" t="str">
        <f>'League History BACKEND 2022'!J136</f>
        <v>DECOUPES</v>
      </c>
      <c r="L48" s="965" t="str">
        <f t="shared" si="2"/>
        <v>CHAMPS</v>
      </c>
      <c r="M48" s="966" t="str">
        <f t="shared" si="3"/>
        <v>DECOUPES</v>
      </c>
      <c r="N48" s="967">
        <f t="array" ref="N48">IFERROR(IF(ABS(I48-J48)=0,Tie,ABS(I48-J48)),"UPCOMING")</f>
        <v>11.24</v>
      </c>
      <c r="O48" s="1156" t="str">
        <f t="shared" si="4"/>
        <v>-</v>
      </c>
      <c r="P48" s="967">
        <f t="shared" si="5"/>
        <v>296.4</v>
      </c>
      <c r="Q48" s="1156" t="str">
        <f t="shared" si="6"/>
        <v>-</v>
      </c>
      <c r="R48" s="96" t="str">
        <f t="shared" si="7"/>
        <v>-</v>
      </c>
      <c r="S48" s="1158" t="str">
        <f t="shared" si="8"/>
        <v>-</v>
      </c>
      <c r="U48" s="1084" t="s">
        <v>148</v>
      </c>
      <c r="V48" s="1085" t="s">
        <v>467</v>
      </c>
      <c r="W48" s="1085" t="s">
        <v>153</v>
      </c>
      <c r="X48" s="1085" t="s">
        <v>30</v>
      </c>
      <c r="Y48" s="1085" t="s">
        <v>155</v>
      </c>
      <c r="Z48" s="1085" t="s">
        <v>156</v>
      </c>
      <c r="AA48" s="1086" t="s">
        <v>157</v>
      </c>
      <c r="AC48" s="1437" t="str">
        <f t="shared" si="56"/>
        <v>DEEZ NUTS</v>
      </c>
      <c r="AD48" s="1438">
        <f t="shared" si="57"/>
        <v>0</v>
      </c>
      <c r="AE48" s="1439">
        <f t="shared" si="58"/>
        <v>0</v>
      </c>
      <c r="AF48" s="1443">
        <f t="shared" si="59"/>
        <v>0</v>
      </c>
      <c r="AG48" s="1445">
        <f t="shared" si="60"/>
        <v>0</v>
      </c>
      <c r="AR48" s="314"/>
      <c r="AS48" s="314"/>
    </row>
    <row r="49" ht="15.75" customHeight="1">
      <c r="B49" s="13">
        <v>48.0</v>
      </c>
      <c r="C49" s="1459">
        <v>2022.0</v>
      </c>
      <c r="D49" s="1193" t="s">
        <v>817</v>
      </c>
      <c r="E49" s="1194" t="str">
        <f t="shared" si="1"/>
        <v>-</v>
      </c>
      <c r="F49" s="1195" t="s">
        <v>589</v>
      </c>
      <c r="G49" s="1196" t="s">
        <v>671</v>
      </c>
      <c r="H49" s="1197" t="str">
        <f>'League History BACKEND 2022'!G138</f>
        <v>METAMOOKDAWGS</v>
      </c>
      <c r="I49" s="1461">
        <v>171.88</v>
      </c>
      <c r="J49" s="1462">
        <v>220.56</v>
      </c>
      <c r="K49" s="1200" t="str">
        <f>'League History BACKEND 2022'!J138</f>
        <v>SAVAGES</v>
      </c>
      <c r="L49" s="1201" t="str">
        <f t="shared" si="2"/>
        <v>SAVAGES</v>
      </c>
      <c r="M49" s="1202" t="str">
        <f t="shared" si="3"/>
        <v>METAMOOKDAWGS</v>
      </c>
      <c r="N49" s="1203">
        <f t="array" ref="N49">IFERROR(IF(ABS(I49-J49)=0,Tie,ABS(I49-J49)),"UPCOMING")</f>
        <v>48.68</v>
      </c>
      <c r="O49" s="1204" t="str">
        <f t="shared" si="4"/>
        <v>-</v>
      </c>
      <c r="P49" s="1203">
        <f t="shared" si="5"/>
        <v>392.44</v>
      </c>
      <c r="Q49" s="1204" t="str">
        <f t="shared" si="6"/>
        <v>-</v>
      </c>
      <c r="R49" s="1205" t="str">
        <f t="shared" si="7"/>
        <v>-</v>
      </c>
      <c r="S49" s="1206" t="str">
        <f t="shared" si="8"/>
        <v>-</v>
      </c>
      <c r="U49" s="988">
        <v>1.0</v>
      </c>
      <c r="V49" s="989">
        <f t="array" ref="V49">LARGE(IF($E:$E="Yes", $P:$P), U49)</f>
        <v>501.47</v>
      </c>
      <c r="W49" s="990">
        <f t="array" ref="W49">INDEX($C:$C, MATCH(V49,$P:$P* ("Yes"=$E:$E),0))</f>
        <v>2020</v>
      </c>
      <c r="X49" s="990" t="str">
        <f t="array" ref="X49">INDEX($D:$D, MATCH(V49,$P:$P* ("Yes"=$E:$E),0))</f>
        <v>WILD CARD</v>
      </c>
      <c r="Y49" s="1088" t="str">
        <f t="array" ref="Y49">INDEX($L:$L, MATCH(V49,$P:$P* ("Yes"=$E:$E),0))</f>
        <v>SAVAGES</v>
      </c>
      <c r="Z49" s="990" t="str">
        <f t="array" ref="Z49">INDEX($M:$M, MATCH(V49,$P:$P* ("Yes"=$E:$E),0))</f>
        <v>DECOUPES</v>
      </c>
      <c r="AA49" s="992" t="str">
        <f t="array" ref="AA49">"PVE FFL GAME " &amp; INDEX($B:$B, MATCH(V49,$P:$P* ("Yes"=$E:$E),0))</f>
        <v>PVE FFL GAME 12</v>
      </c>
      <c r="AC49" s="1437" t="str">
        <f t="shared" si="56"/>
        <v>GIRLS</v>
      </c>
      <c r="AD49" s="1438">
        <f t="shared" si="57"/>
        <v>0</v>
      </c>
      <c r="AE49" s="1439">
        <f t="shared" si="58"/>
        <v>0</v>
      </c>
      <c r="AF49" s="1443">
        <f t="shared" si="59"/>
        <v>0</v>
      </c>
      <c r="AG49" s="1445">
        <f t="shared" si="60"/>
        <v>0</v>
      </c>
      <c r="AR49" s="314"/>
      <c r="AS49" s="314"/>
    </row>
    <row r="50" ht="15.75" customHeight="1">
      <c r="B50" s="13">
        <v>49.0</v>
      </c>
      <c r="C50" s="1116">
        <v>2023.0</v>
      </c>
      <c r="D50" s="645" t="s">
        <v>709</v>
      </c>
      <c r="E50" s="1119" t="str">
        <f t="shared" si="1"/>
        <v>YES</v>
      </c>
      <c r="F50" s="1120" t="s">
        <v>1052</v>
      </c>
      <c r="G50" s="1122" t="s">
        <v>663</v>
      </c>
      <c r="H50" s="1123" t="str">
        <f>'League History BACKEND 2023'!$G$180</f>
        <v>POPEYES</v>
      </c>
      <c r="I50" s="1465">
        <v>265.78</v>
      </c>
      <c r="J50" s="1465">
        <v>204.64</v>
      </c>
      <c r="K50" s="1129" t="str">
        <f>'League History BACKEND 2023'!$J$180</f>
        <v>GREEN</v>
      </c>
      <c r="L50" s="1132" t="str">
        <f t="shared" si="2"/>
        <v>POPEYES</v>
      </c>
      <c r="M50" s="1135" t="str">
        <f t="shared" si="3"/>
        <v>GREEN</v>
      </c>
      <c r="N50" s="1138">
        <f t="array" ref="N50">IFERROR(IF(ABS(I50-J50)=0,Tie,ABS(I50-J50)),"UPCOMING")</f>
        <v>61.14</v>
      </c>
      <c r="O50" s="1139">
        <f t="shared" si="4"/>
        <v>63</v>
      </c>
      <c r="P50" s="1138">
        <f t="shared" si="5"/>
        <v>470.42</v>
      </c>
      <c r="Q50" s="1139">
        <f t="shared" si="6"/>
        <v>2</v>
      </c>
      <c r="R50" s="1140">
        <f t="shared" si="7"/>
        <v>32.5</v>
      </c>
      <c r="S50" s="1141">
        <f t="shared" si="8"/>
        <v>14</v>
      </c>
      <c r="U50" s="988">
        <v>2.0</v>
      </c>
      <c r="V50" s="989">
        <f t="array" ref="V50">LARGE(IF($E:$E="Yes", $P:$P), U50)</f>
        <v>470.42</v>
      </c>
      <c r="W50" s="990">
        <f t="array" ref="W50">INDEX($C:$C, MATCH(V50,$P:$P* ("Yes"=$E:$E),0))</f>
        <v>2023</v>
      </c>
      <c r="X50" s="990" t="str">
        <f t="array" ref="X50">INDEX($D:$D, MATCH(V50,$P:$P* ("Yes"=$E:$E),0))</f>
        <v>WILD CARD</v>
      </c>
      <c r="Y50" s="1088" t="str">
        <f t="array" ref="Y50">INDEX($L:$L, MATCH(V50,$P:$P* ("Yes"=$E:$E),0))</f>
        <v>POPEYES</v>
      </c>
      <c r="Z50" s="990" t="str">
        <f t="array" ref="Z50">INDEX($M:$M, MATCH(V50,$P:$P* ("Yes"=$E:$E),0))</f>
        <v>GREEN</v>
      </c>
      <c r="AA50" s="992" t="str">
        <f t="array" ref="AA50">"PVE FFL GAME " &amp; INDEX($B:$B, MATCH(V50,$P:$P* ("Yes"=$E:$E),0))</f>
        <v>PVE FFL GAME 49</v>
      </c>
      <c r="AR50" s="314"/>
      <c r="AS50" s="314"/>
    </row>
    <row r="51" ht="15.75" customHeight="1">
      <c r="B51" s="13">
        <v>50.0</v>
      </c>
      <c r="C51" s="1147">
        <v>2023.0</v>
      </c>
      <c r="D51" s="471" t="s">
        <v>709</v>
      </c>
      <c r="E51" s="314" t="str">
        <f t="shared" si="1"/>
        <v>YES</v>
      </c>
      <c r="F51" s="1148" t="s">
        <v>1052</v>
      </c>
      <c r="G51" s="960" t="s">
        <v>665</v>
      </c>
      <c r="H51" s="1149" t="str">
        <f>'League History BACKEND 2023'!$G$183</f>
        <v>CHAMPS</v>
      </c>
      <c r="I51" s="1186">
        <v>191.16</v>
      </c>
      <c r="J51" s="1186">
        <v>185.45</v>
      </c>
      <c r="K51" s="428" t="str">
        <f>'League History BACKEND 2023'!$J$183</f>
        <v>MUTTS</v>
      </c>
      <c r="L51" s="965" t="str">
        <f t="shared" si="2"/>
        <v>CHAMPS</v>
      </c>
      <c r="M51" s="966" t="str">
        <f t="shared" si="3"/>
        <v>MUTTS</v>
      </c>
      <c r="N51" s="967">
        <f t="array" ref="N51">IFERROR(IF(ABS(I51-J51)=0,Tie,ABS(I51-J51)),"UPCOMING")</f>
        <v>5.71</v>
      </c>
      <c r="O51" s="1156">
        <f t="shared" si="4"/>
        <v>10</v>
      </c>
      <c r="P51" s="967">
        <f t="shared" si="5"/>
        <v>376.61</v>
      </c>
      <c r="Q51" s="1156">
        <f t="shared" si="6"/>
        <v>23</v>
      </c>
      <c r="R51" s="96">
        <f t="shared" si="7"/>
        <v>16.5</v>
      </c>
      <c r="S51" s="1158">
        <f t="shared" si="8"/>
        <v>4</v>
      </c>
      <c r="U51" s="988">
        <v>3.0</v>
      </c>
      <c r="V51" s="989">
        <f t="array" ref="V51">LARGE(IF($E:$E="Yes", $P:$P), U51)</f>
        <v>446.77</v>
      </c>
      <c r="W51" s="990">
        <f t="array" ref="W51">INDEX($C:$C, MATCH(V51,$P:$P* ("Yes"=$E:$E),0))</f>
        <v>2023</v>
      </c>
      <c r="X51" s="990" t="str">
        <f t="array" ref="X51">INDEX($D:$D, MATCH(V51,$P:$P* ("Yes"=$E:$E),0))</f>
        <v>DIV CHAMP</v>
      </c>
      <c r="Y51" s="1088" t="str">
        <f t="array" ref="Y51">INDEX($L:$L, MATCH(V51,$P:$P* ("Yes"=$E:$E),0))</f>
        <v>POPEYES</v>
      </c>
      <c r="Z51" s="990" t="str">
        <f t="array" ref="Z51">INDEX($M:$M, MATCH(V51,$P:$P* ("Yes"=$E:$E),0))</f>
        <v>DECOUPES</v>
      </c>
      <c r="AA51" s="992" t="str">
        <f t="array" ref="AA51">"PVE FFL GAME " &amp; INDEX($B:$B, MATCH(V51,$P:$P* ("Yes"=$E:$E),0))</f>
        <v>PVE FFL GAME 53</v>
      </c>
      <c r="AR51" s="314"/>
      <c r="AS51" s="314"/>
    </row>
    <row r="52" ht="15.75" customHeight="1">
      <c r="B52" s="13">
        <v>51.0</v>
      </c>
      <c r="C52" s="1147">
        <v>2023.0</v>
      </c>
      <c r="D52" s="1167" t="s">
        <v>715</v>
      </c>
      <c r="E52" s="314" t="str">
        <f t="shared" si="1"/>
        <v>-</v>
      </c>
      <c r="F52" s="1148" t="s">
        <v>1052</v>
      </c>
      <c r="G52" s="960" t="s">
        <v>670</v>
      </c>
      <c r="H52" s="1149" t="str">
        <f>'League History BACKEND 2023'!$G$186</f>
        <v>SAVAGES</v>
      </c>
      <c r="I52" s="1186">
        <v>100.26</v>
      </c>
      <c r="J52" s="1186">
        <v>173.52</v>
      </c>
      <c r="K52" s="428" t="str">
        <f>'League History BACKEND 2023'!$J$186</f>
        <v>METAMOOKDAWGS</v>
      </c>
      <c r="L52" s="965" t="str">
        <f t="shared" si="2"/>
        <v>METAMOOKDAWGS</v>
      </c>
      <c r="M52" s="966" t="str">
        <f t="shared" si="3"/>
        <v>SAVAGES</v>
      </c>
      <c r="N52" s="967">
        <f t="array" ref="N52">IFERROR(IF(ABS(I52-J52)=0,Tie,ABS(I52-J52)),"UPCOMING")</f>
        <v>73.26</v>
      </c>
      <c r="O52" s="1156" t="str">
        <f t="shared" si="4"/>
        <v>-</v>
      </c>
      <c r="P52" s="967">
        <f t="shared" si="5"/>
        <v>273.78</v>
      </c>
      <c r="Q52" s="1156" t="str">
        <f t="shared" si="6"/>
        <v>-</v>
      </c>
      <c r="R52" s="96" t="str">
        <f t="shared" si="7"/>
        <v>-</v>
      </c>
      <c r="S52" s="1158" t="str">
        <f t="shared" si="8"/>
        <v>-</v>
      </c>
      <c r="U52" s="988">
        <v>4.0</v>
      </c>
      <c r="V52" s="989">
        <f t="array" ref="V52">LARGE(IF($E:$E="Yes", $P:$P), U52)</f>
        <v>437.12</v>
      </c>
      <c r="W52" s="990">
        <f t="array" ref="W52">INDEX($C:$C, MATCH(V52,$P:$P* ("Yes"=$E:$E),0))</f>
        <v>2020</v>
      </c>
      <c r="X52" s="990" t="str">
        <f t="array" ref="X52">INDEX($D:$D, MATCH(V52,$P:$P* ("Yes"=$E:$E),0))</f>
        <v>DIV CHAMP</v>
      </c>
      <c r="Y52" s="1088" t="str">
        <f t="array" ref="Y52">INDEX($L:$L, MATCH(V52,$P:$P* ("Yes"=$E:$E),0))</f>
        <v>METAMOOKDAWGS</v>
      </c>
      <c r="Z52" s="990" t="str">
        <f t="array" ref="Z52">INDEX($M:$M, MATCH(V52,$P:$P* ("Yes"=$E:$E),0))</f>
        <v>MUTTS</v>
      </c>
      <c r="AA52" s="992" t="str">
        <f t="array" ref="AA52">"PVE FFL GAME " &amp; INDEX($B:$B, MATCH(V52,$P:$P* ("Yes"=$E:$E),0))</f>
        <v>PVE FFL GAME 16</v>
      </c>
      <c r="AR52" s="314"/>
      <c r="AS52" s="314"/>
    </row>
    <row r="53" ht="15.75" customHeight="1">
      <c r="B53" s="13">
        <v>52.0</v>
      </c>
      <c r="C53" s="1147">
        <v>2023.0</v>
      </c>
      <c r="D53" s="731" t="s">
        <v>716</v>
      </c>
      <c r="E53" s="314" t="str">
        <f t="shared" si="1"/>
        <v>YES</v>
      </c>
      <c r="F53" s="1168" t="s">
        <v>588</v>
      </c>
      <c r="G53" s="960" t="s">
        <v>663</v>
      </c>
      <c r="H53" s="1149" t="str">
        <f>'League History BACKEND 2023'!$G$193</f>
        <v>CHAMPS</v>
      </c>
      <c r="I53" s="1186">
        <v>133.66</v>
      </c>
      <c r="J53" s="1186">
        <v>126.11</v>
      </c>
      <c r="K53" s="428" t="str">
        <f>'League History BACKEND 2023'!$J$193</f>
        <v>YARDIES</v>
      </c>
      <c r="L53" s="965" t="str">
        <f t="shared" si="2"/>
        <v>CHAMPS</v>
      </c>
      <c r="M53" s="966" t="str">
        <f t="shared" si="3"/>
        <v>YARDIES</v>
      </c>
      <c r="N53" s="967">
        <f t="array" ref="N53">IFERROR(IF(ABS(I53-J53)=0,Tie,ABS(I53-J53)),"UPCOMING")</f>
        <v>7.55</v>
      </c>
      <c r="O53" s="1156">
        <f t="shared" si="4"/>
        <v>15</v>
      </c>
      <c r="P53" s="967">
        <f t="shared" si="5"/>
        <v>259.77</v>
      </c>
      <c r="Q53" s="1156">
        <f t="shared" si="6"/>
        <v>73</v>
      </c>
      <c r="R53" s="96">
        <f t="shared" si="7"/>
        <v>44</v>
      </c>
      <c r="S53" s="1158">
        <f t="shared" si="8"/>
        <v>19</v>
      </c>
      <c r="U53" s="988">
        <v>5.0</v>
      </c>
      <c r="V53" s="989">
        <f t="array" ref="V53">LARGE(IF($E:$E="Yes", $P:$P), U53)</f>
        <v>428.04</v>
      </c>
      <c r="W53" s="990">
        <f t="array" ref="W53">INDEX($C:$C, MATCH(V53,$P:$P* ("Yes"=$E:$E),0))</f>
        <v>2020</v>
      </c>
      <c r="X53" s="990" t="str">
        <f t="array" ref="X53">INDEX($D:$D, MATCH(V53,$P:$P* ("Yes"=$E:$E),0))</f>
        <v>DIV CHAMP</v>
      </c>
      <c r="Y53" s="1088" t="str">
        <f t="array" ref="Y53">INDEX($L:$L, MATCH(V53,$P:$P* ("Yes"=$E:$E),0))</f>
        <v>POPEYES</v>
      </c>
      <c r="Z53" s="990" t="str">
        <f t="array" ref="Z53">INDEX($M:$M, MATCH(V53,$P:$P* ("Yes"=$E:$E),0))</f>
        <v>SAVAGES</v>
      </c>
      <c r="AA53" s="992" t="str">
        <f t="array" ref="AA53">"PVE FFL GAME " &amp; INDEX($B:$B, MATCH(V53,$P:$P* ("Yes"=$E:$E),0))</f>
        <v>PVE FFL GAME 15</v>
      </c>
      <c r="AR53" s="314"/>
      <c r="AS53" s="314"/>
    </row>
    <row r="54" ht="15.75" customHeight="1">
      <c r="B54" s="13">
        <v>53.0</v>
      </c>
      <c r="C54" s="1147">
        <v>2023.0</v>
      </c>
      <c r="D54" s="731" t="s">
        <v>716</v>
      </c>
      <c r="E54" s="314" t="str">
        <f t="shared" si="1"/>
        <v>YES</v>
      </c>
      <c r="F54" s="1168" t="s">
        <v>588</v>
      </c>
      <c r="G54" s="960" t="s">
        <v>665</v>
      </c>
      <c r="H54" s="1149" t="str">
        <f>'League History BACKEND 2023'!$G$195</f>
        <v>POPEYES</v>
      </c>
      <c r="I54" s="1186">
        <v>228.72</v>
      </c>
      <c r="J54" s="1186">
        <v>218.05</v>
      </c>
      <c r="K54" s="428" t="str">
        <f>'League History BACKEND 2023'!$J$195</f>
        <v>DECOUPES</v>
      </c>
      <c r="L54" s="965" t="str">
        <f t="shared" si="2"/>
        <v>POPEYES</v>
      </c>
      <c r="M54" s="966" t="str">
        <f t="shared" si="3"/>
        <v>DECOUPES</v>
      </c>
      <c r="N54" s="967">
        <f t="array" ref="N54">IFERROR(IF(ABS(I54-J54)=0,Tie,ABS(I54-J54)),"UPCOMING")</f>
        <v>10.67</v>
      </c>
      <c r="O54" s="1156">
        <f t="shared" si="4"/>
        <v>20</v>
      </c>
      <c r="P54" s="967">
        <f t="shared" si="5"/>
        <v>446.77</v>
      </c>
      <c r="Q54" s="1156">
        <f t="shared" si="6"/>
        <v>3</v>
      </c>
      <c r="R54" s="96">
        <f t="shared" si="7"/>
        <v>11.5</v>
      </c>
      <c r="S54" s="1158">
        <f t="shared" si="8"/>
        <v>3</v>
      </c>
      <c r="U54" s="988">
        <v>6.0</v>
      </c>
      <c r="V54" s="989">
        <f t="array" ref="V54">LARGE(IF($E:$E="Yes", $P:$P), U54)</f>
        <v>417.05</v>
      </c>
      <c r="W54" s="990">
        <f t="array" ref="W54">INDEX($C:$C, MATCH(V54,$P:$P* ("Yes"=$E:$E),0))</f>
        <v>2024</v>
      </c>
      <c r="X54" s="990" t="str">
        <f t="array" ref="X54">INDEX($D:$D, MATCH(V54,$P:$P* ("Yes"=$E:$E),0))</f>
        <v>WILD CARD</v>
      </c>
      <c r="Y54" s="1088" t="str">
        <f t="array" ref="Y54">INDEX($L:$L, MATCH(V54,$P:$P* ("Yes"=$E:$E),0))</f>
        <v>KINGS</v>
      </c>
      <c r="Z54" s="990" t="str">
        <f t="array" ref="Z54">INDEX($M:$M, MATCH(V54,$P:$P* ("Yes"=$E:$E),0))</f>
        <v>DECOUPES</v>
      </c>
      <c r="AA54" s="992" t="str">
        <f t="array" ref="AA54">"PVE FFL GAME " &amp; INDEX($B:$B, MATCH(V54,$P:$P* ("Yes"=$E:$E),0))</f>
        <v>PVE FFL GAME 60</v>
      </c>
      <c r="AR54" s="314"/>
      <c r="AS54" s="314"/>
    </row>
    <row r="55" ht="15.75" customHeight="1">
      <c r="B55" s="13">
        <v>54.0</v>
      </c>
      <c r="C55" s="1147">
        <v>2023.0</v>
      </c>
      <c r="D55" s="1172" t="s">
        <v>718</v>
      </c>
      <c r="E55" s="314" t="str">
        <f t="shared" si="1"/>
        <v>-</v>
      </c>
      <c r="F55" s="1168" t="s">
        <v>588</v>
      </c>
      <c r="G55" s="960" t="s">
        <v>670</v>
      </c>
      <c r="H55" s="1149" t="str">
        <f>'League History BACKEND 2023'!$G$197</f>
        <v>GREEN</v>
      </c>
      <c r="I55" s="1186">
        <v>211.41</v>
      </c>
      <c r="J55" s="1186">
        <v>211.46</v>
      </c>
      <c r="K55" s="428" t="str">
        <f>'League History BACKEND 2023'!$J$197</f>
        <v>MUTTS</v>
      </c>
      <c r="L55" s="965" t="str">
        <f t="shared" si="2"/>
        <v>MUTTS</v>
      </c>
      <c r="M55" s="966" t="str">
        <f t="shared" si="3"/>
        <v>GREEN</v>
      </c>
      <c r="N55" s="967">
        <f t="array" ref="N55">IFERROR(IF(ABS(I55-J55)=0,Tie,ABS(I55-J55)),"UPCOMING")</f>
        <v>0.05</v>
      </c>
      <c r="O55" s="1156" t="str">
        <f t="shared" si="4"/>
        <v>-</v>
      </c>
      <c r="P55" s="967">
        <f t="shared" si="5"/>
        <v>422.87</v>
      </c>
      <c r="Q55" s="1156" t="str">
        <f t="shared" si="6"/>
        <v>-</v>
      </c>
      <c r="R55" s="96" t="str">
        <f t="shared" si="7"/>
        <v>-</v>
      </c>
      <c r="S55" s="1158" t="str">
        <f t="shared" si="8"/>
        <v>-</v>
      </c>
      <c r="U55" s="988">
        <v>7.0</v>
      </c>
      <c r="V55" s="989">
        <f t="array" ref="V55">LARGE(IF($E:$E="Yes", $P:$P), U55)</f>
        <v>414.57</v>
      </c>
      <c r="W55" s="990">
        <f t="array" ref="W55">INDEX($C:$C, MATCH(V55,$P:$P* ("Yes"=$E:$E),0))</f>
        <v>2024</v>
      </c>
      <c r="X55" s="990" t="str">
        <f t="array" ref="X55">INDEX($D:$D, MATCH(V55,$P:$P* ("Yes"=$E:$E),0))</f>
        <v>DIV CHAMP</v>
      </c>
      <c r="Y55" s="1088" t="str">
        <f t="array" ref="Y55">INDEX($L:$L, MATCH(V55,$P:$P* ("Yes"=$E:$E),0))</f>
        <v>KINGS</v>
      </c>
      <c r="Z55" s="990" t="str">
        <f t="array" ref="Z55">INDEX($M:$M, MATCH(V55,$P:$P* ("Yes"=$E:$E),0))</f>
        <v>POPEYES</v>
      </c>
      <c r="AA55" s="992" t="str">
        <f t="array" ref="AA55">"PVE FFL GAME " &amp; INDEX($B:$B, MATCH(V55,$P:$P* ("Yes"=$E:$E),0))</f>
        <v>PVE FFL GAME 64</v>
      </c>
      <c r="AR55" s="314"/>
      <c r="AS55" s="314"/>
    </row>
    <row r="56" ht="15.75" customHeight="1">
      <c r="B56" s="13">
        <v>55.0</v>
      </c>
      <c r="C56" s="1147">
        <v>2023.0</v>
      </c>
      <c r="D56" s="1167" t="s">
        <v>720</v>
      </c>
      <c r="E56" s="314" t="str">
        <f t="shared" si="1"/>
        <v>-</v>
      </c>
      <c r="F56" s="1168" t="s">
        <v>588</v>
      </c>
      <c r="G56" s="960" t="s">
        <v>671</v>
      </c>
      <c r="H56" s="1149" t="str">
        <f>'League History BACKEND 2023'!$G$200</f>
        <v>SAVAGES</v>
      </c>
      <c r="I56" s="1186">
        <v>151.3</v>
      </c>
      <c r="J56" s="1186">
        <v>161.78</v>
      </c>
      <c r="K56" s="428" t="str">
        <f>'League History BACKEND 2023'!$J$200</f>
        <v>METAMOOKDAWGS</v>
      </c>
      <c r="L56" s="965" t="str">
        <f t="shared" si="2"/>
        <v>METAMOOKDAWGS</v>
      </c>
      <c r="M56" s="966" t="str">
        <f t="shared" si="3"/>
        <v>SAVAGES</v>
      </c>
      <c r="N56" s="967">
        <f t="array" ref="N56">IFERROR(IF(ABS(I56-J56)=0,Tie,ABS(I56-J56)),"UPCOMING")</f>
        <v>10.48</v>
      </c>
      <c r="O56" s="1156" t="str">
        <f t="shared" si="4"/>
        <v>-</v>
      </c>
      <c r="P56" s="967">
        <f t="shared" si="5"/>
        <v>313.08</v>
      </c>
      <c r="Q56" s="1156" t="str">
        <f t="shared" si="6"/>
        <v>-</v>
      </c>
      <c r="R56" s="96" t="str">
        <f t="shared" si="7"/>
        <v>-</v>
      </c>
      <c r="S56" s="1158" t="str">
        <f t="shared" si="8"/>
        <v>-</v>
      </c>
      <c r="U56" s="988">
        <v>8.0</v>
      </c>
      <c r="V56" s="989">
        <f t="array" ref="V56">LARGE(IF($E:$E="Yes", $P:$P), U56)</f>
        <v>409.4</v>
      </c>
      <c r="W56" s="990">
        <f t="array" ref="W56">INDEX($C:$C, MATCH(V56,$P:$P* ("Yes"=$E:$E),0))</f>
        <v>2022</v>
      </c>
      <c r="X56" s="990" t="str">
        <f t="array" ref="X56">INDEX($D:$D, MATCH(V56,$P:$P* ("Yes"=$E:$E),0))</f>
        <v>DIV CHAMP</v>
      </c>
      <c r="Y56" s="1088" t="str">
        <f t="array" ref="Y56">INDEX($L:$L, MATCH(V56,$P:$P* ("Yes"=$E:$E),0))</f>
        <v>GREEN</v>
      </c>
      <c r="Z56" s="990" t="str">
        <f t="array" ref="Z56">INDEX($M:$M, MATCH(V56,$P:$P* ("Yes"=$E:$E),0))</f>
        <v>POPEYES</v>
      </c>
      <c r="AA56" s="992" t="str">
        <f t="array" ref="AA56">"PVE FFL GAME " &amp; INDEX($B:$B, MATCH(V56,$P:$P* ("Yes"=$E:$E),0))</f>
        <v>PVE FFL GAME 42</v>
      </c>
      <c r="AR56" s="314"/>
      <c r="AS56" s="314"/>
    </row>
    <row r="57" ht="15.75" customHeight="1">
      <c r="B57" s="13">
        <v>56.0</v>
      </c>
      <c r="C57" s="1147">
        <v>2023.0</v>
      </c>
      <c r="D57" s="498" t="s">
        <v>742</v>
      </c>
      <c r="E57" s="314" t="str">
        <f t="shared" si="1"/>
        <v>YES</v>
      </c>
      <c r="F57" s="1190" t="s">
        <v>589</v>
      </c>
      <c r="G57" s="960" t="s">
        <v>663</v>
      </c>
      <c r="H57" s="1149" t="str">
        <f>'League History BACKEND 2023'!$G$204</f>
        <v>CHAMPS</v>
      </c>
      <c r="I57" s="1186">
        <v>154.08</v>
      </c>
      <c r="J57" s="1186">
        <v>199.34</v>
      </c>
      <c r="K57" s="428" t="str">
        <f>'League History BACKEND 2023'!$J$204</f>
        <v>POPEYES</v>
      </c>
      <c r="L57" s="965" t="str">
        <f t="shared" si="2"/>
        <v>POPEYES</v>
      </c>
      <c r="M57" s="966" t="str">
        <f t="shared" si="3"/>
        <v>CHAMPS</v>
      </c>
      <c r="N57" s="967">
        <f t="array" ref="N57">IFERROR(IF(ABS(I57-J57)=0,Tie,ABS(I57-J57)),"UPCOMING")</f>
        <v>45.26</v>
      </c>
      <c r="O57" s="1156">
        <f t="shared" si="4"/>
        <v>49</v>
      </c>
      <c r="P57" s="967">
        <f t="shared" si="5"/>
        <v>353.42</v>
      </c>
      <c r="Q57" s="1156">
        <f t="shared" si="6"/>
        <v>32</v>
      </c>
      <c r="R57" s="96">
        <f t="shared" si="7"/>
        <v>40.5</v>
      </c>
      <c r="S57" s="1158">
        <f t="shared" si="8"/>
        <v>18</v>
      </c>
      <c r="U57" s="988">
        <v>9.0</v>
      </c>
      <c r="V57" s="989">
        <f t="array" ref="V57">LARGE(IF($E:$E="Yes", $P:$P), U57)</f>
        <v>406.13</v>
      </c>
      <c r="W57" s="990">
        <f t="array" ref="W57">INDEX($C:$C, MATCH(V57,$P:$P* ("Yes"=$E:$E),0))</f>
        <v>2020</v>
      </c>
      <c r="X57" s="990" t="str">
        <f t="array" ref="X57">INDEX($D:$D, MATCH(V57,$P:$P* ("Yes"=$E:$E),0))</f>
        <v>FANTASY BOWL</v>
      </c>
      <c r="Y57" s="1088" t="str">
        <f t="array" ref="Y57">INDEX($L:$L, MATCH(V57,$P:$P* ("Yes"=$E:$E),0))</f>
        <v>POPEYES</v>
      </c>
      <c r="Z57" s="990" t="str">
        <f t="array" ref="Z57">INDEX($M:$M, MATCH(V57,$P:$P* ("Yes"=$E:$E),0))</f>
        <v>METAMOOKDAWGS</v>
      </c>
      <c r="AA57" s="992" t="str">
        <f t="array" ref="AA57">"PVE FFL GAME " &amp; INDEX($B:$B, MATCH(V57,$P:$P* ("Yes"=$E:$E),0))</f>
        <v>PVE FFL GAME 19</v>
      </c>
      <c r="AR57" s="314"/>
      <c r="AS57" s="314"/>
    </row>
    <row r="58" ht="15.75" customHeight="1">
      <c r="B58" s="13">
        <v>57.0</v>
      </c>
      <c r="C58" s="1147">
        <v>2023.0</v>
      </c>
      <c r="D58" s="1191" t="s">
        <v>765</v>
      </c>
      <c r="E58" s="314" t="str">
        <f t="shared" si="1"/>
        <v>-</v>
      </c>
      <c r="F58" s="1190" t="s">
        <v>589</v>
      </c>
      <c r="G58" s="960" t="s">
        <v>665</v>
      </c>
      <c r="H58" s="1149" t="str">
        <f>'League History BACKEND 2023'!$G$206</f>
        <v>DECOUPES</v>
      </c>
      <c r="I58" s="1186">
        <v>225.73</v>
      </c>
      <c r="J58" s="1186">
        <v>207.1</v>
      </c>
      <c r="K58" s="428" t="str">
        <f>'League History BACKEND 2023'!$J$206</f>
        <v>YARDIES</v>
      </c>
      <c r="L58" s="965" t="str">
        <f t="shared" si="2"/>
        <v>DECOUPES</v>
      </c>
      <c r="M58" s="966" t="str">
        <f t="shared" si="3"/>
        <v>YARDIES</v>
      </c>
      <c r="N58" s="967">
        <f t="array" ref="N58">IFERROR(IF(ABS(I58-J58)=0,Tie,ABS(I58-J58)),"UPCOMING")</f>
        <v>18.63</v>
      </c>
      <c r="O58" s="1156" t="str">
        <f t="shared" si="4"/>
        <v>-</v>
      </c>
      <c r="P58" s="967">
        <f t="shared" si="5"/>
        <v>432.83</v>
      </c>
      <c r="Q58" s="1156" t="str">
        <f t="shared" si="6"/>
        <v>-</v>
      </c>
      <c r="R58" s="96" t="str">
        <f t="shared" si="7"/>
        <v>-</v>
      </c>
      <c r="S58" s="1158" t="str">
        <f t="shared" si="8"/>
        <v>-</v>
      </c>
      <c r="U58" s="988">
        <v>10.0</v>
      </c>
      <c r="V58" s="989">
        <f t="array" ref="V58">LARGE(IF($E:$E="Yes", $P:$P), U58)</f>
        <v>399.92</v>
      </c>
      <c r="W58" s="990">
        <f t="array" ref="W58">INDEX($C:$C, MATCH(V58,$P:$P* ("Yes"=$E:$E),0))</f>
        <v>2022</v>
      </c>
      <c r="X58" s="990" t="str">
        <f t="array" ref="X58">INDEX($D:$D, MATCH(V58,$P:$P* ("Yes"=$E:$E),0))</f>
        <v>WILD CARD</v>
      </c>
      <c r="Y58" s="1088" t="str">
        <f t="array" ref="Y58">INDEX($L:$L, MATCH(V58,$P:$P* ("Yes"=$E:$E),0))</f>
        <v>POPEYES</v>
      </c>
      <c r="Z58" s="990" t="str">
        <f t="array" ref="Z58">INDEX($M:$M, MATCH(V58,$P:$P* ("Yes"=$E:$E),0))</f>
        <v>DECOUPES</v>
      </c>
      <c r="AA58" s="992" t="str">
        <f t="array" ref="AA58">"PVE FFL GAME " &amp; INDEX($B:$B, MATCH(V58,$P:$P* ("Yes"=$E:$E),0))</f>
        <v>PVE FFL GAME 39</v>
      </c>
      <c r="AR58" s="314"/>
      <c r="AS58" s="314"/>
    </row>
    <row r="59" ht="15.75" customHeight="1">
      <c r="B59" s="13">
        <v>58.0</v>
      </c>
      <c r="C59" s="1147">
        <v>2023.0</v>
      </c>
      <c r="D59" s="1172" t="s">
        <v>793</v>
      </c>
      <c r="E59" s="314" t="str">
        <f t="shared" si="1"/>
        <v>-</v>
      </c>
      <c r="F59" s="1190" t="s">
        <v>589</v>
      </c>
      <c r="G59" s="960" t="s">
        <v>670</v>
      </c>
      <c r="H59" s="1149" t="str">
        <f>'League History BACKEND 2023'!$G$208</f>
        <v>GREEN</v>
      </c>
      <c r="I59" s="1186">
        <v>207.49</v>
      </c>
      <c r="J59" s="1186">
        <v>229.4</v>
      </c>
      <c r="K59" s="428" t="str">
        <f>'League History BACKEND 2023'!$J$208</f>
        <v>MUTTS</v>
      </c>
      <c r="L59" s="965" t="str">
        <f t="shared" si="2"/>
        <v>MUTTS</v>
      </c>
      <c r="M59" s="966" t="str">
        <f t="shared" si="3"/>
        <v>GREEN</v>
      </c>
      <c r="N59" s="967">
        <f t="array" ref="N59">IFERROR(IF(ABS(I59-J59)=0,Tie,ABS(I59-J59)),"UPCOMING")</f>
        <v>21.91</v>
      </c>
      <c r="O59" s="1156" t="str">
        <f t="shared" si="4"/>
        <v>-</v>
      </c>
      <c r="P59" s="967">
        <f t="shared" si="5"/>
        <v>436.89</v>
      </c>
      <c r="Q59" s="1156" t="str">
        <f t="shared" si="6"/>
        <v>-</v>
      </c>
      <c r="R59" s="96" t="str">
        <f t="shared" si="7"/>
        <v>-</v>
      </c>
      <c r="S59" s="1158" t="str">
        <f t="shared" si="8"/>
        <v>-</v>
      </c>
      <c r="U59" s="988">
        <v>11.0</v>
      </c>
      <c r="V59" s="989">
        <f t="array" ref="V59">LARGE(IF($E:$E="Yes", $P:$P), U59)</f>
        <v>398.28</v>
      </c>
      <c r="W59" s="990">
        <f t="array" ref="W59">INDEX($C:$C, MATCH(V59,$P:$P* ("Yes"=$E:$E),0))</f>
        <v>2020</v>
      </c>
      <c r="X59" s="990" t="str">
        <f t="array" ref="X59">INDEX($D:$D, MATCH(V59,$P:$P* ("Yes"=$E:$E),0))</f>
        <v>WILD CARD</v>
      </c>
      <c r="Y59" s="1088" t="str">
        <f t="array" ref="Y59">INDEX($L:$L, MATCH(V59,$P:$P* ("Yes"=$E:$E),0))</f>
        <v>MUTTS</v>
      </c>
      <c r="Z59" s="990" t="str">
        <f t="array" ref="Z59">INDEX($M:$M, MATCH(V59,$P:$P* ("Yes"=$E:$E),0))</f>
        <v>GIRLS</v>
      </c>
      <c r="AA59" s="992" t="str">
        <f t="array" ref="AA59">"PVE FFL GAME " &amp; INDEX($B:$B, MATCH(V59,$P:$P* ("Yes"=$E:$E),0))</f>
        <v>PVE FFL GAME 13</v>
      </c>
      <c r="AR59" s="314"/>
      <c r="AS59" s="314"/>
    </row>
    <row r="60" ht="15.75" customHeight="1">
      <c r="B60" s="13">
        <v>59.0</v>
      </c>
      <c r="C60" s="1483">
        <v>2023.0</v>
      </c>
      <c r="D60" s="1167" t="s">
        <v>817</v>
      </c>
      <c r="E60" s="314" t="str">
        <f t="shared" si="1"/>
        <v>-</v>
      </c>
      <c r="F60" s="1190" t="s">
        <v>589</v>
      </c>
      <c r="G60" s="1269" t="s">
        <v>671</v>
      </c>
      <c r="H60" s="1149" t="str">
        <f>'League History BACKEND 2023'!$G$211</f>
        <v>SAVAGES</v>
      </c>
      <c r="I60" s="1186">
        <v>91.52</v>
      </c>
      <c r="J60" s="1186">
        <v>114.66</v>
      </c>
      <c r="K60" s="428" t="str">
        <f>'League History BACKEND 2023'!$J$211</f>
        <v>METAMOOKDAWGS</v>
      </c>
      <c r="L60" s="1278" t="str">
        <f t="shared" si="2"/>
        <v>METAMOOKDAWGS</v>
      </c>
      <c r="M60" s="1280" t="str">
        <f t="shared" si="3"/>
        <v>SAVAGES</v>
      </c>
      <c r="N60" s="1283">
        <f t="array" ref="N60">IFERROR(IF(ABS(I60-J60)=0,Tie,ABS(I60-J60)),"UPCOMING")</f>
        <v>23.14</v>
      </c>
      <c r="O60" s="1284" t="str">
        <f t="shared" si="4"/>
        <v>-</v>
      </c>
      <c r="P60" s="1283">
        <f t="shared" si="5"/>
        <v>206.18</v>
      </c>
      <c r="Q60" s="1284" t="str">
        <f t="shared" si="6"/>
        <v>-</v>
      </c>
      <c r="R60" s="1285" t="str">
        <f t="shared" si="7"/>
        <v>-</v>
      </c>
      <c r="S60" s="1158" t="str">
        <f t="shared" si="8"/>
        <v>-</v>
      </c>
      <c r="U60" s="988">
        <v>12.0</v>
      </c>
      <c r="V60" s="989">
        <f t="array" ref="V60">LARGE(IF($E:$E="Yes", $P:$P), U60)</f>
        <v>383.19</v>
      </c>
      <c r="W60" s="990">
        <f t="array" ref="W60">INDEX($C:$C, MATCH(V60,$P:$P* ("Yes"=$E:$E),0))</f>
        <v>2025</v>
      </c>
      <c r="X60" s="990" t="str">
        <f t="array" ref="X60">INDEX($D:$D, MATCH(V60,$P:$P* ("Yes"=$E:$E),0))</f>
        <v>DIV CHAMP</v>
      </c>
      <c r="Y60" s="1088" t="str">
        <f t="array" ref="Y60">INDEX($L:$L, MATCH(V60,$P:$P* ("Yes"=$E:$E),0))</f>
        <v>POPEYES</v>
      </c>
      <c r="Z60" s="990" t="str">
        <f t="array" ref="Z60">INDEX($M:$M, MATCH(V60,$P:$P* ("Yes"=$E:$E),0))</f>
        <v>GREEN</v>
      </c>
      <c r="AA60" s="992" t="str">
        <f t="array" ref="AA60">"PVE FFL GAME " &amp; INDEX($B:$B, MATCH(V60,$P:$P* ("Yes"=$E:$E),0))</f>
        <v>PVE FFL GAME 75</v>
      </c>
      <c r="AR60" s="314"/>
      <c r="AS60" s="314"/>
    </row>
    <row r="61" ht="15.75" customHeight="1">
      <c r="B61" s="13">
        <v>60.0</v>
      </c>
      <c r="C61" s="1207">
        <v>2024.0</v>
      </c>
      <c r="D61" s="645" t="s">
        <v>709</v>
      </c>
      <c r="E61" s="1119" t="str">
        <f t="shared" si="1"/>
        <v>YES</v>
      </c>
      <c r="F61" s="1120" t="s">
        <v>587</v>
      </c>
      <c r="G61" s="1122" t="s">
        <v>663</v>
      </c>
      <c r="H61" s="1123" t="s">
        <v>493</v>
      </c>
      <c r="I61" s="1489">
        <v>175.74</v>
      </c>
      <c r="J61" s="1489">
        <v>241.31</v>
      </c>
      <c r="K61" s="1129" t="s">
        <v>477</v>
      </c>
      <c r="L61" s="1132" t="str">
        <f t="shared" si="2"/>
        <v>KINGS</v>
      </c>
      <c r="M61" s="1135" t="str">
        <f t="shared" si="3"/>
        <v>DECOUPES</v>
      </c>
      <c r="N61" s="1138">
        <f t="array" ref="N61">IFERROR(IF(ABS(I61-J61)=0,Tie,ABS(I61-J61)),"UPCOMING")</f>
        <v>65.57</v>
      </c>
      <c r="O61" s="1139">
        <f t="shared" si="4"/>
        <v>70</v>
      </c>
      <c r="P61" s="1138">
        <f t="shared" si="5"/>
        <v>417.05</v>
      </c>
      <c r="Q61" s="1139">
        <f t="shared" si="6"/>
        <v>10</v>
      </c>
      <c r="R61" s="1140">
        <f t="shared" si="7"/>
        <v>40</v>
      </c>
      <c r="S61" s="1141">
        <f t="shared" si="8"/>
        <v>17</v>
      </c>
      <c r="U61" s="988">
        <v>13.0</v>
      </c>
      <c r="V61" s="989">
        <f t="array" ref="V61">LARGE(IF($E:$E="Yes", $P:$P), U61)</f>
        <v>376.61</v>
      </c>
      <c r="W61" s="990">
        <f t="array" ref="W61">INDEX($C:$C, MATCH(V61,$P:$P* ("Yes"=$E:$E),0))</f>
        <v>2023</v>
      </c>
      <c r="X61" s="990" t="str">
        <f t="array" ref="X61">INDEX($D:$D, MATCH(V61,$P:$P* ("Yes"=$E:$E),0))</f>
        <v>WILD CARD</v>
      </c>
      <c r="Y61" s="1088" t="str">
        <f t="array" ref="Y61">INDEX($L:$L, MATCH(V61,$P:$P* ("Yes"=$E:$E),0))</f>
        <v>CHAMPS</v>
      </c>
      <c r="Z61" s="990" t="str">
        <f t="array" ref="Z61">INDEX($M:$M, MATCH(V61,$P:$P* ("Yes"=$E:$E),0))</f>
        <v>MUTTS</v>
      </c>
      <c r="AA61" s="992" t="str">
        <f t="array" ref="AA61">"PVE FFL GAME " &amp; INDEX($B:$B, MATCH(V61,$P:$P* ("Yes"=$E:$E),0))</f>
        <v>PVE FFL GAME 50</v>
      </c>
      <c r="AR61" s="314"/>
      <c r="AS61" s="314"/>
    </row>
    <row r="62" ht="15.75" customHeight="1">
      <c r="B62" s="13">
        <v>61.0</v>
      </c>
      <c r="C62" s="1210">
        <v>2024.0</v>
      </c>
      <c r="D62" s="471" t="s">
        <v>709</v>
      </c>
      <c r="E62" s="314" t="str">
        <f t="shared" si="1"/>
        <v>YES</v>
      </c>
      <c r="F62" s="1148" t="s">
        <v>587</v>
      </c>
      <c r="G62" s="960" t="s">
        <v>665</v>
      </c>
      <c r="H62" s="1149" t="s">
        <v>538</v>
      </c>
      <c r="I62" s="1490">
        <v>155.56</v>
      </c>
      <c r="J62" s="1490">
        <v>163.76</v>
      </c>
      <c r="K62" s="428" t="s">
        <v>478</v>
      </c>
      <c r="L62" s="965" t="str">
        <f t="shared" si="2"/>
        <v>EAGLES</v>
      </c>
      <c r="M62" s="966" t="str">
        <f t="shared" si="3"/>
        <v>MUTTS</v>
      </c>
      <c r="N62" s="967">
        <f t="array" ref="N62">IFERROR(IF(ABS(I62-J62)=0,Tie,ABS(I62-J62)),"UPCOMING")</f>
        <v>8.2</v>
      </c>
      <c r="O62" s="1156">
        <f t="shared" si="4"/>
        <v>18</v>
      </c>
      <c r="P62" s="967">
        <f t="shared" si="5"/>
        <v>319.32</v>
      </c>
      <c r="Q62" s="1156">
        <f t="shared" si="6"/>
        <v>45</v>
      </c>
      <c r="R62" s="96">
        <f t="shared" si="7"/>
        <v>31.5</v>
      </c>
      <c r="S62" s="1158">
        <f t="shared" si="8"/>
        <v>13</v>
      </c>
      <c r="U62" s="988">
        <v>14.0</v>
      </c>
      <c r="V62" s="989">
        <f t="array" ref="V62">LARGE(IF($E:$E="Yes", $P:$P), U62)</f>
        <v>366.26</v>
      </c>
      <c r="W62" s="990">
        <f t="array" ref="W62">INDEX($C:$C, MATCH(V62,$P:$P* ("Yes"=$E:$E),0))</f>
        <v>2025</v>
      </c>
      <c r="X62" s="990" t="str">
        <f t="array" ref="X62">INDEX($D:$D, MATCH(V62,$P:$P* ("Yes"=$E:$E),0))</f>
        <v>WILD CARD</v>
      </c>
      <c r="Y62" s="1088" t="str">
        <f t="array" ref="Y62">INDEX($L:$L, MATCH(V62,$P:$P* ("Yes"=$E:$E),0))</f>
        <v>MUTTS</v>
      </c>
      <c r="Z62" s="990" t="str">
        <f t="array" ref="Z62">INDEX($M:$M, MATCH(V62,$P:$P* ("Yes"=$E:$E),0))</f>
        <v>CHAMPS</v>
      </c>
      <c r="AA62" s="992" t="str">
        <f t="array" ref="AA62">"PVE FFL GAME " &amp; INDEX($B:$B, MATCH(V62,$P:$P* ("Yes"=$E:$E),0))</f>
        <v>PVE FFL GAME 72</v>
      </c>
      <c r="AR62" s="314"/>
      <c r="AS62" s="314"/>
    </row>
    <row r="63" ht="15.75" customHeight="1">
      <c r="B63" s="13">
        <v>62.0</v>
      </c>
      <c r="C63" s="1210">
        <v>2024.0</v>
      </c>
      <c r="D63" s="1167" t="s">
        <v>1172</v>
      </c>
      <c r="E63" s="314" t="str">
        <f t="shared" si="1"/>
        <v>-</v>
      </c>
      <c r="F63" s="1148" t="s">
        <v>587</v>
      </c>
      <c r="G63" s="960" t="s">
        <v>670</v>
      </c>
      <c r="H63" s="1149" t="s">
        <v>536</v>
      </c>
      <c r="I63" s="1490">
        <v>146.64</v>
      </c>
      <c r="J63" s="1490">
        <v>154.51</v>
      </c>
      <c r="K63" s="428" t="s">
        <v>578</v>
      </c>
      <c r="L63" s="965" t="str">
        <f t="shared" si="2"/>
        <v>METAMOOKDAWGS</v>
      </c>
      <c r="M63" s="966" t="str">
        <f t="shared" si="3"/>
        <v>CHAMPS</v>
      </c>
      <c r="N63" s="967">
        <f t="array" ref="N63">IFERROR(IF(ABS(I63-J63)=0,Tie,ABS(I63-J63)),"UPCOMING")</f>
        <v>7.87</v>
      </c>
      <c r="O63" s="1156" t="str">
        <f t="shared" si="4"/>
        <v>-</v>
      </c>
      <c r="P63" s="967">
        <f t="shared" si="5"/>
        <v>301.15</v>
      </c>
      <c r="Q63" s="1156" t="str">
        <f t="shared" si="6"/>
        <v>-</v>
      </c>
      <c r="R63" s="96" t="str">
        <f t="shared" si="7"/>
        <v>-</v>
      </c>
      <c r="S63" s="1158" t="str">
        <f t="shared" si="8"/>
        <v>-</v>
      </c>
      <c r="U63" s="988">
        <v>15.0</v>
      </c>
      <c r="V63" s="989">
        <f t="array" ref="V63">LARGE(IF($E:$E="Yes", $P:$P), U63)</f>
        <v>361.62</v>
      </c>
      <c r="W63" s="990">
        <f t="array" ref="W63">INDEX($C:$C, MATCH(V63,$P:$P* ("Yes"=$E:$E),0))</f>
        <v>2021</v>
      </c>
      <c r="X63" s="990" t="str">
        <f t="array" ref="X63">INDEX($D:$D, MATCH(V63,$P:$P* ("Yes"=$E:$E),0))</f>
        <v>DIV CHAMP</v>
      </c>
      <c r="Y63" s="1088" t="str">
        <f t="array" ref="Y63">INDEX($L:$L, MATCH(V63,$P:$P* ("Yes"=$E:$E),0))</f>
        <v>CHAMPS</v>
      </c>
      <c r="Z63" s="990" t="str">
        <f t="array" ref="Z63">INDEX($M:$M, MATCH(V63,$P:$P* ("Yes"=$E:$E),0))</f>
        <v>METAMOOKDAWGS</v>
      </c>
      <c r="AA63" s="992" t="str">
        <f t="array" ref="AA63">"PVE FFL GAME " &amp; INDEX($B:$B, MATCH(V63,$P:$P* ("Yes"=$E:$E),0))</f>
        <v>PVE FFL GAME 29</v>
      </c>
      <c r="AR63" s="314"/>
      <c r="AS63" s="314"/>
    </row>
    <row r="64" ht="15.75" customHeight="1">
      <c r="B64" s="13">
        <v>63.0</v>
      </c>
      <c r="C64" s="1210">
        <v>2024.0</v>
      </c>
      <c r="D64" s="1167" t="s">
        <v>1172</v>
      </c>
      <c r="E64" s="314" t="str">
        <f t="shared" si="1"/>
        <v>-</v>
      </c>
      <c r="F64" s="1148" t="s">
        <v>587</v>
      </c>
      <c r="G64" s="960" t="s">
        <v>671</v>
      </c>
      <c r="H64" s="1149" t="s">
        <v>495</v>
      </c>
      <c r="I64" s="1495">
        <v>175.26</v>
      </c>
      <c r="J64" s="748">
        <v>114.04</v>
      </c>
      <c r="K64" s="428" t="s">
        <v>497</v>
      </c>
      <c r="L64" s="965" t="str">
        <f t="shared" si="2"/>
        <v>GREEN</v>
      </c>
      <c r="M64" s="966" t="str">
        <f t="shared" si="3"/>
        <v>SAVAGES</v>
      </c>
      <c r="N64" s="967">
        <f t="array" ref="N64">IFERROR(IF(ABS(I64-J64)=0,Tie,ABS(I64-J64)),"UPCOMING")</f>
        <v>61.22</v>
      </c>
      <c r="O64" s="1156" t="str">
        <f t="shared" si="4"/>
        <v>-</v>
      </c>
      <c r="P64" s="967">
        <f t="shared" si="5"/>
        <v>289.3</v>
      </c>
      <c r="Q64" s="1156" t="str">
        <f t="shared" si="6"/>
        <v>-</v>
      </c>
      <c r="R64" s="96" t="str">
        <f t="shared" si="7"/>
        <v>-</v>
      </c>
      <c r="S64" s="1158" t="str">
        <f t="shared" si="8"/>
        <v>-</v>
      </c>
      <c r="U64" s="988">
        <v>16.0</v>
      </c>
      <c r="V64" s="989">
        <f t="array" ref="V64">LARGE(IF($E:$E="Yes", $P:$P), U64)</f>
        <v>358.65</v>
      </c>
      <c r="W64" s="990">
        <f t="array" ref="W64">INDEX($C:$C, MATCH(V64,$P:$P* ("Yes"=$E:$E),0))</f>
        <v>2022</v>
      </c>
      <c r="X64" s="990" t="str">
        <f t="array" ref="X64">INDEX($D:$D, MATCH(V64,$P:$P* ("Yes"=$E:$E),0))</f>
        <v>DIV CHAMP</v>
      </c>
      <c r="Y64" s="1088" t="str">
        <f t="array" ref="Y64">INDEX($L:$L, MATCH(V64,$P:$P* ("Yes"=$E:$E),0))</f>
        <v>MUTTS</v>
      </c>
      <c r="Z64" s="990" t="str">
        <f t="array" ref="Z64">INDEX($M:$M, MATCH(V64,$P:$P* ("Yes"=$E:$E),0))</f>
        <v>YARDIES</v>
      </c>
      <c r="AA64" s="992" t="str">
        <f t="array" ref="AA64">"PVE FFL GAME " &amp; INDEX($B:$B, MATCH(V64,$P:$P* ("Yes"=$E:$E),0))</f>
        <v>PVE FFL GAME 41</v>
      </c>
      <c r="AR64" s="314"/>
      <c r="AS64" s="314"/>
    </row>
    <row r="65" ht="15.75" customHeight="1">
      <c r="B65" s="13">
        <v>64.0</v>
      </c>
      <c r="C65" s="1210">
        <v>2024.0</v>
      </c>
      <c r="D65" s="731" t="s">
        <v>716</v>
      </c>
      <c r="E65" s="314" t="str">
        <f t="shared" si="1"/>
        <v>YES</v>
      </c>
      <c r="F65" s="1168" t="s">
        <v>588</v>
      </c>
      <c r="G65" s="960" t="s">
        <v>663</v>
      </c>
      <c r="H65" s="1498" t="s">
        <v>477</v>
      </c>
      <c r="I65" s="1495">
        <v>221.87</v>
      </c>
      <c r="J65" s="748">
        <v>192.7</v>
      </c>
      <c r="K65" s="428" t="s">
        <v>494</v>
      </c>
      <c r="L65" s="965" t="str">
        <f t="shared" si="2"/>
        <v>KINGS</v>
      </c>
      <c r="M65" s="966" t="str">
        <f t="shared" si="3"/>
        <v>POPEYES</v>
      </c>
      <c r="N65" s="967">
        <f t="array" ref="N65">IFERROR(IF(ABS(I65-J65)=0,Tie,ABS(I65-J65)),"UPCOMING")</f>
        <v>29.17</v>
      </c>
      <c r="O65" s="1156">
        <f t="shared" si="4"/>
        <v>41</v>
      </c>
      <c r="P65" s="967">
        <f t="shared" si="5"/>
        <v>414.57</v>
      </c>
      <c r="Q65" s="1156">
        <f t="shared" si="6"/>
        <v>11</v>
      </c>
      <c r="R65" s="96">
        <f t="shared" si="7"/>
        <v>26</v>
      </c>
      <c r="S65" s="1158">
        <f t="shared" si="8"/>
        <v>9</v>
      </c>
      <c r="U65" s="988">
        <v>17.0</v>
      </c>
      <c r="V65" s="989">
        <f t="array" ref="V65">LARGE(IF($E:$E="Yes", $P:$P), U65)</f>
        <v>353.42</v>
      </c>
      <c r="W65" s="990">
        <f t="array" ref="W65">INDEX($C:$C, MATCH(V65,$P:$P* ("Yes"=$E:$E),0))</f>
        <v>2023</v>
      </c>
      <c r="X65" s="990" t="str">
        <f t="array" ref="X65">INDEX($D:$D, MATCH(V65,$P:$P* ("Yes"=$E:$E),0))</f>
        <v>FANTASY BOWL</v>
      </c>
      <c r="Y65" s="1088" t="str">
        <f t="array" ref="Y65">INDEX($L:$L, MATCH(V65,$P:$P* ("Yes"=$E:$E),0))</f>
        <v>POPEYES</v>
      </c>
      <c r="Z65" s="990" t="str">
        <f t="array" ref="Z65">INDEX($M:$M, MATCH(V65,$P:$P* ("Yes"=$E:$E),0))</f>
        <v>CHAMPS</v>
      </c>
      <c r="AA65" s="992" t="str">
        <f t="array" ref="AA65">"PVE FFL GAME " &amp; INDEX($B:$B, MATCH(V65,$P:$P* ("Yes"=$E:$E),0))</f>
        <v>PVE FFL GAME 56</v>
      </c>
      <c r="AR65" s="314"/>
      <c r="AS65" s="314"/>
    </row>
    <row r="66" ht="15.75" customHeight="1">
      <c r="B66" s="13">
        <v>65.0</v>
      </c>
      <c r="C66" s="1210">
        <v>2024.0</v>
      </c>
      <c r="D66" s="731" t="s">
        <v>716</v>
      </c>
      <c r="E66" s="314" t="str">
        <f t="shared" si="1"/>
        <v>YES</v>
      </c>
      <c r="F66" s="1168" t="s">
        <v>588</v>
      </c>
      <c r="G66" s="960" t="s">
        <v>665</v>
      </c>
      <c r="H66" s="1498" t="s">
        <v>478</v>
      </c>
      <c r="I66" s="1495">
        <v>134.75</v>
      </c>
      <c r="J66" s="748">
        <v>189.25</v>
      </c>
      <c r="K66" s="428" t="s">
        <v>537</v>
      </c>
      <c r="L66" s="965" t="str">
        <f t="shared" si="2"/>
        <v>YARDIES</v>
      </c>
      <c r="M66" s="966" t="str">
        <f t="shared" si="3"/>
        <v>EAGLES</v>
      </c>
      <c r="N66" s="967">
        <f t="array" ref="N66">IFERROR(IF(ABS(I66-J66)=0,Tie,ABS(I66-J66)),"UPCOMING")</f>
        <v>54.5</v>
      </c>
      <c r="O66" s="1156">
        <f t="shared" si="4"/>
        <v>59</v>
      </c>
      <c r="P66" s="967">
        <f t="shared" si="5"/>
        <v>324</v>
      </c>
      <c r="Q66" s="1156">
        <f t="shared" si="6"/>
        <v>44</v>
      </c>
      <c r="R66" s="96">
        <f t="shared" si="7"/>
        <v>51.5</v>
      </c>
      <c r="S66" s="1158">
        <f t="shared" si="8"/>
        <v>29</v>
      </c>
      <c r="U66" s="988">
        <v>18.0</v>
      </c>
      <c r="V66" s="989">
        <f t="array" ref="V66">LARGE(IF($E:$E="Yes", $P:$P), U66)</f>
        <v>348.19</v>
      </c>
      <c r="W66" s="990">
        <f t="array" ref="W66">INDEX($C:$C, MATCH(V66,$P:$P* ("Yes"=$E:$E),0))</f>
        <v>2022</v>
      </c>
      <c r="X66" s="990" t="str">
        <f t="array" ref="X66">INDEX($D:$D, MATCH(V66,$P:$P* ("Yes"=$E:$E),0))</f>
        <v>WILD CARD</v>
      </c>
      <c r="Y66" s="1088" t="str">
        <f t="array" ref="Y66">INDEX($L:$L, MATCH(V66,$P:$P* ("Yes"=$E:$E),0))</f>
        <v>MUTTS</v>
      </c>
      <c r="Z66" s="990" t="str">
        <f t="array" ref="Z66">INDEX($M:$M, MATCH(V66,$P:$P* ("Yes"=$E:$E),0))</f>
        <v>CHAMPS</v>
      </c>
      <c r="AA66" s="992" t="str">
        <f t="array" ref="AA66">"PVE FFL GAME " &amp; INDEX($B:$B, MATCH(V66,$P:$P* ("Yes"=$E:$E),0))</f>
        <v>PVE FFL GAME 38</v>
      </c>
      <c r="AR66" s="314"/>
      <c r="AS66" s="314"/>
    </row>
    <row r="67" ht="15.75" customHeight="1">
      <c r="B67" s="13">
        <v>66.0</v>
      </c>
      <c r="C67" s="1210">
        <v>2024.0</v>
      </c>
      <c r="D67" s="1167" t="s">
        <v>1148</v>
      </c>
      <c r="E67" s="314" t="str">
        <f t="shared" si="1"/>
        <v>-</v>
      </c>
      <c r="F67" s="1168" t="s">
        <v>588</v>
      </c>
      <c r="G67" s="960" t="s">
        <v>670</v>
      </c>
      <c r="H67" s="1498" t="s">
        <v>493</v>
      </c>
      <c r="I67" s="1495">
        <v>141.82</v>
      </c>
      <c r="J67" s="748">
        <v>126.3</v>
      </c>
      <c r="K67" s="1502" t="s">
        <v>538</v>
      </c>
      <c r="L67" s="965" t="str">
        <f t="shared" si="2"/>
        <v>DECOUPES</v>
      </c>
      <c r="M67" s="966" t="str">
        <f t="shared" si="3"/>
        <v>MUTTS</v>
      </c>
      <c r="N67" s="967">
        <f t="array" ref="N67">IFERROR(IF(ABS(I67-J67)=0,Tie,ABS(I67-J67)),"UPCOMING")</f>
        <v>15.52</v>
      </c>
      <c r="O67" s="1156" t="str">
        <f t="shared" si="4"/>
        <v>-</v>
      </c>
      <c r="P67" s="967">
        <f t="shared" si="5"/>
        <v>268.12</v>
      </c>
      <c r="Q67" s="1156" t="str">
        <f t="shared" si="6"/>
        <v>-</v>
      </c>
      <c r="R67" s="96" t="str">
        <f t="shared" si="7"/>
        <v>-</v>
      </c>
      <c r="S67" s="1158" t="str">
        <f t="shared" si="8"/>
        <v>-</v>
      </c>
      <c r="U67" s="988">
        <v>19.0</v>
      </c>
      <c r="V67" s="989">
        <f t="array" ref="V67">LARGE(IF($E:$E="Yes", $P:$P), U67)</f>
        <v>343.8</v>
      </c>
      <c r="W67" s="990">
        <f t="array" ref="W67">INDEX($C:$C, MATCH(V67,$P:$P* ("Yes"=$E:$E),0))</f>
        <v>2019</v>
      </c>
      <c r="X67" s="990" t="str">
        <f t="array" ref="X67">INDEX($D:$D, MATCH(V67,$P:$P* ("Yes"=$E:$E),0))</f>
        <v>FANTASY BOWL</v>
      </c>
      <c r="Y67" s="1088" t="str">
        <f t="array" ref="Y67">INDEX($L:$L, MATCH(V67,$P:$P* ("Yes"=$E:$E),0))</f>
        <v>SAVAGES</v>
      </c>
      <c r="Z67" s="990" t="str">
        <f t="array" ref="Z67">INDEX($M:$M, MATCH(V67,$P:$P* ("Yes"=$E:$E),0))</f>
        <v>METAMOOKDAWGS</v>
      </c>
      <c r="AA67" s="992" t="str">
        <f t="array" ref="AA67">"PVE FFL GAME " &amp; INDEX($B:$B, MATCH(V67,$P:$P* ("Yes"=$E:$E),0))</f>
        <v>PVE FFL GAME 8</v>
      </c>
      <c r="AR67" s="314"/>
      <c r="AS67" s="314"/>
    </row>
    <row r="68" ht="15.75" customHeight="1">
      <c r="B68" s="13">
        <v>67.0</v>
      </c>
      <c r="C68" s="1210">
        <v>2024.0</v>
      </c>
      <c r="D68" s="1172" t="s">
        <v>1174</v>
      </c>
      <c r="E68" s="314" t="str">
        <f t="shared" si="1"/>
        <v>-</v>
      </c>
      <c r="F68" s="1168" t="s">
        <v>588</v>
      </c>
      <c r="G68" s="960" t="s">
        <v>671</v>
      </c>
      <c r="H68" s="1498" t="s">
        <v>495</v>
      </c>
      <c r="I68" s="1495">
        <v>201.42</v>
      </c>
      <c r="J68" s="748">
        <v>150.74</v>
      </c>
      <c r="K68" s="1502" t="s">
        <v>578</v>
      </c>
      <c r="L68" s="965" t="str">
        <f t="shared" si="2"/>
        <v>GREEN</v>
      </c>
      <c r="M68" s="966" t="str">
        <f t="shared" si="3"/>
        <v>METAMOOKDAWGS</v>
      </c>
      <c r="N68" s="967">
        <f t="array" ref="N68">IFERROR(IF(ABS(I68-J68)=0,Tie,ABS(I68-J68)),"UPCOMING")</f>
        <v>50.68</v>
      </c>
      <c r="O68" s="1156" t="str">
        <f t="shared" si="4"/>
        <v>-</v>
      </c>
      <c r="P68" s="967">
        <f t="shared" si="5"/>
        <v>352.16</v>
      </c>
      <c r="Q68" s="1156" t="str">
        <f t="shared" si="6"/>
        <v>-</v>
      </c>
      <c r="R68" s="96" t="str">
        <f t="shared" si="7"/>
        <v>-</v>
      </c>
      <c r="S68" s="1158" t="str">
        <f t="shared" si="8"/>
        <v>-</v>
      </c>
      <c r="U68" s="1018">
        <v>20.0</v>
      </c>
      <c r="V68" s="1019">
        <f t="array" ref="V68">LARGE(IF($E:$E="Yes", $P:$P), U68)</f>
        <v>341.8</v>
      </c>
      <c r="W68" s="1020">
        <f t="array" ref="W68">INDEX($C:$C, MATCH(V68,$P:$P* ("Yes"=$E:$E),0))</f>
        <v>2025</v>
      </c>
      <c r="X68" s="1020" t="str">
        <f t="array" ref="X68">INDEX($D:$D, MATCH(V68,$P:$P* ("Yes"=$E:$E),0))</f>
        <v>DIV CHAMP</v>
      </c>
      <c r="Y68" s="1171" t="str">
        <f t="array" ref="Y68">INDEX($L:$L, MATCH(V68,$P:$P* ("Yes"=$E:$E),0))</f>
        <v>YARDIES</v>
      </c>
      <c r="Z68" s="1020" t="str">
        <f t="array" ref="Z68">INDEX($M:$M, MATCH(V68,$P:$P* ("Yes"=$E:$E),0))</f>
        <v>MUTTS</v>
      </c>
      <c r="AA68" s="1022" t="str">
        <f t="array" ref="AA68">"PVE FFL GAME " &amp; INDEX($B:$B, MATCH(V68,$P:$P* ("Yes"=$E:$E),0))</f>
        <v>PVE FFL GAME 76</v>
      </c>
      <c r="AR68" s="314"/>
      <c r="AS68" s="314"/>
    </row>
    <row r="69" ht="15.75" customHeight="1">
      <c r="B69" s="13">
        <v>68.0</v>
      </c>
      <c r="C69" s="1210">
        <v>2024.0</v>
      </c>
      <c r="D69" s="1191" t="s">
        <v>1175</v>
      </c>
      <c r="E69" s="314" t="str">
        <f t="shared" si="1"/>
        <v>-</v>
      </c>
      <c r="F69" s="1168" t="s">
        <v>588</v>
      </c>
      <c r="G69" s="960" t="s">
        <v>1018</v>
      </c>
      <c r="H69" s="1498" t="s">
        <v>497</v>
      </c>
      <c r="I69" s="1495">
        <v>173.08</v>
      </c>
      <c r="J69" s="748">
        <v>177.2</v>
      </c>
      <c r="K69" s="1502" t="s">
        <v>536</v>
      </c>
      <c r="L69" s="965" t="str">
        <f t="shared" si="2"/>
        <v>CHAMPS</v>
      </c>
      <c r="M69" s="966" t="str">
        <f t="shared" si="3"/>
        <v>SAVAGES</v>
      </c>
      <c r="N69" s="967">
        <f t="array" ref="N69">IFERROR(IF(ABS(I69-J69)=0,Tie,ABS(I69-J69)),"UPCOMING")</f>
        <v>4.12</v>
      </c>
      <c r="O69" s="1156" t="str">
        <f t="shared" si="4"/>
        <v>-</v>
      </c>
      <c r="P69" s="967">
        <f t="shared" si="5"/>
        <v>350.28</v>
      </c>
      <c r="Q69" s="1156" t="str">
        <f t="shared" si="6"/>
        <v>-</v>
      </c>
      <c r="R69" s="96" t="str">
        <f t="shared" si="7"/>
        <v>-</v>
      </c>
      <c r="S69" s="1158" t="str">
        <f t="shared" si="8"/>
        <v>-</v>
      </c>
      <c r="AR69" s="314"/>
      <c r="AS69" s="314"/>
    </row>
    <row r="70" ht="15.75" customHeight="1">
      <c r="B70" s="13">
        <v>69.0</v>
      </c>
      <c r="C70" s="1210">
        <v>2024.0</v>
      </c>
      <c r="D70" s="498" t="s">
        <v>742</v>
      </c>
      <c r="E70" s="314" t="str">
        <f t="shared" si="1"/>
        <v>YES</v>
      </c>
      <c r="F70" s="1190" t="s">
        <v>589</v>
      </c>
      <c r="G70" s="960" t="s">
        <v>663</v>
      </c>
      <c r="H70" s="1498" t="s">
        <v>477</v>
      </c>
      <c r="I70" s="1495">
        <v>129.04</v>
      </c>
      <c r="J70" s="748">
        <v>174.39</v>
      </c>
      <c r="K70" s="1502" t="s">
        <v>537</v>
      </c>
      <c r="L70" s="965" t="str">
        <f t="shared" si="2"/>
        <v>YARDIES</v>
      </c>
      <c r="M70" s="966" t="str">
        <f t="shared" si="3"/>
        <v>KINGS</v>
      </c>
      <c r="N70" s="967">
        <f t="array" ref="N70">IFERROR(IF(ABS(I70-J70)=0,Tie,ABS(I70-J70)),"UPCOMING")</f>
        <v>45.35</v>
      </c>
      <c r="O70" s="1156">
        <f t="shared" si="4"/>
        <v>50</v>
      </c>
      <c r="P70" s="967">
        <f t="shared" si="5"/>
        <v>303.43</v>
      </c>
      <c r="Q70" s="1156">
        <f t="shared" si="6"/>
        <v>51</v>
      </c>
      <c r="R70" s="96">
        <f t="shared" si="7"/>
        <v>50.5</v>
      </c>
      <c r="S70" s="1158">
        <f t="shared" si="8"/>
        <v>27</v>
      </c>
      <c r="U70" s="971" t="s">
        <v>1176</v>
      </c>
      <c r="V70" s="23"/>
      <c r="W70" s="23"/>
      <c r="X70" s="23"/>
      <c r="Y70" s="23"/>
      <c r="Z70" s="23"/>
      <c r="AA70" s="29"/>
      <c r="AR70" s="314"/>
      <c r="AS70" s="314"/>
    </row>
    <row r="71" ht="15.75" customHeight="1">
      <c r="B71" s="13">
        <v>70.0</v>
      </c>
      <c r="C71" s="1459">
        <v>2024.0</v>
      </c>
      <c r="D71" s="1193" t="s">
        <v>1177</v>
      </c>
      <c r="E71" s="1194" t="str">
        <f t="shared" si="1"/>
        <v>-</v>
      </c>
      <c r="F71" s="1195" t="s">
        <v>589</v>
      </c>
      <c r="G71" s="1196" t="s">
        <v>665</v>
      </c>
      <c r="H71" s="1506" t="s">
        <v>494</v>
      </c>
      <c r="I71" s="1507">
        <v>168.4</v>
      </c>
      <c r="J71" s="1508">
        <v>193.69</v>
      </c>
      <c r="K71" s="1509" t="s">
        <v>478</v>
      </c>
      <c r="L71" s="1201" t="str">
        <f t="shared" si="2"/>
        <v>EAGLES</v>
      </c>
      <c r="M71" s="1202" t="str">
        <f t="shared" si="3"/>
        <v>POPEYES</v>
      </c>
      <c r="N71" s="1203">
        <f t="array" ref="N71">IFERROR(IF(ABS(I71-J71)=0,Tie,ABS(I71-J71)),"UPCOMING")</f>
        <v>25.29</v>
      </c>
      <c r="O71" s="1204" t="str">
        <f t="shared" si="4"/>
        <v>-</v>
      </c>
      <c r="P71" s="1203">
        <f t="shared" si="5"/>
        <v>362.09</v>
      </c>
      <c r="Q71" s="1204" t="str">
        <f t="shared" si="6"/>
        <v>-</v>
      </c>
      <c r="R71" s="1205" t="str">
        <f t="shared" si="7"/>
        <v>-</v>
      </c>
      <c r="S71" s="1206" t="str">
        <f t="shared" si="8"/>
        <v>-</v>
      </c>
      <c r="U71" s="1510" t="s">
        <v>148</v>
      </c>
      <c r="V71" s="1511" t="s">
        <v>467</v>
      </c>
      <c r="W71" s="1511" t="s">
        <v>153</v>
      </c>
      <c r="X71" s="1511" t="s">
        <v>30</v>
      </c>
      <c r="Y71" s="1511" t="s">
        <v>155</v>
      </c>
      <c r="Z71" s="1511" t="s">
        <v>156</v>
      </c>
      <c r="AA71" s="1512" t="s">
        <v>157</v>
      </c>
      <c r="AR71" s="314"/>
      <c r="AS71" s="314"/>
    </row>
    <row r="72" ht="15.75" customHeight="1">
      <c r="B72" s="13">
        <v>71.0</v>
      </c>
      <c r="C72" s="1513">
        <v>2025.0</v>
      </c>
      <c r="D72" s="645" t="s">
        <v>709</v>
      </c>
      <c r="E72" s="1119" t="str">
        <f t="shared" si="1"/>
        <v>YES</v>
      </c>
      <c r="F72" s="1120" t="s">
        <v>587</v>
      </c>
      <c r="G72" s="1122" t="s">
        <v>663</v>
      </c>
      <c r="H72" s="1514" t="s">
        <v>494</v>
      </c>
      <c r="I72" s="1495">
        <v>201.98</v>
      </c>
      <c r="J72" s="748">
        <v>136.71</v>
      </c>
      <c r="K72" s="1515" t="s">
        <v>493</v>
      </c>
      <c r="L72" s="1132" t="str">
        <f t="shared" si="2"/>
        <v>POPEYES</v>
      </c>
      <c r="M72" s="1135" t="str">
        <f t="shared" si="3"/>
        <v>DECOUPES</v>
      </c>
      <c r="N72" s="1138">
        <f t="array" ref="N72">IFERROR(IF(ABS(I72-J72)=0,Tie,ABS(I72-J72)),"UPCOMING")</f>
        <v>65.27</v>
      </c>
      <c r="O72" s="1139">
        <f t="shared" si="4"/>
        <v>69</v>
      </c>
      <c r="P72" s="1138">
        <f t="shared" si="5"/>
        <v>338.69</v>
      </c>
      <c r="Q72" s="1139">
        <f t="shared" si="6"/>
        <v>39</v>
      </c>
      <c r="R72" s="1140">
        <f t="shared" si="7"/>
        <v>54</v>
      </c>
      <c r="S72" s="1141">
        <f t="shared" si="8"/>
        <v>32</v>
      </c>
      <c r="U72" s="1518">
        <v>1.0</v>
      </c>
      <c r="V72" s="989">
        <f t="array" ref="V72">SMALL(IF($E:$E="Yes", $P:$P), U49)</f>
        <v>232.98</v>
      </c>
      <c r="W72" s="1524">
        <f t="array" ref="W72">INDEX($C:$C, MATCH(V72,$P:$P* ("Yes"=$E:$E),0))</f>
        <v>2021</v>
      </c>
      <c r="X72" s="1524" t="str">
        <f t="array" ref="X72">INDEX($D:$D, MATCH(V72,$P:$P* ("Yes"=$E:$E),0))</f>
        <v>WILD CARD</v>
      </c>
      <c r="Y72" s="991" t="str">
        <f t="array" ref="Y72">INDEX($L:$L, MATCH(V72,$P:$P* ("Yes"=$E:$E),0))</f>
        <v>METAMOOKDAWGS</v>
      </c>
      <c r="Z72" s="1524" t="str">
        <f t="array" ref="Z72">INDEX($M:$M, MATCH(V72,$P:$P* ("Yes"=$E:$E),0))</f>
        <v>MUTTS</v>
      </c>
      <c r="AA72" s="1526" t="str">
        <f t="array" ref="AA72">"PVE FFL PLAYOFF " &amp; INDEX($B:$B, MATCH(V72,$P:$P* ("Yes"=$E:$E),0))</f>
        <v>PVE FFL PLAYOFF 26</v>
      </c>
      <c r="AR72" s="314"/>
      <c r="AS72" s="314"/>
    </row>
    <row r="73" ht="15.75" customHeight="1">
      <c r="B73" s="13">
        <v>72.0</v>
      </c>
      <c r="C73" s="1513">
        <v>2025.0</v>
      </c>
      <c r="D73" s="471" t="s">
        <v>709</v>
      </c>
      <c r="E73" s="314" t="str">
        <f t="shared" si="1"/>
        <v>YES</v>
      </c>
      <c r="F73" s="1148" t="s">
        <v>587</v>
      </c>
      <c r="G73" s="960" t="s">
        <v>665</v>
      </c>
      <c r="H73" s="1498" t="s">
        <v>536</v>
      </c>
      <c r="I73" s="1495">
        <v>174.74</v>
      </c>
      <c r="J73" s="748">
        <v>191.52</v>
      </c>
      <c r="K73" s="1502" t="s">
        <v>538</v>
      </c>
      <c r="L73" s="965" t="str">
        <f t="shared" si="2"/>
        <v>MUTTS</v>
      </c>
      <c r="M73" s="966" t="str">
        <f t="shared" si="3"/>
        <v>CHAMPS</v>
      </c>
      <c r="N73" s="967">
        <f t="array" ref="N73">IFERROR(IF(ABS(I73-J73)=0,Tie,ABS(I73-J73)),"UPCOMING")</f>
        <v>16.78</v>
      </c>
      <c r="O73" s="1156">
        <f t="shared" si="4"/>
        <v>30</v>
      </c>
      <c r="P73" s="967">
        <f t="shared" si="5"/>
        <v>366.26</v>
      </c>
      <c r="Q73" s="1156">
        <f t="shared" si="6"/>
        <v>25</v>
      </c>
      <c r="R73" s="96">
        <f t="shared" si="7"/>
        <v>27.5</v>
      </c>
      <c r="S73" s="1158">
        <f t="shared" si="8"/>
        <v>10</v>
      </c>
      <c r="U73" s="1527">
        <v>2.0</v>
      </c>
      <c r="V73" s="989">
        <f t="array" ref="V73">SMALL(IF($E:$E="Yes", $P:$P), U50)</f>
        <v>253.99</v>
      </c>
      <c r="W73" s="1524">
        <f t="array" ref="W73">INDEX($C:$C, MATCH(V73,$P:$P* ("Yes"=$E:$E),0))</f>
        <v>2019</v>
      </c>
      <c r="X73" s="1524" t="str">
        <f t="array" ref="X73">INDEX($D:$D, MATCH(V73,$P:$P* ("Yes"=$E:$E),0))</f>
        <v>WILD CARD</v>
      </c>
      <c r="Y73" s="991" t="str">
        <f t="array" ref="Y73">INDEX($L:$L, MATCH(V73,$P:$P* ("Yes"=$E:$E),0))</f>
        <v>DECOUPES</v>
      </c>
      <c r="Z73" s="1524" t="str">
        <f t="array" ref="Z73">INDEX($M:$M, MATCH(V73,$P:$P* ("Yes"=$E:$E),0))</f>
        <v>MUTTS</v>
      </c>
      <c r="AA73" s="1526" t="str">
        <f t="array" ref="AA73">"PVE FFL PLAYOFF " &amp; INDEX($B:$B, MATCH(V73,$P:$P* ("Yes"=$E:$E),0))</f>
        <v>PVE FFL PLAYOFF 2</v>
      </c>
      <c r="AR73" s="314"/>
      <c r="AS73" s="314"/>
    </row>
    <row r="74" ht="15.75" customHeight="1">
      <c r="B74" s="13">
        <v>73.0</v>
      </c>
      <c r="C74" s="1513">
        <v>2025.0</v>
      </c>
      <c r="D74" s="1167" t="s">
        <v>1172</v>
      </c>
      <c r="E74" s="314" t="str">
        <f t="shared" si="1"/>
        <v>-</v>
      </c>
      <c r="F74" s="1148" t="s">
        <v>587</v>
      </c>
      <c r="G74" s="960" t="s">
        <v>670</v>
      </c>
      <c r="H74" s="1498" t="s">
        <v>497</v>
      </c>
      <c r="I74" s="1495">
        <v>214.07</v>
      </c>
      <c r="J74" s="748">
        <v>146.47</v>
      </c>
      <c r="K74" s="1502" t="s">
        <v>477</v>
      </c>
      <c r="L74" s="965" t="str">
        <f t="shared" si="2"/>
        <v>SAVAGES</v>
      </c>
      <c r="M74" s="966" t="str">
        <f t="shared" si="3"/>
        <v>KINGS</v>
      </c>
      <c r="N74" s="967">
        <f t="array" ref="N74">IFERROR(IF(ABS(I74-J74)=0,Tie,ABS(I74-J74)),"UPCOMING")</f>
        <v>67.6</v>
      </c>
      <c r="O74" s="1156" t="str">
        <f t="shared" si="4"/>
        <v>-</v>
      </c>
      <c r="P74" s="967">
        <f t="shared" si="5"/>
        <v>360.54</v>
      </c>
      <c r="Q74" s="1156" t="str">
        <f t="shared" si="6"/>
        <v>-</v>
      </c>
      <c r="R74" s="96" t="str">
        <f t="shared" si="7"/>
        <v>-</v>
      </c>
      <c r="S74" s="1158" t="str">
        <f t="shared" si="8"/>
        <v>-</v>
      </c>
      <c r="U74" s="1518">
        <v>3.0</v>
      </c>
      <c r="V74" s="989">
        <f t="array" ref="V74">SMALL(IF($E:$E="Yes", $P:$P), U51)</f>
        <v>257.71</v>
      </c>
      <c r="W74" s="1524">
        <f t="array" ref="W74">INDEX($C:$C, MATCH(V74,$P:$P* ("Yes"=$E:$E),0))</f>
        <v>2019</v>
      </c>
      <c r="X74" s="1524" t="str">
        <f t="array" ref="X74">INDEX($D:$D, MATCH(V74,$P:$P* ("Yes"=$E:$E),0))</f>
        <v>WILD CARD</v>
      </c>
      <c r="Y74" s="991" t="str">
        <f t="array" ref="Y74">INDEX($L:$L, MATCH(V74,$P:$P* ("Yes"=$E:$E),0))</f>
        <v>DEEZ NUTS</v>
      </c>
      <c r="Z74" s="1524" t="str">
        <f t="array" ref="Z74">INDEX($M:$M, MATCH(V74,$P:$P* ("Yes"=$E:$E),0))</f>
        <v>GREEN</v>
      </c>
      <c r="AA74" s="1526" t="str">
        <f t="array" ref="AA74">"PVE FFL PLAYOFF " &amp; INDEX($B:$B, MATCH(V74,$P:$P* ("Yes"=$E:$E),0))</f>
        <v>PVE FFL PLAYOFF 1</v>
      </c>
      <c r="AR74" s="314"/>
      <c r="AS74" s="314"/>
    </row>
    <row r="75" ht="15.75" customHeight="1">
      <c r="B75" s="13">
        <v>74.0</v>
      </c>
      <c r="C75" s="1513">
        <v>2025.0</v>
      </c>
      <c r="D75" s="1167" t="s">
        <v>1172</v>
      </c>
      <c r="E75" s="314" t="str">
        <f t="shared" si="1"/>
        <v>-</v>
      </c>
      <c r="F75" s="1148" t="s">
        <v>587</v>
      </c>
      <c r="G75" s="960" t="s">
        <v>671</v>
      </c>
      <c r="H75" s="1498" t="s">
        <v>578</v>
      </c>
      <c r="I75" s="1495">
        <v>173.73</v>
      </c>
      <c r="J75" s="748">
        <v>161.52</v>
      </c>
      <c r="K75" s="1502" t="s">
        <v>478</v>
      </c>
      <c r="L75" s="965" t="str">
        <f t="shared" si="2"/>
        <v>METAMOOKDAWGS</v>
      </c>
      <c r="M75" s="966" t="str">
        <f t="shared" si="3"/>
        <v>EAGLES</v>
      </c>
      <c r="N75" s="967">
        <f t="array" ref="N75">IFERROR(IF(ABS(I75-J75)=0,Tie,ABS(I75-J75)),"UPCOMING")</f>
        <v>12.21</v>
      </c>
      <c r="O75" s="1156" t="str">
        <f t="shared" si="4"/>
        <v>-</v>
      </c>
      <c r="P75" s="967">
        <f t="shared" si="5"/>
        <v>335.25</v>
      </c>
      <c r="Q75" s="1156" t="str">
        <f t="shared" si="6"/>
        <v>-</v>
      </c>
      <c r="R75" s="96" t="str">
        <f t="shared" si="7"/>
        <v>-</v>
      </c>
      <c r="S75" s="1158" t="str">
        <f t="shared" si="8"/>
        <v>-</v>
      </c>
      <c r="U75" s="1527">
        <v>4.0</v>
      </c>
      <c r="V75" s="989">
        <f t="array" ref="V75">SMALL(IF($E:$E="Yes", $P:$P), U52)</f>
        <v>259.77</v>
      </c>
      <c r="W75" s="1524">
        <f t="array" ref="W75">INDEX($C:$C, MATCH(V75,$P:$P* ("Yes"=$E:$E),0))</f>
        <v>2023</v>
      </c>
      <c r="X75" s="1524" t="str">
        <f t="array" ref="X75">INDEX($D:$D, MATCH(V75,$P:$P* ("Yes"=$E:$E),0))</f>
        <v>DIV CHAMP</v>
      </c>
      <c r="Y75" s="991" t="str">
        <f t="array" ref="Y75">INDEX($L:$L, MATCH(V75,$P:$P* ("Yes"=$E:$E),0))</f>
        <v>CHAMPS</v>
      </c>
      <c r="Z75" s="1524" t="str">
        <f t="array" ref="Z75">INDEX($M:$M, MATCH(V75,$P:$P* ("Yes"=$E:$E),0))</f>
        <v>YARDIES</v>
      </c>
      <c r="AA75" s="1526" t="str">
        <f t="array" ref="AA75">"PVE FFL PLAYOFF " &amp; INDEX($B:$B, MATCH(V75,$P:$P* ("Yes"=$E:$E),0))</f>
        <v>PVE FFL PLAYOFF 52</v>
      </c>
      <c r="AR75" s="314"/>
      <c r="AS75" s="314"/>
    </row>
    <row r="76" ht="15.75" customHeight="1">
      <c r="B76" s="13">
        <v>75.0</v>
      </c>
      <c r="C76" s="1513">
        <v>2025.0</v>
      </c>
      <c r="D76" s="731" t="s">
        <v>716</v>
      </c>
      <c r="E76" s="314" t="str">
        <f t="shared" si="1"/>
        <v>YES</v>
      </c>
      <c r="F76" s="1168" t="s">
        <v>588</v>
      </c>
      <c r="G76" s="960" t="s">
        <v>663</v>
      </c>
      <c r="H76" s="1498" t="s">
        <v>494</v>
      </c>
      <c r="I76" s="1495">
        <v>204.26</v>
      </c>
      <c r="J76" s="748">
        <v>178.93</v>
      </c>
      <c r="K76" s="1502" t="s">
        <v>495</v>
      </c>
      <c r="L76" s="965" t="str">
        <f t="shared" si="2"/>
        <v>POPEYES</v>
      </c>
      <c r="M76" s="966" t="str">
        <f t="shared" si="3"/>
        <v>GREEN</v>
      </c>
      <c r="N76" s="967">
        <f t="array" ref="N76">IFERROR(IF(ABS(I76-J76)=0,Tie,ABS(I76-J76)),"UPCOMING")</f>
        <v>25.33</v>
      </c>
      <c r="O76" s="1156">
        <f t="shared" si="4"/>
        <v>37</v>
      </c>
      <c r="P76" s="967">
        <f t="shared" si="5"/>
        <v>383.19</v>
      </c>
      <c r="Q76" s="1156">
        <f t="shared" si="6"/>
        <v>21</v>
      </c>
      <c r="R76" s="96">
        <f t="shared" si="7"/>
        <v>29</v>
      </c>
      <c r="S76" s="1158">
        <f t="shared" si="8"/>
        <v>11</v>
      </c>
      <c r="U76" s="1518">
        <v>5.0</v>
      </c>
      <c r="V76" s="989">
        <f t="array" ref="V76">SMALL(IF($E:$E="Yes", $P:$P), U53)</f>
        <v>270.44</v>
      </c>
      <c r="W76" s="1524">
        <f t="array" ref="W76">INDEX($C:$C, MATCH(V76,$P:$P* ("Yes"=$E:$E),0))</f>
        <v>2019</v>
      </c>
      <c r="X76" s="1524" t="str">
        <f t="array" ref="X76">INDEX($D:$D, MATCH(V76,$P:$P* ("Yes"=$E:$E),0))</f>
        <v>DIV CHAMP</v>
      </c>
      <c r="Y76" s="991" t="str">
        <f t="array" ref="Y76">INDEX($L:$L, MATCH(V76,$P:$P* ("Yes"=$E:$E),0))</f>
        <v>METAMOOKDAWGS</v>
      </c>
      <c r="Z76" s="1524" t="str">
        <f t="array" ref="Z76">INDEX($M:$M, MATCH(V76,$P:$P* ("Yes"=$E:$E),0))</f>
        <v>DEEZ NUTS</v>
      </c>
      <c r="AA76" s="1526" t="str">
        <f t="array" ref="AA76">"PVE FFL PLAYOFF " &amp; INDEX($B:$B, MATCH(V76,$P:$P* ("Yes"=$E:$E),0))</f>
        <v>PVE FFL PLAYOFF 5</v>
      </c>
      <c r="AR76" s="314"/>
      <c r="AS76" s="314"/>
    </row>
    <row r="77" ht="15.75" customHeight="1">
      <c r="B77" s="13">
        <v>76.0</v>
      </c>
      <c r="C77" s="1513">
        <v>2025.0</v>
      </c>
      <c r="D77" s="731" t="s">
        <v>716</v>
      </c>
      <c r="E77" s="314" t="str">
        <f t="shared" si="1"/>
        <v>YES</v>
      </c>
      <c r="F77" s="1168" t="s">
        <v>588</v>
      </c>
      <c r="G77" s="960" t="s">
        <v>665</v>
      </c>
      <c r="H77" s="1498" t="s">
        <v>538</v>
      </c>
      <c r="I77" s="1495">
        <v>140.77</v>
      </c>
      <c r="J77" s="748">
        <v>201.03</v>
      </c>
      <c r="K77" s="1502" t="s">
        <v>537</v>
      </c>
      <c r="L77" s="965" t="str">
        <f t="shared" si="2"/>
        <v>YARDIES</v>
      </c>
      <c r="M77" s="966" t="str">
        <f t="shared" si="3"/>
        <v>MUTTS</v>
      </c>
      <c r="N77" s="967">
        <f t="array" ref="N77">IFERROR(IF(ABS(I77-J77)=0,Tie,ABS(I77-J77)),"UPCOMING")</f>
        <v>60.26</v>
      </c>
      <c r="O77" s="1156">
        <f t="shared" si="4"/>
        <v>62</v>
      </c>
      <c r="P77" s="967">
        <f t="shared" si="5"/>
        <v>341.8</v>
      </c>
      <c r="Q77" s="1156">
        <f t="shared" si="6"/>
        <v>38</v>
      </c>
      <c r="R77" s="96">
        <f t="shared" si="7"/>
        <v>50</v>
      </c>
      <c r="S77" s="1158">
        <f t="shared" si="8"/>
        <v>26</v>
      </c>
      <c r="U77" s="1527">
        <v>6.0</v>
      </c>
      <c r="V77" s="989">
        <f t="array" ref="V77">SMALL(IF($E:$E="Yes", $P:$P), U54)</f>
        <v>274.89</v>
      </c>
      <c r="W77" s="1524">
        <f t="array" ref="W77">INDEX($C:$C, MATCH(V77,$P:$P* ("Yes"=$E:$E),0))</f>
        <v>2021</v>
      </c>
      <c r="X77" s="1524" t="str">
        <f t="array" ref="X77">INDEX($D:$D, MATCH(V77,$P:$P* ("Yes"=$E:$E),0))</f>
        <v>DIV CHAMP</v>
      </c>
      <c r="Y77" s="991" t="str">
        <f t="array" ref="Y77">INDEX($L:$L, MATCH(V77,$P:$P* ("Yes"=$E:$E),0))</f>
        <v>DECOUPES</v>
      </c>
      <c r="Z77" s="1524" t="str">
        <f t="array" ref="Z77">INDEX($M:$M, MATCH(V77,$P:$P* ("Yes"=$E:$E),0))</f>
        <v>POPEYES</v>
      </c>
      <c r="AA77" s="1526" t="str">
        <f t="array" ref="AA77">"PVE FFL PLAYOFF " &amp; INDEX($B:$B, MATCH(V77,$P:$P* ("Yes"=$E:$E),0))</f>
        <v>PVE FFL PLAYOFF 28</v>
      </c>
      <c r="AR77" s="314"/>
      <c r="AS77" s="314"/>
    </row>
    <row r="78" ht="15.75" customHeight="1">
      <c r="B78" s="13">
        <v>77.0</v>
      </c>
      <c r="C78" s="1513">
        <v>2025.0</v>
      </c>
      <c r="D78" s="1167" t="s">
        <v>1148</v>
      </c>
      <c r="E78" s="314" t="str">
        <f t="shared" si="1"/>
        <v>-</v>
      </c>
      <c r="F78" s="1168" t="s">
        <v>588</v>
      </c>
      <c r="G78" s="960" t="s">
        <v>670</v>
      </c>
      <c r="H78" s="1498" t="s">
        <v>536</v>
      </c>
      <c r="I78" s="1495">
        <v>129.01</v>
      </c>
      <c r="J78" s="748">
        <v>171.36</v>
      </c>
      <c r="K78" s="1502" t="s">
        <v>493</v>
      </c>
      <c r="L78" s="965" t="str">
        <f t="shared" si="2"/>
        <v>DECOUPES</v>
      </c>
      <c r="M78" s="966" t="str">
        <f t="shared" si="3"/>
        <v>CHAMPS</v>
      </c>
      <c r="N78" s="967">
        <f t="array" ref="N78">IFERROR(IF(ABS(I78-J78)=0,Tie,ABS(I78-J78)),"UPCOMING")</f>
        <v>42.35</v>
      </c>
      <c r="O78" s="1156" t="str">
        <f t="shared" si="4"/>
        <v>-</v>
      </c>
      <c r="P78" s="967">
        <f t="shared" si="5"/>
        <v>300.37</v>
      </c>
      <c r="Q78" s="1156" t="str">
        <f t="shared" si="6"/>
        <v>-</v>
      </c>
      <c r="R78" s="96" t="str">
        <f t="shared" si="7"/>
        <v>-</v>
      </c>
      <c r="S78" s="1158" t="str">
        <f t="shared" si="8"/>
        <v>-</v>
      </c>
      <c r="U78" s="1518">
        <v>7.0</v>
      </c>
      <c r="V78" s="989">
        <f t="array" ref="V78">SMALL(IF($E:$E="Yes", $P:$P), U55)</f>
        <v>276.49</v>
      </c>
      <c r="W78" s="1524">
        <f t="array" ref="W78">INDEX($C:$C, MATCH(V78,$P:$P* ("Yes"=$E:$E),0))</f>
        <v>2021</v>
      </c>
      <c r="X78" s="1524" t="str">
        <f t="array" ref="X78">INDEX($D:$D, MATCH(V78,$P:$P* ("Yes"=$E:$E),0))</f>
        <v>WILD CARD</v>
      </c>
      <c r="Y78" s="991" t="str">
        <f t="array" ref="Y78">INDEX($L:$L, MATCH(V78,$P:$P* ("Yes"=$E:$E),0))</f>
        <v>POPEYES</v>
      </c>
      <c r="Z78" s="1524" t="str">
        <f t="array" ref="Z78">INDEX($M:$M, MATCH(V78,$P:$P* ("Yes"=$E:$E),0))</f>
        <v>SAVAGES</v>
      </c>
      <c r="AA78" s="1526" t="str">
        <f t="array" ref="AA78">"PVE FFL PLAYOFF " &amp; INDEX($B:$B, MATCH(V78,$P:$P* ("Yes"=$E:$E),0))</f>
        <v>PVE FFL PLAYOFF 24</v>
      </c>
      <c r="AR78" s="314"/>
      <c r="AS78" s="314"/>
    </row>
    <row r="79" ht="15.75" customHeight="1">
      <c r="B79" s="13">
        <v>78.0</v>
      </c>
      <c r="C79" s="1513">
        <v>2025.0</v>
      </c>
      <c r="D79" s="1172" t="s">
        <v>1174</v>
      </c>
      <c r="E79" s="314" t="str">
        <f t="shared" si="1"/>
        <v>-</v>
      </c>
      <c r="F79" s="1168" t="s">
        <v>588</v>
      </c>
      <c r="G79" s="960" t="s">
        <v>671</v>
      </c>
      <c r="H79" s="1498" t="s">
        <v>578</v>
      </c>
      <c r="I79" s="1495">
        <v>125.94</v>
      </c>
      <c r="J79" s="748">
        <v>205.92</v>
      </c>
      <c r="K79" s="1502" t="s">
        <v>497</v>
      </c>
      <c r="L79" s="965" t="str">
        <f t="shared" si="2"/>
        <v>SAVAGES</v>
      </c>
      <c r="M79" s="966" t="str">
        <f t="shared" si="3"/>
        <v>METAMOOKDAWGS</v>
      </c>
      <c r="N79" s="967">
        <f t="array" ref="N79">IFERROR(IF(ABS(I79-J79)=0,Tie,ABS(I79-J79)),"UPCOMING")</f>
        <v>79.98</v>
      </c>
      <c r="O79" s="1156" t="str">
        <f t="shared" si="4"/>
        <v>-</v>
      </c>
      <c r="P79" s="967">
        <f t="shared" si="5"/>
        <v>331.86</v>
      </c>
      <c r="Q79" s="1156" t="str">
        <f t="shared" si="6"/>
        <v>-</v>
      </c>
      <c r="R79" s="96" t="str">
        <f t="shared" si="7"/>
        <v>-</v>
      </c>
      <c r="S79" s="1158" t="str">
        <f t="shared" si="8"/>
        <v>-</v>
      </c>
      <c r="U79" s="1527">
        <v>8.0</v>
      </c>
      <c r="V79" s="989">
        <f t="array" ref="V79">SMALL(IF($E:$E="Yes", $P:$P), U56)</f>
        <v>284.49</v>
      </c>
      <c r="W79" s="1524">
        <f t="array" ref="W79">INDEX($C:$C, MATCH(V79,$P:$P* ("Yes"=$E:$E),0))</f>
        <v>2021</v>
      </c>
      <c r="X79" s="1524" t="str">
        <f t="array" ref="X79">INDEX($D:$D, MATCH(V79,$P:$P* ("Yes"=$E:$E),0))</f>
        <v>WILD CARD</v>
      </c>
      <c r="Y79" s="991" t="str">
        <f t="array" ref="Y79">INDEX($L:$L, MATCH(V79,$P:$P* ("Yes"=$E:$E),0))</f>
        <v>CHAMPS</v>
      </c>
      <c r="Z79" s="1524" t="str">
        <f t="array" ref="Z79">INDEX($M:$M, MATCH(V79,$P:$P* ("Yes"=$E:$E),0))</f>
        <v>YARDIES</v>
      </c>
      <c r="AA79" s="1526" t="str">
        <f t="array" ref="AA79">"PVE FFL PLAYOFF " &amp; INDEX($B:$B, MATCH(V79,$P:$P* ("Yes"=$E:$E),0))</f>
        <v>PVE FFL PLAYOFF 25</v>
      </c>
      <c r="AR79" s="314"/>
      <c r="AS79" s="314"/>
    </row>
    <row r="80" ht="15.75" customHeight="1">
      <c r="B80" s="13">
        <v>79.0</v>
      </c>
      <c r="C80" s="1513">
        <v>2025.0</v>
      </c>
      <c r="D80" s="1191" t="s">
        <v>1175</v>
      </c>
      <c r="E80" s="314" t="str">
        <f t="shared" si="1"/>
        <v>-</v>
      </c>
      <c r="F80" s="1168" t="s">
        <v>588</v>
      </c>
      <c r="G80" s="960" t="s">
        <v>1018</v>
      </c>
      <c r="H80" s="1498" t="s">
        <v>477</v>
      </c>
      <c r="I80" s="1495">
        <v>139.68</v>
      </c>
      <c r="J80" s="748">
        <v>128.32</v>
      </c>
      <c r="K80" s="1502" t="s">
        <v>478</v>
      </c>
      <c r="L80" s="965" t="str">
        <f t="shared" si="2"/>
        <v>KINGS</v>
      </c>
      <c r="M80" s="966" t="str">
        <f t="shared" si="3"/>
        <v>EAGLES</v>
      </c>
      <c r="N80" s="967">
        <f t="array" ref="N80">IFERROR(IF(ABS(I80-J80)=0,Tie,ABS(I80-J80)),"UPCOMING")</f>
        <v>11.36</v>
      </c>
      <c r="O80" s="1156" t="str">
        <f t="shared" si="4"/>
        <v>-</v>
      </c>
      <c r="P80" s="967">
        <f t="shared" si="5"/>
        <v>268</v>
      </c>
      <c r="Q80" s="1156" t="str">
        <f t="shared" si="6"/>
        <v>-</v>
      </c>
      <c r="R80" s="96" t="str">
        <f t="shared" si="7"/>
        <v>-</v>
      </c>
      <c r="S80" s="1158" t="str">
        <f t="shared" si="8"/>
        <v>-</v>
      </c>
      <c r="U80" s="1518">
        <v>9.0</v>
      </c>
      <c r="V80" s="989">
        <f t="array" ref="V80">SMALL(IF($E:$E="Yes", $P:$P), U57)</f>
        <v>299.4</v>
      </c>
      <c r="W80" s="1524">
        <f t="array" ref="W80">INDEX($C:$C, MATCH(V80,$P:$P* ("Yes"=$E:$E),0))</f>
        <v>2021</v>
      </c>
      <c r="X80" s="1524" t="str">
        <f t="array" ref="X80">INDEX($D:$D, MATCH(V80,$P:$P* ("Yes"=$E:$E),0))</f>
        <v>FANTASY BOWL</v>
      </c>
      <c r="Y80" s="991" t="str">
        <f t="array" ref="Y80">INDEX($L:$L, MATCH(V80,$P:$P* ("Yes"=$E:$E),0))</f>
        <v>DECOUPES</v>
      </c>
      <c r="Z80" s="1524" t="str">
        <f t="array" ref="Z80">INDEX($M:$M, MATCH(V80,$P:$P* ("Yes"=$E:$E),0))</f>
        <v>CHAMPS</v>
      </c>
      <c r="AA80" s="1526" t="str">
        <f t="array" ref="AA80">"PVE FFL PLAYOFF " &amp; INDEX($B:$B, MATCH(V80,$P:$P* ("Yes"=$E:$E),0))</f>
        <v>PVE FFL PLAYOFF 33</v>
      </c>
      <c r="AR80" s="314"/>
      <c r="AS80" s="314"/>
    </row>
    <row r="81" ht="15.75" customHeight="1">
      <c r="B81" s="13">
        <v>80.0</v>
      </c>
      <c r="C81" s="1513">
        <v>2025.0</v>
      </c>
      <c r="D81" s="498" t="s">
        <v>742</v>
      </c>
      <c r="E81" s="314" t="str">
        <f t="shared" si="1"/>
        <v>YES</v>
      </c>
      <c r="F81" s="1190" t="s">
        <v>589</v>
      </c>
      <c r="G81" s="960" t="s">
        <v>663</v>
      </c>
      <c r="H81" s="1498" t="s">
        <v>494</v>
      </c>
      <c r="I81" s="1495">
        <v>157.12</v>
      </c>
      <c r="J81" s="748">
        <v>157.2</v>
      </c>
      <c r="K81" s="1502" t="s">
        <v>537</v>
      </c>
      <c r="L81" s="965" t="str">
        <f t="shared" si="2"/>
        <v>YARDIES</v>
      </c>
      <c r="M81" s="966" t="str">
        <f t="shared" si="3"/>
        <v>POPEYES</v>
      </c>
      <c r="N81" s="967">
        <f t="array" ref="N81">IFERROR(IF(ABS(I81-J81)=0,Tie,ABS(I81-J81)),"UPCOMING")</f>
        <v>0.08</v>
      </c>
      <c r="O81" s="1156">
        <f t="shared" si="4"/>
        <v>2</v>
      </c>
      <c r="P81" s="967">
        <f t="shared" si="5"/>
        <v>314.32</v>
      </c>
      <c r="Q81" s="1156">
        <f t="shared" si="6"/>
        <v>46</v>
      </c>
      <c r="R81" s="96">
        <f t="shared" si="7"/>
        <v>24</v>
      </c>
      <c r="S81" s="1158">
        <f t="shared" si="8"/>
        <v>7</v>
      </c>
      <c r="U81" s="1527">
        <v>10.0</v>
      </c>
      <c r="V81" s="989">
        <f t="array" ref="V81">SMALL(IF($E:$E="Yes", $P:$P), U58)</f>
        <v>303.43</v>
      </c>
      <c r="W81" s="1524">
        <f t="array" ref="W81">INDEX($C:$C, MATCH(V81,$P:$P* ("Yes"=$E:$E),0))</f>
        <v>2024</v>
      </c>
      <c r="X81" s="1524" t="str">
        <f t="array" ref="X81">INDEX($D:$D, MATCH(V81,$P:$P* ("Yes"=$E:$E),0))</f>
        <v>FANTASY BOWL</v>
      </c>
      <c r="Y81" s="991" t="str">
        <f t="array" ref="Y81">INDEX($L:$L, MATCH(V81,$P:$P* ("Yes"=$E:$E),0))</f>
        <v>YARDIES</v>
      </c>
      <c r="Z81" s="1524" t="str">
        <f t="array" ref="Z81">INDEX($M:$M, MATCH(V81,$P:$P* ("Yes"=$E:$E),0))</f>
        <v>KINGS</v>
      </c>
      <c r="AA81" s="1526" t="str">
        <f t="array" ref="AA81">"PVE FFL PLAYOFF " &amp; INDEX($B:$B, MATCH(V81,$P:$P* ("Yes"=$E:$E),0))</f>
        <v>PVE FFL PLAYOFF 69</v>
      </c>
      <c r="AR81" s="314"/>
      <c r="AS81" s="314"/>
    </row>
    <row r="82" ht="15.75" customHeight="1">
      <c r="B82" s="13">
        <v>81.0</v>
      </c>
      <c r="C82" s="1513">
        <v>2025.0</v>
      </c>
      <c r="D82" s="1193" t="s">
        <v>1177</v>
      </c>
      <c r="E82" s="1194" t="str">
        <f t="shared" si="1"/>
        <v>-</v>
      </c>
      <c r="F82" s="1195" t="s">
        <v>589</v>
      </c>
      <c r="G82" s="1196" t="s">
        <v>665</v>
      </c>
      <c r="H82" s="1506" t="s">
        <v>495</v>
      </c>
      <c r="I82" s="1507">
        <v>170.51</v>
      </c>
      <c r="J82" s="1508">
        <v>177.54</v>
      </c>
      <c r="K82" s="1509" t="s">
        <v>538</v>
      </c>
      <c r="L82" s="1201" t="str">
        <f t="shared" si="2"/>
        <v>MUTTS</v>
      </c>
      <c r="M82" s="1202" t="str">
        <f t="shared" si="3"/>
        <v>GREEN</v>
      </c>
      <c r="N82" s="1203">
        <f t="array" ref="N82">IFERROR(IF(ABS(I82-J82)=0,Tie,ABS(I82-J82)),"UPCOMING")</f>
        <v>7.03</v>
      </c>
      <c r="O82" s="1204" t="str">
        <f t="shared" si="4"/>
        <v>-</v>
      </c>
      <c r="P82" s="1203">
        <f t="shared" si="5"/>
        <v>348.05</v>
      </c>
      <c r="Q82" s="1204" t="str">
        <f t="shared" si="6"/>
        <v>-</v>
      </c>
      <c r="R82" s="1205" t="str">
        <f t="shared" si="7"/>
        <v>-</v>
      </c>
      <c r="S82" s="1206" t="str">
        <f t="shared" si="8"/>
        <v>-</v>
      </c>
      <c r="U82" s="1518">
        <v>11.0</v>
      </c>
      <c r="V82" s="989">
        <f t="array" ref="V82">SMALL(IF($E:$E="Yes", $P:$P), U59)</f>
        <v>304.55</v>
      </c>
      <c r="W82" s="1524">
        <f t="array" ref="W82">INDEX($C:$C, MATCH(V82,$P:$P* ("Yes"=$E:$E),0))</f>
        <v>2021</v>
      </c>
      <c r="X82" s="1524" t="str">
        <f t="array" ref="X82">INDEX($D:$D, MATCH(V82,$P:$P* ("Yes"=$E:$E),0))</f>
        <v>WILD CARD</v>
      </c>
      <c r="Y82" s="991" t="str">
        <f t="array" ref="Y82">INDEX($L:$L, MATCH(V82,$P:$P* ("Yes"=$E:$E),0))</f>
        <v>DECOUPES</v>
      </c>
      <c r="Z82" s="1524" t="str">
        <f t="array" ref="Z82">INDEX($M:$M, MATCH(V82,$P:$P* ("Yes"=$E:$E),0))</f>
        <v>GREEN</v>
      </c>
      <c r="AA82" s="1526" t="str">
        <f t="array" ref="AA82">"PVE FFL PLAYOFF " &amp; INDEX($B:$B, MATCH(V82,$P:$P* ("Yes"=$E:$E),0))</f>
        <v>PVE FFL PLAYOFF 23</v>
      </c>
      <c r="AR82" s="314"/>
      <c r="AS82" s="314"/>
    </row>
    <row r="83" ht="15.75" customHeight="1">
      <c r="E83" s="314"/>
      <c r="F83" s="314"/>
      <c r="H83" s="1149"/>
      <c r="I83" s="1538"/>
      <c r="J83" s="365"/>
      <c r="K83" s="428"/>
      <c r="O83" s="314"/>
      <c r="Q83" s="314"/>
      <c r="R83" s="201"/>
      <c r="S83" s="314"/>
      <c r="U83" s="1527">
        <v>12.0</v>
      </c>
      <c r="V83" s="989">
        <f t="array" ref="V83">SMALL(IF($E:$E="Yes", $P:$P), U60)</f>
        <v>305.81</v>
      </c>
      <c r="W83" s="1524">
        <f t="array" ref="W83">INDEX($C:$C, MATCH(V83,$P:$P* ("Yes"=$E:$E),0))</f>
        <v>2019</v>
      </c>
      <c r="X83" s="1524" t="str">
        <f t="array" ref="X83">INDEX($D:$D, MATCH(V83,$P:$P* ("Yes"=$E:$E),0))</f>
        <v>DIV CHAMP</v>
      </c>
      <c r="Y83" s="991" t="str">
        <f t="array" ref="Y83">INDEX($L:$L, MATCH(V83,$P:$P* ("Yes"=$E:$E),0))</f>
        <v>SAVAGES</v>
      </c>
      <c r="Z83" s="1524" t="str">
        <f t="array" ref="Z83">INDEX($M:$M, MATCH(V83,$P:$P* ("Yes"=$E:$E),0))</f>
        <v>DECOUPES</v>
      </c>
      <c r="AA83" s="1526" t="str">
        <f t="array" ref="AA83">"PVE FFL PLAYOFF " &amp; INDEX($B:$B, MATCH(V83,$P:$P* ("Yes"=$E:$E),0))</f>
        <v>PVE FFL PLAYOFF 4</v>
      </c>
      <c r="AR83" s="314"/>
      <c r="AS83" s="314"/>
    </row>
    <row r="84" ht="15.75" customHeight="1">
      <c r="E84" s="314"/>
      <c r="F84" s="314"/>
      <c r="H84" s="1149"/>
      <c r="I84" s="1538"/>
      <c r="J84" s="365"/>
      <c r="K84" s="428"/>
      <c r="O84" s="314"/>
      <c r="Q84" s="314"/>
      <c r="R84" s="201"/>
      <c r="S84" s="314"/>
      <c r="U84" s="1518">
        <v>13.0</v>
      </c>
      <c r="V84" s="989">
        <f t="array" ref="V84">SMALL(IF($E:$E="Yes", $P:$P), U61)</f>
        <v>314.32</v>
      </c>
      <c r="W84" s="1524">
        <f t="array" ref="W84">INDEX($C:$C, MATCH(V84,$P:$P* ("Yes"=$E:$E),0))</f>
        <v>2025</v>
      </c>
      <c r="X84" s="1524" t="str">
        <f t="array" ref="X84">INDEX($D:$D, MATCH(V84,$P:$P* ("Yes"=$E:$E),0))</f>
        <v>FANTASY BOWL</v>
      </c>
      <c r="Y84" s="991" t="str">
        <f t="array" ref="Y84">INDEX($L:$L, MATCH(V84,$P:$P* ("Yes"=$E:$E),0))</f>
        <v>YARDIES</v>
      </c>
      <c r="Z84" s="1524" t="str">
        <f t="array" ref="Z84">INDEX($M:$M, MATCH(V84,$P:$P* ("Yes"=$E:$E),0))</f>
        <v>POPEYES</v>
      </c>
      <c r="AA84" s="1526" t="str">
        <f t="array" ref="AA84">"PVE FFL PLAYOFF " &amp; INDEX($B:$B, MATCH(V84,$P:$P* ("Yes"=$E:$E),0))</f>
        <v>PVE FFL PLAYOFF 80</v>
      </c>
      <c r="AR84" s="314"/>
      <c r="AS84" s="314"/>
    </row>
    <row r="85" ht="15.75" customHeight="1">
      <c r="E85" s="314"/>
      <c r="F85" s="314"/>
      <c r="H85" s="1149"/>
      <c r="I85" s="1538"/>
      <c r="J85" s="365"/>
      <c r="K85" s="428"/>
      <c r="O85" s="314"/>
      <c r="Q85" s="314"/>
      <c r="R85" s="201"/>
      <c r="S85" s="314"/>
      <c r="U85" s="1527">
        <v>14.0</v>
      </c>
      <c r="V85" s="989">
        <f t="array" ref="V85">SMALL(IF($E:$E="Yes", $P:$P), U62)</f>
        <v>319.32</v>
      </c>
      <c r="W85" s="1524">
        <f t="array" ref="W85">INDEX($C:$C, MATCH(V85,$P:$P* ("Yes"=$E:$E),0))</f>
        <v>2024</v>
      </c>
      <c r="X85" s="1524" t="str">
        <f t="array" ref="X85">INDEX($D:$D, MATCH(V85,$P:$P* ("Yes"=$E:$E),0))</f>
        <v>WILD CARD</v>
      </c>
      <c r="Y85" s="991" t="str">
        <f t="array" ref="Y85">INDEX($L:$L, MATCH(V85,$P:$P* ("Yes"=$E:$E),0))</f>
        <v>EAGLES</v>
      </c>
      <c r="Z85" s="1524" t="str">
        <f t="array" ref="Z85">INDEX($M:$M, MATCH(V85,$P:$P* ("Yes"=$E:$E),0))</f>
        <v>MUTTS</v>
      </c>
      <c r="AA85" s="1526" t="str">
        <f t="array" ref="AA85">"PVE FFL PLAYOFF " &amp; INDEX($B:$B, MATCH(V85,$P:$P* ("Yes"=$E:$E),0))</f>
        <v>PVE FFL PLAYOFF 61</v>
      </c>
      <c r="AR85" s="314"/>
      <c r="AS85" s="314"/>
    </row>
    <row r="86" ht="15.75" customHeight="1">
      <c r="E86" s="314"/>
      <c r="F86" s="314"/>
      <c r="H86" s="1149"/>
      <c r="I86" s="1538"/>
      <c r="J86" s="365"/>
      <c r="K86" s="428"/>
      <c r="O86" s="314"/>
      <c r="Q86" s="314"/>
      <c r="R86" s="201"/>
      <c r="S86" s="314"/>
      <c r="U86" s="1518">
        <v>15.0</v>
      </c>
      <c r="V86" s="989">
        <f t="array" ref="V86">SMALL(IF($E:$E="Yes", $P:$P), U63)</f>
        <v>324</v>
      </c>
      <c r="W86" s="1524">
        <f t="array" ref="W86">INDEX($C:$C, MATCH(V86,$P:$P* ("Yes"=$E:$E),0))</f>
        <v>2024</v>
      </c>
      <c r="X86" s="1524" t="str">
        <f t="array" ref="X86">INDEX($D:$D, MATCH(V86,$P:$P* ("Yes"=$E:$E),0))</f>
        <v>DIV CHAMP</v>
      </c>
      <c r="Y86" s="991" t="str">
        <f t="array" ref="Y86">INDEX($L:$L, MATCH(V86,$P:$P* ("Yes"=$E:$E),0))</f>
        <v>YARDIES</v>
      </c>
      <c r="Z86" s="1524" t="str">
        <f t="array" ref="Z86">INDEX($M:$M, MATCH(V86,$P:$P* ("Yes"=$E:$E),0))</f>
        <v>EAGLES</v>
      </c>
      <c r="AA86" s="1526" t="str">
        <f t="array" ref="AA86">"PVE FFL PLAYOFF " &amp; INDEX($B:$B, MATCH(V86,$P:$P* ("Yes"=$E:$E),0))</f>
        <v>PVE FFL PLAYOFF 65</v>
      </c>
      <c r="AR86" s="314"/>
      <c r="AS86" s="314"/>
    </row>
    <row r="87" ht="15.75" customHeight="1">
      <c r="E87" s="314"/>
      <c r="F87" s="314"/>
      <c r="H87" s="1149"/>
      <c r="I87" s="1538"/>
      <c r="J87" s="365"/>
      <c r="K87" s="428"/>
      <c r="O87" s="314"/>
      <c r="Q87" s="314"/>
      <c r="R87" s="201"/>
      <c r="S87" s="314"/>
      <c r="U87" s="1527">
        <v>16.0</v>
      </c>
      <c r="V87" s="989">
        <f t="array" ref="V87">SMALL(IF($E:$E="Yes", $P:$P), U64)</f>
        <v>325.15</v>
      </c>
      <c r="W87" s="1524">
        <f t="array" ref="W87">INDEX($C:$C, MATCH(V87,$P:$P* ("Yes"=$E:$E),0))</f>
        <v>2022</v>
      </c>
      <c r="X87" s="1524" t="str">
        <f t="array" ref="X87">INDEX($D:$D, MATCH(V87,$P:$P* ("Yes"=$E:$E),0))</f>
        <v>FANTASY BOWL</v>
      </c>
      <c r="Y87" s="991" t="str">
        <f t="array" ref="Y87">INDEX($L:$L, MATCH(V87,$P:$P* ("Yes"=$E:$E),0))</f>
        <v>GREEN</v>
      </c>
      <c r="Z87" s="1524" t="str">
        <f t="array" ref="Z87">INDEX($M:$M, MATCH(V87,$P:$P* ("Yes"=$E:$E),0))</f>
        <v>MUTTS</v>
      </c>
      <c r="AA87" s="1526" t="str">
        <f t="array" ref="AA87">"PVE FFL PLAYOFF " &amp; INDEX($B:$B, MATCH(V87,$P:$P* ("Yes"=$E:$E),0))</f>
        <v>PVE FFL PLAYOFF 45</v>
      </c>
      <c r="AR87" s="314"/>
      <c r="AS87" s="314"/>
    </row>
    <row r="88" ht="15.75" customHeight="1">
      <c r="E88" s="314"/>
      <c r="F88" s="314"/>
      <c r="H88" s="1149"/>
      <c r="I88" s="1538"/>
      <c r="J88" s="365"/>
      <c r="K88" s="428"/>
      <c r="O88" s="314"/>
      <c r="Q88" s="314"/>
      <c r="R88" s="201"/>
      <c r="S88" s="314"/>
      <c r="U88" s="1518">
        <v>17.0</v>
      </c>
      <c r="V88" s="989">
        <f t="array" ref="V88">SMALL(IF($E:$E="Yes", $P:$P), U65)</f>
        <v>338.69</v>
      </c>
      <c r="W88" s="1524">
        <f t="array" ref="W88">INDEX($C:$C, MATCH(V88,$P:$P* ("Yes"=$E:$E),0))</f>
        <v>2025</v>
      </c>
      <c r="X88" s="1524" t="str">
        <f t="array" ref="X88">INDEX($D:$D, MATCH(V88,$P:$P* ("Yes"=$E:$E),0))</f>
        <v>WILD CARD</v>
      </c>
      <c r="Y88" s="991" t="str">
        <f t="array" ref="Y88">INDEX($L:$L, MATCH(V88,$P:$P* ("Yes"=$E:$E),0))</f>
        <v>POPEYES</v>
      </c>
      <c r="Z88" s="1524" t="str">
        <f t="array" ref="Z88">INDEX($M:$M, MATCH(V88,$P:$P* ("Yes"=$E:$E),0))</f>
        <v>DECOUPES</v>
      </c>
      <c r="AA88" s="1526" t="str">
        <f t="array" ref="AA88">"PVE FFL PLAYOFF " &amp; INDEX($B:$B, MATCH(V88,$P:$P* ("Yes"=$E:$E),0))</f>
        <v>PVE FFL PLAYOFF 71</v>
      </c>
      <c r="AR88" s="314"/>
      <c r="AS88" s="314"/>
    </row>
    <row r="89" ht="15.75" customHeight="1">
      <c r="E89" s="314"/>
      <c r="F89" s="314"/>
      <c r="H89" s="1149"/>
      <c r="I89" s="1538"/>
      <c r="J89" s="365"/>
      <c r="K89" s="428"/>
      <c r="O89" s="314"/>
      <c r="Q89" s="314"/>
      <c r="R89" s="201"/>
      <c r="S89" s="314"/>
      <c r="U89" s="1527">
        <v>18.0</v>
      </c>
      <c r="V89" s="989">
        <f t="array" ref="V89">SMALL(IF($E:$E="Yes", $P:$P), U66)</f>
        <v>341.8</v>
      </c>
      <c r="W89" s="1524">
        <f t="array" ref="W89">INDEX($C:$C, MATCH(V89,$P:$P* ("Yes"=$E:$E),0))</f>
        <v>2025</v>
      </c>
      <c r="X89" s="1524" t="str">
        <f t="array" ref="X89">INDEX($D:$D, MATCH(V89,$P:$P* ("Yes"=$E:$E),0))</f>
        <v>DIV CHAMP</v>
      </c>
      <c r="Y89" s="991" t="str">
        <f t="array" ref="Y89">INDEX($L:$L, MATCH(V89,$P:$P* ("Yes"=$E:$E),0))</f>
        <v>YARDIES</v>
      </c>
      <c r="Z89" s="1524" t="str">
        <f t="array" ref="Z89">INDEX($M:$M, MATCH(V89,$P:$P* ("Yes"=$E:$E),0))</f>
        <v>MUTTS</v>
      </c>
      <c r="AA89" s="1526" t="str">
        <f t="array" ref="AA89">"PVE FFL PLAYOFF " &amp; INDEX($B:$B, MATCH(V89,$P:$P* ("Yes"=$E:$E),0))</f>
        <v>PVE FFL PLAYOFF 76</v>
      </c>
      <c r="AR89" s="314"/>
      <c r="AS89" s="314"/>
    </row>
    <row r="90" ht="15.75" customHeight="1">
      <c r="E90" s="314"/>
      <c r="F90" s="314"/>
      <c r="H90" s="1149"/>
      <c r="I90" s="1538"/>
      <c r="J90" s="365"/>
      <c r="K90" s="428"/>
      <c r="O90" s="314"/>
      <c r="Q90" s="314"/>
      <c r="R90" s="201"/>
      <c r="S90" s="314"/>
      <c r="U90" s="1518">
        <v>19.0</v>
      </c>
      <c r="V90" s="989">
        <f t="array" ref="V90">SMALL(IF($E:$E="Yes", $P:$P), U67)</f>
        <v>343.8</v>
      </c>
      <c r="W90" s="1524">
        <f t="array" ref="W90">INDEX($C:$C, MATCH(V90,$P:$P* ("Yes"=$E:$E),0))</f>
        <v>2019</v>
      </c>
      <c r="X90" s="1524" t="str">
        <f t="array" ref="X90">INDEX($D:$D, MATCH(V90,$P:$P* ("Yes"=$E:$E),0))</f>
        <v>FANTASY BOWL</v>
      </c>
      <c r="Y90" s="991" t="str">
        <f t="array" ref="Y90">INDEX($L:$L, MATCH(V90,$P:$P* ("Yes"=$E:$E),0))</f>
        <v>SAVAGES</v>
      </c>
      <c r="Z90" s="1524" t="str">
        <f t="array" ref="Z90">INDEX($M:$M, MATCH(V90,$P:$P* ("Yes"=$E:$E),0))</f>
        <v>METAMOOKDAWGS</v>
      </c>
      <c r="AA90" s="1526" t="str">
        <f t="array" ref="AA90">"PVE FFL PLAYOFF " &amp; INDEX($B:$B, MATCH(V90,$P:$P* ("Yes"=$E:$E),0))</f>
        <v>PVE FFL PLAYOFF 8</v>
      </c>
      <c r="AR90" s="314"/>
      <c r="AS90" s="314"/>
    </row>
    <row r="91" ht="15.75" customHeight="1">
      <c r="E91" s="314"/>
      <c r="F91" s="314"/>
      <c r="H91" s="1149"/>
      <c r="I91" s="1538"/>
      <c r="J91" s="365"/>
      <c r="K91" s="428"/>
      <c r="O91" s="314"/>
      <c r="Q91" s="314"/>
      <c r="R91" s="201"/>
      <c r="S91" s="314"/>
      <c r="U91" s="1543">
        <v>20.0</v>
      </c>
      <c r="V91" s="1019">
        <f t="array" ref="V91">SMALL(IF($E:$E="Yes", $P:$P), U68)</f>
        <v>348.19</v>
      </c>
      <c r="W91" s="1524">
        <f t="array" ref="W91">INDEX($C:$C, MATCH(V91,$P:$P* ("Yes"=$E:$E),0))</f>
        <v>2022</v>
      </c>
      <c r="X91" s="1524" t="str">
        <f t="array" ref="X91">INDEX($D:$D, MATCH(V91,$P:$P* ("Yes"=$E:$E),0))</f>
        <v>WILD CARD</v>
      </c>
      <c r="Y91" s="1021" t="str">
        <f t="array" ref="Y91">INDEX($L:$L, MATCH(V91,$P:$P* ("Yes"=$E:$E),0))</f>
        <v>MUTTS</v>
      </c>
      <c r="Z91" s="1545" t="str">
        <f t="array" ref="Z91">INDEX($M:$M, MATCH(V91,$P:$P* ("Yes"=$E:$E),0))</f>
        <v>CHAMPS</v>
      </c>
      <c r="AA91" s="1526" t="str">
        <f t="array" ref="AA91">"PVE FFL PLAYOFF " &amp; INDEX($B:$B, MATCH(V91,$P:$P* ("Yes"=$E:$E),0))</f>
        <v>PVE FFL PLAYOFF 38</v>
      </c>
      <c r="AR91" s="314"/>
      <c r="AS91" s="314"/>
    </row>
    <row r="92" ht="15.75" customHeight="1">
      <c r="E92" s="314"/>
      <c r="F92" s="314"/>
      <c r="H92" s="1149"/>
      <c r="I92" s="1538"/>
      <c r="J92" s="365"/>
      <c r="K92" s="428"/>
      <c r="O92" s="314"/>
      <c r="Q92" s="314"/>
      <c r="R92" s="201"/>
      <c r="S92" s="314"/>
      <c r="AR92" s="314"/>
      <c r="AS92" s="314"/>
    </row>
    <row r="93" ht="15.75" customHeight="1">
      <c r="E93" s="314"/>
      <c r="F93" s="314"/>
      <c r="H93" s="1149"/>
      <c r="I93" s="1538"/>
      <c r="J93" s="365"/>
      <c r="K93" s="428"/>
      <c r="O93" s="314"/>
      <c r="Q93" s="314"/>
      <c r="R93" s="201"/>
      <c r="S93" s="314"/>
      <c r="U93" s="971" t="s">
        <v>1615</v>
      </c>
      <c r="V93" s="23"/>
      <c r="W93" s="23"/>
      <c r="X93" s="23"/>
      <c r="Y93" s="23"/>
      <c r="Z93" s="23"/>
      <c r="AA93" s="23"/>
      <c r="AB93" s="23"/>
      <c r="AC93" s="29"/>
      <c r="AR93" s="314"/>
      <c r="AS93" s="314"/>
    </row>
    <row r="94" ht="15.75" customHeight="1">
      <c r="E94" s="314"/>
      <c r="F94" s="314"/>
      <c r="H94" s="1149"/>
      <c r="I94" s="1538"/>
      <c r="J94" s="365"/>
      <c r="K94" s="428"/>
      <c r="O94" s="314"/>
      <c r="Q94" s="314"/>
      <c r="R94" s="201"/>
      <c r="S94" s="314"/>
      <c r="U94" s="1510" t="s">
        <v>148</v>
      </c>
      <c r="V94" s="1511" t="s">
        <v>151</v>
      </c>
      <c r="W94" s="1511" t="s">
        <v>153</v>
      </c>
      <c r="X94" s="1511" t="s">
        <v>30</v>
      </c>
      <c r="Y94" s="1511" t="s">
        <v>155</v>
      </c>
      <c r="Z94" s="1511" t="s">
        <v>156</v>
      </c>
      <c r="AA94" s="1511" t="s">
        <v>157</v>
      </c>
      <c r="AB94" s="1511" t="s">
        <v>159</v>
      </c>
      <c r="AC94" s="1512" t="s">
        <v>161</v>
      </c>
      <c r="AR94" s="314"/>
      <c r="AS94" s="314"/>
    </row>
    <row r="95" ht="15.75" customHeight="1">
      <c r="E95" s="314"/>
      <c r="F95" s="314"/>
      <c r="H95" s="1149"/>
      <c r="I95" s="1538"/>
      <c r="J95" s="365"/>
      <c r="K95" s="428"/>
      <c r="O95" s="314"/>
      <c r="Q95" s="314"/>
      <c r="R95" s="201"/>
      <c r="S95" s="314"/>
      <c r="U95" s="1518">
        <v>1.0</v>
      </c>
      <c r="V95" s="989">
        <f t="array" ref="V95">INDEX($R:$R, MATCH(U95,$S:$S* ("Yes"=$E:$E),0))</f>
        <v>4</v>
      </c>
      <c r="W95" s="1524">
        <f t="array" ref="W95">INDEX($C:$C, MATCH(U95,$S:$S* ("Yes"=$E:$E),0))</f>
        <v>2020</v>
      </c>
      <c r="X95" s="1524" t="str">
        <f t="array" ref="X95">INDEX($D:$D, MATCH(U95,$S:$S* ("Yes"=$E:$E),0))</f>
        <v>DIV CHAMP</v>
      </c>
      <c r="Y95" s="991" t="str">
        <f t="array" ref="Y95">INDEX($L:$L, MATCH(U95,$S:$S* ("Yes"=$E:$E),0))</f>
        <v>METAMOOKDAWGS</v>
      </c>
      <c r="Z95" s="1524" t="str">
        <f t="array" ref="Z95">INDEX($M:$M, MATCH(U95,$S:$S* ("Yes"=$E:$E),0))</f>
        <v>MUTTS</v>
      </c>
      <c r="AA95" s="1524" t="str">
        <f t="array" ref="AA95">"PVE FFL PLAYOFF " &amp; INDEX($B:$B, MATCH(U95,$S:$S* ("Yes"=$E:$E),0))</f>
        <v>PVE FFL PLAYOFF 16</v>
      </c>
      <c r="AB95" s="989">
        <f t="array" ref="AB95">INDEX($N:$N, MATCH(U95,$S:$S* ("Yes"=$E:$E),0))</f>
        <v>1.14</v>
      </c>
      <c r="AC95" s="1546">
        <f t="array" ref="AC95">INDEX($P:$P, MATCH(U95,$S:$S* ("Yes"=$E:$E),0))</f>
        <v>437.12</v>
      </c>
      <c r="AR95" s="314"/>
      <c r="AS95" s="314"/>
    </row>
    <row r="96" ht="15.75" customHeight="1">
      <c r="E96" s="314"/>
      <c r="F96" s="314"/>
      <c r="H96" s="1149"/>
      <c r="I96" s="1538"/>
      <c r="J96" s="365"/>
      <c r="K96" s="428"/>
      <c r="O96" s="314"/>
      <c r="Q96" s="314"/>
      <c r="R96" s="201"/>
      <c r="S96" s="314"/>
      <c r="U96" s="1527">
        <v>2.0</v>
      </c>
      <c r="V96" s="989">
        <f t="array" ref="V96">INDEX($R:$R, MATCH(U96,$S:$S* ("Yes"=$E:$E),0))</f>
        <v>11</v>
      </c>
      <c r="W96" s="1524">
        <f t="array" ref="W96">INDEX($C:$C, MATCH(U96,$S:$S* ("Yes"=$E:$E),0))</f>
        <v>2020</v>
      </c>
      <c r="X96" s="1524" t="str">
        <f t="array" ref="X96">INDEX($D:$D, MATCH(U96,$S:$S* ("Yes"=$E:$E),0))</f>
        <v>WILD CARD</v>
      </c>
      <c r="Y96" s="991" t="str">
        <f t="array" ref="Y96">INDEX($L:$L, MATCH(U96,$S:$S* ("Yes"=$E:$E),0))</f>
        <v>SAVAGES</v>
      </c>
      <c r="Z96" s="1524" t="str">
        <f t="array" ref="Z96">INDEX($M:$M, MATCH(U96,$S:$S* ("Yes"=$E:$E),0))</f>
        <v>DECOUPES</v>
      </c>
      <c r="AA96" s="1524" t="str">
        <f t="array" ref="AA96">"PVE FFL PLAYOFF " &amp; INDEX($B:$B, MATCH(U96,$S:$S* ("Yes"=$E:$E),0))</f>
        <v>PVE FFL PLAYOFF 12</v>
      </c>
      <c r="AB96" s="989">
        <f t="array" ref="AB96">INDEX($N:$N, MATCH(U96,$S:$S* ("Yes"=$E:$E),0))</f>
        <v>10.73</v>
      </c>
      <c r="AC96" s="1546">
        <f t="array" ref="AC96">INDEX($P:$P, MATCH(U96,$S:$S* ("Yes"=$E:$E),0))</f>
        <v>501.47</v>
      </c>
      <c r="AR96" s="314"/>
      <c r="AS96" s="314"/>
    </row>
    <row r="97" ht="15.75" customHeight="1">
      <c r="E97" s="314"/>
      <c r="F97" s="314"/>
      <c r="H97" s="1149"/>
      <c r="I97" s="1538"/>
      <c r="J97" s="365"/>
      <c r="K97" s="428"/>
      <c r="O97" s="314"/>
      <c r="Q97" s="314"/>
      <c r="R97" s="201"/>
      <c r="S97" s="314"/>
      <c r="U97" s="1518">
        <v>3.0</v>
      </c>
      <c r="V97" s="989">
        <f t="array" ref="V97">INDEX($R:$R, MATCH(U97,$S:$S* ("Yes"=$E:$E),0))</f>
        <v>11.5</v>
      </c>
      <c r="W97" s="1524">
        <f t="array" ref="W97">INDEX($C:$C, MATCH(U97,$S:$S* ("Yes"=$E:$E),0))</f>
        <v>2023</v>
      </c>
      <c r="X97" s="1524" t="str">
        <f t="array" ref="X97">INDEX($D:$D, MATCH(U97,$S:$S* ("Yes"=$E:$E),0))</f>
        <v>DIV CHAMP</v>
      </c>
      <c r="Y97" s="991" t="str">
        <f t="array" ref="Y97">INDEX($L:$L, MATCH(U97,$S:$S* ("Yes"=$E:$E),0))</f>
        <v>POPEYES</v>
      </c>
      <c r="Z97" s="1524" t="str">
        <f t="array" ref="Z97">INDEX($M:$M, MATCH(U97,$S:$S* ("Yes"=$E:$E),0))</f>
        <v>DECOUPES</v>
      </c>
      <c r="AA97" s="1524" t="str">
        <f t="array" ref="AA97">"PVE FFL PLAYOFF " &amp; INDEX($B:$B, MATCH(U97,$S:$S* ("Yes"=$E:$E),0))</f>
        <v>PVE FFL PLAYOFF 53</v>
      </c>
      <c r="AB97" s="989">
        <f t="array" ref="AB97">INDEX($N:$N, MATCH(U97,$S:$S* ("Yes"=$E:$E),0))</f>
        <v>10.67</v>
      </c>
      <c r="AC97" s="1546">
        <f t="array" ref="AC97">INDEX($P:$P, MATCH(U97,$S:$S* ("Yes"=$E:$E),0))</f>
        <v>446.77</v>
      </c>
      <c r="AR97" s="314"/>
      <c r="AS97" s="314"/>
    </row>
    <row r="98" ht="15.75" customHeight="1">
      <c r="E98" s="314"/>
      <c r="F98" s="314"/>
      <c r="H98" s="1149"/>
      <c r="I98" s="1538"/>
      <c r="J98" s="365"/>
      <c r="K98" s="428"/>
      <c r="O98" s="314"/>
      <c r="Q98" s="314"/>
      <c r="R98" s="201"/>
      <c r="S98" s="314"/>
      <c r="U98" s="1527">
        <v>4.0</v>
      </c>
      <c r="V98" s="989">
        <f t="array" ref="V98">INDEX($R:$R, MATCH(U98,$S:$S* ("Yes"=$E:$E),0))</f>
        <v>16.5</v>
      </c>
      <c r="W98" s="1524">
        <f t="array" ref="W98">INDEX($C:$C, MATCH(U98,$S:$S* ("Yes"=$E:$E),0))</f>
        <v>2023</v>
      </c>
      <c r="X98" s="1524" t="str">
        <f t="array" ref="X98">INDEX($D:$D, MATCH(U98,$S:$S* ("Yes"=$E:$E),0))</f>
        <v>WILD CARD</v>
      </c>
      <c r="Y98" s="991" t="str">
        <f t="array" ref="Y98">INDEX($L:$L, MATCH(U98,$S:$S* ("Yes"=$E:$E),0))</f>
        <v>CHAMPS</v>
      </c>
      <c r="Z98" s="1524" t="str">
        <f t="array" ref="Z98">INDEX($M:$M, MATCH(U98,$S:$S* ("Yes"=$E:$E),0))</f>
        <v>MUTTS</v>
      </c>
      <c r="AA98" s="1524" t="str">
        <f t="array" ref="AA98">"PVE FFL PLAYOFF " &amp; INDEX($B:$B, MATCH(U98,$S:$S* ("Yes"=$E:$E),0))</f>
        <v>PVE FFL PLAYOFF 50</v>
      </c>
      <c r="AB98" s="989">
        <f t="array" ref="AB98">INDEX($N:$N, MATCH(U98,$S:$S* ("Yes"=$E:$E),0))</f>
        <v>5.71</v>
      </c>
      <c r="AC98" s="1546">
        <f t="array" ref="AC98">INDEX($P:$P, MATCH(U98,$S:$S* ("Yes"=$E:$E),0))</f>
        <v>376.61</v>
      </c>
      <c r="AR98" s="314"/>
      <c r="AS98" s="314"/>
    </row>
    <row r="99" ht="15.75" customHeight="1">
      <c r="E99" s="314"/>
      <c r="F99" s="314"/>
      <c r="H99" s="1149"/>
      <c r="I99" s="1538"/>
      <c r="J99" s="365"/>
      <c r="K99" s="428"/>
      <c r="O99" s="314"/>
      <c r="Q99" s="314"/>
      <c r="R99" s="201"/>
      <c r="S99" s="314"/>
      <c r="U99" s="1518">
        <v>5.0</v>
      </c>
      <c r="V99" s="989">
        <f t="array" ref="V99">INDEX($R:$R, MATCH(U99,$S:$S* ("Yes"=$E:$E),0))</f>
        <v>22</v>
      </c>
      <c r="W99" s="1524">
        <f t="array" ref="W99">INDEX($C:$C, MATCH(U99,$S:$S* ("Yes"=$E:$E),0))</f>
        <v>2020</v>
      </c>
      <c r="X99" s="1524" t="str">
        <f t="array" ref="X99">INDEX($D:$D, MATCH(U99,$S:$S* ("Yes"=$E:$E),0))</f>
        <v>FANTASY BOWL</v>
      </c>
      <c r="Y99" s="991" t="str">
        <f t="array" ref="Y99">INDEX($L:$L, MATCH(U99,$S:$S* ("Yes"=$E:$E),0))</f>
        <v>POPEYES</v>
      </c>
      <c r="Z99" s="1524" t="str">
        <f t="array" ref="Z99">INDEX($M:$M, MATCH(U99,$S:$S* ("Yes"=$E:$E),0))</f>
        <v>METAMOOKDAWGS</v>
      </c>
      <c r="AA99" s="1524" t="str">
        <f t="array" ref="AA99">"PVE FFL PLAYOFF " &amp; INDEX($B:$B, MATCH(U99,$S:$S* ("Yes"=$E:$E),0))</f>
        <v>PVE FFL PLAYOFF 19</v>
      </c>
      <c r="AB99" s="989">
        <f t="array" ref="AB99">INDEX($N:$N, MATCH(U99,$S:$S* ("Yes"=$E:$E),0))</f>
        <v>16.53</v>
      </c>
      <c r="AC99" s="1546">
        <f t="array" ref="AC99">INDEX($P:$P, MATCH(U99,$S:$S* ("Yes"=$E:$E),0))</f>
        <v>406.13</v>
      </c>
      <c r="AR99" s="314"/>
      <c r="AS99" s="314"/>
    </row>
    <row r="100" ht="15.75" customHeight="1">
      <c r="E100" s="314"/>
      <c r="F100" s="314"/>
      <c r="H100" s="1149"/>
      <c r="I100" s="1538"/>
      <c r="J100" s="365"/>
      <c r="K100" s="428"/>
      <c r="O100" s="314"/>
      <c r="Q100" s="314"/>
      <c r="R100" s="201"/>
      <c r="S100" s="314"/>
      <c r="U100" s="1527">
        <v>6.0</v>
      </c>
      <c r="V100" s="989">
        <f t="array" ref="V100">INDEX($R:$R, MATCH(U100,$S:$S* ("Yes"=$E:$E),0))</f>
        <v>22.5</v>
      </c>
      <c r="W100" s="1524">
        <f t="array" ref="W100">INDEX($C:$C, MATCH(U100,$S:$S* ("Yes"=$E:$E),0))</f>
        <v>2021</v>
      </c>
      <c r="X100" s="1524" t="str">
        <f t="array" ref="X100">INDEX($D:$D, MATCH(U100,$S:$S* ("Yes"=$E:$E),0))</f>
        <v>DIV CHAMP</v>
      </c>
      <c r="Y100" s="991" t="str">
        <f t="array" ref="Y100">INDEX($L:$L, MATCH(U100,$S:$S* ("Yes"=$E:$E),0))</f>
        <v>CHAMPS</v>
      </c>
      <c r="Z100" s="1524" t="str">
        <f t="array" ref="Z100">INDEX($M:$M, MATCH(U100,$S:$S* ("Yes"=$E:$E),0))</f>
        <v>METAMOOKDAWGS</v>
      </c>
      <c r="AA100" s="1524" t="str">
        <f t="array" ref="AA100">"PVE FFL PLAYOFF " &amp; INDEX($B:$B, MATCH(U100,$S:$S* ("Yes"=$E:$E),0))</f>
        <v>PVE FFL PLAYOFF 29</v>
      </c>
      <c r="AB100" s="989">
        <f t="array" ref="AB100">INDEX($N:$N, MATCH(U100,$S:$S* ("Yes"=$E:$E),0))</f>
        <v>7.66</v>
      </c>
      <c r="AC100" s="1546">
        <f t="array" ref="AC100">INDEX($P:$P, MATCH(U100,$S:$S* ("Yes"=$E:$E),0))</f>
        <v>361.62</v>
      </c>
      <c r="AR100" s="314"/>
      <c r="AS100" s="314"/>
    </row>
    <row r="101" ht="15.75" customHeight="1">
      <c r="E101" s="314"/>
      <c r="F101" s="314"/>
      <c r="H101" s="1149"/>
      <c r="I101" s="1538"/>
      <c r="J101" s="365"/>
      <c r="K101" s="428"/>
      <c r="O101" s="314"/>
      <c r="Q101" s="314"/>
      <c r="R101" s="201"/>
      <c r="S101" s="314"/>
      <c r="U101" s="1518">
        <v>7.0</v>
      </c>
      <c r="V101" s="989">
        <f t="array" ref="V101">INDEX($R:$R, MATCH(U101,$S:$S* ("Yes"=$E:$E),0))</f>
        <v>24</v>
      </c>
      <c r="W101" s="1524">
        <f t="array" ref="W101">INDEX($C:$C, MATCH(U101,$S:$S* ("Yes"=$E:$E),0))</f>
        <v>2025</v>
      </c>
      <c r="X101" s="1524" t="str">
        <f t="array" ref="X101">INDEX($D:$D, MATCH(U101,$S:$S* ("Yes"=$E:$E),0))</f>
        <v>FANTASY BOWL</v>
      </c>
      <c r="Y101" s="991" t="str">
        <f t="array" ref="Y101">INDEX($L:$L, MATCH(U101,$S:$S* ("Yes"=$E:$E),0))</f>
        <v>YARDIES</v>
      </c>
      <c r="Z101" s="1524" t="str">
        <f t="array" ref="Z101">INDEX($M:$M, MATCH(U101,$S:$S* ("Yes"=$E:$E),0))</f>
        <v>POPEYES</v>
      </c>
      <c r="AA101" s="1524" t="str">
        <f t="array" ref="AA101">"PVE FFL PLAYOFF " &amp; INDEX($B:$B, MATCH(U101,$S:$S* ("Yes"=$E:$E),0))</f>
        <v>PVE FFL PLAYOFF 80</v>
      </c>
      <c r="AB101" s="989">
        <f t="array" ref="AB101">INDEX($N:$N, MATCH(U101,$S:$S* ("Yes"=$E:$E),0))</f>
        <v>0.08</v>
      </c>
      <c r="AC101" s="1546">
        <f t="array" ref="AC101">INDEX($P:$P, MATCH(U101,$S:$S* ("Yes"=$E:$E),0))</f>
        <v>314.32</v>
      </c>
      <c r="AR101" s="314"/>
      <c r="AS101" s="314"/>
    </row>
    <row r="102" ht="15.75" customHeight="1">
      <c r="E102" s="314"/>
      <c r="F102" s="314"/>
      <c r="H102" s="1149"/>
      <c r="I102" s="1538"/>
      <c r="J102" s="365"/>
      <c r="K102" s="428"/>
      <c r="O102" s="314"/>
      <c r="Q102" s="314"/>
      <c r="R102" s="201"/>
      <c r="S102" s="314"/>
      <c r="U102" s="1527">
        <v>8.0</v>
      </c>
      <c r="V102" s="989">
        <f t="array" ref="V102">INDEX($R:$R, MATCH(U102,$S:$S* ("Yes"=$E:$E),0))</f>
        <v>26</v>
      </c>
      <c r="W102" s="1524">
        <f t="array" ref="W102">INDEX($C:$C, MATCH(U102,$S:$S* ("Yes"=$E:$E),0))</f>
        <v>2019</v>
      </c>
      <c r="X102" s="1524" t="str">
        <f t="array" ref="X102">INDEX($D:$D, MATCH(U102,$S:$S* ("Yes"=$E:$E),0))</f>
        <v>DIV CHAMP</v>
      </c>
      <c r="Y102" s="991" t="str">
        <f t="array" ref="Y102">INDEX($L:$L, MATCH(U102,$S:$S* ("Yes"=$E:$E),0))</f>
        <v>SAVAGES</v>
      </c>
      <c r="Z102" s="1524" t="str">
        <f t="array" ref="Z102">INDEX($M:$M, MATCH(U102,$S:$S* ("Yes"=$E:$E),0))</f>
        <v>DECOUPES</v>
      </c>
      <c r="AA102" s="1524" t="str">
        <f t="array" ref="AA102">"PVE FFL PLAYOFF " &amp; INDEX($B:$B, MATCH(U102,$S:$S* ("Yes"=$E:$E),0))</f>
        <v>PVE FFL PLAYOFF 4</v>
      </c>
      <c r="AB102" s="989">
        <f t="array" ref="AB102">INDEX($N:$N, MATCH(U102,$S:$S* ("Yes"=$E:$E),0))</f>
        <v>0.31</v>
      </c>
      <c r="AC102" s="1546">
        <f t="array" ref="AC102">INDEX($P:$P, MATCH(U102,$S:$S* ("Yes"=$E:$E),0))</f>
        <v>305.81</v>
      </c>
      <c r="AR102" s="314"/>
      <c r="AS102" s="314"/>
    </row>
    <row r="103" ht="15.75" customHeight="1">
      <c r="E103" s="314"/>
      <c r="F103" s="314"/>
      <c r="H103" s="1149"/>
      <c r="I103" s="1538"/>
      <c r="J103" s="365"/>
      <c r="K103" s="428"/>
      <c r="O103" s="314"/>
      <c r="Q103" s="314"/>
      <c r="R103" s="201"/>
      <c r="S103" s="314"/>
      <c r="U103" s="1518">
        <v>9.0</v>
      </c>
      <c r="V103" s="989">
        <f t="array" ref="V103">INDEX($R:$R, MATCH(U103,$S:$S* ("Yes"=$E:$E),0))</f>
        <v>26</v>
      </c>
      <c r="W103" s="1524">
        <f t="array" ref="W103">INDEX($C:$C, MATCH(U103,$S:$S* ("Yes"=$E:$E),0))</f>
        <v>2024</v>
      </c>
      <c r="X103" s="1524" t="str">
        <f t="array" ref="X103">INDEX($D:$D, MATCH(U103,$S:$S* ("Yes"=$E:$E),0))</f>
        <v>DIV CHAMP</v>
      </c>
      <c r="Y103" s="991" t="str">
        <f t="array" ref="Y103">INDEX($L:$L, MATCH(U103,$S:$S* ("Yes"=$E:$E),0))</f>
        <v>KINGS</v>
      </c>
      <c r="Z103" s="1524" t="str">
        <f t="array" ref="Z103">INDEX($M:$M, MATCH(U103,$S:$S* ("Yes"=$E:$E),0))</f>
        <v>POPEYES</v>
      </c>
      <c r="AA103" s="1524" t="str">
        <f t="array" ref="AA103">"PVE FFL PLAYOFF " &amp; INDEX($B:$B, MATCH(U103,$S:$S* ("Yes"=$E:$E),0))</f>
        <v>PVE FFL PLAYOFF 64</v>
      </c>
      <c r="AB103" s="989">
        <f t="array" ref="AB103">INDEX($N:$N, MATCH(U103,$S:$S* ("Yes"=$E:$E),0))</f>
        <v>29.17</v>
      </c>
      <c r="AC103" s="1546">
        <f t="array" ref="AC103">INDEX($P:$P, MATCH(U103,$S:$S* ("Yes"=$E:$E),0))</f>
        <v>414.57</v>
      </c>
      <c r="AR103" s="314"/>
      <c r="AS103" s="314"/>
    </row>
    <row r="104" ht="15.75" customHeight="1">
      <c r="E104" s="314"/>
      <c r="F104" s="314"/>
      <c r="H104" s="1149"/>
      <c r="I104" s="1538"/>
      <c r="J104" s="365"/>
      <c r="K104" s="428"/>
      <c r="O104" s="314"/>
      <c r="Q104" s="314"/>
      <c r="R104" s="201"/>
      <c r="S104" s="314"/>
      <c r="U104" s="1527">
        <v>10.0</v>
      </c>
      <c r="V104" s="989">
        <f t="array" ref="V104">INDEX($R:$R, MATCH(U104,$S:$S* ("Yes"=$E:$E),0))</f>
        <v>27.5</v>
      </c>
      <c r="W104" s="1524">
        <f t="array" ref="W104">INDEX($C:$C, MATCH(U104,$S:$S* ("Yes"=$E:$E),0))</f>
        <v>2025</v>
      </c>
      <c r="X104" s="1524" t="str">
        <f t="array" ref="X104">INDEX($D:$D, MATCH(U104,$S:$S* ("Yes"=$E:$E),0))</f>
        <v>WILD CARD</v>
      </c>
      <c r="Y104" s="991" t="str">
        <f t="array" ref="Y104">INDEX($L:$L, MATCH(U104,$S:$S* ("Yes"=$E:$E),0))</f>
        <v>MUTTS</v>
      </c>
      <c r="Z104" s="1524" t="str">
        <f t="array" ref="Z104">INDEX($M:$M, MATCH(U104,$S:$S* ("Yes"=$E:$E),0))</f>
        <v>CHAMPS</v>
      </c>
      <c r="AA104" s="1524" t="str">
        <f t="array" ref="AA104">"PVE FFL PLAYOFF " &amp; INDEX($B:$B, MATCH(U104,$S:$S* ("Yes"=$E:$E),0))</f>
        <v>PVE FFL PLAYOFF 72</v>
      </c>
      <c r="AB104" s="989">
        <f t="array" ref="AB104">INDEX($N:$N, MATCH(U104,$S:$S* ("Yes"=$E:$E),0))</f>
        <v>16.78</v>
      </c>
      <c r="AC104" s="1546">
        <f t="array" ref="AC104">INDEX($P:$P, MATCH(U104,$S:$S* ("Yes"=$E:$E),0))</f>
        <v>366.26</v>
      </c>
      <c r="AR104" s="314"/>
      <c r="AS104" s="314"/>
    </row>
    <row r="105" ht="15.75" customHeight="1">
      <c r="E105" s="314"/>
      <c r="F105" s="314"/>
      <c r="H105" s="1149"/>
      <c r="I105" s="1538"/>
      <c r="J105" s="365"/>
      <c r="K105" s="428"/>
      <c r="O105" s="314"/>
      <c r="Q105" s="314"/>
      <c r="R105" s="201"/>
      <c r="S105" s="314"/>
      <c r="U105" s="1518">
        <v>11.0</v>
      </c>
      <c r="V105" s="989">
        <f t="array" ref="V105">INDEX($R:$R, MATCH(U105,$S:$S* ("Yes"=$E:$E),0))</f>
        <v>29</v>
      </c>
      <c r="W105" s="1524">
        <f t="array" ref="W105">INDEX($C:$C, MATCH(U105,$S:$S* ("Yes"=$E:$E),0))</f>
        <v>2025</v>
      </c>
      <c r="X105" s="1524" t="str">
        <f t="array" ref="X105">INDEX($D:$D, MATCH(U105,$S:$S* ("Yes"=$E:$E),0))</f>
        <v>DIV CHAMP</v>
      </c>
      <c r="Y105" s="991" t="str">
        <f t="array" ref="Y105">INDEX($L:$L, MATCH(U105,$S:$S* ("Yes"=$E:$E),0))</f>
        <v>POPEYES</v>
      </c>
      <c r="Z105" s="1524" t="str">
        <f t="array" ref="Z105">INDEX($M:$M, MATCH(U105,$S:$S* ("Yes"=$E:$E),0))</f>
        <v>GREEN</v>
      </c>
      <c r="AA105" s="1524" t="str">
        <f t="array" ref="AA105">"PVE FFL PLAYOFF " &amp; INDEX($B:$B, MATCH(U105,$S:$S* ("Yes"=$E:$E),0))</f>
        <v>PVE FFL PLAYOFF 75</v>
      </c>
      <c r="AB105" s="989">
        <f t="array" ref="AB105">INDEX($N:$N, MATCH(U105,$S:$S* ("Yes"=$E:$E),0))</f>
        <v>25.33</v>
      </c>
      <c r="AC105" s="1546">
        <f t="array" ref="AC105">INDEX($P:$P, MATCH(U105,$S:$S* ("Yes"=$E:$E),0))</f>
        <v>383.19</v>
      </c>
      <c r="AR105" s="314"/>
      <c r="AS105" s="314"/>
    </row>
    <row r="106" ht="15.75" customHeight="1">
      <c r="E106" s="314"/>
      <c r="F106" s="314"/>
      <c r="H106" s="1149"/>
      <c r="I106" s="1538"/>
      <c r="J106" s="365"/>
      <c r="K106" s="428"/>
      <c r="O106" s="314"/>
      <c r="Q106" s="314"/>
      <c r="R106" s="201"/>
      <c r="S106" s="314"/>
      <c r="U106" s="1527">
        <v>12.0</v>
      </c>
      <c r="V106" s="989">
        <f t="array" ref="V106">INDEX($R:$R, MATCH(U106,$S:$S* ("Yes"=$E:$E),0))</f>
        <v>29.5</v>
      </c>
      <c r="W106" s="1524">
        <f t="array" ref="W106">INDEX($C:$C, MATCH(U106,$S:$S* ("Yes"=$E:$E),0))</f>
        <v>2022</v>
      </c>
      <c r="X106" s="1524" t="str">
        <f t="array" ref="X106">INDEX($D:$D, MATCH(U106,$S:$S* ("Yes"=$E:$E),0))</f>
        <v>WILD CARD</v>
      </c>
      <c r="Y106" s="991" t="str">
        <f t="array" ref="Y106">INDEX($L:$L, MATCH(U106,$S:$S* ("Yes"=$E:$E),0))</f>
        <v>POPEYES</v>
      </c>
      <c r="Z106" s="1524" t="str">
        <f t="array" ref="Z106">INDEX($M:$M, MATCH(U106,$S:$S* ("Yes"=$E:$E),0))</f>
        <v>DECOUPES</v>
      </c>
      <c r="AA106" s="1524" t="str">
        <f t="array" ref="AA106">"PVE FFL PLAYOFF " &amp; INDEX($B:$B, MATCH(U106,$S:$S* ("Yes"=$E:$E),0))</f>
        <v>PVE FFL PLAYOFF 39</v>
      </c>
      <c r="AB106" s="989">
        <f t="array" ref="AB106">INDEX($N:$N, MATCH(U106,$S:$S* ("Yes"=$E:$E),0))</f>
        <v>30.02</v>
      </c>
      <c r="AC106" s="1546">
        <f t="array" ref="AC106">INDEX($P:$P, MATCH(U106,$S:$S* ("Yes"=$E:$E),0))</f>
        <v>399.92</v>
      </c>
      <c r="AR106" s="314"/>
      <c r="AS106" s="314"/>
    </row>
    <row r="107" ht="15.75" customHeight="1">
      <c r="E107" s="314"/>
      <c r="F107" s="314"/>
      <c r="H107" s="1149"/>
      <c r="I107" s="1538"/>
      <c r="J107" s="365"/>
      <c r="K107" s="428"/>
      <c r="O107" s="314"/>
      <c r="Q107" s="314"/>
      <c r="R107" s="201"/>
      <c r="S107" s="314"/>
      <c r="U107" s="1518">
        <v>13.0</v>
      </c>
      <c r="V107" s="989">
        <f t="array" ref="V107">INDEX($R:$R, MATCH(U107,$S:$S* ("Yes"=$E:$E),0))</f>
        <v>31.5</v>
      </c>
      <c r="W107" s="1524">
        <f t="array" ref="W107">INDEX($C:$C, MATCH(U107,$S:$S* ("Yes"=$E:$E),0))</f>
        <v>2024</v>
      </c>
      <c r="X107" s="1524" t="str">
        <f t="array" ref="X107">INDEX($D:$D, MATCH(U107,$S:$S* ("Yes"=$E:$E),0))</f>
        <v>WILD CARD</v>
      </c>
      <c r="Y107" s="991" t="str">
        <f t="array" ref="Y107">INDEX($L:$L, MATCH(U107,$S:$S* ("Yes"=$E:$E),0))</f>
        <v>EAGLES</v>
      </c>
      <c r="Z107" s="1524" t="str">
        <f t="array" ref="Z107">INDEX($M:$M, MATCH(U107,$S:$S* ("Yes"=$E:$E),0))</f>
        <v>MUTTS</v>
      </c>
      <c r="AA107" s="1524" t="str">
        <f t="array" ref="AA107">"PVE FFL PLAYOFF " &amp; INDEX($B:$B, MATCH(U107,$S:$S* ("Yes"=$E:$E),0))</f>
        <v>PVE FFL PLAYOFF 61</v>
      </c>
      <c r="AB107" s="989">
        <f t="array" ref="AB107">INDEX($N:$N, MATCH(U107,$S:$S* ("Yes"=$E:$E),0))</f>
        <v>8.2</v>
      </c>
      <c r="AC107" s="1546">
        <f t="array" ref="AC107">INDEX($P:$P, MATCH(U107,$S:$S* ("Yes"=$E:$E),0))</f>
        <v>319.32</v>
      </c>
      <c r="AR107" s="314"/>
      <c r="AS107" s="314"/>
    </row>
    <row r="108" ht="15.75" customHeight="1">
      <c r="E108" s="314"/>
      <c r="F108" s="314"/>
      <c r="H108" s="1149"/>
      <c r="I108" s="1538"/>
      <c r="J108" s="365"/>
      <c r="K108" s="428"/>
      <c r="O108" s="314"/>
      <c r="Q108" s="314"/>
      <c r="R108" s="201"/>
      <c r="S108" s="314"/>
      <c r="U108" s="1527">
        <v>14.0</v>
      </c>
      <c r="V108" s="989">
        <f t="array" ref="V108">INDEX($R:$R, MATCH(U108,$S:$S* ("Yes"=$E:$E),0))</f>
        <v>32.5</v>
      </c>
      <c r="W108" s="1524">
        <f t="array" ref="W108">INDEX($C:$C, MATCH(U108,$S:$S* ("Yes"=$E:$E),0))</f>
        <v>2023</v>
      </c>
      <c r="X108" s="1524" t="str">
        <f t="array" ref="X108">INDEX($D:$D, MATCH(U108,$S:$S* ("Yes"=$E:$E),0))</f>
        <v>WILD CARD</v>
      </c>
      <c r="Y108" s="991" t="str">
        <f t="array" ref="Y108">INDEX($L:$L, MATCH(U108,$S:$S* ("Yes"=$E:$E),0))</f>
        <v>POPEYES</v>
      </c>
      <c r="Z108" s="1524" t="str">
        <f t="array" ref="Z108">INDEX($M:$M, MATCH(U108,$S:$S* ("Yes"=$E:$E),0))</f>
        <v>GREEN</v>
      </c>
      <c r="AA108" s="1524" t="str">
        <f t="array" ref="AA108">"PVE FFL PLAYOFF " &amp; INDEX($B:$B, MATCH(U108,$S:$S* ("Yes"=$E:$E),0))</f>
        <v>PVE FFL PLAYOFF 49</v>
      </c>
      <c r="AB108" s="989">
        <f t="array" ref="AB108">INDEX($N:$N, MATCH(U108,$S:$S* ("Yes"=$E:$E),0))</f>
        <v>61.14</v>
      </c>
      <c r="AC108" s="1546">
        <f t="array" ref="AC108">INDEX($P:$P, MATCH(U108,$S:$S* ("Yes"=$E:$E),0))</f>
        <v>470.42</v>
      </c>
      <c r="AR108" s="314"/>
      <c r="AS108" s="314"/>
    </row>
    <row r="109" ht="15.75" customHeight="1">
      <c r="E109" s="314"/>
      <c r="F109" s="314"/>
      <c r="H109" s="1149"/>
      <c r="I109" s="1538"/>
      <c r="J109" s="365"/>
      <c r="K109" s="428"/>
      <c r="O109" s="314"/>
      <c r="Q109" s="314"/>
      <c r="R109" s="201"/>
      <c r="S109" s="314"/>
      <c r="U109" s="1518">
        <v>15.0</v>
      </c>
      <c r="V109" s="989">
        <f t="array" ref="V109">INDEX($R:$R, MATCH(U109,$S:$S* ("Yes"=$E:$E),0))</f>
        <v>36.5</v>
      </c>
      <c r="W109" s="1524">
        <f t="array" ref="W109">INDEX($C:$C, MATCH(U109,$S:$S* ("Yes"=$E:$E),0))</f>
        <v>2021</v>
      </c>
      <c r="X109" s="1524" t="str">
        <f t="array" ref="X109">INDEX($D:$D, MATCH(U109,$S:$S* ("Yes"=$E:$E),0))</f>
        <v>WILD CARD</v>
      </c>
      <c r="Y109" s="991" t="str">
        <f t="array" ref="Y109">INDEX($L:$L, MATCH(U109,$S:$S* ("Yes"=$E:$E),0))</f>
        <v>CHAMPS</v>
      </c>
      <c r="Z109" s="1524" t="str">
        <f t="array" ref="Z109">INDEX($M:$M, MATCH(U109,$S:$S* ("Yes"=$E:$E),0))</f>
        <v>YARDIES</v>
      </c>
      <c r="AA109" s="1524" t="str">
        <f t="array" ref="AA109">"PVE FFL PLAYOFF " &amp; INDEX($B:$B, MATCH(U109,$S:$S* ("Yes"=$E:$E),0))</f>
        <v>PVE FFL PLAYOFF 25</v>
      </c>
      <c r="AB109" s="989">
        <f t="array" ref="AB109">INDEX($N:$N, MATCH(U109,$S:$S* ("Yes"=$E:$E),0))</f>
        <v>6.29</v>
      </c>
      <c r="AC109" s="1546">
        <f t="array" ref="AC109">INDEX($P:$P, MATCH(U109,$S:$S* ("Yes"=$E:$E),0))</f>
        <v>284.49</v>
      </c>
      <c r="AR109" s="314"/>
      <c r="AS109" s="314"/>
    </row>
    <row r="110" ht="15.75" customHeight="1">
      <c r="E110" s="314"/>
      <c r="F110" s="314"/>
      <c r="H110" s="1149"/>
      <c r="I110" s="1538"/>
      <c r="J110" s="365"/>
      <c r="K110" s="428"/>
      <c r="O110" s="314"/>
      <c r="Q110" s="314"/>
      <c r="R110" s="201"/>
      <c r="S110" s="314"/>
      <c r="U110" s="1527">
        <v>16.0</v>
      </c>
      <c r="V110" s="989">
        <f t="array" ref="V110">INDEX($R:$R, MATCH(U110,$S:$S* ("Yes"=$E:$E),0))</f>
        <v>37</v>
      </c>
      <c r="W110" s="1524">
        <f t="array" ref="W110">INDEX($C:$C, MATCH(U110,$S:$S* ("Yes"=$E:$E),0))</f>
        <v>2022</v>
      </c>
      <c r="X110" s="1524" t="str">
        <f t="array" ref="X110">INDEX($D:$D, MATCH(U110,$S:$S* ("Yes"=$E:$E),0))</f>
        <v>DIV CHAMP</v>
      </c>
      <c r="Y110" s="991" t="str">
        <f t="array" ref="Y110">INDEX($L:$L, MATCH(U110,$S:$S* ("Yes"=$E:$E),0))</f>
        <v>GREEN</v>
      </c>
      <c r="Z110" s="1524" t="str">
        <f t="array" ref="Z110">INDEX($M:$M, MATCH(U110,$S:$S* ("Yes"=$E:$E),0))</f>
        <v>POPEYES</v>
      </c>
      <c r="AA110" s="1524" t="str">
        <f t="array" ref="AA110">"PVE FFL PLAYOFF " &amp; INDEX($B:$B, MATCH(U110,$S:$S* ("Yes"=$E:$E),0))</f>
        <v>PVE FFL PLAYOFF 42</v>
      </c>
      <c r="AB110" s="989">
        <f t="array" ref="AB110">INDEX($N:$N, MATCH(U110,$S:$S* ("Yes"=$E:$E),0))</f>
        <v>59.84</v>
      </c>
      <c r="AC110" s="1546">
        <f t="array" ref="AC110">INDEX($P:$P, MATCH(U110,$S:$S* ("Yes"=$E:$E),0))</f>
        <v>409.4</v>
      </c>
      <c r="AR110" s="314"/>
      <c r="AS110" s="314"/>
    </row>
    <row r="111" ht="15.75" customHeight="1">
      <c r="E111" s="314"/>
      <c r="F111" s="314"/>
      <c r="H111" s="1149"/>
      <c r="I111" s="1538"/>
      <c r="J111" s="365"/>
      <c r="K111" s="428"/>
      <c r="O111" s="314"/>
      <c r="Q111" s="314"/>
      <c r="R111" s="201"/>
      <c r="S111" s="314"/>
      <c r="U111" s="1518">
        <v>17.0</v>
      </c>
      <c r="V111" s="989">
        <f t="array" ref="V111">INDEX($R:$R, MATCH(U111,$S:$S* ("Yes"=$E:$E),0))</f>
        <v>40</v>
      </c>
      <c r="W111" s="1524">
        <f t="array" ref="W111">INDEX($C:$C, MATCH(U111,$S:$S* ("Yes"=$E:$E),0))</f>
        <v>2024</v>
      </c>
      <c r="X111" s="1524" t="str">
        <f t="array" ref="X111">INDEX($D:$D, MATCH(U111,$S:$S* ("Yes"=$E:$E),0))</f>
        <v>WILD CARD</v>
      </c>
      <c r="Y111" s="991" t="str">
        <f t="array" ref="Y111">INDEX($L:$L, MATCH(U111,$S:$S* ("Yes"=$E:$E),0))</f>
        <v>KINGS</v>
      </c>
      <c r="Z111" s="1524" t="str">
        <f t="array" ref="Z111">INDEX($M:$M, MATCH(U111,$S:$S* ("Yes"=$E:$E),0))</f>
        <v>DECOUPES</v>
      </c>
      <c r="AA111" s="1524" t="str">
        <f t="array" ref="AA111">"PVE FFL PLAYOFF " &amp; INDEX($B:$B, MATCH(U111,$S:$S* ("Yes"=$E:$E),0))</f>
        <v>PVE FFL PLAYOFF 60</v>
      </c>
      <c r="AB111" s="989">
        <f t="array" ref="AB111">INDEX($N:$N, MATCH(U111,$S:$S* ("Yes"=$E:$E),0))</f>
        <v>65.57</v>
      </c>
      <c r="AC111" s="1546">
        <f t="array" ref="AC111">INDEX($P:$P, MATCH(U111,$S:$S* ("Yes"=$E:$E),0))</f>
        <v>417.05</v>
      </c>
      <c r="AR111" s="314"/>
      <c r="AS111" s="314"/>
    </row>
    <row r="112" ht="15.75" customHeight="1">
      <c r="E112" s="314"/>
      <c r="F112" s="314"/>
      <c r="H112" s="1149"/>
      <c r="I112" s="1538"/>
      <c r="J112" s="365"/>
      <c r="K112" s="428"/>
      <c r="O112" s="314"/>
      <c r="Q112" s="314"/>
      <c r="R112" s="201"/>
      <c r="S112" s="314"/>
      <c r="U112" s="1527">
        <v>18.0</v>
      </c>
      <c r="V112" s="989">
        <f t="array" ref="V112">INDEX($R:$R, MATCH(U112,$S:$S* ("Yes"=$E:$E),0))</f>
        <v>40.5</v>
      </c>
      <c r="W112" s="1524">
        <f t="array" ref="W112">INDEX($C:$C, MATCH(U112,$S:$S* ("Yes"=$E:$E),0))</f>
        <v>2023</v>
      </c>
      <c r="X112" s="1524" t="str">
        <f t="array" ref="X112">INDEX($D:$D, MATCH(U112,$S:$S* ("Yes"=$E:$E),0))</f>
        <v>FANTASY BOWL</v>
      </c>
      <c r="Y112" s="991" t="str">
        <f t="array" ref="Y112">INDEX($L:$L, MATCH(U112,$S:$S* ("Yes"=$E:$E),0))</f>
        <v>POPEYES</v>
      </c>
      <c r="Z112" s="1524" t="str">
        <f t="array" ref="Z112">INDEX($M:$M, MATCH(U112,$S:$S* ("Yes"=$E:$E),0))</f>
        <v>CHAMPS</v>
      </c>
      <c r="AA112" s="1524" t="str">
        <f t="array" ref="AA112">"PVE FFL PLAYOFF " &amp; INDEX($B:$B, MATCH(U112,$S:$S* ("Yes"=$E:$E),0))</f>
        <v>PVE FFL PLAYOFF 56</v>
      </c>
      <c r="AB112" s="989">
        <f t="array" ref="AB112">INDEX($N:$N, MATCH(U112,$S:$S* ("Yes"=$E:$E),0))</f>
        <v>45.26</v>
      </c>
      <c r="AC112" s="1546">
        <f t="array" ref="AC112">INDEX($P:$P, MATCH(U112,$S:$S* ("Yes"=$E:$E),0))</f>
        <v>353.42</v>
      </c>
      <c r="AR112" s="314"/>
      <c r="AS112" s="314"/>
    </row>
    <row r="113" ht="15.75" customHeight="1">
      <c r="E113" s="314"/>
      <c r="F113" s="314"/>
      <c r="H113" s="1149"/>
      <c r="I113" s="1538"/>
      <c r="J113" s="365"/>
      <c r="K113" s="428"/>
      <c r="O113" s="314"/>
      <c r="Q113" s="314"/>
      <c r="R113" s="201"/>
      <c r="S113" s="314"/>
      <c r="U113" s="1518">
        <v>19.0</v>
      </c>
      <c r="V113" s="989">
        <f t="array" ref="V113">INDEX($R:$R, MATCH(U113,$S:$S* ("Yes"=$E:$E),0))</f>
        <v>44</v>
      </c>
      <c r="W113" s="1524">
        <f t="array" ref="W113">INDEX($C:$C, MATCH(U113,$S:$S* ("Yes"=$E:$E),0))</f>
        <v>2023</v>
      </c>
      <c r="X113" s="1524" t="str">
        <f t="array" ref="X113">INDEX($D:$D, MATCH(U113,$S:$S* ("Yes"=$E:$E),0))</f>
        <v>DIV CHAMP</v>
      </c>
      <c r="Y113" s="991" t="str">
        <f t="array" ref="Y113">INDEX($L:$L, MATCH(U113,$S:$S* ("Yes"=$E:$E),0))</f>
        <v>CHAMPS</v>
      </c>
      <c r="Z113" s="1524" t="str">
        <f t="array" ref="Z113">INDEX($M:$M, MATCH(U113,$S:$S* ("Yes"=$E:$E),0))</f>
        <v>YARDIES</v>
      </c>
      <c r="AA113" s="1524" t="str">
        <f t="array" ref="AA113">"PVE FFL PLAYOFF " &amp; INDEX($B:$B, MATCH(U113,$S:$S* ("Yes"=$E:$E),0))</f>
        <v>PVE FFL PLAYOFF 52</v>
      </c>
      <c r="AB113" s="989">
        <f t="array" ref="AB113">INDEX($N:$N, MATCH(U113,$S:$S* ("Yes"=$E:$E),0))</f>
        <v>7.55</v>
      </c>
      <c r="AC113" s="1546">
        <f t="array" ref="AC113">INDEX($P:$P, MATCH(U113,$S:$S* ("Yes"=$E:$E),0))</f>
        <v>259.77</v>
      </c>
      <c r="AR113" s="314"/>
      <c r="AS113" s="314"/>
    </row>
    <row r="114" ht="15.75" customHeight="1">
      <c r="E114" s="314"/>
      <c r="F114" s="314"/>
      <c r="H114" s="1149"/>
      <c r="I114" s="1538"/>
      <c r="J114" s="365"/>
      <c r="K114" s="428"/>
      <c r="O114" s="314"/>
      <c r="Q114" s="314"/>
      <c r="R114" s="201"/>
      <c r="S114" s="314"/>
      <c r="U114" s="1571">
        <v>20.0</v>
      </c>
      <c r="V114" s="989">
        <f t="array" ref="V114">INDEX($R:$R, MATCH(U114,$S:$S* ("Yes"=$E:$E),0))</f>
        <v>44</v>
      </c>
      <c r="W114" s="1572">
        <f t="array" ref="W114">INDEX($C:$C, MATCH(U114,$S:$S* ("Yes"=$E:$E),0))</f>
        <v>2021</v>
      </c>
      <c r="X114" s="1572" t="str">
        <f t="array" ref="X114">INDEX($D:$D, MATCH(U114,$S:$S* ("Yes"=$E:$E),0))</f>
        <v>DIV CHAMP</v>
      </c>
      <c r="Y114" s="1573" t="str">
        <f t="array" ref="Y114">INDEX($L:$L, MATCH(U114,$S:$S* ("Yes"=$E:$E),0))</f>
        <v>DECOUPES</v>
      </c>
      <c r="Z114" s="1572" t="str">
        <f t="array" ref="Z114">INDEX($M:$M, MATCH(U114,$S:$S* ("Yes"=$E:$E),0))</f>
        <v>POPEYES</v>
      </c>
      <c r="AA114" s="1572" t="str">
        <f t="array" ref="AA114">"PVE FFL PLAYOFF " &amp; INDEX($B:$B, MATCH(U114,$S:$S* ("Yes"=$E:$E),0))</f>
        <v>PVE FFL PLAYOFF 28</v>
      </c>
      <c r="AB114" s="1576">
        <f t="array" ref="AB114">INDEX($N:$N, MATCH(U114,$S:$S* ("Yes"=$E:$E),0))</f>
        <v>11.27</v>
      </c>
      <c r="AC114" s="1577">
        <f t="array" ref="AC114">INDEX($P:$P, MATCH(U114,$S:$S* ("Yes"=$E:$E),0))</f>
        <v>274.89</v>
      </c>
      <c r="AR114" s="314"/>
      <c r="AS114" s="314"/>
    </row>
    <row r="115" ht="15.75" customHeight="1">
      <c r="E115" s="314"/>
      <c r="F115" s="314"/>
      <c r="H115" s="1149"/>
      <c r="I115" s="1538"/>
      <c r="J115" s="365"/>
      <c r="K115" s="428"/>
      <c r="O115" s="314"/>
      <c r="Q115" s="314"/>
      <c r="R115" s="201"/>
      <c r="S115" s="314"/>
      <c r="AR115" s="314"/>
      <c r="AS115" s="314"/>
    </row>
    <row r="116" ht="15.75" customHeight="1">
      <c r="E116" s="314"/>
      <c r="F116" s="314"/>
      <c r="H116" s="1149"/>
      <c r="I116" s="1538"/>
      <c r="J116" s="365"/>
      <c r="K116" s="428"/>
      <c r="O116" s="314"/>
      <c r="Q116" s="314"/>
      <c r="R116" s="201"/>
      <c r="S116" s="314"/>
      <c r="U116" s="971" t="s">
        <v>1780</v>
      </c>
      <c r="V116" s="23"/>
      <c r="W116" s="23"/>
      <c r="X116" s="23"/>
      <c r="Y116" s="23"/>
      <c r="Z116" s="23"/>
      <c r="AA116" s="23"/>
      <c r="AB116" s="23"/>
      <c r="AC116" s="29"/>
      <c r="AR116" s="314"/>
      <c r="AS116" s="314"/>
    </row>
    <row r="117" ht="15.75" customHeight="1">
      <c r="E117" s="314"/>
      <c r="F117" s="314"/>
      <c r="H117" s="1149"/>
      <c r="I117" s="1538"/>
      <c r="J117" s="365"/>
      <c r="K117" s="428"/>
      <c r="O117" s="314"/>
      <c r="Q117" s="314"/>
      <c r="R117" s="201"/>
      <c r="S117" s="314"/>
      <c r="U117" s="1510" t="s">
        <v>148</v>
      </c>
      <c r="V117" s="1511" t="s">
        <v>151</v>
      </c>
      <c r="W117" s="1511" t="s">
        <v>153</v>
      </c>
      <c r="X117" s="1511" t="s">
        <v>30</v>
      </c>
      <c r="Y117" s="1511" t="s">
        <v>155</v>
      </c>
      <c r="Z117" s="1511" t="s">
        <v>156</v>
      </c>
      <c r="AA117" s="1511" t="s">
        <v>157</v>
      </c>
      <c r="AB117" s="1511" t="s">
        <v>159</v>
      </c>
      <c r="AC117" s="1512" t="s">
        <v>161</v>
      </c>
      <c r="AR117" s="314"/>
      <c r="AS117" s="314"/>
    </row>
    <row r="118" ht="15.75" customHeight="1">
      <c r="E118" s="314"/>
      <c r="F118" s="314"/>
      <c r="H118" s="1149"/>
      <c r="I118" s="1538"/>
      <c r="J118" s="365"/>
      <c r="K118" s="428"/>
      <c r="O118" s="314"/>
      <c r="Q118" s="314"/>
      <c r="R118" s="201"/>
      <c r="S118" s="314"/>
      <c r="U118" s="1518">
        <v>1.0</v>
      </c>
      <c r="V118" s="989">
        <f t="array" ref="V118">LARGE(IF($E:$E="Yes", $R:$R), U95)</f>
        <v>74</v>
      </c>
      <c r="W118" s="1524">
        <f t="array" ref="W118">INDEX($C:$C, MATCH(V118,$R:$R* ("Yes"=$E:$E),0))</f>
        <v>2019</v>
      </c>
      <c r="X118" s="1524" t="str">
        <f t="array" ref="X118">INDEX($D:$D, MATCH(V118,$R:$R* ("Yes"=$E:$E),0))</f>
        <v>WILD CARD</v>
      </c>
      <c r="Y118" s="991" t="str">
        <f t="array" ref="Y118">INDEX($L:$L, MATCH(V118,$R:$R* ("Yes"=$E:$E),0))</f>
        <v>DECOUPES</v>
      </c>
      <c r="Z118" s="1524" t="str">
        <f t="array" ref="Z118">INDEX($M:$M, MATCH(V118,$R:$R* ("Yes"=$E:$E),0))</f>
        <v>MUTTS</v>
      </c>
      <c r="AA118" s="1524" t="str">
        <f t="array" ref="AA118">"PVE FFL PLAYOFF " &amp; INDEX($B:$B, MATCH(V118,$R:$R* ("Yes"=$E:$E),0))</f>
        <v>PVE FFL PLAYOFF 2</v>
      </c>
      <c r="AB118" s="989">
        <f t="array" ref="AB118">INDEX($N:$N, MATCH(V118,$R:$R* ("Yes"=$E:$E),0))</f>
        <v>68.77</v>
      </c>
      <c r="AC118" s="1546">
        <f t="array" ref="AC118">INDEX($P:$P, MATCH(V118,$R:$R* ("Yes"=$E:$E),0))</f>
        <v>253.99</v>
      </c>
      <c r="AR118" s="314"/>
      <c r="AS118" s="314"/>
    </row>
    <row r="119" ht="15.75" customHeight="1">
      <c r="E119" s="314"/>
      <c r="F119" s="314"/>
      <c r="H119" s="1149"/>
      <c r="I119" s="1538"/>
      <c r="J119" s="365"/>
      <c r="K119" s="428"/>
      <c r="O119" s="314"/>
      <c r="Q119" s="314"/>
      <c r="R119" s="201"/>
      <c r="S119" s="314"/>
      <c r="U119" s="1527">
        <v>2.0</v>
      </c>
      <c r="V119" s="989">
        <f t="array" ref="V119">LARGE(IF($E:$E="Yes", $R:$R), U96)</f>
        <v>70.5</v>
      </c>
      <c r="W119" s="1524">
        <f t="array" ref="W119">INDEX($C:$C, MATCH(V119,$R:$R* ("Yes"=$E:$E),0))</f>
        <v>2021</v>
      </c>
      <c r="X119" s="1524" t="str">
        <f t="array" ref="X119">INDEX($D:$D, MATCH(V119,$R:$R* ("Yes"=$E:$E),0))</f>
        <v>WILD CARD</v>
      </c>
      <c r="Y119" s="991" t="str">
        <f t="array" ref="Y119">INDEX($L:$L, MATCH(V119,$R:$R* ("Yes"=$E:$E),0))</f>
        <v>POPEYES</v>
      </c>
      <c r="Z119" s="1524" t="str">
        <f t="array" ref="Z119">INDEX($M:$M, MATCH(V119,$R:$R* ("Yes"=$E:$E),0))</f>
        <v>SAVAGES</v>
      </c>
      <c r="AA119" s="1524" t="str">
        <f t="array" ref="AA119">"PVE FFL PLAYOFF " &amp; INDEX($B:$B, MATCH(V119,$R:$R* ("Yes"=$E:$E),0))</f>
        <v>PVE FFL PLAYOFF 24</v>
      </c>
      <c r="AB119" s="989">
        <f t="array" ref="AB119">INDEX($N:$N, MATCH(V119,$R:$R* ("Yes"=$E:$E),0))</f>
        <v>74.45</v>
      </c>
      <c r="AC119" s="1546">
        <f t="array" ref="AC119">INDEX($P:$P, MATCH(V119,$R:$R* ("Yes"=$E:$E),0))</f>
        <v>276.49</v>
      </c>
      <c r="AR119" s="314"/>
      <c r="AS119" s="314"/>
    </row>
    <row r="120" ht="15.75" customHeight="1">
      <c r="E120" s="314"/>
      <c r="F120" s="314"/>
      <c r="H120" s="1149"/>
      <c r="I120" s="1538"/>
      <c r="J120" s="365"/>
      <c r="K120" s="428"/>
      <c r="O120" s="314"/>
      <c r="Q120" s="314"/>
      <c r="R120" s="201"/>
      <c r="S120" s="314"/>
      <c r="U120" s="1518">
        <v>3.0</v>
      </c>
      <c r="V120" s="989">
        <f t="array" ref="V120">LARGE(IF($E:$E="Yes", $R:$R), U97)</f>
        <v>66</v>
      </c>
      <c r="W120" s="1524">
        <f t="array" ref="W120">INDEX($C:$C, MATCH(V120,$R:$R* ("Yes"=$E:$E),0))</f>
        <v>2019</v>
      </c>
      <c r="X120" s="1524" t="str">
        <f t="array" ref="X120">INDEX($D:$D, MATCH(V120,$R:$R* ("Yes"=$E:$E),0))</f>
        <v>WILD CARD</v>
      </c>
      <c r="Y120" s="991" t="str">
        <f t="array" ref="Y120">INDEX($L:$L, MATCH(V120,$R:$R* ("Yes"=$E:$E),0))</f>
        <v>DEEZ NUTS</v>
      </c>
      <c r="Z120" s="1524" t="str">
        <f t="array" ref="Z120">INDEX($M:$M, MATCH(V120,$R:$R* ("Yes"=$E:$E),0))</f>
        <v>GREEN</v>
      </c>
      <c r="AA120" s="1524" t="str">
        <f t="array" ref="AA120">"PVE FFL PLAYOFF " &amp; INDEX($B:$B, MATCH(V120,$R:$R* ("Yes"=$E:$E),0))</f>
        <v>PVE FFL PLAYOFF 1</v>
      </c>
      <c r="AB120" s="989">
        <f t="array" ref="AB120">INDEX($N:$N, MATCH(V120,$R:$R* ("Yes"=$E:$E),0))</f>
        <v>53.99</v>
      </c>
      <c r="AC120" s="1546">
        <f t="array" ref="AC120">INDEX($P:$P, MATCH(V120,$R:$R* ("Yes"=$E:$E),0))</f>
        <v>257.71</v>
      </c>
      <c r="AR120" s="314"/>
      <c r="AS120" s="314"/>
    </row>
    <row r="121" ht="15.75" customHeight="1">
      <c r="E121" s="314"/>
      <c r="F121" s="314"/>
      <c r="H121" s="1149"/>
      <c r="I121" s="1538"/>
      <c r="J121" s="365"/>
      <c r="K121" s="428"/>
      <c r="O121" s="314"/>
      <c r="Q121" s="314"/>
      <c r="R121" s="201"/>
      <c r="S121" s="314"/>
      <c r="U121" s="1527">
        <v>4.0</v>
      </c>
      <c r="V121" s="989">
        <f t="array" ref="V121">LARGE(IF($E:$E="Yes", $R:$R), U98)</f>
        <v>64</v>
      </c>
      <c r="W121" s="1524">
        <f t="array" ref="W121">INDEX($C:$C, MATCH(V121,$R:$R* ("Yes"=$E:$E),0))</f>
        <v>2021</v>
      </c>
      <c r="X121" s="1524" t="str">
        <f t="array" ref="X121">INDEX($D:$D, MATCH(V121,$R:$R* ("Yes"=$E:$E),0))</f>
        <v>WILD CARD</v>
      </c>
      <c r="Y121" s="991" t="str">
        <f t="array" ref="Y121">INDEX($L:$L, MATCH(V121,$R:$R* ("Yes"=$E:$E),0))</f>
        <v>METAMOOKDAWGS</v>
      </c>
      <c r="Z121" s="1524" t="str">
        <f t="array" ref="Z121">INDEX($M:$M, MATCH(V121,$R:$R* ("Yes"=$E:$E),0))</f>
        <v>MUTTS</v>
      </c>
      <c r="AA121" s="1524" t="str">
        <f t="array" ref="AA121">"PVE FFL PLAYOFF " &amp; INDEX($B:$B, MATCH(V121,$R:$R* ("Yes"=$E:$E),0))</f>
        <v>PVE FFL PLAYOFF 26</v>
      </c>
      <c r="AB121" s="989">
        <f t="array" ref="AB121">INDEX($N:$N, MATCH(V121,$R:$R* ("Yes"=$E:$E),0))</f>
        <v>46.48</v>
      </c>
      <c r="AC121" s="1546">
        <f t="array" ref="AC121">INDEX($P:$P, MATCH(V121,$R:$R* ("Yes"=$E:$E),0))</f>
        <v>232.98</v>
      </c>
      <c r="AR121" s="314"/>
      <c r="AS121" s="314"/>
    </row>
    <row r="122" ht="15.75" customHeight="1">
      <c r="E122" s="314"/>
      <c r="F122" s="314"/>
      <c r="H122" s="1149"/>
      <c r="I122" s="1538"/>
      <c r="J122" s="365"/>
      <c r="K122" s="428"/>
      <c r="O122" s="314"/>
      <c r="Q122" s="314"/>
      <c r="R122" s="201"/>
      <c r="S122" s="314"/>
      <c r="U122" s="1518">
        <v>5.0</v>
      </c>
      <c r="V122" s="989">
        <f t="array" ref="V122">LARGE(IF($E:$E="Yes", $R:$R), U99)</f>
        <v>58</v>
      </c>
      <c r="W122" s="1524">
        <f t="array" ref="W122">INDEX($C:$C, MATCH(V122,$R:$R* ("Yes"=$E:$E),0))</f>
        <v>2021</v>
      </c>
      <c r="X122" s="1524" t="str">
        <f t="array" ref="X122">INDEX($D:$D, MATCH(V122,$R:$R* ("Yes"=$E:$E),0))</f>
        <v>WILD CARD</v>
      </c>
      <c r="Y122" s="991" t="str">
        <f t="array" ref="Y122">INDEX($L:$L, MATCH(V122,$R:$R* ("Yes"=$E:$E),0))</f>
        <v>DECOUPES</v>
      </c>
      <c r="Z122" s="1524" t="str">
        <f t="array" ref="Z122">INDEX($M:$M, MATCH(V122,$R:$R* ("Yes"=$E:$E),0))</f>
        <v>GREEN</v>
      </c>
      <c r="AA122" s="1524" t="str">
        <f t="array" ref="AA122">"PVE FFL PLAYOFF " &amp; INDEX($B:$B, MATCH(V122,$R:$R* ("Yes"=$E:$E),0))</f>
        <v>PVE FFL PLAYOFF 23</v>
      </c>
      <c r="AB122" s="989">
        <f t="array" ref="AB122">INDEX($N:$N, MATCH(V122,$R:$R* ("Yes"=$E:$E),0))</f>
        <v>63.75</v>
      </c>
      <c r="AC122" s="1546">
        <f t="array" ref="AC122">INDEX($P:$P, MATCH(V122,$R:$R* ("Yes"=$E:$E),0))</f>
        <v>304.55</v>
      </c>
      <c r="AR122" s="314"/>
      <c r="AS122" s="314"/>
    </row>
    <row r="123" ht="15.75" customHeight="1">
      <c r="E123" s="314"/>
      <c r="F123" s="314"/>
      <c r="H123" s="1149"/>
      <c r="I123" s="1538"/>
      <c r="J123" s="365"/>
      <c r="K123" s="428"/>
      <c r="O123" s="314"/>
      <c r="Q123" s="314"/>
      <c r="R123" s="201"/>
      <c r="S123" s="314"/>
      <c r="U123" s="1527">
        <v>6.0</v>
      </c>
      <c r="V123" s="989">
        <f t="array" ref="V123">LARGE(IF($E:$E="Yes", $R:$R), U100)</f>
        <v>54</v>
      </c>
      <c r="W123" s="1524">
        <f t="array" ref="W123">INDEX($C:$C, MATCH(V123,$R:$R* ("Yes"=$E:$E),0))</f>
        <v>2025</v>
      </c>
      <c r="X123" s="1524" t="str">
        <f t="array" ref="X123">INDEX($D:$D, MATCH(V123,$R:$R* ("Yes"=$E:$E),0))</f>
        <v>WILD CARD</v>
      </c>
      <c r="Y123" s="991" t="str">
        <f t="array" ref="Y123">INDEX($L:$L, MATCH(V123,$R:$R* ("Yes"=$E:$E),0))</f>
        <v>POPEYES</v>
      </c>
      <c r="Z123" s="1524" t="str">
        <f t="array" ref="Z123">INDEX($M:$M, MATCH(V123,$R:$R* ("Yes"=$E:$E),0))</f>
        <v>DECOUPES</v>
      </c>
      <c r="AA123" s="1524" t="str">
        <f t="array" ref="AA123">"PVE FFL PLAYOFF " &amp; INDEX($B:$B, MATCH(V123,$R:$R* ("Yes"=$E:$E),0))</f>
        <v>PVE FFL PLAYOFF 71</v>
      </c>
      <c r="AB123" s="989">
        <f t="array" ref="AB123">INDEX($N:$N, MATCH(V123,$R:$R* ("Yes"=$E:$E),0))</f>
        <v>65.27</v>
      </c>
      <c r="AC123" s="1546">
        <f t="array" ref="AC123">INDEX($P:$P, MATCH(V123,$R:$R* ("Yes"=$E:$E),0))</f>
        <v>338.69</v>
      </c>
      <c r="AR123" s="314"/>
      <c r="AS123" s="314"/>
    </row>
    <row r="124" ht="15.75" customHeight="1">
      <c r="E124" s="314"/>
      <c r="F124" s="314"/>
      <c r="H124" s="1149"/>
      <c r="I124" s="1538"/>
      <c r="J124" s="365"/>
      <c r="K124" s="428"/>
      <c r="O124" s="314"/>
      <c r="Q124" s="314"/>
      <c r="R124" s="201"/>
      <c r="S124" s="314"/>
      <c r="U124" s="1518">
        <v>7.0</v>
      </c>
      <c r="V124" s="989">
        <f t="array" ref="V124">LARGE(IF($E:$E="Yes", $R:$R), U101)</f>
        <v>53.5</v>
      </c>
      <c r="W124" s="1524">
        <f t="array" ref="W124">INDEX($C:$C, MATCH(V124,$R:$R* ("Yes"=$E:$E),0))</f>
        <v>2022</v>
      </c>
      <c r="X124" s="1524" t="str">
        <f t="array" ref="X124">INDEX($D:$D, MATCH(V124,$R:$R* ("Yes"=$E:$E),0))</f>
        <v>DIV CHAMP</v>
      </c>
      <c r="Y124" s="991" t="str">
        <f t="array" ref="Y124">INDEX($L:$L, MATCH(V124,$R:$R* ("Yes"=$E:$E),0))</f>
        <v>MUTTS</v>
      </c>
      <c r="Z124" s="1524" t="str">
        <f t="array" ref="Z124">INDEX($M:$M, MATCH(V124,$R:$R* ("Yes"=$E:$E),0))</f>
        <v>YARDIES</v>
      </c>
      <c r="AA124" s="1524" t="str">
        <f t="array" ref="AA124">"PVE FFL PLAYOFF " &amp; INDEX($B:$B, MATCH(V124,$R:$R* ("Yes"=$E:$E),0))</f>
        <v>PVE FFL PLAYOFF 41</v>
      </c>
      <c r="AB124" s="989">
        <f t="array" ref="AB124">INDEX($N:$N, MATCH(V124,$R:$R* ("Yes"=$E:$E),0))</f>
        <v>74.23</v>
      </c>
      <c r="AC124" s="1546">
        <f t="array" ref="AC124">INDEX($P:$P, MATCH(V124,$R:$R* ("Yes"=$E:$E),0))</f>
        <v>358.65</v>
      </c>
      <c r="AR124" s="314"/>
      <c r="AS124" s="314"/>
    </row>
    <row r="125" ht="15.75" customHeight="1">
      <c r="E125" s="314"/>
      <c r="F125" s="314"/>
      <c r="H125" s="1149"/>
      <c r="I125" s="1538"/>
      <c r="J125" s="365"/>
      <c r="K125" s="428"/>
      <c r="O125" s="314"/>
      <c r="Q125" s="314"/>
      <c r="R125" s="201"/>
      <c r="S125" s="314"/>
      <c r="U125" s="1527">
        <v>8.0</v>
      </c>
      <c r="V125" s="989">
        <f t="array" ref="V125">LARGE(IF($E:$E="Yes", $R:$R), U102)</f>
        <v>51.5</v>
      </c>
      <c r="W125" s="1524">
        <f t="array" ref="W125">INDEX($C:$C, MATCH(V125,$R:$R* ("Yes"=$E:$E),0))</f>
        <v>2022</v>
      </c>
      <c r="X125" s="1524" t="str">
        <f t="array" ref="X125">INDEX($D:$D, MATCH(V125,$R:$R* ("Yes"=$E:$E),0))</f>
        <v>FANTASY BOWL</v>
      </c>
      <c r="Y125" s="991" t="str">
        <f t="array" ref="Y125">INDEX($L:$L, MATCH(V125,$R:$R* ("Yes"=$E:$E),0))</f>
        <v>GREEN</v>
      </c>
      <c r="Z125" s="1524" t="str">
        <f t="array" ref="Z125">INDEX($M:$M, MATCH(V125,$R:$R* ("Yes"=$E:$E),0))</f>
        <v>MUTTS</v>
      </c>
      <c r="AA125" s="1524" t="str">
        <f t="array" ref="AA125">"PVE FFL PLAYOFF " &amp; INDEX($B:$B, MATCH(V125,$R:$R* ("Yes"=$E:$E),0))</f>
        <v>PVE FFL PLAYOFF 45</v>
      </c>
      <c r="AB125" s="989">
        <f t="array" ref="AB125">INDEX($N:$N, MATCH(V125,$R:$R* ("Yes"=$E:$E),0))</f>
        <v>54.99</v>
      </c>
      <c r="AC125" s="1546">
        <f t="array" ref="AC125">INDEX($P:$P, MATCH(V125,$R:$R* ("Yes"=$E:$E),0))</f>
        <v>325.15</v>
      </c>
      <c r="AR125" s="314"/>
      <c r="AS125" s="314"/>
    </row>
    <row r="126" ht="15.75" customHeight="1">
      <c r="E126" s="314"/>
      <c r="F126" s="314"/>
      <c r="H126" s="1149"/>
      <c r="I126" s="1538"/>
      <c r="J126" s="365"/>
      <c r="K126" s="428"/>
      <c r="O126" s="314"/>
      <c r="Q126" s="314"/>
      <c r="R126" s="201"/>
      <c r="S126" s="314"/>
      <c r="U126" s="1518">
        <v>9.0</v>
      </c>
      <c r="V126" s="989">
        <f t="array" ref="V126">LARGE(IF($E:$E="Yes", $R:$R), U103)</f>
        <v>51.5</v>
      </c>
      <c r="W126" s="1524">
        <f t="array" ref="W126">INDEX($C:$C, MATCH(V126,$R:$R* ("Yes"=$E:$E),0))</f>
        <v>2022</v>
      </c>
      <c r="X126" s="1524" t="str">
        <f t="array" ref="X126">INDEX($D:$D, MATCH(V126,$R:$R* ("Yes"=$E:$E),0))</f>
        <v>FANTASY BOWL</v>
      </c>
      <c r="Y126" s="991" t="str">
        <f t="array" ref="Y126">INDEX($L:$L, MATCH(V126,$R:$R* ("Yes"=$E:$E),0))</f>
        <v>GREEN</v>
      </c>
      <c r="Z126" s="1524" t="str">
        <f t="array" ref="Z126">INDEX($M:$M, MATCH(V126,$R:$R* ("Yes"=$E:$E),0))</f>
        <v>MUTTS</v>
      </c>
      <c r="AA126" s="1524" t="str">
        <f t="array" ref="AA126">"PVE FFL PLAYOFF " &amp; INDEX($B:$B, MATCH(V126,$R:$R* ("Yes"=$E:$E),0))</f>
        <v>PVE FFL PLAYOFF 45</v>
      </c>
      <c r="AB126" s="989">
        <f t="array" ref="AB126">INDEX($N:$N, MATCH(V126,$R:$R* ("Yes"=$E:$E),0))</f>
        <v>54.99</v>
      </c>
      <c r="AC126" s="1546">
        <f t="array" ref="AC126">INDEX($P:$P, MATCH(V126,$R:$R* ("Yes"=$E:$E),0))</f>
        <v>325.15</v>
      </c>
      <c r="AR126" s="314"/>
      <c r="AS126" s="314"/>
    </row>
    <row r="127" ht="15.75" customHeight="1">
      <c r="E127" s="314"/>
      <c r="F127" s="314"/>
      <c r="H127" s="1149"/>
      <c r="I127" s="1538"/>
      <c r="J127" s="365"/>
      <c r="K127" s="428"/>
      <c r="O127" s="314"/>
      <c r="Q127" s="314"/>
      <c r="R127" s="201"/>
      <c r="S127" s="314"/>
      <c r="U127" s="1527">
        <v>10.0</v>
      </c>
      <c r="V127" s="989">
        <f t="array" ref="V127">LARGE(IF($E:$E="Yes", $R:$R), U104)</f>
        <v>51</v>
      </c>
      <c r="W127" s="1524">
        <f t="array" ref="W127">INDEX($C:$C, MATCH(V127,$R:$R* ("Yes"=$E:$E),0))</f>
        <v>2019</v>
      </c>
      <c r="X127" s="1524" t="str">
        <f t="array" ref="X127">INDEX($D:$D, MATCH(V127,$R:$R* ("Yes"=$E:$E),0))</f>
        <v>FANTASY BOWL</v>
      </c>
      <c r="Y127" s="991" t="str">
        <f t="array" ref="Y127">INDEX($L:$L, MATCH(V127,$R:$R* ("Yes"=$E:$E),0))</f>
        <v>SAVAGES</v>
      </c>
      <c r="Z127" s="1524" t="str">
        <f t="array" ref="Z127">INDEX($M:$M, MATCH(V127,$R:$R* ("Yes"=$E:$E),0))</f>
        <v>METAMOOKDAWGS</v>
      </c>
      <c r="AA127" s="1524" t="str">
        <f t="array" ref="AA127">"PVE FFL PLAYOFF " &amp; INDEX($B:$B, MATCH(V127,$R:$R* ("Yes"=$E:$E),0))</f>
        <v>PVE FFL PLAYOFF 8</v>
      </c>
      <c r="AB127" s="989">
        <f t="array" ref="AB127">INDEX($N:$N, MATCH(V127,$R:$R* ("Yes"=$E:$E),0))</f>
        <v>62.06</v>
      </c>
      <c r="AC127" s="1546">
        <f t="array" ref="AC127">INDEX($P:$P, MATCH(V127,$R:$R* ("Yes"=$E:$E),0))</f>
        <v>343.8</v>
      </c>
      <c r="AR127" s="314"/>
      <c r="AS127" s="314"/>
    </row>
    <row r="128" ht="15.75" customHeight="1">
      <c r="E128" s="314"/>
      <c r="F128" s="314"/>
      <c r="H128" s="1149"/>
      <c r="I128" s="1538"/>
      <c r="J128" s="365"/>
      <c r="K128" s="428"/>
      <c r="O128" s="314"/>
      <c r="Q128" s="314"/>
      <c r="R128" s="201"/>
      <c r="S128" s="314"/>
      <c r="U128" s="1518">
        <v>11.0</v>
      </c>
      <c r="V128" s="989">
        <f t="array" ref="V128">LARGE(IF($E:$E="Yes", $R:$R), U105)</f>
        <v>50.5</v>
      </c>
      <c r="W128" s="1524">
        <f t="array" ref="W128">INDEX($C:$C, MATCH(V128,$R:$R* ("Yes"=$E:$E),0))</f>
        <v>2024</v>
      </c>
      <c r="X128" s="1524" t="str">
        <f t="array" ref="X128">INDEX($D:$D, MATCH(V128,$R:$R* ("Yes"=$E:$E),0))</f>
        <v>FANTASY BOWL</v>
      </c>
      <c r="Y128" s="991" t="str">
        <f t="array" ref="Y128">INDEX($L:$L, MATCH(V128,$R:$R* ("Yes"=$E:$E),0))</f>
        <v>YARDIES</v>
      </c>
      <c r="Z128" s="1524" t="str">
        <f t="array" ref="Z128">INDEX($M:$M, MATCH(V128,$R:$R* ("Yes"=$E:$E),0))</f>
        <v>KINGS</v>
      </c>
      <c r="AA128" s="1524" t="str">
        <f t="array" ref="AA128">"PVE FFL PLAYOFF " &amp; INDEX($B:$B, MATCH(V128,$R:$R* ("Yes"=$E:$E),0))</f>
        <v>PVE FFL PLAYOFF 69</v>
      </c>
      <c r="AB128" s="989">
        <f t="array" ref="AB128">INDEX($N:$N, MATCH(V128,$R:$R* ("Yes"=$E:$E),0))</f>
        <v>45.35</v>
      </c>
      <c r="AC128" s="1546">
        <f t="array" ref="AC128">INDEX($P:$P, MATCH(V128,$R:$R* ("Yes"=$E:$E),0))</f>
        <v>303.43</v>
      </c>
      <c r="AR128" s="314"/>
      <c r="AS128" s="314"/>
    </row>
    <row r="129" ht="15.75" customHeight="1">
      <c r="E129" s="314"/>
      <c r="F129" s="314"/>
      <c r="H129" s="1149"/>
      <c r="I129" s="1538"/>
      <c r="J129" s="365"/>
      <c r="K129" s="428"/>
      <c r="O129" s="314"/>
      <c r="Q129" s="314"/>
      <c r="R129" s="201"/>
      <c r="S129" s="314"/>
      <c r="U129" s="1527">
        <v>12.0</v>
      </c>
      <c r="V129" s="989">
        <f t="array" ref="V129">LARGE(IF($E:$E="Yes", $R:$R), U106)</f>
        <v>50</v>
      </c>
      <c r="W129" s="1524">
        <f t="array" ref="W129">INDEX($C:$C, MATCH(V129,$R:$R* ("Yes"=$E:$E),0))</f>
        <v>2025</v>
      </c>
      <c r="X129" s="1524" t="str">
        <f t="array" ref="X129">INDEX($D:$D, MATCH(V129,$R:$R* ("Yes"=$E:$E),0))</f>
        <v>DIV CHAMP</v>
      </c>
      <c r="Y129" s="991" t="str">
        <f t="array" ref="Y129">INDEX($L:$L, MATCH(V129,$R:$R* ("Yes"=$E:$E),0))</f>
        <v>YARDIES</v>
      </c>
      <c r="Z129" s="1524" t="str">
        <f t="array" ref="Z129">INDEX($M:$M, MATCH(V129,$R:$R* ("Yes"=$E:$E),0))</f>
        <v>MUTTS</v>
      </c>
      <c r="AA129" s="1524" t="str">
        <f t="array" ref="AA129">"PVE FFL PLAYOFF " &amp; INDEX($B:$B, MATCH(V129,$R:$R* ("Yes"=$E:$E),0))</f>
        <v>PVE FFL PLAYOFF 76</v>
      </c>
      <c r="AB129" s="989">
        <f t="array" ref="AB129">INDEX($N:$N, MATCH(V129,$R:$R* ("Yes"=$E:$E),0))</f>
        <v>60.26</v>
      </c>
      <c r="AC129" s="1546">
        <f t="array" ref="AC129">INDEX($P:$P, MATCH(V129,$R:$R* ("Yes"=$E:$E),0))</f>
        <v>341.8</v>
      </c>
      <c r="AR129" s="314"/>
      <c r="AS129" s="314"/>
    </row>
    <row r="130" ht="15.75" customHeight="1">
      <c r="E130" s="314"/>
      <c r="F130" s="314"/>
      <c r="H130" s="1149"/>
      <c r="I130" s="1538"/>
      <c r="J130" s="365"/>
      <c r="K130" s="428"/>
      <c r="O130" s="314"/>
      <c r="Q130" s="314"/>
      <c r="R130" s="201"/>
      <c r="S130" s="314"/>
      <c r="U130" s="1518">
        <v>13.0</v>
      </c>
      <c r="V130" s="989">
        <f t="array" ref="V130">LARGE(IF($E:$E="Yes", $R:$R), U107)</f>
        <v>47.5</v>
      </c>
      <c r="W130" s="1524">
        <f t="array" ref="W130">INDEX($C:$C, MATCH(V130,$R:$R* ("Yes"=$E:$E),0))</f>
        <v>2019</v>
      </c>
      <c r="X130" s="1524" t="str">
        <f t="array" ref="X130">INDEX($D:$D, MATCH(V130,$R:$R* ("Yes"=$E:$E),0))</f>
        <v>DIV CHAMP</v>
      </c>
      <c r="Y130" s="991" t="str">
        <f t="array" ref="Y130">INDEX($L:$L, MATCH(V130,$R:$R* ("Yes"=$E:$E),0))</f>
        <v>METAMOOKDAWGS</v>
      </c>
      <c r="Z130" s="1524" t="str">
        <f t="array" ref="Z130">INDEX($M:$M, MATCH(V130,$R:$R* ("Yes"=$E:$E),0))</f>
        <v>DEEZ NUTS</v>
      </c>
      <c r="AA130" s="1524" t="str">
        <f t="array" ref="AA130">"PVE FFL PLAYOFF " &amp; INDEX($B:$B, MATCH(V130,$R:$R* ("Yes"=$E:$E),0))</f>
        <v>PVE FFL PLAYOFF 5</v>
      </c>
      <c r="AB130" s="989">
        <f t="array" ref="AB130">INDEX($N:$N, MATCH(V130,$R:$R* ("Yes"=$E:$E),0))</f>
        <v>11.84</v>
      </c>
      <c r="AC130" s="1546">
        <f t="array" ref="AC130">INDEX($P:$P, MATCH(V130,$R:$R* ("Yes"=$E:$E),0))</f>
        <v>270.44</v>
      </c>
      <c r="AR130" s="314"/>
      <c r="AS130" s="314"/>
    </row>
    <row r="131" ht="15.75" customHeight="1">
      <c r="E131" s="314"/>
      <c r="F131" s="314"/>
      <c r="H131" s="1149"/>
      <c r="I131" s="1538"/>
      <c r="J131" s="365"/>
      <c r="K131" s="428"/>
      <c r="O131" s="314"/>
      <c r="Q131" s="314"/>
      <c r="R131" s="201"/>
      <c r="S131" s="314"/>
      <c r="U131" s="1527">
        <v>14.0</v>
      </c>
      <c r="V131" s="989">
        <f t="array" ref="V131">LARGE(IF($E:$E="Yes", $R:$R), U108)</f>
        <v>47.5</v>
      </c>
      <c r="W131" s="1524">
        <f t="array" ref="W131">INDEX($C:$C, MATCH(V131,$R:$R* ("Yes"=$E:$E),0))</f>
        <v>2019</v>
      </c>
      <c r="X131" s="1524" t="str">
        <f t="array" ref="X131">INDEX($D:$D, MATCH(V131,$R:$R* ("Yes"=$E:$E),0))</f>
        <v>DIV CHAMP</v>
      </c>
      <c r="Y131" s="991" t="str">
        <f t="array" ref="Y131">INDEX($L:$L, MATCH(V131,$R:$R* ("Yes"=$E:$E),0))</f>
        <v>METAMOOKDAWGS</v>
      </c>
      <c r="Z131" s="1524" t="str">
        <f t="array" ref="Z131">INDEX($M:$M, MATCH(V131,$R:$R* ("Yes"=$E:$E),0))</f>
        <v>DEEZ NUTS</v>
      </c>
      <c r="AA131" s="1524" t="str">
        <f t="array" ref="AA131">"PVE FFL PLAYOFF " &amp; INDEX($B:$B, MATCH(V131,$R:$R* ("Yes"=$E:$E),0))</f>
        <v>PVE FFL PLAYOFF 5</v>
      </c>
      <c r="AB131" s="989">
        <f t="array" ref="AB131">INDEX($N:$N, MATCH(V131,$R:$R* ("Yes"=$E:$E),0))</f>
        <v>11.84</v>
      </c>
      <c r="AC131" s="1546">
        <f t="array" ref="AC131">INDEX($P:$P, MATCH(V131,$R:$R* ("Yes"=$E:$E),0))</f>
        <v>270.44</v>
      </c>
      <c r="AR131" s="314"/>
      <c r="AS131" s="314"/>
    </row>
    <row r="132" ht="15.75" customHeight="1">
      <c r="E132" s="314"/>
      <c r="F132" s="314"/>
      <c r="H132" s="1149"/>
      <c r="I132" s="1538"/>
      <c r="J132" s="365"/>
      <c r="K132" s="428"/>
      <c r="O132" s="314"/>
      <c r="Q132" s="314"/>
      <c r="R132" s="201"/>
      <c r="S132" s="314"/>
      <c r="U132" s="1518">
        <v>15.0</v>
      </c>
      <c r="V132" s="989">
        <f t="array" ref="V132">LARGE(IF($E:$E="Yes", $R:$R), U109)</f>
        <v>45</v>
      </c>
      <c r="W132" s="1524">
        <f t="array" ref="W132">INDEX($C:$C, MATCH(V132,$R:$R* ("Yes"=$E:$E),0))</f>
        <v>2022</v>
      </c>
      <c r="X132" s="1524" t="str">
        <f t="array" ref="X132">INDEX($D:$D, MATCH(V132,$R:$R* ("Yes"=$E:$E),0))</f>
        <v>WILD CARD</v>
      </c>
      <c r="Y132" s="991" t="str">
        <f t="array" ref="Y132">INDEX($L:$L, MATCH(V132,$R:$R* ("Yes"=$E:$E),0))</f>
        <v>MUTTS</v>
      </c>
      <c r="Z132" s="1524" t="str">
        <f t="array" ref="Z132">INDEX($M:$M, MATCH(V132,$R:$R* ("Yes"=$E:$E),0))</f>
        <v>CHAMPS</v>
      </c>
      <c r="AA132" s="1524" t="str">
        <f t="array" ref="AA132">"PVE FFL PLAYOFF " &amp; INDEX($B:$B, MATCH(V132,$R:$R* ("Yes"=$E:$E),0))</f>
        <v>PVE FFL PLAYOFF 38</v>
      </c>
      <c r="AB132" s="989">
        <f t="array" ref="AB132">INDEX($N:$N, MATCH(V132,$R:$R* ("Yes"=$E:$E),0))</f>
        <v>49.47</v>
      </c>
      <c r="AC132" s="1546">
        <f t="array" ref="AC132">INDEX($P:$P, MATCH(V132,$R:$R* ("Yes"=$E:$E),0))</f>
        <v>348.19</v>
      </c>
      <c r="AR132" s="314"/>
      <c r="AS132" s="314"/>
    </row>
    <row r="133" ht="15.75" customHeight="1">
      <c r="E133" s="314"/>
      <c r="F133" s="314"/>
      <c r="H133" s="1149"/>
      <c r="I133" s="1538"/>
      <c r="J133" s="365"/>
      <c r="K133" s="428"/>
      <c r="O133" s="314"/>
      <c r="Q133" s="314"/>
      <c r="R133" s="201"/>
      <c r="S133" s="314"/>
      <c r="U133" s="1527">
        <v>16.0</v>
      </c>
      <c r="V133" s="989">
        <f t="array" ref="V133">LARGE(IF($E:$E="Yes", $R:$R), U110)</f>
        <v>44</v>
      </c>
      <c r="W133" s="1524">
        <f t="array" ref="W133">INDEX($C:$C, MATCH(V133,$R:$R* ("Yes"=$E:$E),0))</f>
        <v>2020</v>
      </c>
      <c r="X133" s="1524" t="str">
        <f t="array" ref="X133">INDEX($D:$D, MATCH(V133,$R:$R* ("Yes"=$E:$E),0))</f>
        <v>WILD CARD</v>
      </c>
      <c r="Y133" s="991" t="str">
        <f t="array" ref="Y133">INDEX($L:$L, MATCH(V133,$R:$R* ("Yes"=$E:$E),0))</f>
        <v>MUTTS</v>
      </c>
      <c r="Z133" s="1524" t="str">
        <f t="array" ref="Z133">INDEX($M:$M, MATCH(V133,$R:$R* ("Yes"=$E:$E),0))</f>
        <v>GIRLS</v>
      </c>
      <c r="AA133" s="1524" t="str">
        <f t="array" ref="AA133">"PVE FFL PLAYOFF " &amp; INDEX($B:$B, MATCH(V133,$R:$R* ("Yes"=$E:$E),0))</f>
        <v>PVE FFL PLAYOFF 13</v>
      </c>
      <c r="AB133" s="989">
        <f t="array" ref="AB133">INDEX($N:$N, MATCH(V133,$R:$R* ("Yes"=$E:$E),0))</f>
        <v>66.56</v>
      </c>
      <c r="AC133" s="1546">
        <f t="array" ref="AC133">INDEX($P:$P, MATCH(V133,$R:$R* ("Yes"=$E:$E),0))</f>
        <v>398.28</v>
      </c>
      <c r="AR133" s="314"/>
      <c r="AS133" s="314"/>
    </row>
    <row r="134" ht="15.75" customHeight="1">
      <c r="E134" s="314"/>
      <c r="F134" s="314"/>
      <c r="H134" s="1149"/>
      <c r="I134" s="1538"/>
      <c r="J134" s="365"/>
      <c r="K134" s="428"/>
      <c r="O134" s="314"/>
      <c r="Q134" s="314"/>
      <c r="R134" s="201"/>
      <c r="S134" s="314"/>
      <c r="U134" s="1518">
        <v>17.0</v>
      </c>
      <c r="V134" s="989">
        <f t="array" ref="V134">LARGE(IF($E:$E="Yes", $R:$R), U111)</f>
        <v>44</v>
      </c>
      <c r="W134" s="1524">
        <f t="array" ref="W134">INDEX($C:$C, MATCH(V134,$R:$R* ("Yes"=$E:$E),0))</f>
        <v>2020</v>
      </c>
      <c r="X134" s="1524" t="str">
        <f t="array" ref="X134">INDEX($D:$D, MATCH(V134,$R:$R* ("Yes"=$E:$E),0))</f>
        <v>WILD CARD</v>
      </c>
      <c r="Y134" s="991" t="str">
        <f t="array" ref="Y134">INDEX($L:$L, MATCH(V134,$R:$R* ("Yes"=$E:$E),0))</f>
        <v>MUTTS</v>
      </c>
      <c r="Z134" s="1524" t="str">
        <f t="array" ref="Z134">INDEX($M:$M, MATCH(V134,$R:$R* ("Yes"=$E:$E),0))</f>
        <v>GIRLS</v>
      </c>
      <c r="AA134" s="1524" t="str">
        <f t="array" ref="AA134">"PVE FFL PLAYOFF " &amp; INDEX($B:$B, MATCH(V134,$R:$R* ("Yes"=$E:$E),0))</f>
        <v>PVE FFL PLAYOFF 13</v>
      </c>
      <c r="AB134" s="989">
        <f t="array" ref="AB134">INDEX($N:$N, MATCH(V134,$R:$R* ("Yes"=$E:$E),0))</f>
        <v>66.56</v>
      </c>
      <c r="AC134" s="1546">
        <f t="array" ref="AC134">INDEX($P:$P, MATCH(V134,$R:$R* ("Yes"=$E:$E),0))</f>
        <v>398.28</v>
      </c>
      <c r="AR134" s="314"/>
      <c r="AS134" s="314"/>
    </row>
    <row r="135" ht="15.75" customHeight="1">
      <c r="E135" s="314"/>
      <c r="F135" s="314"/>
      <c r="H135" s="1149"/>
      <c r="I135" s="1538"/>
      <c r="J135" s="365"/>
      <c r="K135" s="428"/>
      <c r="O135" s="314"/>
      <c r="Q135" s="314"/>
      <c r="R135" s="201"/>
      <c r="S135" s="314"/>
      <c r="U135" s="1527">
        <v>18.0</v>
      </c>
      <c r="V135" s="989">
        <f t="array" ref="V135">LARGE(IF($E:$E="Yes", $R:$R), U112)</f>
        <v>44</v>
      </c>
      <c r="W135" s="1524">
        <f t="array" ref="W135">INDEX($C:$C, MATCH(V135,$R:$R* ("Yes"=$E:$E),0))</f>
        <v>2020</v>
      </c>
      <c r="X135" s="1524" t="str">
        <f t="array" ref="X135">INDEX($D:$D, MATCH(V135,$R:$R* ("Yes"=$E:$E),0))</f>
        <v>WILD CARD</v>
      </c>
      <c r="Y135" s="991" t="str">
        <f t="array" ref="Y135">INDEX($L:$L, MATCH(V135,$R:$R* ("Yes"=$E:$E),0))</f>
        <v>MUTTS</v>
      </c>
      <c r="Z135" s="1524" t="str">
        <f t="array" ref="Z135">INDEX($M:$M, MATCH(V135,$R:$R* ("Yes"=$E:$E),0))</f>
        <v>GIRLS</v>
      </c>
      <c r="AA135" s="1524" t="str">
        <f t="array" ref="AA135">"PVE FFL PLAYOFF " &amp; INDEX($B:$B, MATCH(V135,$R:$R* ("Yes"=$E:$E),0))</f>
        <v>PVE FFL PLAYOFF 13</v>
      </c>
      <c r="AB135" s="989">
        <f t="array" ref="AB135">INDEX($N:$N, MATCH(V135,$R:$R* ("Yes"=$E:$E),0))</f>
        <v>66.56</v>
      </c>
      <c r="AC135" s="1546">
        <f t="array" ref="AC135">INDEX($P:$P, MATCH(V135,$R:$R* ("Yes"=$E:$E),0))</f>
        <v>398.28</v>
      </c>
      <c r="AR135" s="314"/>
      <c r="AS135" s="314"/>
    </row>
    <row r="136" ht="15.75" customHeight="1">
      <c r="E136" s="314"/>
      <c r="F136" s="314"/>
      <c r="H136" s="1149"/>
      <c r="I136" s="1538"/>
      <c r="J136" s="365"/>
      <c r="K136" s="428"/>
      <c r="O136" s="314"/>
      <c r="Q136" s="314"/>
      <c r="R136" s="201"/>
      <c r="S136" s="314"/>
      <c r="U136" s="1518">
        <v>19.0</v>
      </c>
      <c r="V136" s="989">
        <f t="array" ref="V136">LARGE(IF($E:$E="Yes", $R:$R), U113)</f>
        <v>44</v>
      </c>
      <c r="W136" s="1524">
        <f t="array" ref="W136">INDEX($C:$C, MATCH(V136,$R:$R* ("Yes"=$E:$E),0))</f>
        <v>2020</v>
      </c>
      <c r="X136" s="1524" t="str">
        <f t="array" ref="X136">INDEX($D:$D, MATCH(V136,$R:$R* ("Yes"=$E:$E),0))</f>
        <v>WILD CARD</v>
      </c>
      <c r="Y136" s="991" t="str">
        <f t="array" ref="Y136">INDEX($L:$L, MATCH(V136,$R:$R* ("Yes"=$E:$E),0))</f>
        <v>MUTTS</v>
      </c>
      <c r="Z136" s="1524" t="str">
        <f t="array" ref="Z136">INDEX($M:$M, MATCH(V136,$R:$R* ("Yes"=$E:$E),0))</f>
        <v>GIRLS</v>
      </c>
      <c r="AA136" s="1524" t="str">
        <f t="array" ref="AA136">"PVE FFL PLAYOFF " &amp; INDEX($B:$B, MATCH(V136,$R:$R* ("Yes"=$E:$E),0))</f>
        <v>PVE FFL PLAYOFF 13</v>
      </c>
      <c r="AB136" s="989">
        <f t="array" ref="AB136">INDEX($N:$N, MATCH(V136,$R:$R* ("Yes"=$E:$E),0))</f>
        <v>66.56</v>
      </c>
      <c r="AC136" s="1546">
        <f t="array" ref="AC136">INDEX($P:$P, MATCH(V136,$R:$R* ("Yes"=$E:$E),0))</f>
        <v>398.28</v>
      </c>
      <c r="AR136" s="314"/>
      <c r="AS136" s="314"/>
    </row>
    <row r="137" ht="15.75" customHeight="1">
      <c r="E137" s="314"/>
      <c r="F137" s="314"/>
      <c r="H137" s="1149"/>
      <c r="I137" s="1538"/>
      <c r="J137" s="365"/>
      <c r="K137" s="428"/>
      <c r="O137" s="314"/>
      <c r="Q137" s="314"/>
      <c r="R137" s="201"/>
      <c r="S137" s="314"/>
      <c r="U137" s="1571">
        <v>20.0</v>
      </c>
      <c r="V137" s="1576">
        <f t="array" ref="V137">LARGE(IF($E:$E="Yes", $R:$R), U114)</f>
        <v>40.5</v>
      </c>
      <c r="W137" s="1524">
        <f t="array" ref="W137">INDEX($C:$C, MATCH(V137,$R:$R* ("Yes"=$E:$E),0))</f>
        <v>2023</v>
      </c>
      <c r="X137" s="1572" t="str">
        <f t="array" ref="X137">INDEX($D:$D, MATCH(V137,$R:$R* ("Yes"=$E:$E),0))</f>
        <v>FANTASY BOWL</v>
      </c>
      <c r="Y137" s="1573" t="str">
        <f t="array" ref="Y137">INDEX($L:$L, MATCH(V137,$R:$R* ("Yes"=$E:$E),0))</f>
        <v>POPEYES</v>
      </c>
      <c r="Z137" s="1572" t="str">
        <f t="array" ref="Z137">INDEX($M:$M, MATCH(V137,$R:$R* ("Yes"=$E:$E),0))</f>
        <v>CHAMPS</v>
      </c>
      <c r="AA137" s="1572" t="str">
        <f t="array" ref="AA137">"PVE FFL PLAYOFF " &amp; INDEX($B:$B, MATCH(V137,$R:$R* ("Yes"=$E:$E),0))</f>
        <v>PVE FFL PLAYOFF 56</v>
      </c>
      <c r="AB137" s="1576">
        <f t="array" ref="AB137">INDEX($N:$N, MATCH(V137,$R:$R* ("Yes"=$E:$E),0))</f>
        <v>45.26</v>
      </c>
      <c r="AC137" s="1577">
        <f t="array" ref="AC137">INDEX($P:$P, MATCH(V137,$R:$R* ("Yes"=$E:$E),0))</f>
        <v>353.42</v>
      </c>
      <c r="AR137" s="314"/>
      <c r="AS137" s="314"/>
    </row>
    <row r="138" ht="15.75" customHeight="1">
      <c r="E138" s="314"/>
      <c r="F138" s="314"/>
      <c r="H138" s="1149"/>
      <c r="I138" s="1538"/>
      <c r="J138" s="365"/>
      <c r="K138" s="428"/>
      <c r="O138" s="314"/>
      <c r="Q138" s="314"/>
      <c r="R138" s="201"/>
      <c r="S138" s="314"/>
      <c r="AR138" s="314"/>
      <c r="AS138" s="314"/>
    </row>
    <row r="139" ht="15.75" customHeight="1">
      <c r="E139" s="314"/>
      <c r="F139" s="314"/>
      <c r="H139" s="1149"/>
      <c r="I139" s="1538"/>
      <c r="J139" s="365"/>
      <c r="K139" s="428"/>
      <c r="O139" s="314"/>
      <c r="Q139" s="314"/>
      <c r="R139" s="201"/>
      <c r="S139" s="314"/>
      <c r="AR139" s="314"/>
      <c r="AS139" s="314"/>
    </row>
    <row r="140" ht="15.75" customHeight="1">
      <c r="E140" s="314"/>
      <c r="F140" s="314"/>
      <c r="H140" s="1149"/>
      <c r="I140" s="1538"/>
      <c r="J140" s="365"/>
      <c r="K140" s="428"/>
      <c r="O140" s="314"/>
      <c r="Q140" s="314"/>
      <c r="R140" s="201"/>
      <c r="S140" s="314"/>
      <c r="AR140" s="314"/>
      <c r="AS140" s="314"/>
    </row>
    <row r="141" ht="15.75" customHeight="1">
      <c r="E141" s="314"/>
      <c r="F141" s="314"/>
      <c r="H141" s="1149"/>
      <c r="I141" s="1538"/>
      <c r="J141" s="365"/>
      <c r="K141" s="428"/>
      <c r="O141" s="314"/>
      <c r="Q141" s="314"/>
      <c r="R141" s="201"/>
      <c r="S141" s="314"/>
      <c r="AR141" s="314"/>
      <c r="AS141" s="314"/>
    </row>
    <row r="142" ht="15.75" customHeight="1">
      <c r="E142" s="314"/>
      <c r="F142" s="314"/>
      <c r="H142" s="1149"/>
      <c r="I142" s="1538"/>
      <c r="J142" s="365"/>
      <c r="K142" s="428"/>
      <c r="O142" s="314"/>
      <c r="Q142" s="314"/>
      <c r="R142" s="201"/>
      <c r="S142" s="314"/>
      <c r="AR142" s="314"/>
      <c r="AS142" s="314"/>
    </row>
    <row r="143" ht="15.75" customHeight="1">
      <c r="E143" s="314"/>
      <c r="F143" s="314"/>
      <c r="H143" s="1149"/>
      <c r="I143" s="1538"/>
      <c r="J143" s="365"/>
      <c r="K143" s="428"/>
      <c r="O143" s="314"/>
      <c r="Q143" s="314"/>
      <c r="R143" s="201"/>
      <c r="S143" s="314"/>
      <c r="AR143" s="314"/>
      <c r="AS143" s="314"/>
    </row>
    <row r="144" ht="15.75" customHeight="1">
      <c r="E144" s="314"/>
      <c r="F144" s="314"/>
      <c r="H144" s="1149"/>
      <c r="I144" s="1538"/>
      <c r="J144" s="365"/>
      <c r="K144" s="428"/>
      <c r="O144" s="314"/>
      <c r="Q144" s="314"/>
      <c r="R144" s="201"/>
      <c r="S144" s="314"/>
      <c r="AR144" s="314"/>
      <c r="AS144" s="314"/>
    </row>
    <row r="145" ht="15.75" customHeight="1">
      <c r="E145" s="314"/>
      <c r="F145" s="314"/>
      <c r="H145" s="1149"/>
      <c r="I145" s="1538"/>
      <c r="J145" s="365"/>
      <c r="K145" s="428"/>
      <c r="O145" s="314"/>
      <c r="Q145" s="314"/>
      <c r="R145" s="201"/>
      <c r="S145" s="314"/>
      <c r="AR145" s="314"/>
      <c r="AS145" s="314"/>
    </row>
    <row r="146" ht="15.75" customHeight="1">
      <c r="E146" s="314"/>
      <c r="F146" s="314"/>
      <c r="H146" s="1149"/>
      <c r="I146" s="1538"/>
      <c r="J146" s="365"/>
      <c r="K146" s="428"/>
      <c r="O146" s="314"/>
      <c r="Q146" s="314"/>
      <c r="R146" s="201"/>
      <c r="S146" s="314"/>
      <c r="AR146" s="314"/>
      <c r="AS146" s="314"/>
    </row>
    <row r="147" ht="15.75" customHeight="1">
      <c r="E147" s="314"/>
      <c r="F147" s="314"/>
      <c r="H147" s="1149"/>
      <c r="I147" s="1538"/>
      <c r="J147" s="365"/>
      <c r="K147" s="428"/>
      <c r="O147" s="314"/>
      <c r="Q147" s="314"/>
      <c r="R147" s="201"/>
      <c r="S147" s="314"/>
      <c r="AR147" s="314"/>
      <c r="AS147" s="314"/>
    </row>
    <row r="148" ht="15.75" customHeight="1">
      <c r="E148" s="314"/>
      <c r="F148" s="314"/>
      <c r="H148" s="1149"/>
      <c r="I148" s="1538"/>
      <c r="J148" s="365"/>
      <c r="K148" s="428"/>
      <c r="O148" s="314"/>
      <c r="Q148" s="314"/>
      <c r="R148" s="201"/>
      <c r="S148" s="314"/>
      <c r="AR148" s="314"/>
      <c r="AS148" s="314"/>
    </row>
    <row r="149" ht="15.75" customHeight="1">
      <c r="E149" s="314"/>
      <c r="F149" s="314"/>
      <c r="H149" s="1149"/>
      <c r="I149" s="1538"/>
      <c r="J149" s="365"/>
      <c r="K149" s="428"/>
      <c r="O149" s="314"/>
      <c r="Q149" s="314"/>
      <c r="R149" s="201"/>
      <c r="S149" s="314"/>
      <c r="AR149" s="314"/>
      <c r="AS149" s="314"/>
    </row>
    <row r="150" ht="15.75" customHeight="1">
      <c r="E150" s="314"/>
      <c r="F150" s="314"/>
      <c r="H150" s="1149"/>
      <c r="I150" s="1538"/>
      <c r="J150" s="365"/>
      <c r="K150" s="428"/>
      <c r="O150" s="314"/>
      <c r="Q150" s="314"/>
      <c r="R150" s="201"/>
      <c r="S150" s="314"/>
      <c r="AR150" s="314"/>
      <c r="AS150" s="314"/>
    </row>
    <row r="151" ht="15.75" customHeight="1">
      <c r="E151" s="314"/>
      <c r="F151" s="314"/>
      <c r="H151" s="1149"/>
      <c r="I151" s="1538"/>
      <c r="J151" s="365"/>
      <c r="K151" s="428"/>
      <c r="O151" s="314"/>
      <c r="Q151" s="314"/>
      <c r="R151" s="201"/>
      <c r="S151" s="314"/>
      <c r="AR151" s="314"/>
      <c r="AS151" s="314"/>
    </row>
    <row r="152" ht="15.75" customHeight="1">
      <c r="E152" s="314"/>
      <c r="F152" s="314"/>
      <c r="H152" s="1149"/>
      <c r="I152" s="1538"/>
      <c r="J152" s="365"/>
      <c r="K152" s="428"/>
      <c r="O152" s="314"/>
      <c r="Q152" s="314"/>
      <c r="R152" s="201"/>
      <c r="S152" s="314"/>
      <c r="AR152" s="314"/>
      <c r="AS152" s="314"/>
    </row>
    <row r="153" ht="15.75" customHeight="1">
      <c r="E153" s="314"/>
      <c r="F153" s="314"/>
      <c r="H153" s="1149"/>
      <c r="I153" s="1538"/>
      <c r="J153" s="365"/>
      <c r="K153" s="428"/>
      <c r="O153" s="314"/>
      <c r="Q153" s="314"/>
      <c r="R153" s="201"/>
      <c r="S153" s="314"/>
      <c r="AR153" s="314"/>
      <c r="AS153" s="314"/>
    </row>
    <row r="154" ht="15.75" customHeight="1">
      <c r="E154" s="314"/>
      <c r="F154" s="314"/>
      <c r="H154" s="1149"/>
      <c r="I154" s="1538"/>
      <c r="J154" s="365"/>
      <c r="K154" s="428"/>
      <c r="O154" s="314"/>
      <c r="Q154" s="314"/>
      <c r="R154" s="201"/>
      <c r="S154" s="314"/>
      <c r="AR154" s="314"/>
      <c r="AS154" s="314"/>
    </row>
    <row r="155" ht="15.75" customHeight="1">
      <c r="E155" s="314"/>
      <c r="F155" s="314"/>
      <c r="H155" s="1149"/>
      <c r="I155" s="1538"/>
      <c r="J155" s="365"/>
      <c r="K155" s="428"/>
      <c r="O155" s="314"/>
      <c r="Q155" s="314"/>
      <c r="R155" s="201"/>
      <c r="S155" s="314"/>
      <c r="AR155" s="314"/>
      <c r="AS155" s="314"/>
    </row>
    <row r="156" ht="15.75" customHeight="1">
      <c r="E156" s="314"/>
      <c r="F156" s="314"/>
      <c r="H156" s="1149"/>
      <c r="I156" s="1538"/>
      <c r="J156" s="365"/>
      <c r="K156" s="428"/>
      <c r="O156" s="314"/>
      <c r="Q156" s="314"/>
      <c r="R156" s="201"/>
      <c r="S156" s="314"/>
      <c r="AR156" s="314"/>
      <c r="AS156" s="314"/>
    </row>
    <row r="157" ht="15.75" customHeight="1">
      <c r="E157" s="314"/>
      <c r="F157" s="314"/>
      <c r="H157" s="1149"/>
      <c r="I157" s="1538"/>
      <c r="J157" s="365"/>
      <c r="K157" s="428"/>
      <c r="O157" s="314"/>
      <c r="Q157" s="314"/>
      <c r="R157" s="201"/>
      <c r="S157" s="314"/>
      <c r="AR157" s="314"/>
      <c r="AS157" s="314"/>
    </row>
    <row r="158" ht="15.75" customHeight="1">
      <c r="E158" s="314"/>
      <c r="F158" s="314"/>
      <c r="H158" s="1149"/>
      <c r="I158" s="1538"/>
      <c r="J158" s="365"/>
      <c r="K158" s="428"/>
      <c r="O158" s="314"/>
      <c r="Q158" s="314"/>
      <c r="R158" s="201"/>
      <c r="S158" s="314"/>
      <c r="AR158" s="314"/>
      <c r="AS158" s="314"/>
    </row>
    <row r="159" ht="15.75" customHeight="1">
      <c r="E159" s="314"/>
      <c r="F159" s="314"/>
      <c r="H159" s="1149"/>
      <c r="I159" s="1538"/>
      <c r="J159" s="365"/>
      <c r="K159" s="428"/>
      <c r="O159" s="314"/>
      <c r="Q159" s="314"/>
      <c r="R159" s="201"/>
      <c r="S159" s="314"/>
      <c r="AR159" s="314"/>
      <c r="AS159" s="314"/>
    </row>
    <row r="160" ht="15.75" customHeight="1">
      <c r="E160" s="314"/>
      <c r="F160" s="314"/>
      <c r="H160" s="1149"/>
      <c r="I160" s="1538"/>
      <c r="J160" s="365"/>
      <c r="K160" s="428"/>
      <c r="O160" s="314"/>
      <c r="Q160" s="314"/>
      <c r="R160" s="201"/>
      <c r="S160" s="314"/>
      <c r="AR160" s="314"/>
      <c r="AS160" s="314"/>
    </row>
    <row r="161" ht="15.75" customHeight="1">
      <c r="E161" s="314"/>
      <c r="F161" s="314"/>
      <c r="H161" s="1149"/>
      <c r="I161" s="1538"/>
      <c r="J161" s="365"/>
      <c r="K161" s="428"/>
      <c r="O161" s="314"/>
      <c r="Q161" s="314"/>
      <c r="R161" s="201"/>
      <c r="S161" s="314"/>
      <c r="AR161" s="314"/>
      <c r="AS161" s="314"/>
    </row>
    <row r="162" ht="15.75" customHeight="1">
      <c r="E162" s="314"/>
      <c r="F162" s="314"/>
      <c r="H162" s="1149"/>
      <c r="I162" s="1538"/>
      <c r="J162" s="365"/>
      <c r="K162" s="428"/>
      <c r="O162" s="314"/>
      <c r="Q162" s="314"/>
      <c r="R162" s="201"/>
      <c r="S162" s="314"/>
      <c r="AR162" s="314"/>
      <c r="AS162" s="314"/>
    </row>
    <row r="163" ht="15.75" customHeight="1">
      <c r="E163" s="314"/>
      <c r="F163" s="314"/>
      <c r="H163" s="1149"/>
      <c r="I163" s="1538"/>
      <c r="J163" s="365"/>
      <c r="K163" s="428"/>
      <c r="O163" s="314"/>
      <c r="Q163" s="314"/>
      <c r="R163" s="201"/>
      <c r="S163" s="314"/>
      <c r="AR163" s="314"/>
      <c r="AS163" s="314"/>
    </row>
    <row r="164" ht="15.75" customHeight="1">
      <c r="E164" s="314"/>
      <c r="F164" s="314"/>
      <c r="H164" s="1149"/>
      <c r="I164" s="1538"/>
      <c r="J164" s="365"/>
      <c r="K164" s="428"/>
      <c r="O164" s="314"/>
      <c r="Q164" s="314"/>
      <c r="R164" s="201"/>
      <c r="S164" s="314"/>
      <c r="AR164" s="314"/>
      <c r="AS164" s="314"/>
    </row>
    <row r="165" ht="15.75" customHeight="1">
      <c r="E165" s="314"/>
      <c r="F165" s="314"/>
      <c r="H165" s="1149"/>
      <c r="I165" s="1538"/>
      <c r="J165" s="365"/>
      <c r="K165" s="428"/>
      <c r="O165" s="314"/>
      <c r="Q165" s="314"/>
      <c r="R165" s="201"/>
      <c r="S165" s="314"/>
      <c r="AR165" s="314"/>
      <c r="AS165" s="314"/>
    </row>
    <row r="166" ht="15.75" customHeight="1">
      <c r="E166" s="314"/>
      <c r="F166" s="314"/>
      <c r="H166" s="1149"/>
      <c r="I166" s="1538"/>
      <c r="J166" s="365"/>
      <c r="K166" s="428"/>
      <c r="O166" s="314"/>
      <c r="Q166" s="314"/>
      <c r="R166" s="201"/>
      <c r="S166" s="314"/>
      <c r="AR166" s="314"/>
      <c r="AS166" s="314"/>
    </row>
    <row r="167" ht="15.75" customHeight="1">
      <c r="E167" s="314"/>
      <c r="F167" s="314"/>
      <c r="H167" s="1149"/>
      <c r="I167" s="1538"/>
      <c r="J167" s="365"/>
      <c r="K167" s="428"/>
      <c r="O167" s="314"/>
      <c r="Q167" s="314"/>
      <c r="R167" s="201"/>
      <c r="S167" s="314"/>
      <c r="AR167" s="314"/>
      <c r="AS167" s="314"/>
    </row>
    <row r="168" ht="15.75" customHeight="1">
      <c r="E168" s="314"/>
      <c r="F168" s="314"/>
      <c r="H168" s="1149"/>
      <c r="I168" s="1538"/>
      <c r="J168" s="365"/>
      <c r="K168" s="428"/>
      <c r="O168" s="314"/>
      <c r="Q168" s="314"/>
      <c r="R168" s="201"/>
      <c r="S168" s="314"/>
      <c r="AR168" s="314"/>
      <c r="AS168" s="314"/>
    </row>
    <row r="169" ht="15.75" customHeight="1">
      <c r="E169" s="314"/>
      <c r="F169" s="314"/>
      <c r="H169" s="1149"/>
      <c r="I169" s="1538"/>
      <c r="J169" s="365"/>
      <c r="K169" s="428"/>
      <c r="O169" s="314"/>
      <c r="Q169" s="314"/>
      <c r="R169" s="201"/>
      <c r="S169" s="314"/>
      <c r="AR169" s="314"/>
      <c r="AS169" s="314"/>
    </row>
    <row r="170" ht="15.75" customHeight="1">
      <c r="E170" s="314"/>
      <c r="F170" s="314"/>
      <c r="H170" s="1149"/>
      <c r="I170" s="1538"/>
      <c r="J170" s="365"/>
      <c r="K170" s="428"/>
      <c r="O170" s="314"/>
      <c r="Q170" s="314"/>
      <c r="R170" s="201"/>
      <c r="S170" s="314"/>
      <c r="AR170" s="314"/>
      <c r="AS170" s="314"/>
    </row>
    <row r="171" ht="15.75" customHeight="1">
      <c r="E171" s="314"/>
      <c r="F171" s="314"/>
      <c r="H171" s="1149"/>
      <c r="I171" s="1538"/>
      <c r="J171" s="365"/>
      <c r="K171" s="428"/>
      <c r="O171" s="314"/>
      <c r="Q171" s="314"/>
      <c r="R171" s="201"/>
      <c r="S171" s="314"/>
      <c r="AR171" s="314"/>
      <c r="AS171" s="314"/>
    </row>
    <row r="172" ht="15.75" customHeight="1">
      <c r="E172" s="314"/>
      <c r="F172" s="314"/>
      <c r="H172" s="1149"/>
      <c r="I172" s="1538"/>
      <c r="J172" s="365"/>
      <c r="K172" s="428"/>
      <c r="O172" s="314"/>
      <c r="Q172" s="314"/>
      <c r="R172" s="201"/>
      <c r="S172" s="314"/>
      <c r="AR172" s="314"/>
      <c r="AS172" s="314"/>
    </row>
    <row r="173" ht="15.75" customHeight="1">
      <c r="E173" s="314"/>
      <c r="F173" s="314"/>
      <c r="H173" s="1149"/>
      <c r="I173" s="1538"/>
      <c r="J173" s="365"/>
      <c r="K173" s="428"/>
      <c r="O173" s="314"/>
      <c r="Q173" s="314"/>
      <c r="R173" s="201"/>
      <c r="S173" s="314"/>
      <c r="AR173" s="314"/>
      <c r="AS173" s="314"/>
    </row>
    <row r="174" ht="15.75" customHeight="1">
      <c r="E174" s="314"/>
      <c r="F174" s="314"/>
      <c r="H174" s="1149"/>
      <c r="I174" s="1538"/>
      <c r="J174" s="365"/>
      <c r="K174" s="428"/>
      <c r="O174" s="314"/>
      <c r="Q174" s="314"/>
      <c r="R174" s="201"/>
      <c r="S174" s="314"/>
      <c r="AR174" s="314"/>
      <c r="AS174" s="314"/>
    </row>
    <row r="175" ht="15.75" customHeight="1">
      <c r="E175" s="314"/>
      <c r="F175" s="314"/>
      <c r="H175" s="1149"/>
      <c r="I175" s="1538"/>
      <c r="J175" s="365"/>
      <c r="K175" s="428"/>
      <c r="O175" s="314"/>
      <c r="Q175" s="314"/>
      <c r="R175" s="201"/>
      <c r="S175" s="314"/>
      <c r="AR175" s="314"/>
      <c r="AS175" s="314"/>
    </row>
    <row r="176" ht="15.75" customHeight="1">
      <c r="E176" s="314"/>
      <c r="F176" s="314"/>
      <c r="H176" s="1149"/>
      <c r="I176" s="1538"/>
      <c r="J176" s="365"/>
      <c r="K176" s="428"/>
      <c r="O176" s="314"/>
      <c r="Q176" s="314"/>
      <c r="R176" s="201"/>
      <c r="S176" s="314"/>
      <c r="AR176" s="314"/>
      <c r="AS176" s="314"/>
    </row>
    <row r="177" ht="15.75" customHeight="1">
      <c r="E177" s="314"/>
      <c r="F177" s="314"/>
      <c r="H177" s="1149"/>
      <c r="I177" s="1538"/>
      <c r="J177" s="365"/>
      <c r="K177" s="428"/>
      <c r="O177" s="314"/>
      <c r="Q177" s="314"/>
      <c r="R177" s="201"/>
      <c r="S177" s="314"/>
      <c r="AR177" s="314"/>
      <c r="AS177" s="314"/>
    </row>
    <row r="178" ht="15.75" customHeight="1">
      <c r="E178" s="314"/>
      <c r="F178" s="314"/>
      <c r="H178" s="1149"/>
      <c r="I178" s="1538"/>
      <c r="J178" s="365"/>
      <c r="K178" s="428"/>
      <c r="O178" s="314"/>
      <c r="Q178" s="314"/>
      <c r="R178" s="201"/>
      <c r="S178" s="314"/>
      <c r="AR178" s="314"/>
      <c r="AS178" s="314"/>
    </row>
    <row r="179" ht="15.75" customHeight="1">
      <c r="E179" s="314"/>
      <c r="F179" s="314"/>
      <c r="H179" s="1149"/>
      <c r="I179" s="1538"/>
      <c r="J179" s="365"/>
      <c r="K179" s="428"/>
      <c r="O179" s="314"/>
      <c r="Q179" s="314"/>
      <c r="R179" s="201"/>
      <c r="S179" s="314"/>
      <c r="AR179" s="314"/>
      <c r="AS179" s="314"/>
    </row>
    <row r="180" ht="15.75" customHeight="1">
      <c r="E180" s="314"/>
      <c r="F180" s="314"/>
      <c r="H180" s="1149"/>
      <c r="I180" s="1538"/>
      <c r="J180" s="365"/>
      <c r="K180" s="428"/>
      <c r="O180" s="314"/>
      <c r="Q180" s="314"/>
      <c r="R180" s="201"/>
      <c r="S180" s="314"/>
      <c r="AR180" s="314"/>
      <c r="AS180" s="314"/>
    </row>
    <row r="181" ht="15.75" customHeight="1">
      <c r="E181" s="314"/>
      <c r="F181" s="314"/>
      <c r="H181" s="1149"/>
      <c r="I181" s="1538"/>
      <c r="J181" s="365"/>
      <c r="K181" s="428"/>
      <c r="O181" s="314"/>
      <c r="Q181" s="314"/>
      <c r="R181" s="201"/>
      <c r="S181" s="314"/>
      <c r="AR181" s="314"/>
      <c r="AS181" s="314"/>
    </row>
    <row r="182" ht="15.75" customHeight="1">
      <c r="E182" s="314"/>
      <c r="F182" s="314"/>
      <c r="H182" s="1149"/>
      <c r="I182" s="1538"/>
      <c r="J182" s="365"/>
      <c r="K182" s="428"/>
      <c r="O182" s="314"/>
      <c r="Q182" s="314"/>
      <c r="R182" s="201"/>
      <c r="S182" s="314"/>
      <c r="AR182" s="314"/>
      <c r="AS182" s="314"/>
    </row>
    <row r="183" ht="15.75" customHeight="1">
      <c r="E183" s="314"/>
      <c r="F183" s="314"/>
      <c r="H183" s="1149"/>
      <c r="I183" s="1538"/>
      <c r="J183" s="365"/>
      <c r="K183" s="428"/>
      <c r="O183" s="314"/>
      <c r="Q183" s="314"/>
      <c r="R183" s="201"/>
      <c r="S183" s="314"/>
      <c r="AR183" s="314"/>
      <c r="AS183" s="314"/>
    </row>
    <row r="184" ht="15.75" customHeight="1">
      <c r="E184" s="314"/>
      <c r="F184" s="314"/>
      <c r="H184" s="1149"/>
      <c r="I184" s="1538"/>
      <c r="J184" s="365"/>
      <c r="K184" s="428"/>
      <c r="O184" s="314"/>
      <c r="Q184" s="314"/>
      <c r="R184" s="201"/>
      <c r="S184" s="314"/>
      <c r="AR184" s="314"/>
      <c r="AS184" s="314"/>
    </row>
    <row r="185" ht="15.75" customHeight="1">
      <c r="E185" s="314"/>
      <c r="F185" s="314"/>
      <c r="H185" s="1149"/>
      <c r="I185" s="1538"/>
      <c r="J185" s="365"/>
      <c r="K185" s="428"/>
      <c r="O185" s="314"/>
      <c r="Q185" s="314"/>
      <c r="R185" s="201"/>
      <c r="S185" s="314"/>
      <c r="AR185" s="314"/>
      <c r="AS185" s="314"/>
    </row>
    <row r="186" ht="15.75" customHeight="1">
      <c r="E186" s="314"/>
      <c r="F186" s="314"/>
      <c r="H186" s="1149"/>
      <c r="I186" s="1538"/>
      <c r="J186" s="365"/>
      <c r="K186" s="428"/>
      <c r="O186" s="314"/>
      <c r="Q186" s="314"/>
      <c r="R186" s="201"/>
      <c r="S186" s="314"/>
      <c r="AR186" s="314"/>
      <c r="AS186" s="314"/>
    </row>
    <row r="187" ht="15.75" customHeight="1">
      <c r="E187" s="314"/>
      <c r="F187" s="314"/>
      <c r="H187" s="1149"/>
      <c r="I187" s="1538"/>
      <c r="J187" s="365"/>
      <c r="K187" s="428"/>
      <c r="O187" s="314"/>
      <c r="Q187" s="314"/>
      <c r="R187" s="201"/>
      <c r="S187" s="314"/>
      <c r="AR187" s="314"/>
      <c r="AS187" s="314"/>
    </row>
    <row r="188" ht="15.75" customHeight="1">
      <c r="E188" s="314"/>
      <c r="F188" s="314"/>
      <c r="H188" s="1149"/>
      <c r="I188" s="1538"/>
      <c r="J188" s="365"/>
      <c r="K188" s="428"/>
      <c r="O188" s="314"/>
      <c r="Q188" s="314"/>
      <c r="R188" s="201"/>
      <c r="S188" s="314"/>
      <c r="AR188" s="314"/>
      <c r="AS188" s="314"/>
    </row>
    <row r="189" ht="15.75" customHeight="1">
      <c r="E189" s="314"/>
      <c r="F189" s="314"/>
      <c r="H189" s="1149"/>
      <c r="I189" s="1538"/>
      <c r="J189" s="365"/>
      <c r="K189" s="428"/>
      <c r="O189" s="314"/>
      <c r="Q189" s="314"/>
      <c r="R189" s="201"/>
      <c r="S189" s="314"/>
      <c r="AR189" s="314"/>
      <c r="AS189" s="314"/>
    </row>
    <row r="190" ht="15.75" customHeight="1">
      <c r="E190" s="314"/>
      <c r="F190" s="314"/>
      <c r="H190" s="1149"/>
      <c r="I190" s="1538"/>
      <c r="J190" s="365"/>
      <c r="K190" s="428"/>
      <c r="O190" s="314"/>
      <c r="Q190" s="314"/>
      <c r="R190" s="201"/>
      <c r="S190" s="314"/>
      <c r="AR190" s="314"/>
      <c r="AS190" s="314"/>
    </row>
    <row r="191" ht="15.75" customHeight="1">
      <c r="E191" s="314"/>
      <c r="F191" s="314"/>
      <c r="H191" s="1149"/>
      <c r="I191" s="1538"/>
      <c r="J191" s="365"/>
      <c r="K191" s="428"/>
      <c r="O191" s="314"/>
      <c r="Q191" s="314"/>
      <c r="R191" s="201"/>
      <c r="S191" s="314"/>
      <c r="AR191" s="314"/>
      <c r="AS191" s="314"/>
    </row>
    <row r="192" ht="15.75" customHeight="1">
      <c r="E192" s="314"/>
      <c r="F192" s="314"/>
      <c r="H192" s="1149"/>
      <c r="I192" s="1538"/>
      <c r="J192" s="365"/>
      <c r="K192" s="428"/>
      <c r="O192" s="314"/>
      <c r="Q192" s="314"/>
      <c r="R192" s="201"/>
      <c r="S192" s="314"/>
      <c r="AR192" s="314"/>
      <c r="AS192" s="314"/>
    </row>
    <row r="193" ht="15.75" customHeight="1">
      <c r="E193" s="314"/>
      <c r="F193" s="314"/>
      <c r="H193" s="1149"/>
      <c r="I193" s="1538"/>
      <c r="J193" s="365"/>
      <c r="K193" s="428"/>
      <c r="O193" s="314"/>
      <c r="Q193" s="314"/>
      <c r="R193" s="201"/>
      <c r="S193" s="314"/>
      <c r="AR193" s="314"/>
      <c r="AS193" s="314"/>
    </row>
    <row r="194" ht="15.75" customHeight="1">
      <c r="E194" s="314"/>
      <c r="F194" s="314"/>
      <c r="H194" s="1149"/>
      <c r="I194" s="1538"/>
      <c r="J194" s="365"/>
      <c r="K194" s="428"/>
      <c r="O194" s="314"/>
      <c r="Q194" s="314"/>
      <c r="R194" s="201"/>
      <c r="S194" s="314"/>
      <c r="AR194" s="314"/>
      <c r="AS194" s="314"/>
    </row>
    <row r="195" ht="15.75" customHeight="1">
      <c r="E195" s="314"/>
      <c r="F195" s="314"/>
      <c r="H195" s="1149"/>
      <c r="I195" s="1538"/>
      <c r="J195" s="365"/>
      <c r="K195" s="428"/>
      <c r="O195" s="314"/>
      <c r="Q195" s="314"/>
      <c r="R195" s="201"/>
      <c r="S195" s="314"/>
      <c r="AR195" s="314"/>
      <c r="AS195" s="314"/>
    </row>
    <row r="196" ht="15.75" customHeight="1">
      <c r="E196" s="314"/>
      <c r="F196" s="314"/>
      <c r="H196" s="1149"/>
      <c r="I196" s="1538"/>
      <c r="J196" s="365"/>
      <c r="K196" s="428"/>
      <c r="O196" s="314"/>
      <c r="Q196" s="314"/>
      <c r="R196" s="201"/>
      <c r="S196" s="314"/>
      <c r="AR196" s="314"/>
      <c r="AS196" s="314"/>
    </row>
    <row r="197" ht="15.75" customHeight="1">
      <c r="E197" s="314"/>
      <c r="F197" s="314"/>
      <c r="H197" s="1149"/>
      <c r="I197" s="1538"/>
      <c r="J197" s="365"/>
      <c r="K197" s="428"/>
      <c r="O197" s="314"/>
      <c r="Q197" s="314"/>
      <c r="R197" s="201"/>
      <c r="S197" s="314"/>
      <c r="AR197" s="314"/>
      <c r="AS197" s="314"/>
    </row>
    <row r="198" ht="15.75" customHeight="1">
      <c r="E198" s="314"/>
      <c r="F198" s="314"/>
      <c r="H198" s="1149"/>
      <c r="I198" s="1538"/>
      <c r="J198" s="365"/>
      <c r="K198" s="428"/>
      <c r="O198" s="314"/>
      <c r="Q198" s="314"/>
      <c r="R198" s="201"/>
      <c r="S198" s="314"/>
      <c r="AR198" s="314"/>
      <c r="AS198" s="314"/>
    </row>
    <row r="199" ht="15.75" customHeight="1">
      <c r="E199" s="314"/>
      <c r="F199" s="314"/>
      <c r="H199" s="1149"/>
      <c r="I199" s="1538"/>
      <c r="J199" s="365"/>
      <c r="K199" s="428"/>
      <c r="O199" s="314"/>
      <c r="Q199" s="314"/>
      <c r="R199" s="201"/>
      <c r="S199" s="314"/>
      <c r="AR199" s="314"/>
      <c r="AS199" s="314"/>
    </row>
    <row r="200" ht="15.75" customHeight="1">
      <c r="E200" s="314"/>
      <c r="F200" s="314"/>
      <c r="H200" s="1149"/>
      <c r="I200" s="1538"/>
      <c r="J200" s="365"/>
      <c r="K200" s="428"/>
      <c r="O200" s="314"/>
      <c r="Q200" s="314"/>
      <c r="R200" s="201"/>
      <c r="S200" s="314"/>
      <c r="AR200" s="314"/>
      <c r="AS200" s="314"/>
    </row>
    <row r="201" ht="15.75" customHeight="1">
      <c r="E201" s="314"/>
      <c r="F201" s="314"/>
      <c r="H201" s="1149"/>
      <c r="I201" s="1538"/>
      <c r="J201" s="365"/>
      <c r="K201" s="428"/>
      <c r="O201" s="314"/>
      <c r="Q201" s="314"/>
      <c r="R201" s="201"/>
      <c r="S201" s="314"/>
      <c r="AR201" s="314"/>
      <c r="AS201" s="314"/>
    </row>
    <row r="202" ht="15.75" customHeight="1">
      <c r="E202" s="314"/>
      <c r="F202" s="314"/>
      <c r="H202" s="1149"/>
      <c r="I202" s="1538"/>
      <c r="J202" s="365"/>
      <c r="K202" s="428"/>
      <c r="O202" s="314"/>
      <c r="Q202" s="314"/>
      <c r="R202" s="201"/>
      <c r="S202" s="314"/>
      <c r="AR202" s="314"/>
      <c r="AS202" s="314"/>
    </row>
    <row r="203" ht="15.75" customHeight="1">
      <c r="E203" s="314"/>
      <c r="F203" s="314"/>
      <c r="H203" s="1149"/>
      <c r="I203" s="1538"/>
      <c r="J203" s="365"/>
      <c r="K203" s="428"/>
      <c r="O203" s="314"/>
      <c r="Q203" s="314"/>
      <c r="R203" s="201"/>
      <c r="S203" s="314"/>
      <c r="AR203" s="314"/>
      <c r="AS203" s="314"/>
    </row>
    <row r="204" ht="15.75" customHeight="1">
      <c r="E204" s="314"/>
      <c r="F204" s="314"/>
      <c r="H204" s="1149"/>
      <c r="I204" s="1538"/>
      <c r="J204" s="365"/>
      <c r="K204" s="428"/>
      <c r="O204" s="314"/>
      <c r="Q204" s="314"/>
      <c r="R204" s="201"/>
      <c r="S204" s="314"/>
      <c r="AR204" s="314"/>
      <c r="AS204" s="314"/>
    </row>
    <row r="205" ht="15.75" customHeight="1">
      <c r="E205" s="314"/>
      <c r="F205" s="314"/>
      <c r="H205" s="1149"/>
      <c r="I205" s="1538"/>
      <c r="J205" s="365"/>
      <c r="K205" s="428"/>
      <c r="O205" s="314"/>
      <c r="Q205" s="314"/>
      <c r="R205" s="201"/>
      <c r="S205" s="314"/>
      <c r="AR205" s="314"/>
      <c r="AS205" s="314"/>
    </row>
    <row r="206" ht="15.75" customHeight="1">
      <c r="E206" s="314"/>
      <c r="F206" s="314"/>
      <c r="H206" s="1149"/>
      <c r="I206" s="1538"/>
      <c r="J206" s="365"/>
      <c r="K206" s="428"/>
      <c r="O206" s="314"/>
      <c r="Q206" s="314"/>
      <c r="R206" s="201"/>
      <c r="S206" s="314"/>
      <c r="AR206" s="314"/>
      <c r="AS206" s="314"/>
    </row>
    <row r="207" ht="15.75" customHeight="1">
      <c r="E207" s="314"/>
      <c r="F207" s="314"/>
      <c r="H207" s="1149"/>
      <c r="I207" s="1538"/>
      <c r="J207" s="365"/>
      <c r="K207" s="428"/>
      <c r="O207" s="314"/>
      <c r="Q207" s="314"/>
      <c r="R207" s="201"/>
      <c r="S207" s="314"/>
      <c r="AR207" s="314"/>
      <c r="AS207" s="314"/>
    </row>
    <row r="208" ht="15.75" customHeight="1">
      <c r="E208" s="314"/>
      <c r="F208" s="314"/>
      <c r="H208" s="1149"/>
      <c r="I208" s="1538"/>
      <c r="J208" s="365"/>
      <c r="K208" s="428"/>
      <c r="O208" s="314"/>
      <c r="Q208" s="314"/>
      <c r="R208" s="201"/>
      <c r="S208" s="314"/>
      <c r="AR208" s="314"/>
      <c r="AS208" s="314"/>
    </row>
    <row r="209" ht="15.75" customHeight="1">
      <c r="E209" s="314"/>
      <c r="F209" s="314"/>
      <c r="H209" s="1149"/>
      <c r="I209" s="1538"/>
      <c r="J209" s="365"/>
      <c r="K209" s="428"/>
      <c r="O209" s="314"/>
      <c r="Q209" s="314"/>
      <c r="R209" s="201"/>
      <c r="S209" s="314"/>
      <c r="AR209" s="314"/>
      <c r="AS209" s="314"/>
    </row>
    <row r="210" ht="15.75" customHeight="1">
      <c r="E210" s="314"/>
      <c r="F210" s="314"/>
      <c r="H210" s="1149"/>
      <c r="I210" s="1538"/>
      <c r="J210" s="365"/>
      <c r="K210" s="428"/>
      <c r="O210" s="314"/>
      <c r="Q210" s="314"/>
      <c r="R210" s="201"/>
      <c r="S210" s="314"/>
      <c r="AR210" s="314"/>
      <c r="AS210" s="314"/>
    </row>
    <row r="211" ht="15.75" customHeight="1">
      <c r="E211" s="314"/>
      <c r="F211" s="314"/>
      <c r="H211" s="1149"/>
      <c r="I211" s="1538"/>
      <c r="J211" s="365"/>
      <c r="K211" s="428"/>
      <c r="O211" s="314"/>
      <c r="Q211" s="314"/>
      <c r="R211" s="201"/>
      <c r="S211" s="314"/>
      <c r="AR211" s="314"/>
      <c r="AS211" s="314"/>
    </row>
    <row r="212" ht="15.75" customHeight="1">
      <c r="E212" s="314"/>
      <c r="F212" s="314"/>
      <c r="H212" s="1149"/>
      <c r="I212" s="1538"/>
      <c r="J212" s="365"/>
      <c r="K212" s="428"/>
      <c r="O212" s="314"/>
      <c r="Q212" s="314"/>
      <c r="R212" s="201"/>
      <c r="S212" s="314"/>
      <c r="AR212" s="314"/>
      <c r="AS212" s="314"/>
    </row>
    <row r="213" ht="15.75" customHeight="1">
      <c r="E213" s="314"/>
      <c r="F213" s="314"/>
      <c r="H213" s="1149"/>
      <c r="I213" s="1538"/>
      <c r="J213" s="365"/>
      <c r="K213" s="428"/>
      <c r="O213" s="314"/>
      <c r="Q213" s="314"/>
      <c r="R213" s="201"/>
      <c r="S213" s="314"/>
      <c r="AR213" s="314"/>
      <c r="AS213" s="314"/>
    </row>
    <row r="214" ht="15.75" customHeight="1">
      <c r="E214" s="314"/>
      <c r="F214" s="314"/>
      <c r="H214" s="1149"/>
      <c r="I214" s="1538"/>
      <c r="J214" s="365"/>
      <c r="K214" s="428"/>
      <c r="O214" s="314"/>
      <c r="Q214" s="314"/>
      <c r="R214" s="201"/>
      <c r="S214" s="314"/>
      <c r="AR214" s="314"/>
      <c r="AS214" s="314"/>
    </row>
    <row r="215" ht="15.75" customHeight="1">
      <c r="E215" s="314"/>
      <c r="F215" s="314"/>
      <c r="H215" s="1149"/>
      <c r="I215" s="1538"/>
      <c r="J215" s="365"/>
      <c r="K215" s="428"/>
      <c r="O215" s="314"/>
      <c r="Q215" s="314"/>
      <c r="R215" s="201"/>
      <c r="S215" s="314"/>
      <c r="AR215" s="314"/>
      <c r="AS215" s="314"/>
    </row>
    <row r="216" ht="15.75" customHeight="1">
      <c r="E216" s="314"/>
      <c r="F216" s="314"/>
      <c r="H216" s="1149"/>
      <c r="I216" s="1538"/>
      <c r="J216" s="365"/>
      <c r="K216" s="428"/>
      <c r="O216" s="314"/>
      <c r="Q216" s="314"/>
      <c r="R216" s="201"/>
      <c r="S216" s="314"/>
      <c r="AR216" s="314"/>
      <c r="AS216" s="314"/>
    </row>
    <row r="217" ht="15.75" customHeight="1">
      <c r="E217" s="314"/>
      <c r="F217" s="314"/>
      <c r="H217" s="1149"/>
      <c r="I217" s="1538"/>
      <c r="J217" s="365"/>
      <c r="K217" s="428"/>
      <c r="O217" s="314"/>
      <c r="Q217" s="314"/>
      <c r="R217" s="201"/>
      <c r="S217" s="314"/>
      <c r="AR217" s="314"/>
      <c r="AS217" s="314"/>
    </row>
    <row r="218" ht="15.75" customHeight="1">
      <c r="E218" s="314"/>
      <c r="F218" s="314"/>
      <c r="H218" s="1149"/>
      <c r="I218" s="1538"/>
      <c r="J218" s="365"/>
      <c r="K218" s="428"/>
      <c r="O218" s="314"/>
      <c r="Q218" s="314"/>
      <c r="R218" s="201"/>
      <c r="S218" s="314"/>
      <c r="AR218" s="314"/>
      <c r="AS218" s="314"/>
    </row>
    <row r="219" ht="15.75" customHeight="1">
      <c r="E219" s="314"/>
      <c r="F219" s="314"/>
      <c r="H219" s="1149"/>
      <c r="I219" s="1538"/>
      <c r="J219" s="365"/>
      <c r="K219" s="428"/>
      <c r="O219" s="314"/>
      <c r="Q219" s="314"/>
      <c r="R219" s="201"/>
      <c r="S219" s="314"/>
      <c r="AR219" s="314"/>
      <c r="AS219" s="314"/>
    </row>
    <row r="220" ht="15.75" customHeight="1">
      <c r="E220" s="314"/>
      <c r="F220" s="314"/>
      <c r="H220" s="1149"/>
      <c r="I220" s="1538"/>
      <c r="J220" s="365"/>
      <c r="K220" s="428"/>
      <c r="O220" s="314"/>
      <c r="Q220" s="314"/>
      <c r="R220" s="201"/>
      <c r="S220" s="314"/>
      <c r="AR220" s="314"/>
      <c r="AS220" s="314"/>
    </row>
    <row r="221" ht="15.75" customHeight="1">
      <c r="E221" s="314"/>
      <c r="F221" s="314"/>
      <c r="H221" s="1149"/>
      <c r="I221" s="1538"/>
      <c r="J221" s="365"/>
      <c r="K221" s="428"/>
      <c r="O221" s="314"/>
      <c r="Q221" s="314"/>
      <c r="R221" s="201"/>
      <c r="S221" s="314"/>
      <c r="AR221" s="314"/>
      <c r="AS221" s="314"/>
    </row>
    <row r="222" ht="15.75" customHeight="1">
      <c r="E222" s="314"/>
      <c r="F222" s="314"/>
      <c r="H222" s="1149"/>
      <c r="I222" s="1538"/>
      <c r="J222" s="365"/>
      <c r="K222" s="428"/>
      <c r="O222" s="314"/>
      <c r="Q222" s="314"/>
      <c r="R222" s="201"/>
      <c r="S222" s="314"/>
      <c r="AR222" s="314"/>
      <c r="AS222" s="314"/>
    </row>
    <row r="223" ht="15.75" customHeight="1">
      <c r="E223" s="314"/>
      <c r="F223" s="314"/>
      <c r="H223" s="1149"/>
      <c r="I223" s="1538"/>
      <c r="J223" s="365"/>
      <c r="K223" s="428"/>
      <c r="O223" s="314"/>
      <c r="Q223" s="314"/>
      <c r="R223" s="201"/>
      <c r="S223" s="314"/>
      <c r="AR223" s="314"/>
      <c r="AS223" s="314"/>
    </row>
    <row r="224" ht="15.75" customHeight="1">
      <c r="E224" s="314"/>
      <c r="F224" s="314"/>
      <c r="H224" s="1149"/>
      <c r="I224" s="1538"/>
      <c r="J224" s="365"/>
      <c r="K224" s="428"/>
      <c r="O224" s="314"/>
      <c r="Q224" s="314"/>
      <c r="R224" s="201"/>
      <c r="S224" s="314"/>
      <c r="AR224" s="314"/>
      <c r="AS224" s="314"/>
    </row>
    <row r="225" ht="15.75" customHeight="1">
      <c r="E225" s="314"/>
      <c r="F225" s="314"/>
      <c r="H225" s="1149"/>
      <c r="I225" s="1538"/>
      <c r="J225" s="365"/>
      <c r="K225" s="428"/>
      <c r="O225" s="314"/>
      <c r="Q225" s="314"/>
      <c r="R225" s="201"/>
      <c r="S225" s="314"/>
      <c r="AR225" s="314"/>
      <c r="AS225" s="314"/>
    </row>
    <row r="226" ht="15.75" customHeight="1">
      <c r="E226" s="314"/>
      <c r="F226" s="314"/>
      <c r="H226" s="1149"/>
      <c r="I226" s="1538"/>
      <c r="J226" s="365"/>
      <c r="K226" s="428"/>
      <c r="O226" s="314"/>
      <c r="Q226" s="314"/>
      <c r="R226" s="201"/>
      <c r="S226" s="314"/>
      <c r="AR226" s="314"/>
      <c r="AS226" s="314"/>
    </row>
    <row r="227" ht="15.75" customHeight="1">
      <c r="E227" s="314"/>
      <c r="F227" s="314"/>
      <c r="H227" s="1149"/>
      <c r="I227" s="1538"/>
      <c r="J227" s="365"/>
      <c r="K227" s="428"/>
      <c r="O227" s="314"/>
      <c r="Q227" s="314"/>
      <c r="R227" s="201"/>
      <c r="S227" s="314"/>
      <c r="AR227" s="314"/>
      <c r="AS227" s="314"/>
    </row>
    <row r="228" ht="15.75" customHeight="1">
      <c r="E228" s="314"/>
      <c r="F228" s="314"/>
      <c r="H228" s="1149"/>
      <c r="I228" s="1538"/>
      <c r="J228" s="365"/>
      <c r="K228" s="428"/>
      <c r="O228" s="314"/>
      <c r="Q228" s="314"/>
      <c r="R228" s="201"/>
      <c r="S228" s="314"/>
      <c r="AR228" s="314"/>
      <c r="AS228" s="314"/>
    </row>
    <row r="229" ht="15.75" customHeight="1">
      <c r="E229" s="314"/>
      <c r="F229" s="314"/>
      <c r="H229" s="1149"/>
      <c r="I229" s="1538"/>
      <c r="J229" s="365"/>
      <c r="K229" s="428"/>
      <c r="O229" s="314"/>
      <c r="Q229" s="314"/>
      <c r="R229" s="201"/>
      <c r="S229" s="314"/>
      <c r="AR229" s="314"/>
      <c r="AS229" s="314"/>
    </row>
    <row r="230" ht="15.75" customHeight="1">
      <c r="E230" s="314"/>
      <c r="F230" s="314"/>
      <c r="H230" s="1149"/>
      <c r="I230" s="1538"/>
      <c r="J230" s="365"/>
      <c r="K230" s="428"/>
      <c r="O230" s="314"/>
      <c r="Q230" s="314"/>
      <c r="R230" s="201"/>
      <c r="S230" s="314"/>
      <c r="AR230" s="314"/>
      <c r="AS230" s="314"/>
    </row>
    <row r="231" ht="15.75" customHeight="1">
      <c r="E231" s="314"/>
      <c r="F231" s="314"/>
      <c r="H231" s="1149"/>
      <c r="I231" s="1538"/>
      <c r="J231" s="365"/>
      <c r="K231" s="428"/>
      <c r="O231" s="314"/>
      <c r="Q231" s="314"/>
      <c r="R231" s="201"/>
      <c r="S231" s="314"/>
      <c r="AR231" s="314"/>
      <c r="AS231" s="314"/>
    </row>
    <row r="232" ht="15.75" customHeight="1">
      <c r="E232" s="314"/>
      <c r="F232" s="314"/>
      <c r="H232" s="1149"/>
      <c r="I232" s="1538"/>
      <c r="J232" s="365"/>
      <c r="K232" s="428"/>
      <c r="O232" s="314"/>
      <c r="Q232" s="314"/>
      <c r="R232" s="201"/>
      <c r="S232" s="314"/>
      <c r="AR232" s="314"/>
      <c r="AS232" s="314"/>
    </row>
    <row r="233" ht="15.75" customHeight="1">
      <c r="E233" s="314"/>
      <c r="F233" s="314"/>
      <c r="H233" s="1149"/>
      <c r="I233" s="1538"/>
      <c r="J233" s="365"/>
      <c r="K233" s="428"/>
      <c r="O233" s="314"/>
      <c r="Q233" s="314"/>
      <c r="R233" s="201"/>
      <c r="S233" s="314"/>
      <c r="AR233" s="314"/>
      <c r="AS233" s="314"/>
    </row>
    <row r="234" ht="15.75" customHeight="1">
      <c r="E234" s="314"/>
      <c r="F234" s="314"/>
      <c r="H234" s="1149"/>
      <c r="I234" s="1538"/>
      <c r="J234" s="365"/>
      <c r="K234" s="428"/>
      <c r="O234" s="314"/>
      <c r="Q234" s="314"/>
      <c r="R234" s="201"/>
      <c r="S234" s="314"/>
      <c r="AR234" s="314"/>
      <c r="AS234" s="314"/>
    </row>
    <row r="235" ht="15.75" customHeight="1">
      <c r="E235" s="314"/>
      <c r="F235" s="314"/>
      <c r="H235" s="1149"/>
      <c r="I235" s="1538"/>
      <c r="J235" s="365"/>
      <c r="K235" s="428"/>
      <c r="O235" s="314"/>
      <c r="Q235" s="314"/>
      <c r="R235" s="201"/>
      <c r="S235" s="314"/>
      <c r="AR235" s="314"/>
      <c r="AS235" s="314"/>
    </row>
    <row r="236" ht="15.75" customHeight="1">
      <c r="E236" s="314"/>
      <c r="F236" s="314"/>
      <c r="H236" s="1149"/>
      <c r="I236" s="1538"/>
      <c r="J236" s="365"/>
      <c r="K236" s="428"/>
      <c r="O236" s="314"/>
      <c r="Q236" s="314"/>
      <c r="R236" s="201"/>
      <c r="S236" s="314"/>
      <c r="AR236" s="314"/>
      <c r="AS236" s="314"/>
    </row>
    <row r="237" ht="15.75" customHeight="1">
      <c r="E237" s="314"/>
      <c r="F237" s="314"/>
      <c r="H237" s="1149"/>
      <c r="I237" s="1538"/>
      <c r="J237" s="365"/>
      <c r="K237" s="428"/>
      <c r="O237" s="314"/>
      <c r="Q237" s="314"/>
      <c r="R237" s="201"/>
      <c r="S237" s="314"/>
      <c r="AR237" s="314"/>
      <c r="AS237" s="314"/>
    </row>
    <row r="238" ht="15.75" customHeight="1">
      <c r="E238" s="314"/>
      <c r="F238" s="314"/>
      <c r="H238" s="1149"/>
      <c r="I238" s="1538"/>
      <c r="J238" s="365"/>
      <c r="K238" s="428"/>
      <c r="O238" s="314"/>
      <c r="Q238" s="314"/>
      <c r="R238" s="201"/>
      <c r="S238" s="314"/>
      <c r="AR238" s="314"/>
      <c r="AS238" s="314"/>
    </row>
    <row r="239" ht="15.75" customHeight="1">
      <c r="E239" s="314"/>
      <c r="F239" s="314"/>
      <c r="H239" s="1149"/>
      <c r="I239" s="1538"/>
      <c r="J239" s="365"/>
      <c r="K239" s="428"/>
      <c r="O239" s="314"/>
      <c r="Q239" s="314"/>
      <c r="R239" s="201"/>
      <c r="S239" s="314"/>
      <c r="AR239" s="314"/>
      <c r="AS239" s="314"/>
    </row>
    <row r="240" ht="15.75" customHeight="1">
      <c r="E240" s="314"/>
      <c r="F240" s="314"/>
      <c r="H240" s="1149"/>
      <c r="I240" s="1538"/>
      <c r="J240" s="365"/>
      <c r="K240" s="428"/>
      <c r="O240" s="314"/>
      <c r="Q240" s="314"/>
      <c r="R240" s="201"/>
      <c r="S240" s="314"/>
      <c r="AR240" s="314"/>
      <c r="AS240" s="314"/>
    </row>
    <row r="241" ht="15.75" customHeight="1">
      <c r="E241" s="314"/>
      <c r="F241" s="314"/>
      <c r="H241" s="1149"/>
      <c r="I241" s="1538"/>
      <c r="J241" s="365"/>
      <c r="K241" s="428"/>
      <c r="O241" s="314"/>
      <c r="Q241" s="314"/>
      <c r="R241" s="201"/>
      <c r="S241" s="314"/>
      <c r="AR241" s="314"/>
      <c r="AS241" s="314"/>
    </row>
    <row r="242" ht="15.75" customHeight="1">
      <c r="E242" s="314"/>
      <c r="F242" s="314"/>
      <c r="H242" s="1149"/>
      <c r="I242" s="1538"/>
      <c r="J242" s="365"/>
      <c r="K242" s="428"/>
      <c r="O242" s="314"/>
      <c r="Q242" s="314"/>
      <c r="R242" s="201"/>
      <c r="S242" s="314"/>
      <c r="AR242" s="314"/>
      <c r="AS242" s="314"/>
    </row>
    <row r="243" ht="15.75" customHeight="1">
      <c r="E243" s="314"/>
      <c r="F243" s="314"/>
      <c r="H243" s="1149"/>
      <c r="I243" s="1538"/>
      <c r="J243" s="365"/>
      <c r="K243" s="428"/>
      <c r="O243" s="314"/>
      <c r="Q243" s="314"/>
      <c r="R243" s="201"/>
      <c r="S243" s="314"/>
      <c r="AR243" s="314"/>
      <c r="AS243" s="314"/>
    </row>
    <row r="244" ht="15.75" customHeight="1">
      <c r="E244" s="314"/>
      <c r="F244" s="314"/>
      <c r="H244" s="1149"/>
      <c r="I244" s="1538"/>
      <c r="J244" s="365"/>
      <c r="K244" s="428"/>
      <c r="O244" s="314"/>
      <c r="Q244" s="314"/>
      <c r="R244" s="201"/>
      <c r="S244" s="314"/>
      <c r="AR244" s="314"/>
      <c r="AS244" s="314"/>
    </row>
    <row r="245" ht="15.75" customHeight="1">
      <c r="E245" s="314"/>
      <c r="F245" s="314"/>
      <c r="H245" s="1149"/>
      <c r="I245" s="1538"/>
      <c r="J245" s="365"/>
      <c r="K245" s="428"/>
      <c r="O245" s="314"/>
      <c r="Q245" s="314"/>
      <c r="R245" s="201"/>
      <c r="S245" s="314"/>
      <c r="AR245" s="314"/>
      <c r="AS245" s="314"/>
    </row>
    <row r="246" ht="15.75" customHeight="1">
      <c r="E246" s="314"/>
      <c r="F246" s="314"/>
      <c r="H246" s="1149"/>
      <c r="I246" s="1538"/>
      <c r="J246" s="365"/>
      <c r="K246" s="428"/>
      <c r="O246" s="314"/>
      <c r="Q246" s="314"/>
      <c r="R246" s="201"/>
      <c r="S246" s="314"/>
      <c r="AR246" s="314"/>
      <c r="AS246" s="314"/>
    </row>
    <row r="247" ht="15.75" customHeight="1">
      <c r="E247" s="314"/>
      <c r="F247" s="314"/>
      <c r="H247" s="1149"/>
      <c r="I247" s="1538"/>
      <c r="J247" s="365"/>
      <c r="K247" s="428"/>
      <c r="O247" s="314"/>
      <c r="Q247" s="314"/>
      <c r="R247" s="201"/>
      <c r="S247" s="314"/>
      <c r="AR247" s="314"/>
      <c r="AS247" s="314"/>
    </row>
    <row r="248" ht="15.75" customHeight="1">
      <c r="E248" s="314"/>
      <c r="F248" s="314"/>
      <c r="H248" s="1149"/>
      <c r="I248" s="1538"/>
      <c r="J248" s="365"/>
      <c r="K248" s="428"/>
      <c r="O248" s="314"/>
      <c r="Q248" s="314"/>
      <c r="R248" s="201"/>
      <c r="S248" s="314"/>
      <c r="AR248" s="314"/>
      <c r="AS248" s="314"/>
    </row>
    <row r="249" ht="15.75" customHeight="1">
      <c r="E249" s="314"/>
      <c r="F249" s="314"/>
      <c r="H249" s="1149"/>
      <c r="I249" s="1538"/>
      <c r="J249" s="365"/>
      <c r="K249" s="428"/>
      <c r="O249" s="314"/>
      <c r="Q249" s="314"/>
      <c r="R249" s="201"/>
      <c r="S249" s="314"/>
      <c r="AR249" s="314"/>
      <c r="AS249" s="314"/>
    </row>
    <row r="250" ht="15.75" customHeight="1">
      <c r="E250" s="314"/>
      <c r="F250" s="314"/>
      <c r="H250" s="1149"/>
      <c r="I250" s="1538"/>
      <c r="J250" s="365"/>
      <c r="K250" s="428"/>
      <c r="O250" s="314"/>
      <c r="Q250" s="314"/>
      <c r="R250" s="201"/>
      <c r="S250" s="314"/>
      <c r="AR250" s="314"/>
      <c r="AS250" s="314"/>
    </row>
    <row r="251" ht="15.75" customHeight="1">
      <c r="E251" s="314"/>
      <c r="F251" s="314"/>
      <c r="H251" s="1149"/>
      <c r="I251" s="1538"/>
      <c r="J251" s="365"/>
      <c r="K251" s="428"/>
      <c r="O251" s="314"/>
      <c r="Q251" s="314"/>
      <c r="R251" s="201"/>
      <c r="S251" s="314"/>
      <c r="AR251" s="314"/>
      <c r="AS251" s="314"/>
    </row>
    <row r="252" ht="15.75" customHeight="1">
      <c r="E252" s="314"/>
      <c r="F252" s="314"/>
      <c r="H252" s="1149"/>
      <c r="I252" s="1538"/>
      <c r="J252" s="365"/>
      <c r="K252" s="428"/>
      <c r="O252" s="314"/>
      <c r="Q252" s="314"/>
      <c r="R252" s="201"/>
      <c r="S252" s="314"/>
      <c r="AR252" s="314"/>
      <c r="AS252" s="314"/>
    </row>
    <row r="253" ht="15.75" customHeight="1">
      <c r="E253" s="314"/>
      <c r="F253" s="314"/>
      <c r="H253" s="1149"/>
      <c r="I253" s="1538"/>
      <c r="J253" s="365"/>
      <c r="K253" s="428"/>
      <c r="O253" s="314"/>
      <c r="Q253" s="314"/>
      <c r="R253" s="201"/>
      <c r="S253" s="314"/>
      <c r="AR253" s="314"/>
      <c r="AS253" s="314"/>
    </row>
    <row r="254" ht="15.75" customHeight="1">
      <c r="E254" s="314"/>
      <c r="F254" s="314"/>
      <c r="H254" s="1149"/>
      <c r="I254" s="1538"/>
      <c r="J254" s="365"/>
      <c r="K254" s="428"/>
      <c r="O254" s="314"/>
      <c r="Q254" s="314"/>
      <c r="R254" s="201"/>
      <c r="S254" s="314"/>
      <c r="AR254" s="314"/>
      <c r="AS254" s="314"/>
    </row>
    <row r="255" ht="15.75" customHeight="1">
      <c r="E255" s="314"/>
      <c r="F255" s="314"/>
      <c r="H255" s="1149"/>
      <c r="I255" s="1538"/>
      <c r="J255" s="365"/>
      <c r="K255" s="428"/>
      <c r="O255" s="314"/>
      <c r="Q255" s="314"/>
      <c r="R255" s="201"/>
      <c r="S255" s="314"/>
      <c r="AR255" s="314"/>
      <c r="AS255" s="314"/>
    </row>
    <row r="256" ht="15.75" customHeight="1">
      <c r="E256" s="314"/>
      <c r="F256" s="314"/>
      <c r="H256" s="1149"/>
      <c r="I256" s="1538"/>
      <c r="J256" s="365"/>
      <c r="K256" s="428"/>
      <c r="O256" s="314"/>
      <c r="Q256" s="314"/>
      <c r="R256" s="201"/>
      <c r="S256" s="314"/>
      <c r="AR256" s="314"/>
      <c r="AS256" s="314"/>
    </row>
    <row r="257" ht="15.75" customHeight="1">
      <c r="E257" s="314"/>
      <c r="F257" s="314"/>
      <c r="H257" s="1149"/>
      <c r="I257" s="1538"/>
      <c r="J257" s="365"/>
      <c r="K257" s="428"/>
      <c r="O257" s="314"/>
      <c r="Q257" s="314"/>
      <c r="R257" s="201"/>
      <c r="S257" s="314"/>
      <c r="AR257" s="314"/>
      <c r="AS257" s="314"/>
    </row>
    <row r="258" ht="15.75" customHeight="1">
      <c r="E258" s="314"/>
      <c r="F258" s="314"/>
      <c r="H258" s="1149"/>
      <c r="I258" s="1538"/>
      <c r="J258" s="365"/>
      <c r="K258" s="428"/>
      <c r="O258" s="314"/>
      <c r="Q258" s="314"/>
      <c r="R258" s="201"/>
      <c r="S258" s="314"/>
      <c r="AR258" s="314"/>
      <c r="AS258" s="314"/>
    </row>
    <row r="259" ht="15.75" customHeight="1">
      <c r="E259" s="314"/>
      <c r="F259" s="314"/>
      <c r="H259" s="1149"/>
      <c r="I259" s="1538"/>
      <c r="J259" s="365"/>
      <c r="K259" s="428"/>
      <c r="O259" s="314"/>
      <c r="Q259" s="314"/>
      <c r="R259" s="201"/>
      <c r="S259" s="314"/>
      <c r="AR259" s="314"/>
      <c r="AS259" s="314"/>
    </row>
    <row r="260" ht="15.75" customHeight="1">
      <c r="E260" s="314"/>
      <c r="F260" s="314"/>
      <c r="H260" s="1149"/>
      <c r="I260" s="1538"/>
      <c r="J260" s="365"/>
      <c r="K260" s="428"/>
      <c r="O260" s="314"/>
      <c r="Q260" s="314"/>
      <c r="R260" s="201"/>
      <c r="S260" s="314"/>
      <c r="AR260" s="314"/>
      <c r="AS260" s="314"/>
    </row>
    <row r="261" ht="15.75" customHeight="1">
      <c r="E261" s="314"/>
      <c r="F261" s="314"/>
      <c r="H261" s="1149"/>
      <c r="I261" s="1538"/>
      <c r="J261" s="365"/>
      <c r="K261" s="428"/>
      <c r="O261" s="314"/>
      <c r="Q261" s="314"/>
      <c r="R261" s="201"/>
      <c r="S261" s="314"/>
      <c r="AR261" s="314"/>
      <c r="AS261" s="314"/>
    </row>
    <row r="262" ht="15.75" customHeight="1">
      <c r="E262" s="314"/>
      <c r="F262" s="314"/>
      <c r="H262" s="1149"/>
      <c r="I262" s="1538"/>
      <c r="J262" s="365"/>
      <c r="K262" s="428"/>
      <c r="O262" s="314"/>
      <c r="Q262" s="314"/>
      <c r="R262" s="201"/>
      <c r="S262" s="314"/>
      <c r="AR262" s="314"/>
      <c r="AS262" s="314"/>
    </row>
    <row r="263" ht="15.75" customHeight="1">
      <c r="E263" s="314"/>
      <c r="F263" s="314"/>
      <c r="H263" s="1149"/>
      <c r="I263" s="1538"/>
      <c r="J263" s="365"/>
      <c r="K263" s="428"/>
      <c r="O263" s="314"/>
      <c r="Q263" s="314"/>
      <c r="R263" s="201"/>
      <c r="S263" s="314"/>
      <c r="AR263" s="314"/>
      <c r="AS263" s="314"/>
    </row>
    <row r="264" ht="15.75" customHeight="1">
      <c r="E264" s="314"/>
      <c r="F264" s="314"/>
      <c r="H264" s="1149"/>
      <c r="I264" s="1538"/>
      <c r="J264" s="365"/>
      <c r="K264" s="428"/>
      <c r="O264" s="314"/>
      <c r="Q264" s="314"/>
      <c r="R264" s="201"/>
      <c r="S264" s="314"/>
      <c r="AR264" s="314"/>
      <c r="AS264" s="314"/>
    </row>
    <row r="265" ht="15.75" customHeight="1">
      <c r="E265" s="314"/>
      <c r="F265" s="314"/>
      <c r="H265" s="1149"/>
      <c r="I265" s="1538"/>
      <c r="J265" s="365"/>
      <c r="K265" s="428"/>
      <c r="O265" s="314"/>
      <c r="Q265" s="314"/>
      <c r="R265" s="201"/>
      <c r="S265" s="314"/>
      <c r="AR265" s="314"/>
      <c r="AS265" s="314"/>
    </row>
    <row r="266" ht="15.75" customHeight="1">
      <c r="E266" s="314"/>
      <c r="F266" s="314"/>
      <c r="H266" s="1149"/>
      <c r="I266" s="1538"/>
      <c r="J266" s="365"/>
      <c r="K266" s="428"/>
      <c r="O266" s="314"/>
      <c r="Q266" s="314"/>
      <c r="R266" s="201"/>
      <c r="S266" s="314"/>
      <c r="AR266" s="314"/>
      <c r="AS266" s="314"/>
    </row>
    <row r="267" ht="15.75" customHeight="1">
      <c r="E267" s="314"/>
      <c r="F267" s="314"/>
      <c r="H267" s="1149"/>
      <c r="I267" s="1538"/>
      <c r="J267" s="365"/>
      <c r="K267" s="428"/>
      <c r="O267" s="314"/>
      <c r="Q267" s="314"/>
      <c r="R267" s="201"/>
      <c r="S267" s="314"/>
      <c r="AR267" s="314"/>
      <c r="AS267" s="314"/>
    </row>
    <row r="268" ht="15.75" customHeight="1">
      <c r="E268" s="314"/>
      <c r="F268" s="314"/>
      <c r="H268" s="1149"/>
      <c r="I268" s="1538"/>
      <c r="J268" s="365"/>
      <c r="K268" s="428"/>
      <c r="O268" s="314"/>
      <c r="Q268" s="314"/>
      <c r="R268" s="201"/>
      <c r="S268" s="314"/>
      <c r="AR268" s="314"/>
      <c r="AS268" s="314"/>
    </row>
    <row r="269" ht="15.75" customHeight="1">
      <c r="E269" s="314"/>
      <c r="F269" s="314"/>
      <c r="H269" s="1149"/>
      <c r="I269" s="1538"/>
      <c r="J269" s="365"/>
      <c r="K269" s="428"/>
      <c r="O269" s="314"/>
      <c r="Q269" s="314"/>
      <c r="R269" s="201"/>
      <c r="S269" s="314"/>
      <c r="AR269" s="314"/>
      <c r="AS269" s="314"/>
    </row>
    <row r="270" ht="15.75" customHeight="1">
      <c r="E270" s="314"/>
      <c r="F270" s="314"/>
      <c r="H270" s="1149"/>
      <c r="I270" s="1538"/>
      <c r="J270" s="365"/>
      <c r="K270" s="428"/>
      <c r="O270" s="314"/>
      <c r="Q270" s="314"/>
      <c r="R270" s="201"/>
      <c r="S270" s="314"/>
      <c r="AR270" s="314"/>
      <c r="AS270" s="314"/>
    </row>
    <row r="271" ht="15.75" customHeight="1">
      <c r="E271" s="314"/>
      <c r="F271" s="314"/>
      <c r="H271" s="1149"/>
      <c r="I271" s="1538"/>
      <c r="J271" s="365"/>
      <c r="K271" s="428"/>
      <c r="O271" s="314"/>
      <c r="Q271" s="314"/>
      <c r="R271" s="201"/>
      <c r="S271" s="314"/>
      <c r="AR271" s="314"/>
      <c r="AS271" s="314"/>
    </row>
    <row r="272" ht="15.75" customHeight="1">
      <c r="E272" s="314"/>
      <c r="F272" s="314"/>
      <c r="H272" s="1149"/>
      <c r="I272" s="1538"/>
      <c r="J272" s="365"/>
      <c r="K272" s="428"/>
      <c r="O272" s="314"/>
      <c r="Q272" s="314"/>
      <c r="R272" s="201"/>
      <c r="S272" s="314"/>
      <c r="AR272" s="314"/>
      <c r="AS272" s="314"/>
    </row>
    <row r="273" ht="15.75" customHeight="1">
      <c r="E273" s="314"/>
      <c r="F273" s="314"/>
      <c r="H273" s="1149"/>
      <c r="I273" s="1538"/>
      <c r="J273" s="365"/>
      <c r="K273" s="428"/>
      <c r="O273" s="314"/>
      <c r="Q273" s="314"/>
      <c r="R273" s="201"/>
      <c r="S273" s="314"/>
      <c r="AR273" s="314"/>
      <c r="AS273" s="314"/>
    </row>
    <row r="274" ht="15.75" customHeight="1">
      <c r="E274" s="314"/>
      <c r="F274" s="314"/>
      <c r="H274" s="1149"/>
      <c r="I274" s="1538"/>
      <c r="J274" s="365"/>
      <c r="K274" s="428"/>
      <c r="O274" s="314"/>
      <c r="Q274" s="314"/>
      <c r="R274" s="201"/>
      <c r="S274" s="314"/>
      <c r="AR274" s="314"/>
      <c r="AS274" s="314"/>
    </row>
    <row r="275" ht="15.75" customHeight="1">
      <c r="E275" s="314"/>
      <c r="F275" s="314"/>
      <c r="H275" s="1149"/>
      <c r="I275" s="1538"/>
      <c r="J275" s="365"/>
      <c r="K275" s="428"/>
      <c r="O275" s="314"/>
      <c r="Q275" s="314"/>
      <c r="R275" s="201"/>
      <c r="S275" s="314"/>
      <c r="AR275" s="314"/>
      <c r="AS275" s="314"/>
    </row>
    <row r="276" ht="15.75" customHeight="1">
      <c r="E276" s="314"/>
      <c r="F276" s="314"/>
      <c r="H276" s="1149"/>
      <c r="I276" s="1538"/>
      <c r="J276" s="365"/>
      <c r="K276" s="428"/>
      <c r="O276" s="314"/>
      <c r="Q276" s="314"/>
      <c r="R276" s="201"/>
      <c r="S276" s="314"/>
      <c r="AR276" s="314"/>
      <c r="AS276" s="314"/>
    </row>
    <row r="277" ht="15.75" customHeight="1">
      <c r="E277" s="314"/>
      <c r="F277" s="314"/>
      <c r="H277" s="1149"/>
      <c r="I277" s="1538"/>
      <c r="J277" s="365"/>
      <c r="K277" s="428"/>
      <c r="O277" s="314"/>
      <c r="Q277" s="314"/>
      <c r="R277" s="201"/>
      <c r="S277" s="314"/>
      <c r="AR277" s="314"/>
      <c r="AS277" s="314"/>
    </row>
    <row r="278" ht="15.75" customHeight="1">
      <c r="E278" s="314"/>
      <c r="F278" s="314"/>
      <c r="H278" s="1149"/>
      <c r="I278" s="1538"/>
      <c r="J278" s="365"/>
      <c r="K278" s="428"/>
      <c r="O278" s="314"/>
      <c r="Q278" s="314"/>
      <c r="R278" s="201"/>
      <c r="S278" s="314"/>
      <c r="AR278" s="314"/>
      <c r="AS278" s="314"/>
    </row>
    <row r="279" ht="15.75" customHeight="1">
      <c r="E279" s="314"/>
      <c r="F279" s="314"/>
      <c r="H279" s="1149"/>
      <c r="I279" s="1538"/>
      <c r="J279" s="365"/>
      <c r="K279" s="428"/>
      <c r="O279" s="314"/>
      <c r="Q279" s="314"/>
      <c r="R279" s="201"/>
      <c r="S279" s="314"/>
      <c r="AR279" s="314"/>
      <c r="AS279" s="314"/>
    </row>
    <row r="280" ht="15.75" customHeight="1">
      <c r="E280" s="314"/>
      <c r="F280" s="314"/>
      <c r="H280" s="1149"/>
      <c r="I280" s="1538"/>
      <c r="J280" s="365"/>
      <c r="K280" s="428"/>
      <c r="O280" s="314"/>
      <c r="Q280" s="314"/>
      <c r="R280" s="201"/>
      <c r="S280" s="314"/>
      <c r="AR280" s="314"/>
      <c r="AS280" s="314"/>
    </row>
    <row r="281" ht="15.75" customHeight="1">
      <c r="E281" s="314"/>
      <c r="F281" s="314"/>
      <c r="H281" s="1149"/>
      <c r="I281" s="1538"/>
      <c r="J281" s="365"/>
      <c r="K281" s="428"/>
      <c r="O281" s="314"/>
      <c r="Q281" s="314"/>
      <c r="R281" s="201"/>
      <c r="S281" s="314"/>
      <c r="AR281" s="314"/>
      <c r="AS281" s="314"/>
    </row>
    <row r="282" ht="15.75" customHeight="1">
      <c r="E282" s="314"/>
      <c r="F282" s="314"/>
      <c r="H282" s="1149"/>
      <c r="I282" s="1538"/>
      <c r="J282" s="365"/>
      <c r="K282" s="428"/>
      <c r="O282" s="314"/>
      <c r="Q282" s="314"/>
      <c r="R282" s="201"/>
      <c r="S282" s="314"/>
      <c r="AR282" s="314"/>
      <c r="AS282" s="314"/>
    </row>
    <row r="283" ht="15.75" customHeight="1">
      <c r="E283" s="314"/>
      <c r="F283" s="314"/>
      <c r="H283" s="1149"/>
      <c r="I283" s="1538"/>
      <c r="J283" s="365"/>
      <c r="K283" s="428"/>
      <c r="O283" s="314"/>
      <c r="Q283" s="314"/>
      <c r="R283" s="201"/>
      <c r="S283" s="314"/>
      <c r="AR283" s="314"/>
      <c r="AS283" s="314"/>
    </row>
    <row r="284" ht="15.75" customHeight="1">
      <c r="E284" s="314"/>
      <c r="F284" s="314"/>
      <c r="H284" s="1149"/>
      <c r="I284" s="1538"/>
      <c r="J284" s="365"/>
      <c r="K284" s="428"/>
      <c r="O284" s="314"/>
      <c r="Q284" s="314"/>
      <c r="R284" s="201"/>
      <c r="S284" s="314"/>
      <c r="AR284" s="314"/>
      <c r="AS284" s="314"/>
    </row>
    <row r="285" ht="15.75" customHeight="1">
      <c r="E285" s="314"/>
      <c r="F285" s="314"/>
      <c r="H285" s="1149"/>
      <c r="I285" s="1538"/>
      <c r="J285" s="365"/>
      <c r="K285" s="428"/>
      <c r="O285" s="314"/>
      <c r="Q285" s="314"/>
      <c r="R285" s="201"/>
      <c r="S285" s="314"/>
      <c r="AR285" s="314"/>
      <c r="AS285" s="314"/>
    </row>
    <row r="286" ht="15.75" customHeight="1">
      <c r="E286" s="314"/>
      <c r="F286" s="314"/>
      <c r="H286" s="1149"/>
      <c r="I286" s="1538"/>
      <c r="J286" s="365"/>
      <c r="K286" s="428"/>
      <c r="O286" s="314"/>
      <c r="Q286" s="314"/>
      <c r="R286" s="201"/>
      <c r="S286" s="314"/>
      <c r="AR286" s="314"/>
      <c r="AS286" s="314"/>
    </row>
    <row r="287" ht="15.75" customHeight="1">
      <c r="E287" s="314"/>
      <c r="F287" s="314"/>
      <c r="H287" s="1149"/>
      <c r="I287" s="1538"/>
      <c r="J287" s="365"/>
      <c r="K287" s="428"/>
      <c r="O287" s="314"/>
      <c r="Q287" s="314"/>
      <c r="R287" s="201"/>
      <c r="S287" s="314"/>
      <c r="AR287" s="314"/>
      <c r="AS287" s="314"/>
    </row>
    <row r="288" ht="15.75" customHeight="1">
      <c r="E288" s="314"/>
      <c r="F288" s="314"/>
      <c r="H288" s="1149"/>
      <c r="I288" s="1538"/>
      <c r="J288" s="365"/>
      <c r="K288" s="428"/>
      <c r="O288" s="314"/>
      <c r="Q288" s="314"/>
      <c r="R288" s="201"/>
      <c r="S288" s="314"/>
      <c r="AR288" s="314"/>
      <c r="AS288" s="314"/>
    </row>
    <row r="289" ht="15.75" customHeight="1">
      <c r="E289" s="314"/>
      <c r="F289" s="314"/>
      <c r="H289" s="1149"/>
      <c r="I289" s="1538"/>
      <c r="J289" s="365"/>
      <c r="K289" s="428"/>
      <c r="O289" s="314"/>
      <c r="Q289" s="314"/>
      <c r="R289" s="201"/>
      <c r="S289" s="314"/>
      <c r="AR289" s="314"/>
      <c r="AS289" s="314"/>
    </row>
    <row r="290" ht="15.75" customHeight="1">
      <c r="E290" s="314"/>
      <c r="F290" s="314"/>
      <c r="H290" s="1149"/>
      <c r="I290" s="1538"/>
      <c r="J290" s="365"/>
      <c r="K290" s="428"/>
      <c r="O290" s="314"/>
      <c r="Q290" s="314"/>
      <c r="R290" s="201"/>
      <c r="S290" s="314"/>
      <c r="AR290" s="314"/>
      <c r="AS290" s="314"/>
    </row>
    <row r="291" ht="15.75" customHeight="1">
      <c r="E291" s="314"/>
      <c r="F291" s="314"/>
      <c r="H291" s="1149"/>
      <c r="I291" s="1538"/>
      <c r="J291" s="365"/>
      <c r="K291" s="428"/>
      <c r="O291" s="314"/>
      <c r="Q291" s="314"/>
      <c r="R291" s="201"/>
      <c r="S291" s="314"/>
      <c r="AR291" s="314"/>
      <c r="AS291" s="314"/>
    </row>
    <row r="292" ht="15.75" customHeight="1">
      <c r="E292" s="314"/>
      <c r="F292" s="314"/>
      <c r="H292" s="1149"/>
      <c r="I292" s="1538"/>
      <c r="J292" s="365"/>
      <c r="K292" s="428"/>
      <c r="O292" s="314"/>
      <c r="Q292" s="314"/>
      <c r="R292" s="201"/>
      <c r="S292" s="314"/>
      <c r="AR292" s="314"/>
      <c r="AS292" s="314"/>
    </row>
    <row r="293" ht="15.75" customHeight="1">
      <c r="E293" s="314"/>
      <c r="F293" s="314"/>
      <c r="H293" s="1149"/>
      <c r="I293" s="1538"/>
      <c r="J293" s="365"/>
      <c r="K293" s="428"/>
      <c r="O293" s="314"/>
      <c r="Q293" s="314"/>
      <c r="R293" s="201"/>
      <c r="S293" s="314"/>
      <c r="AR293" s="314"/>
      <c r="AS293" s="314"/>
    </row>
    <row r="294" ht="15.75" customHeight="1">
      <c r="E294" s="314"/>
      <c r="F294" s="314"/>
      <c r="H294" s="1149"/>
      <c r="I294" s="1538"/>
      <c r="J294" s="365"/>
      <c r="K294" s="428"/>
      <c r="O294" s="314"/>
      <c r="Q294" s="314"/>
      <c r="R294" s="201"/>
      <c r="S294" s="314"/>
      <c r="AR294" s="314"/>
      <c r="AS294" s="314"/>
    </row>
    <row r="295" ht="15.75" customHeight="1">
      <c r="E295" s="314"/>
      <c r="F295" s="314"/>
      <c r="H295" s="1149"/>
      <c r="I295" s="1538"/>
      <c r="J295" s="365"/>
      <c r="K295" s="428"/>
      <c r="O295" s="314"/>
      <c r="Q295" s="314"/>
      <c r="R295" s="201"/>
      <c r="S295" s="314"/>
      <c r="AR295" s="314"/>
      <c r="AS295" s="314"/>
    </row>
    <row r="296" ht="15.75" customHeight="1">
      <c r="E296" s="314"/>
      <c r="F296" s="314"/>
      <c r="H296" s="1149"/>
      <c r="I296" s="1538"/>
      <c r="J296" s="365"/>
      <c r="K296" s="428"/>
      <c r="O296" s="314"/>
      <c r="Q296" s="314"/>
      <c r="R296" s="201"/>
      <c r="S296" s="314"/>
      <c r="AR296" s="314"/>
      <c r="AS296" s="314"/>
    </row>
    <row r="297" ht="15.75" customHeight="1">
      <c r="E297" s="314"/>
      <c r="F297" s="314"/>
      <c r="H297" s="1149"/>
      <c r="I297" s="1538"/>
      <c r="J297" s="365"/>
      <c r="K297" s="428"/>
      <c r="O297" s="314"/>
      <c r="Q297" s="314"/>
      <c r="R297" s="201"/>
      <c r="S297" s="314"/>
      <c r="AR297" s="314"/>
      <c r="AS297" s="314"/>
    </row>
    <row r="298" ht="15.75" customHeight="1">
      <c r="E298" s="314"/>
      <c r="F298" s="314"/>
      <c r="H298" s="1149"/>
      <c r="I298" s="1538"/>
      <c r="J298" s="365"/>
      <c r="K298" s="428"/>
      <c r="O298" s="314"/>
      <c r="Q298" s="314"/>
      <c r="R298" s="201"/>
      <c r="S298" s="314"/>
      <c r="AR298" s="314"/>
      <c r="AS298" s="314"/>
    </row>
    <row r="299" ht="15.75" customHeight="1">
      <c r="E299" s="314"/>
      <c r="F299" s="314"/>
      <c r="H299" s="1149"/>
      <c r="I299" s="1538"/>
      <c r="J299" s="365"/>
      <c r="K299" s="428"/>
      <c r="O299" s="314"/>
      <c r="Q299" s="314"/>
      <c r="R299" s="201"/>
      <c r="S299" s="314"/>
      <c r="AR299" s="314"/>
      <c r="AS299" s="314"/>
    </row>
    <row r="300" ht="15.75" customHeight="1">
      <c r="E300" s="314"/>
      <c r="F300" s="314"/>
      <c r="H300" s="1149"/>
      <c r="I300" s="1538"/>
      <c r="J300" s="365"/>
      <c r="K300" s="428"/>
      <c r="O300" s="314"/>
      <c r="Q300" s="314"/>
      <c r="R300" s="201"/>
      <c r="S300" s="314"/>
      <c r="AR300" s="314"/>
      <c r="AS300" s="314"/>
    </row>
    <row r="301" ht="15.75" customHeight="1">
      <c r="E301" s="314"/>
      <c r="F301" s="314"/>
      <c r="H301" s="1149"/>
      <c r="I301" s="1538"/>
      <c r="J301" s="365"/>
      <c r="K301" s="428"/>
      <c r="O301" s="314"/>
      <c r="Q301" s="314"/>
      <c r="R301" s="201"/>
      <c r="S301" s="314"/>
      <c r="AR301" s="314"/>
      <c r="AS301" s="314"/>
    </row>
    <row r="302" ht="15.75" customHeight="1">
      <c r="E302" s="314"/>
      <c r="F302" s="314"/>
      <c r="H302" s="1149"/>
      <c r="I302" s="1538"/>
      <c r="J302" s="365"/>
      <c r="K302" s="428"/>
      <c r="O302" s="314"/>
      <c r="Q302" s="314"/>
      <c r="R302" s="201"/>
      <c r="S302" s="314"/>
      <c r="AR302" s="314"/>
      <c r="AS302" s="314"/>
    </row>
    <row r="303" ht="15.75" customHeight="1">
      <c r="E303" s="314"/>
      <c r="F303" s="314"/>
      <c r="H303" s="1149"/>
      <c r="I303" s="1538"/>
      <c r="J303" s="365"/>
      <c r="K303" s="428"/>
      <c r="O303" s="314"/>
      <c r="Q303" s="314"/>
      <c r="R303" s="201"/>
      <c r="S303" s="314"/>
      <c r="AR303" s="314"/>
      <c r="AS303" s="314"/>
    </row>
    <row r="304" ht="15.75" customHeight="1">
      <c r="E304" s="314"/>
      <c r="F304" s="314"/>
      <c r="H304" s="1149"/>
      <c r="I304" s="1538"/>
      <c r="J304" s="365"/>
      <c r="K304" s="428"/>
      <c r="O304" s="314"/>
      <c r="Q304" s="314"/>
      <c r="R304" s="201"/>
      <c r="S304" s="314"/>
      <c r="AR304" s="314"/>
      <c r="AS304" s="314"/>
    </row>
    <row r="305" ht="15.75" customHeight="1">
      <c r="E305" s="314"/>
      <c r="F305" s="314"/>
      <c r="H305" s="1149"/>
      <c r="I305" s="1538"/>
      <c r="J305" s="365"/>
      <c r="K305" s="428"/>
      <c r="O305" s="314"/>
      <c r="Q305" s="314"/>
      <c r="R305" s="201"/>
      <c r="S305" s="314"/>
      <c r="AR305" s="314"/>
      <c r="AS305" s="314"/>
    </row>
    <row r="306" ht="15.75" customHeight="1">
      <c r="E306" s="314"/>
      <c r="F306" s="314"/>
      <c r="H306" s="1149"/>
      <c r="I306" s="1538"/>
      <c r="J306" s="365"/>
      <c r="K306" s="428"/>
      <c r="O306" s="314"/>
      <c r="Q306" s="314"/>
      <c r="R306" s="201"/>
      <c r="S306" s="314"/>
      <c r="AR306" s="314"/>
      <c r="AS306" s="314"/>
    </row>
    <row r="307" ht="15.75" customHeight="1">
      <c r="E307" s="314"/>
      <c r="F307" s="314"/>
      <c r="H307" s="1149"/>
      <c r="I307" s="1538"/>
      <c r="J307" s="365"/>
      <c r="K307" s="428"/>
      <c r="O307" s="314"/>
      <c r="Q307" s="314"/>
      <c r="R307" s="201"/>
      <c r="S307" s="314"/>
      <c r="AR307" s="314"/>
      <c r="AS307" s="314"/>
    </row>
    <row r="308" ht="15.75" customHeight="1">
      <c r="E308" s="314"/>
      <c r="F308" s="314"/>
      <c r="H308" s="1149"/>
      <c r="I308" s="1538"/>
      <c r="J308" s="365"/>
      <c r="K308" s="428"/>
      <c r="O308" s="314"/>
      <c r="Q308" s="314"/>
      <c r="R308" s="201"/>
      <c r="S308" s="314"/>
      <c r="AR308" s="314"/>
      <c r="AS308" s="314"/>
    </row>
    <row r="309" ht="15.75" customHeight="1">
      <c r="E309" s="314"/>
      <c r="F309" s="314"/>
      <c r="H309" s="1149"/>
      <c r="I309" s="1538"/>
      <c r="J309" s="365"/>
      <c r="K309" s="428"/>
      <c r="O309" s="314"/>
      <c r="Q309" s="314"/>
      <c r="R309" s="201"/>
      <c r="S309" s="314"/>
      <c r="AR309" s="314"/>
      <c r="AS309" s="314"/>
    </row>
    <row r="310" ht="15.75" customHeight="1">
      <c r="E310" s="314"/>
      <c r="F310" s="314"/>
      <c r="H310" s="1149"/>
      <c r="I310" s="1538"/>
      <c r="J310" s="365"/>
      <c r="K310" s="428"/>
      <c r="O310" s="314"/>
      <c r="Q310" s="314"/>
      <c r="R310" s="201"/>
      <c r="S310" s="314"/>
      <c r="AR310" s="314"/>
      <c r="AS310" s="314"/>
    </row>
    <row r="311" ht="15.75" customHeight="1">
      <c r="E311" s="314"/>
      <c r="F311" s="314"/>
      <c r="H311" s="1149"/>
      <c r="I311" s="1538"/>
      <c r="J311" s="365"/>
      <c r="K311" s="428"/>
      <c r="O311" s="314"/>
      <c r="Q311" s="314"/>
      <c r="R311" s="201"/>
      <c r="S311" s="314"/>
      <c r="AR311" s="314"/>
      <c r="AS311" s="314"/>
    </row>
    <row r="312" ht="15.75" customHeight="1">
      <c r="E312" s="314"/>
      <c r="F312" s="314"/>
      <c r="H312" s="1149"/>
      <c r="I312" s="1538"/>
      <c r="J312" s="365"/>
      <c r="K312" s="428"/>
      <c r="O312" s="314"/>
      <c r="Q312" s="314"/>
      <c r="R312" s="201"/>
      <c r="S312" s="314"/>
      <c r="AR312" s="314"/>
      <c r="AS312" s="314"/>
    </row>
    <row r="313" ht="15.75" customHeight="1">
      <c r="E313" s="314"/>
      <c r="F313" s="314"/>
      <c r="H313" s="1149"/>
      <c r="I313" s="1538"/>
      <c r="J313" s="365"/>
      <c r="K313" s="428"/>
      <c r="O313" s="314"/>
      <c r="Q313" s="314"/>
      <c r="R313" s="201"/>
      <c r="S313" s="314"/>
      <c r="AR313" s="314"/>
      <c r="AS313" s="314"/>
    </row>
    <row r="314" ht="15.75" customHeight="1">
      <c r="E314" s="314"/>
      <c r="F314" s="314"/>
      <c r="H314" s="1149"/>
      <c r="I314" s="1538"/>
      <c r="J314" s="365"/>
      <c r="K314" s="428"/>
      <c r="O314" s="314"/>
      <c r="Q314" s="314"/>
      <c r="R314" s="201"/>
      <c r="S314" s="314"/>
      <c r="AR314" s="314"/>
      <c r="AS314" s="314"/>
    </row>
    <row r="315" ht="15.75" customHeight="1">
      <c r="E315" s="314"/>
      <c r="F315" s="314"/>
      <c r="H315" s="1149"/>
      <c r="I315" s="1538"/>
      <c r="J315" s="365"/>
      <c r="K315" s="428"/>
      <c r="O315" s="314"/>
      <c r="Q315" s="314"/>
      <c r="R315" s="201"/>
      <c r="S315" s="314"/>
      <c r="AR315" s="314"/>
      <c r="AS315" s="314"/>
    </row>
    <row r="316" ht="15.75" customHeight="1">
      <c r="E316" s="314"/>
      <c r="F316" s="314"/>
      <c r="H316" s="1149"/>
      <c r="I316" s="1538"/>
      <c r="J316" s="365"/>
      <c r="K316" s="428"/>
      <c r="O316" s="314"/>
      <c r="Q316" s="314"/>
      <c r="R316" s="201"/>
      <c r="S316" s="314"/>
      <c r="AR316" s="314"/>
      <c r="AS316" s="314"/>
    </row>
    <row r="317" ht="15.75" customHeight="1">
      <c r="E317" s="314"/>
      <c r="F317" s="314"/>
      <c r="H317" s="1149"/>
      <c r="I317" s="1538"/>
      <c r="J317" s="365"/>
      <c r="K317" s="428"/>
      <c r="O317" s="314"/>
      <c r="Q317" s="314"/>
      <c r="R317" s="201"/>
      <c r="S317" s="314"/>
      <c r="AR317" s="314"/>
      <c r="AS317" s="314"/>
    </row>
    <row r="318" ht="15.75" customHeight="1">
      <c r="E318" s="314"/>
      <c r="F318" s="314"/>
      <c r="H318" s="1149"/>
      <c r="I318" s="1538"/>
      <c r="J318" s="365"/>
      <c r="K318" s="428"/>
      <c r="O318" s="314"/>
      <c r="Q318" s="314"/>
      <c r="R318" s="201"/>
      <c r="S318" s="314"/>
      <c r="AR318" s="314"/>
      <c r="AS318" s="314"/>
    </row>
    <row r="319" ht="15.75" customHeight="1">
      <c r="E319" s="314"/>
      <c r="F319" s="314"/>
      <c r="H319" s="1149"/>
      <c r="I319" s="1538"/>
      <c r="J319" s="365"/>
      <c r="K319" s="428"/>
      <c r="O319" s="314"/>
      <c r="Q319" s="314"/>
      <c r="R319" s="201"/>
      <c r="S319" s="314"/>
      <c r="AR319" s="314"/>
      <c r="AS319" s="314"/>
    </row>
    <row r="320" ht="15.75" customHeight="1">
      <c r="E320" s="314"/>
      <c r="F320" s="314"/>
      <c r="H320" s="1149"/>
      <c r="I320" s="1538"/>
      <c r="J320" s="365"/>
      <c r="K320" s="428"/>
      <c r="O320" s="314"/>
      <c r="Q320" s="314"/>
      <c r="R320" s="201"/>
      <c r="S320" s="314"/>
      <c r="AR320" s="314"/>
      <c r="AS320" s="314"/>
    </row>
    <row r="321" ht="15.75" customHeight="1">
      <c r="E321" s="314"/>
      <c r="F321" s="314"/>
      <c r="H321" s="1149"/>
      <c r="I321" s="1538"/>
      <c r="J321" s="365"/>
      <c r="K321" s="428"/>
      <c r="O321" s="314"/>
      <c r="Q321" s="314"/>
      <c r="R321" s="201"/>
      <c r="S321" s="314"/>
      <c r="AR321" s="314"/>
      <c r="AS321" s="314"/>
    </row>
    <row r="322" ht="15.75" customHeight="1">
      <c r="E322" s="314"/>
      <c r="F322" s="314"/>
      <c r="H322" s="1149"/>
      <c r="I322" s="1538"/>
      <c r="J322" s="365"/>
      <c r="K322" s="428"/>
      <c r="O322" s="314"/>
      <c r="Q322" s="314"/>
      <c r="R322" s="201"/>
      <c r="S322" s="314"/>
      <c r="AR322" s="314"/>
      <c r="AS322" s="314"/>
    </row>
    <row r="323" ht="15.75" customHeight="1">
      <c r="E323" s="314"/>
      <c r="F323" s="314"/>
      <c r="H323" s="1149"/>
      <c r="I323" s="1538"/>
      <c r="J323" s="365"/>
      <c r="K323" s="428"/>
      <c r="O323" s="314"/>
      <c r="Q323" s="314"/>
      <c r="R323" s="201"/>
      <c r="S323" s="314"/>
      <c r="AR323" s="314"/>
      <c r="AS323" s="314"/>
    </row>
    <row r="324" ht="15.75" customHeight="1">
      <c r="E324" s="314"/>
      <c r="F324" s="314"/>
      <c r="H324" s="1149"/>
      <c r="I324" s="1538"/>
      <c r="J324" s="365"/>
      <c r="K324" s="428"/>
      <c r="O324" s="314"/>
      <c r="Q324" s="314"/>
      <c r="R324" s="201"/>
      <c r="S324" s="314"/>
      <c r="AR324" s="314"/>
      <c r="AS324" s="314"/>
    </row>
    <row r="325" ht="15.75" customHeight="1">
      <c r="E325" s="314"/>
      <c r="F325" s="314"/>
      <c r="H325" s="1149"/>
      <c r="I325" s="1538"/>
      <c r="J325" s="365"/>
      <c r="K325" s="428"/>
      <c r="O325" s="314"/>
      <c r="Q325" s="314"/>
      <c r="R325" s="201"/>
      <c r="S325" s="314"/>
      <c r="AR325" s="314"/>
      <c r="AS325" s="314"/>
    </row>
    <row r="326" ht="15.75" customHeight="1">
      <c r="E326" s="314"/>
      <c r="F326" s="314"/>
      <c r="H326" s="1149"/>
      <c r="I326" s="1538"/>
      <c r="J326" s="365"/>
      <c r="K326" s="428"/>
      <c r="O326" s="314"/>
      <c r="Q326" s="314"/>
      <c r="R326" s="201"/>
      <c r="S326" s="314"/>
      <c r="AR326" s="314"/>
      <c r="AS326" s="314"/>
    </row>
    <row r="327" ht="15.75" customHeight="1">
      <c r="E327" s="314"/>
      <c r="F327" s="314"/>
      <c r="H327" s="1149"/>
      <c r="I327" s="1538"/>
      <c r="J327" s="365"/>
      <c r="K327" s="428"/>
      <c r="O327" s="314"/>
      <c r="Q327" s="314"/>
      <c r="R327" s="201"/>
      <c r="S327" s="314"/>
      <c r="AR327" s="314"/>
      <c r="AS327" s="314"/>
    </row>
    <row r="328" ht="15.75" customHeight="1">
      <c r="E328" s="314"/>
      <c r="F328" s="314"/>
      <c r="H328" s="1149"/>
      <c r="I328" s="1538"/>
      <c r="J328" s="365"/>
      <c r="K328" s="428"/>
      <c r="O328" s="314"/>
      <c r="Q328" s="314"/>
      <c r="R328" s="201"/>
      <c r="S328" s="314"/>
      <c r="AR328" s="314"/>
      <c r="AS328" s="314"/>
    </row>
    <row r="329" ht="15.75" customHeight="1">
      <c r="E329" s="314"/>
      <c r="F329" s="314"/>
      <c r="H329" s="1149"/>
      <c r="I329" s="1538"/>
      <c r="J329" s="365"/>
      <c r="K329" s="428"/>
      <c r="O329" s="314"/>
      <c r="Q329" s="314"/>
      <c r="R329" s="201"/>
      <c r="S329" s="314"/>
      <c r="AR329" s="314"/>
      <c r="AS329" s="314"/>
    </row>
    <row r="330" ht="15.75" customHeight="1">
      <c r="E330" s="314"/>
      <c r="F330" s="314"/>
      <c r="H330" s="1149"/>
      <c r="I330" s="1538"/>
      <c r="J330" s="365"/>
      <c r="K330" s="428"/>
      <c r="O330" s="314"/>
      <c r="Q330" s="314"/>
      <c r="R330" s="201"/>
      <c r="S330" s="314"/>
      <c r="AR330" s="314"/>
      <c r="AS330" s="314"/>
    </row>
    <row r="331" ht="15.75" customHeight="1">
      <c r="E331" s="314"/>
      <c r="F331" s="314"/>
      <c r="H331" s="1149"/>
      <c r="I331" s="1538"/>
      <c r="J331" s="365"/>
      <c r="K331" s="428"/>
      <c r="O331" s="314"/>
      <c r="Q331" s="314"/>
      <c r="R331" s="201"/>
      <c r="S331" s="314"/>
      <c r="AR331" s="314"/>
      <c r="AS331" s="314"/>
    </row>
    <row r="332" ht="15.75" customHeight="1">
      <c r="E332" s="314"/>
      <c r="F332" s="314"/>
      <c r="H332" s="1149"/>
      <c r="I332" s="1538"/>
      <c r="J332" s="365"/>
      <c r="K332" s="428"/>
      <c r="O332" s="314"/>
      <c r="Q332" s="314"/>
      <c r="R332" s="201"/>
      <c r="S332" s="314"/>
      <c r="AR332" s="314"/>
      <c r="AS332" s="314"/>
    </row>
    <row r="333" ht="15.75" customHeight="1">
      <c r="E333" s="314"/>
      <c r="F333" s="314"/>
      <c r="H333" s="1149"/>
      <c r="I333" s="1538"/>
      <c r="J333" s="365"/>
      <c r="K333" s="428"/>
      <c r="O333" s="314"/>
      <c r="Q333" s="314"/>
      <c r="R333" s="201"/>
      <c r="S333" s="314"/>
      <c r="AR333" s="314"/>
      <c r="AS333" s="314"/>
    </row>
    <row r="334" ht="15.75" customHeight="1">
      <c r="E334" s="314"/>
      <c r="F334" s="314"/>
      <c r="H334" s="1149"/>
      <c r="I334" s="1538"/>
      <c r="J334" s="365"/>
      <c r="K334" s="428"/>
      <c r="O334" s="314"/>
      <c r="Q334" s="314"/>
      <c r="R334" s="201"/>
      <c r="S334" s="314"/>
      <c r="AR334" s="314"/>
      <c r="AS334" s="314"/>
    </row>
    <row r="335" ht="15.75" customHeight="1">
      <c r="E335" s="314"/>
      <c r="F335" s="314"/>
      <c r="H335" s="1149"/>
      <c r="I335" s="1538"/>
      <c r="J335" s="365"/>
      <c r="K335" s="428"/>
      <c r="O335" s="314"/>
      <c r="Q335" s="314"/>
      <c r="R335" s="201"/>
      <c r="S335" s="314"/>
      <c r="AR335" s="314"/>
      <c r="AS335" s="314"/>
    </row>
    <row r="336" ht="15.75" customHeight="1">
      <c r="E336" s="314"/>
      <c r="F336" s="314"/>
      <c r="H336" s="1149"/>
      <c r="I336" s="1538"/>
      <c r="J336" s="365"/>
      <c r="K336" s="428"/>
      <c r="O336" s="314"/>
      <c r="Q336" s="314"/>
      <c r="R336" s="201"/>
      <c r="S336" s="314"/>
      <c r="AR336" s="314"/>
      <c r="AS336" s="314"/>
    </row>
    <row r="337" ht="15.75" customHeight="1">
      <c r="E337" s="314"/>
      <c r="F337" s="314"/>
      <c r="H337" s="1149"/>
      <c r="I337" s="1538"/>
      <c r="J337" s="365"/>
      <c r="K337" s="428"/>
      <c r="O337" s="314"/>
      <c r="Q337" s="314"/>
      <c r="R337" s="201"/>
      <c r="S337" s="314"/>
      <c r="AR337" s="314"/>
      <c r="AS337" s="314"/>
    </row>
    <row r="338" ht="15.75" customHeight="1">
      <c r="E338" s="314"/>
      <c r="F338" s="314"/>
      <c r="H338" s="1149"/>
      <c r="I338" s="1538"/>
      <c r="J338" s="365"/>
      <c r="K338" s="428"/>
      <c r="O338" s="314"/>
      <c r="Q338" s="314"/>
      <c r="R338" s="201"/>
      <c r="S338" s="314"/>
      <c r="AR338" s="314"/>
      <c r="AS338" s="314"/>
    </row>
    <row r="339" ht="15.75" customHeight="1">
      <c r="E339" s="314"/>
      <c r="F339" s="314"/>
      <c r="H339" s="1149"/>
      <c r="I339" s="1538"/>
      <c r="J339" s="365"/>
      <c r="K339" s="428"/>
      <c r="O339" s="314"/>
      <c r="Q339" s="314"/>
      <c r="R339" s="201"/>
      <c r="S339" s="314"/>
      <c r="AR339" s="314"/>
      <c r="AS339" s="314"/>
    </row>
    <row r="340" ht="15.75" customHeight="1">
      <c r="E340" s="314"/>
      <c r="F340" s="314"/>
      <c r="H340" s="1149"/>
      <c r="I340" s="1538"/>
      <c r="J340" s="365"/>
      <c r="K340" s="428"/>
      <c r="O340" s="314"/>
      <c r="Q340" s="314"/>
      <c r="R340" s="201"/>
      <c r="S340" s="314"/>
      <c r="AR340" s="314"/>
      <c r="AS340" s="314"/>
    </row>
    <row r="341" ht="15.75" customHeight="1">
      <c r="E341" s="314"/>
      <c r="F341" s="314"/>
      <c r="H341" s="1149"/>
      <c r="I341" s="1538"/>
      <c r="J341" s="365"/>
      <c r="K341" s="428"/>
      <c r="O341" s="314"/>
      <c r="Q341" s="314"/>
      <c r="R341" s="201"/>
      <c r="S341" s="314"/>
      <c r="AR341" s="314"/>
      <c r="AS341" s="314"/>
    </row>
    <row r="342" ht="15.75" customHeight="1">
      <c r="E342" s="314"/>
      <c r="F342" s="314"/>
      <c r="H342" s="1149"/>
      <c r="I342" s="1538"/>
      <c r="J342" s="365"/>
      <c r="K342" s="428"/>
      <c r="O342" s="314"/>
      <c r="Q342" s="314"/>
      <c r="R342" s="201"/>
      <c r="S342" s="314"/>
      <c r="AR342" s="314"/>
      <c r="AS342" s="314"/>
    </row>
    <row r="343" ht="15.75" customHeight="1">
      <c r="E343" s="314"/>
      <c r="F343" s="314"/>
      <c r="H343" s="1149"/>
      <c r="I343" s="1538"/>
      <c r="J343" s="365"/>
      <c r="K343" s="428"/>
      <c r="O343" s="314"/>
      <c r="Q343" s="314"/>
      <c r="R343" s="201"/>
      <c r="S343" s="314"/>
      <c r="AR343" s="314"/>
      <c r="AS343" s="314"/>
    </row>
    <row r="344" ht="15.75" customHeight="1">
      <c r="E344" s="314"/>
      <c r="F344" s="314"/>
      <c r="H344" s="1149"/>
      <c r="I344" s="1538"/>
      <c r="J344" s="365"/>
      <c r="K344" s="428"/>
      <c r="O344" s="314"/>
      <c r="Q344" s="314"/>
      <c r="R344" s="201"/>
      <c r="S344" s="314"/>
      <c r="AR344" s="314"/>
      <c r="AS344" s="314"/>
    </row>
    <row r="345" ht="15.75" customHeight="1">
      <c r="E345" s="314"/>
      <c r="F345" s="314"/>
      <c r="H345" s="1149"/>
      <c r="I345" s="1538"/>
      <c r="J345" s="365"/>
      <c r="K345" s="428"/>
      <c r="O345" s="314"/>
      <c r="Q345" s="314"/>
      <c r="R345" s="201"/>
      <c r="S345" s="314"/>
      <c r="AR345" s="314"/>
      <c r="AS345" s="314"/>
    </row>
    <row r="346" ht="15.75" customHeight="1">
      <c r="E346" s="314"/>
      <c r="F346" s="314"/>
      <c r="H346" s="1149"/>
      <c r="I346" s="1538"/>
      <c r="J346" s="365"/>
      <c r="K346" s="428"/>
      <c r="O346" s="314"/>
      <c r="Q346" s="314"/>
      <c r="R346" s="201"/>
      <c r="S346" s="314"/>
      <c r="AR346" s="314"/>
      <c r="AS346" s="314"/>
    </row>
    <row r="347" ht="15.75" customHeight="1">
      <c r="E347" s="314"/>
      <c r="F347" s="314"/>
      <c r="H347" s="1149"/>
      <c r="I347" s="1538"/>
      <c r="J347" s="365"/>
      <c r="K347" s="428"/>
      <c r="O347" s="314"/>
      <c r="Q347" s="314"/>
      <c r="R347" s="201"/>
      <c r="S347" s="314"/>
      <c r="AR347" s="314"/>
      <c r="AS347" s="314"/>
    </row>
    <row r="348" ht="15.75" customHeight="1">
      <c r="E348" s="314"/>
      <c r="F348" s="314"/>
      <c r="H348" s="1149"/>
      <c r="I348" s="1538"/>
      <c r="J348" s="365"/>
      <c r="K348" s="428"/>
      <c r="O348" s="314"/>
      <c r="Q348" s="314"/>
      <c r="R348" s="201"/>
      <c r="S348" s="314"/>
      <c r="AR348" s="314"/>
      <c r="AS348" s="314"/>
    </row>
    <row r="349" ht="15.75" customHeight="1">
      <c r="E349" s="314"/>
      <c r="F349" s="314"/>
      <c r="H349" s="1149"/>
      <c r="I349" s="1538"/>
      <c r="J349" s="365"/>
      <c r="K349" s="428"/>
      <c r="O349" s="314"/>
      <c r="Q349" s="314"/>
      <c r="R349" s="201"/>
      <c r="S349" s="314"/>
      <c r="AR349" s="314"/>
      <c r="AS349" s="314"/>
    </row>
    <row r="350" ht="15.75" customHeight="1">
      <c r="E350" s="314"/>
      <c r="F350" s="314"/>
      <c r="H350" s="1149"/>
      <c r="I350" s="1538"/>
      <c r="J350" s="365"/>
      <c r="K350" s="428"/>
      <c r="O350" s="314"/>
      <c r="Q350" s="314"/>
      <c r="R350" s="201"/>
      <c r="S350" s="314"/>
      <c r="AR350" s="314"/>
      <c r="AS350" s="314"/>
    </row>
    <row r="351" ht="15.75" customHeight="1">
      <c r="E351" s="314"/>
      <c r="F351" s="314"/>
      <c r="H351" s="1149"/>
      <c r="I351" s="1538"/>
      <c r="J351" s="365"/>
      <c r="K351" s="428"/>
      <c r="O351" s="314"/>
      <c r="Q351" s="314"/>
      <c r="R351" s="201"/>
      <c r="S351" s="314"/>
      <c r="AR351" s="314"/>
      <c r="AS351" s="314"/>
    </row>
    <row r="352" ht="15.75" customHeight="1">
      <c r="E352" s="314"/>
      <c r="F352" s="314"/>
      <c r="H352" s="1149"/>
      <c r="I352" s="1538"/>
      <c r="J352" s="365"/>
      <c r="K352" s="428"/>
      <c r="O352" s="314"/>
      <c r="Q352" s="314"/>
      <c r="R352" s="201"/>
      <c r="S352" s="314"/>
      <c r="AR352" s="314"/>
      <c r="AS352" s="314"/>
    </row>
    <row r="353" ht="15.75" customHeight="1">
      <c r="E353" s="314"/>
      <c r="F353" s="314"/>
      <c r="H353" s="1149"/>
      <c r="I353" s="1538"/>
      <c r="J353" s="365"/>
      <c r="K353" s="428"/>
      <c r="O353" s="314"/>
      <c r="Q353" s="314"/>
      <c r="R353" s="201"/>
      <c r="S353" s="314"/>
      <c r="AR353" s="314"/>
      <c r="AS353" s="314"/>
    </row>
    <row r="354" ht="15.75" customHeight="1">
      <c r="E354" s="314"/>
      <c r="F354" s="314"/>
      <c r="H354" s="1149"/>
      <c r="I354" s="1538"/>
      <c r="J354" s="365"/>
      <c r="K354" s="428"/>
      <c r="O354" s="314"/>
      <c r="Q354" s="314"/>
      <c r="R354" s="201"/>
      <c r="S354" s="314"/>
      <c r="AR354" s="314"/>
      <c r="AS354" s="314"/>
    </row>
    <row r="355" ht="15.75" customHeight="1">
      <c r="E355" s="314"/>
      <c r="F355" s="314"/>
      <c r="H355" s="1149"/>
      <c r="I355" s="1538"/>
      <c r="J355" s="365"/>
      <c r="K355" s="428"/>
      <c r="O355" s="314"/>
      <c r="Q355" s="314"/>
      <c r="R355" s="201"/>
      <c r="S355" s="314"/>
      <c r="AR355" s="314"/>
      <c r="AS355" s="314"/>
    </row>
    <row r="356" ht="15.75" customHeight="1">
      <c r="E356" s="314"/>
      <c r="F356" s="314"/>
      <c r="H356" s="1149"/>
      <c r="I356" s="1538"/>
      <c r="J356" s="365"/>
      <c r="K356" s="428"/>
      <c r="O356" s="314"/>
      <c r="Q356" s="314"/>
      <c r="R356" s="201"/>
      <c r="S356" s="314"/>
      <c r="AR356" s="314"/>
      <c r="AS356" s="314"/>
    </row>
    <row r="357" ht="15.75" customHeight="1">
      <c r="E357" s="314"/>
      <c r="F357" s="314"/>
      <c r="H357" s="1149"/>
      <c r="I357" s="1538"/>
      <c r="J357" s="365"/>
      <c r="K357" s="428"/>
      <c r="O357" s="314"/>
      <c r="Q357" s="314"/>
      <c r="R357" s="201"/>
      <c r="S357" s="314"/>
      <c r="AR357" s="314"/>
      <c r="AS357" s="314"/>
    </row>
    <row r="358" ht="15.75" customHeight="1">
      <c r="E358" s="314"/>
      <c r="F358" s="314"/>
      <c r="H358" s="1149"/>
      <c r="I358" s="1538"/>
      <c r="J358" s="365"/>
      <c r="K358" s="428"/>
      <c r="O358" s="314"/>
      <c r="Q358" s="314"/>
      <c r="R358" s="201"/>
      <c r="S358" s="314"/>
      <c r="AR358" s="314"/>
      <c r="AS358" s="314"/>
    </row>
    <row r="359" ht="15.75" customHeight="1">
      <c r="E359" s="314"/>
      <c r="F359" s="314"/>
      <c r="H359" s="1149"/>
      <c r="I359" s="1538"/>
      <c r="J359" s="365"/>
      <c r="K359" s="428"/>
      <c r="O359" s="314"/>
      <c r="Q359" s="314"/>
      <c r="R359" s="201"/>
      <c r="S359" s="314"/>
      <c r="AR359" s="314"/>
      <c r="AS359" s="314"/>
    </row>
    <row r="360" ht="15.75" customHeight="1">
      <c r="E360" s="314"/>
      <c r="F360" s="314"/>
      <c r="H360" s="1149"/>
      <c r="I360" s="1538"/>
      <c r="J360" s="365"/>
      <c r="K360" s="428"/>
      <c r="O360" s="314"/>
      <c r="Q360" s="314"/>
      <c r="R360" s="201"/>
      <c r="S360" s="314"/>
      <c r="AR360" s="314"/>
      <c r="AS360" s="314"/>
    </row>
    <row r="361" ht="15.75" customHeight="1">
      <c r="E361" s="314"/>
      <c r="F361" s="314"/>
      <c r="H361" s="1149"/>
      <c r="I361" s="1538"/>
      <c r="J361" s="365"/>
      <c r="K361" s="428"/>
      <c r="O361" s="314"/>
      <c r="Q361" s="314"/>
      <c r="R361" s="201"/>
      <c r="S361" s="314"/>
      <c r="AR361" s="314"/>
      <c r="AS361" s="314"/>
    </row>
    <row r="362" ht="15.75" customHeight="1">
      <c r="E362" s="314"/>
      <c r="F362" s="314"/>
      <c r="H362" s="1149"/>
      <c r="I362" s="1538"/>
      <c r="J362" s="365"/>
      <c r="K362" s="428"/>
      <c r="O362" s="314"/>
      <c r="Q362" s="314"/>
      <c r="R362" s="201"/>
      <c r="S362" s="314"/>
      <c r="AR362" s="314"/>
      <c r="AS362" s="314"/>
    </row>
    <row r="363" ht="15.75" customHeight="1">
      <c r="E363" s="314"/>
      <c r="F363" s="314"/>
      <c r="H363" s="1149"/>
      <c r="I363" s="1538"/>
      <c r="J363" s="365"/>
      <c r="K363" s="428"/>
      <c r="O363" s="314"/>
      <c r="Q363" s="314"/>
      <c r="R363" s="201"/>
      <c r="S363" s="314"/>
      <c r="AR363" s="314"/>
      <c r="AS363" s="314"/>
    </row>
    <row r="364" ht="15.75" customHeight="1">
      <c r="E364" s="314"/>
      <c r="F364" s="314"/>
      <c r="H364" s="1149"/>
      <c r="I364" s="1538"/>
      <c r="J364" s="365"/>
      <c r="K364" s="428"/>
      <c r="O364" s="314"/>
      <c r="Q364" s="314"/>
      <c r="R364" s="201"/>
      <c r="S364" s="314"/>
      <c r="AR364" s="314"/>
      <c r="AS364" s="314"/>
    </row>
    <row r="365" ht="15.75" customHeight="1">
      <c r="E365" s="314"/>
      <c r="F365" s="314"/>
      <c r="H365" s="1149"/>
      <c r="I365" s="1538"/>
      <c r="J365" s="365"/>
      <c r="K365" s="428"/>
      <c r="O365" s="314"/>
      <c r="Q365" s="314"/>
      <c r="R365" s="201"/>
      <c r="S365" s="314"/>
      <c r="AR365" s="314"/>
      <c r="AS365" s="314"/>
    </row>
    <row r="366" ht="15.75" customHeight="1">
      <c r="E366" s="314"/>
      <c r="F366" s="314"/>
      <c r="H366" s="1149"/>
      <c r="I366" s="1538"/>
      <c r="J366" s="365"/>
      <c r="K366" s="428"/>
      <c r="O366" s="314"/>
      <c r="Q366" s="314"/>
      <c r="R366" s="201"/>
      <c r="S366" s="314"/>
      <c r="AR366" s="314"/>
      <c r="AS366" s="314"/>
    </row>
    <row r="367" ht="15.75" customHeight="1">
      <c r="E367" s="314"/>
      <c r="F367" s="314"/>
      <c r="H367" s="1149"/>
      <c r="I367" s="1538"/>
      <c r="J367" s="365"/>
      <c r="K367" s="428"/>
      <c r="O367" s="314"/>
      <c r="Q367" s="314"/>
      <c r="R367" s="201"/>
      <c r="S367" s="314"/>
      <c r="AR367" s="314"/>
      <c r="AS367" s="314"/>
    </row>
    <row r="368" ht="15.75" customHeight="1">
      <c r="E368" s="314"/>
      <c r="F368" s="314"/>
      <c r="H368" s="1149"/>
      <c r="I368" s="1538"/>
      <c r="J368" s="365"/>
      <c r="K368" s="428"/>
      <c r="O368" s="314"/>
      <c r="Q368" s="314"/>
      <c r="R368" s="201"/>
      <c r="S368" s="314"/>
      <c r="AR368" s="314"/>
      <c r="AS368" s="314"/>
    </row>
    <row r="369" ht="15.75" customHeight="1">
      <c r="E369" s="314"/>
      <c r="F369" s="314"/>
      <c r="H369" s="1149"/>
      <c r="I369" s="1538"/>
      <c r="J369" s="365"/>
      <c r="K369" s="428"/>
      <c r="O369" s="314"/>
      <c r="Q369" s="314"/>
      <c r="R369" s="201"/>
      <c r="S369" s="314"/>
      <c r="AR369" s="314"/>
      <c r="AS369" s="314"/>
    </row>
    <row r="370" ht="15.75" customHeight="1">
      <c r="E370" s="314"/>
      <c r="F370" s="314"/>
      <c r="H370" s="1149"/>
      <c r="I370" s="1538"/>
      <c r="J370" s="365"/>
      <c r="K370" s="428"/>
      <c r="O370" s="314"/>
      <c r="Q370" s="314"/>
      <c r="R370" s="201"/>
      <c r="S370" s="314"/>
      <c r="AR370" s="314"/>
      <c r="AS370" s="314"/>
    </row>
    <row r="371" ht="15.75" customHeight="1">
      <c r="E371" s="314"/>
      <c r="F371" s="314"/>
      <c r="H371" s="1149"/>
      <c r="I371" s="1538"/>
      <c r="J371" s="365"/>
      <c r="K371" s="428"/>
      <c r="O371" s="314"/>
      <c r="Q371" s="314"/>
      <c r="R371" s="201"/>
      <c r="S371" s="314"/>
      <c r="AR371" s="314"/>
      <c r="AS371" s="314"/>
    </row>
    <row r="372" ht="15.75" customHeight="1">
      <c r="E372" s="314"/>
      <c r="F372" s="314"/>
      <c r="H372" s="1149"/>
      <c r="I372" s="1538"/>
      <c r="J372" s="365"/>
      <c r="K372" s="428"/>
      <c r="O372" s="314"/>
      <c r="Q372" s="314"/>
      <c r="R372" s="201"/>
      <c r="S372" s="314"/>
      <c r="AR372" s="314"/>
      <c r="AS372" s="314"/>
    </row>
    <row r="373" ht="15.75" customHeight="1">
      <c r="E373" s="314"/>
      <c r="F373" s="314"/>
      <c r="H373" s="1149"/>
      <c r="I373" s="1538"/>
      <c r="J373" s="365"/>
      <c r="K373" s="428"/>
      <c r="O373" s="314"/>
      <c r="Q373" s="314"/>
      <c r="R373" s="201"/>
      <c r="S373" s="314"/>
      <c r="AR373" s="314"/>
      <c r="AS373" s="314"/>
    </row>
    <row r="374" ht="15.75" customHeight="1">
      <c r="E374" s="314"/>
      <c r="F374" s="314"/>
      <c r="H374" s="1149"/>
      <c r="I374" s="1538"/>
      <c r="J374" s="365"/>
      <c r="K374" s="428"/>
      <c r="O374" s="314"/>
      <c r="Q374" s="314"/>
      <c r="R374" s="201"/>
      <c r="S374" s="314"/>
      <c r="AR374" s="314"/>
      <c r="AS374" s="314"/>
    </row>
    <row r="375" ht="15.75" customHeight="1">
      <c r="E375" s="314"/>
      <c r="F375" s="314"/>
      <c r="H375" s="1149"/>
      <c r="I375" s="1538"/>
      <c r="J375" s="365"/>
      <c r="K375" s="428"/>
      <c r="O375" s="314"/>
      <c r="Q375" s="314"/>
      <c r="R375" s="201"/>
      <c r="S375" s="314"/>
      <c r="AR375" s="314"/>
      <c r="AS375" s="314"/>
    </row>
    <row r="376" ht="15.75" customHeight="1">
      <c r="E376" s="314"/>
      <c r="F376" s="314"/>
      <c r="H376" s="1149"/>
      <c r="I376" s="1538"/>
      <c r="J376" s="365"/>
      <c r="K376" s="428"/>
      <c r="O376" s="314"/>
      <c r="Q376" s="314"/>
      <c r="R376" s="201"/>
      <c r="S376" s="314"/>
      <c r="AR376" s="314"/>
      <c r="AS376" s="314"/>
    </row>
    <row r="377" ht="15.75" customHeight="1">
      <c r="E377" s="314"/>
      <c r="F377" s="314"/>
      <c r="H377" s="1149"/>
      <c r="I377" s="1538"/>
      <c r="J377" s="365"/>
      <c r="K377" s="428"/>
      <c r="O377" s="314"/>
      <c r="Q377" s="314"/>
      <c r="R377" s="201"/>
      <c r="S377" s="314"/>
      <c r="AR377" s="314"/>
      <c r="AS377" s="314"/>
    </row>
    <row r="378" ht="15.75" customHeight="1">
      <c r="E378" s="314"/>
      <c r="F378" s="314"/>
      <c r="H378" s="1149"/>
      <c r="I378" s="1538"/>
      <c r="J378" s="365"/>
      <c r="K378" s="428"/>
      <c r="O378" s="314"/>
      <c r="Q378" s="314"/>
      <c r="R378" s="201"/>
      <c r="S378" s="314"/>
      <c r="AR378" s="314"/>
      <c r="AS378" s="314"/>
    </row>
    <row r="379" ht="15.75" customHeight="1">
      <c r="E379" s="314"/>
      <c r="F379" s="314"/>
      <c r="H379" s="1149"/>
      <c r="I379" s="1538"/>
      <c r="J379" s="365"/>
      <c r="K379" s="428"/>
      <c r="O379" s="314"/>
      <c r="Q379" s="314"/>
      <c r="R379" s="201"/>
      <c r="S379" s="314"/>
      <c r="AR379" s="314"/>
      <c r="AS379" s="314"/>
    </row>
    <row r="380" ht="15.75" customHeight="1">
      <c r="E380" s="314"/>
      <c r="F380" s="314"/>
      <c r="H380" s="1149"/>
      <c r="I380" s="1538"/>
      <c r="J380" s="365"/>
      <c r="K380" s="428"/>
      <c r="O380" s="314"/>
      <c r="Q380" s="314"/>
      <c r="R380" s="201"/>
      <c r="S380" s="314"/>
      <c r="AR380" s="314"/>
      <c r="AS380" s="314"/>
    </row>
    <row r="381" ht="15.75" customHeight="1">
      <c r="E381" s="314"/>
      <c r="F381" s="314"/>
      <c r="H381" s="1149"/>
      <c r="I381" s="1538"/>
      <c r="J381" s="365"/>
      <c r="K381" s="428"/>
      <c r="O381" s="314"/>
      <c r="Q381" s="314"/>
      <c r="R381" s="201"/>
      <c r="S381" s="314"/>
      <c r="AR381" s="314"/>
      <c r="AS381" s="314"/>
    </row>
    <row r="382" ht="15.75" customHeight="1">
      <c r="E382" s="314"/>
      <c r="F382" s="314"/>
      <c r="H382" s="1149"/>
      <c r="I382" s="1538"/>
      <c r="J382" s="365"/>
      <c r="K382" s="428"/>
      <c r="O382" s="314"/>
      <c r="Q382" s="314"/>
      <c r="R382" s="201"/>
      <c r="S382" s="314"/>
      <c r="AR382" s="314"/>
      <c r="AS382" s="314"/>
    </row>
    <row r="383" ht="15.75" customHeight="1">
      <c r="E383" s="314"/>
      <c r="F383" s="314"/>
      <c r="H383" s="1149"/>
      <c r="I383" s="1538"/>
      <c r="J383" s="365"/>
      <c r="K383" s="428"/>
      <c r="O383" s="314"/>
      <c r="Q383" s="314"/>
      <c r="R383" s="201"/>
      <c r="S383" s="314"/>
      <c r="AR383" s="314"/>
      <c r="AS383" s="314"/>
    </row>
    <row r="384" ht="15.75" customHeight="1">
      <c r="E384" s="314"/>
      <c r="F384" s="314"/>
      <c r="H384" s="1149"/>
      <c r="I384" s="1538"/>
      <c r="J384" s="365"/>
      <c r="K384" s="428"/>
      <c r="O384" s="314"/>
      <c r="Q384" s="314"/>
      <c r="R384" s="201"/>
      <c r="S384" s="314"/>
      <c r="AR384" s="314"/>
      <c r="AS384" s="314"/>
    </row>
    <row r="385" ht="15.75" customHeight="1">
      <c r="E385" s="314"/>
      <c r="F385" s="314"/>
      <c r="H385" s="1149"/>
      <c r="I385" s="1538"/>
      <c r="J385" s="365"/>
      <c r="K385" s="428"/>
      <c r="O385" s="314"/>
      <c r="Q385" s="314"/>
      <c r="R385" s="201"/>
      <c r="S385" s="314"/>
      <c r="AR385" s="314"/>
      <c r="AS385" s="314"/>
    </row>
    <row r="386" ht="15.75" customHeight="1">
      <c r="E386" s="314"/>
      <c r="F386" s="314"/>
      <c r="H386" s="1149"/>
      <c r="I386" s="1538"/>
      <c r="J386" s="365"/>
      <c r="K386" s="428"/>
      <c r="O386" s="314"/>
      <c r="Q386" s="314"/>
      <c r="R386" s="201"/>
      <c r="S386" s="314"/>
      <c r="AR386" s="314"/>
      <c r="AS386" s="314"/>
    </row>
    <row r="387" ht="15.75" customHeight="1">
      <c r="E387" s="314"/>
      <c r="F387" s="314"/>
      <c r="H387" s="1149"/>
      <c r="I387" s="1538"/>
      <c r="J387" s="365"/>
      <c r="K387" s="428"/>
      <c r="O387" s="314"/>
      <c r="Q387" s="314"/>
      <c r="R387" s="201"/>
      <c r="S387" s="314"/>
      <c r="AR387" s="314"/>
      <c r="AS387" s="314"/>
    </row>
    <row r="388" ht="15.75" customHeight="1">
      <c r="E388" s="314"/>
      <c r="F388" s="314"/>
      <c r="H388" s="1149"/>
      <c r="I388" s="1538"/>
      <c r="J388" s="365"/>
      <c r="K388" s="428"/>
      <c r="O388" s="314"/>
      <c r="Q388" s="314"/>
      <c r="R388" s="201"/>
      <c r="S388" s="314"/>
      <c r="AR388" s="314"/>
      <c r="AS388" s="314"/>
    </row>
    <row r="389" ht="15.75" customHeight="1">
      <c r="E389" s="314"/>
      <c r="F389" s="314"/>
      <c r="H389" s="1149"/>
      <c r="I389" s="1538"/>
      <c r="J389" s="365"/>
      <c r="K389" s="428"/>
      <c r="O389" s="314"/>
      <c r="Q389" s="314"/>
      <c r="R389" s="201"/>
      <c r="S389" s="314"/>
      <c r="AR389" s="314"/>
      <c r="AS389" s="314"/>
    </row>
    <row r="390" ht="15.75" customHeight="1">
      <c r="E390" s="314"/>
      <c r="F390" s="314"/>
      <c r="H390" s="1149"/>
      <c r="I390" s="1538"/>
      <c r="J390" s="365"/>
      <c r="K390" s="428"/>
      <c r="O390" s="314"/>
      <c r="Q390" s="314"/>
      <c r="R390" s="201"/>
      <c r="S390" s="314"/>
      <c r="AR390" s="314"/>
      <c r="AS390" s="314"/>
    </row>
    <row r="391" ht="15.75" customHeight="1">
      <c r="E391" s="314"/>
      <c r="F391" s="314"/>
      <c r="H391" s="1149"/>
      <c r="I391" s="1538"/>
      <c r="J391" s="365"/>
      <c r="K391" s="428"/>
      <c r="O391" s="314"/>
      <c r="Q391" s="314"/>
      <c r="R391" s="201"/>
      <c r="S391" s="314"/>
      <c r="AR391" s="314"/>
      <c r="AS391" s="314"/>
    </row>
    <row r="392" ht="15.75" customHeight="1">
      <c r="E392" s="314"/>
      <c r="F392" s="314"/>
      <c r="H392" s="1149"/>
      <c r="I392" s="1538"/>
      <c r="J392" s="365"/>
      <c r="K392" s="428"/>
      <c r="O392" s="314"/>
      <c r="Q392" s="314"/>
      <c r="R392" s="201"/>
      <c r="S392" s="314"/>
      <c r="AR392" s="314"/>
      <c r="AS392" s="314"/>
    </row>
    <row r="393" ht="15.75" customHeight="1">
      <c r="E393" s="314"/>
      <c r="F393" s="314"/>
      <c r="H393" s="1149"/>
      <c r="I393" s="1538"/>
      <c r="J393" s="365"/>
      <c r="K393" s="428"/>
      <c r="O393" s="314"/>
      <c r="Q393" s="314"/>
      <c r="R393" s="201"/>
      <c r="S393" s="314"/>
      <c r="AR393" s="314"/>
      <c r="AS393" s="314"/>
    </row>
    <row r="394" ht="15.75" customHeight="1">
      <c r="E394" s="314"/>
      <c r="F394" s="314"/>
      <c r="H394" s="1149"/>
      <c r="I394" s="1538"/>
      <c r="J394" s="365"/>
      <c r="K394" s="428"/>
      <c r="O394" s="314"/>
      <c r="Q394" s="314"/>
      <c r="R394" s="201"/>
      <c r="S394" s="314"/>
      <c r="AR394" s="314"/>
      <c r="AS394" s="314"/>
    </row>
    <row r="395" ht="15.75" customHeight="1">
      <c r="E395" s="314"/>
      <c r="F395" s="314"/>
      <c r="H395" s="1149"/>
      <c r="I395" s="1538"/>
      <c r="J395" s="365"/>
      <c r="K395" s="428"/>
      <c r="O395" s="314"/>
      <c r="Q395" s="314"/>
      <c r="R395" s="201"/>
      <c r="S395" s="314"/>
      <c r="AR395" s="314"/>
      <c r="AS395" s="314"/>
    </row>
    <row r="396" ht="15.75" customHeight="1">
      <c r="E396" s="314"/>
      <c r="F396" s="314"/>
      <c r="H396" s="1149"/>
      <c r="I396" s="1538"/>
      <c r="J396" s="365"/>
      <c r="K396" s="428"/>
      <c r="O396" s="314"/>
      <c r="Q396" s="314"/>
      <c r="R396" s="201"/>
      <c r="S396" s="314"/>
      <c r="AR396" s="314"/>
      <c r="AS396" s="314"/>
    </row>
    <row r="397" ht="15.75" customHeight="1">
      <c r="E397" s="314"/>
      <c r="F397" s="314"/>
      <c r="H397" s="1149"/>
      <c r="I397" s="1538"/>
      <c r="J397" s="365"/>
      <c r="K397" s="428"/>
      <c r="O397" s="314"/>
      <c r="Q397" s="314"/>
      <c r="R397" s="201"/>
      <c r="S397" s="314"/>
      <c r="AR397" s="314"/>
      <c r="AS397" s="314"/>
    </row>
    <row r="398" ht="15.75" customHeight="1">
      <c r="E398" s="314"/>
      <c r="F398" s="314"/>
      <c r="H398" s="1149"/>
      <c r="I398" s="1538"/>
      <c r="J398" s="365"/>
      <c r="K398" s="428"/>
      <c r="O398" s="314"/>
      <c r="Q398" s="314"/>
      <c r="R398" s="201"/>
      <c r="S398" s="314"/>
      <c r="AR398" s="314"/>
      <c r="AS398" s="314"/>
    </row>
    <row r="399" ht="15.75" customHeight="1">
      <c r="E399" s="314"/>
      <c r="F399" s="314"/>
      <c r="H399" s="1149"/>
      <c r="I399" s="1538"/>
      <c r="J399" s="365"/>
      <c r="K399" s="428"/>
      <c r="O399" s="314"/>
      <c r="Q399" s="314"/>
      <c r="R399" s="201"/>
      <c r="S399" s="314"/>
      <c r="AR399" s="314"/>
      <c r="AS399" s="314"/>
    </row>
    <row r="400" ht="15.75" customHeight="1">
      <c r="E400" s="314"/>
      <c r="F400" s="314"/>
      <c r="H400" s="1149"/>
      <c r="I400" s="1538"/>
      <c r="J400" s="365"/>
      <c r="K400" s="428"/>
      <c r="O400" s="314"/>
      <c r="Q400" s="314"/>
      <c r="R400" s="201"/>
      <c r="S400" s="314"/>
      <c r="AR400" s="314"/>
      <c r="AS400" s="314"/>
    </row>
    <row r="401" ht="15.75" customHeight="1">
      <c r="E401" s="314"/>
      <c r="F401" s="314"/>
      <c r="H401" s="1149"/>
      <c r="I401" s="1538"/>
      <c r="J401" s="365"/>
      <c r="K401" s="428"/>
      <c r="O401" s="314"/>
      <c r="Q401" s="314"/>
      <c r="R401" s="201"/>
      <c r="S401" s="314"/>
      <c r="AR401" s="314"/>
      <c r="AS401" s="314"/>
    </row>
    <row r="402" ht="15.75" customHeight="1">
      <c r="E402" s="314"/>
      <c r="F402" s="314"/>
      <c r="H402" s="1149"/>
      <c r="I402" s="1538"/>
      <c r="J402" s="365"/>
      <c r="K402" s="428"/>
      <c r="O402" s="314"/>
      <c r="Q402" s="314"/>
      <c r="R402" s="201"/>
      <c r="S402" s="314"/>
      <c r="AR402" s="314"/>
      <c r="AS402" s="314"/>
    </row>
    <row r="403" ht="15.75" customHeight="1">
      <c r="E403" s="314"/>
      <c r="F403" s="314"/>
      <c r="H403" s="1149"/>
      <c r="I403" s="1538"/>
      <c r="J403" s="365"/>
      <c r="K403" s="428"/>
      <c r="O403" s="314"/>
      <c r="Q403" s="314"/>
      <c r="R403" s="201"/>
      <c r="S403" s="314"/>
      <c r="AR403" s="314"/>
      <c r="AS403" s="314"/>
    </row>
    <row r="404" ht="15.75" customHeight="1">
      <c r="E404" s="314"/>
      <c r="F404" s="314"/>
      <c r="H404" s="1149"/>
      <c r="I404" s="1538"/>
      <c r="J404" s="365"/>
      <c r="K404" s="428"/>
      <c r="O404" s="314"/>
      <c r="Q404" s="314"/>
      <c r="R404" s="201"/>
      <c r="S404" s="314"/>
      <c r="AR404" s="314"/>
      <c r="AS404" s="314"/>
    </row>
    <row r="405" ht="15.75" customHeight="1">
      <c r="E405" s="314"/>
      <c r="F405" s="314"/>
      <c r="H405" s="1149"/>
      <c r="I405" s="1538"/>
      <c r="J405" s="365"/>
      <c r="K405" s="428"/>
      <c r="O405" s="314"/>
      <c r="Q405" s="314"/>
      <c r="R405" s="201"/>
      <c r="S405" s="314"/>
      <c r="AR405" s="314"/>
      <c r="AS405" s="314"/>
    </row>
    <row r="406" ht="15.75" customHeight="1">
      <c r="E406" s="314"/>
      <c r="F406" s="314"/>
      <c r="H406" s="1149"/>
      <c r="I406" s="1538"/>
      <c r="J406" s="365"/>
      <c r="K406" s="428"/>
      <c r="O406" s="314"/>
      <c r="Q406" s="314"/>
      <c r="R406" s="201"/>
      <c r="S406" s="314"/>
      <c r="AR406" s="314"/>
      <c r="AS406" s="314"/>
    </row>
    <row r="407" ht="15.75" customHeight="1">
      <c r="E407" s="314"/>
      <c r="F407" s="314"/>
      <c r="H407" s="1149"/>
      <c r="I407" s="1538"/>
      <c r="J407" s="365"/>
      <c r="K407" s="428"/>
      <c r="O407" s="314"/>
      <c r="Q407" s="314"/>
      <c r="R407" s="201"/>
      <c r="S407" s="314"/>
      <c r="AR407" s="314"/>
      <c r="AS407" s="314"/>
    </row>
    <row r="408" ht="15.75" customHeight="1">
      <c r="E408" s="314"/>
      <c r="F408" s="314"/>
      <c r="H408" s="1149"/>
      <c r="I408" s="1538"/>
      <c r="J408" s="365"/>
      <c r="K408" s="428"/>
      <c r="O408" s="314"/>
      <c r="Q408" s="314"/>
      <c r="R408" s="201"/>
      <c r="S408" s="314"/>
      <c r="AR408" s="314"/>
      <c r="AS408" s="314"/>
    </row>
    <row r="409" ht="15.75" customHeight="1">
      <c r="E409" s="314"/>
      <c r="F409" s="314"/>
      <c r="H409" s="1149"/>
      <c r="I409" s="1538"/>
      <c r="J409" s="365"/>
      <c r="K409" s="428"/>
      <c r="O409" s="314"/>
      <c r="Q409" s="314"/>
      <c r="R409" s="201"/>
      <c r="S409" s="314"/>
      <c r="AR409" s="314"/>
      <c r="AS409" s="314"/>
    </row>
    <row r="410" ht="15.75" customHeight="1">
      <c r="E410" s="314"/>
      <c r="F410" s="314"/>
      <c r="H410" s="1149"/>
      <c r="I410" s="1538"/>
      <c r="J410" s="365"/>
      <c r="K410" s="428"/>
      <c r="O410" s="314"/>
      <c r="Q410" s="314"/>
      <c r="R410" s="201"/>
      <c r="S410" s="314"/>
      <c r="AR410" s="314"/>
      <c r="AS410" s="314"/>
    </row>
    <row r="411" ht="15.75" customHeight="1">
      <c r="E411" s="314"/>
      <c r="F411" s="314"/>
      <c r="H411" s="1149"/>
      <c r="I411" s="1538"/>
      <c r="J411" s="365"/>
      <c r="K411" s="428"/>
      <c r="O411" s="314"/>
      <c r="Q411" s="314"/>
      <c r="R411" s="201"/>
      <c r="S411" s="314"/>
      <c r="AR411" s="314"/>
      <c r="AS411" s="314"/>
    </row>
    <row r="412" ht="15.75" customHeight="1">
      <c r="E412" s="314"/>
      <c r="F412" s="314"/>
      <c r="H412" s="1149"/>
      <c r="I412" s="1538"/>
      <c r="J412" s="365"/>
      <c r="K412" s="428"/>
      <c r="O412" s="314"/>
      <c r="Q412" s="314"/>
      <c r="R412" s="201"/>
      <c r="S412" s="314"/>
      <c r="AR412" s="314"/>
      <c r="AS412" s="314"/>
    </row>
    <row r="413" ht="15.75" customHeight="1">
      <c r="E413" s="314"/>
      <c r="F413" s="314"/>
      <c r="H413" s="1149"/>
      <c r="I413" s="1538"/>
      <c r="J413" s="365"/>
      <c r="K413" s="428"/>
      <c r="O413" s="314"/>
      <c r="Q413" s="314"/>
      <c r="R413" s="201"/>
      <c r="S413" s="314"/>
      <c r="AR413" s="314"/>
      <c r="AS413" s="314"/>
    </row>
    <row r="414" ht="15.75" customHeight="1">
      <c r="E414" s="314"/>
      <c r="F414" s="314"/>
      <c r="H414" s="1149"/>
      <c r="I414" s="1538"/>
      <c r="J414" s="365"/>
      <c r="K414" s="428"/>
      <c r="O414" s="314"/>
      <c r="Q414" s="314"/>
      <c r="R414" s="201"/>
      <c r="S414" s="314"/>
      <c r="AR414" s="314"/>
      <c r="AS414" s="314"/>
    </row>
    <row r="415" ht="15.75" customHeight="1">
      <c r="E415" s="314"/>
      <c r="F415" s="314"/>
      <c r="H415" s="1149"/>
      <c r="I415" s="1538"/>
      <c r="J415" s="365"/>
      <c r="K415" s="428"/>
      <c r="O415" s="314"/>
      <c r="Q415" s="314"/>
      <c r="R415" s="201"/>
      <c r="S415" s="314"/>
      <c r="AR415" s="314"/>
      <c r="AS415" s="314"/>
    </row>
    <row r="416" ht="15.75" customHeight="1">
      <c r="E416" s="314"/>
      <c r="F416" s="314"/>
      <c r="H416" s="1149"/>
      <c r="I416" s="1538"/>
      <c r="J416" s="365"/>
      <c r="K416" s="428"/>
      <c r="O416" s="314"/>
      <c r="Q416" s="314"/>
      <c r="R416" s="201"/>
      <c r="S416" s="314"/>
      <c r="AR416" s="314"/>
      <c r="AS416" s="314"/>
    </row>
    <row r="417" ht="15.75" customHeight="1">
      <c r="E417" s="314"/>
      <c r="F417" s="314"/>
      <c r="H417" s="1149"/>
      <c r="I417" s="1538"/>
      <c r="J417" s="365"/>
      <c r="K417" s="428"/>
      <c r="O417" s="314"/>
      <c r="Q417" s="314"/>
      <c r="R417" s="201"/>
      <c r="S417" s="314"/>
      <c r="AR417" s="314"/>
      <c r="AS417" s="314"/>
    </row>
    <row r="418" ht="15.75" customHeight="1">
      <c r="E418" s="314"/>
      <c r="F418" s="314"/>
      <c r="H418" s="1149"/>
      <c r="I418" s="1538"/>
      <c r="J418" s="365"/>
      <c r="K418" s="428"/>
      <c r="O418" s="314"/>
      <c r="Q418" s="314"/>
      <c r="R418" s="201"/>
      <c r="S418" s="314"/>
      <c r="AR418" s="314"/>
      <c r="AS418" s="314"/>
    </row>
    <row r="419" ht="15.75" customHeight="1">
      <c r="E419" s="314"/>
      <c r="F419" s="314"/>
      <c r="H419" s="1149"/>
      <c r="I419" s="1538"/>
      <c r="J419" s="365"/>
      <c r="K419" s="428"/>
      <c r="O419" s="314"/>
      <c r="Q419" s="314"/>
      <c r="R419" s="201"/>
      <c r="S419" s="314"/>
      <c r="AR419" s="314"/>
      <c r="AS419" s="314"/>
    </row>
    <row r="420" ht="15.75" customHeight="1">
      <c r="E420" s="314"/>
      <c r="F420" s="314"/>
      <c r="H420" s="1149"/>
      <c r="I420" s="1538"/>
      <c r="J420" s="365"/>
      <c r="K420" s="428"/>
      <c r="O420" s="314"/>
      <c r="Q420" s="314"/>
      <c r="R420" s="201"/>
      <c r="S420" s="314"/>
      <c r="AR420" s="314"/>
      <c r="AS420" s="314"/>
    </row>
    <row r="421" ht="15.75" customHeight="1">
      <c r="E421" s="314"/>
      <c r="F421" s="314"/>
      <c r="H421" s="1149"/>
      <c r="I421" s="1538"/>
      <c r="J421" s="365"/>
      <c r="K421" s="428"/>
      <c r="O421" s="314"/>
      <c r="Q421" s="314"/>
      <c r="R421" s="201"/>
      <c r="S421" s="314"/>
      <c r="AR421" s="314"/>
      <c r="AS421" s="314"/>
    </row>
    <row r="422" ht="15.75" customHeight="1">
      <c r="E422" s="314"/>
      <c r="F422" s="314"/>
      <c r="H422" s="1149"/>
      <c r="I422" s="1538"/>
      <c r="J422" s="365"/>
      <c r="K422" s="428"/>
      <c r="O422" s="314"/>
      <c r="Q422" s="314"/>
      <c r="R422" s="201"/>
      <c r="S422" s="314"/>
      <c r="AR422" s="314"/>
      <c r="AS422" s="314"/>
    </row>
    <row r="423" ht="15.75" customHeight="1">
      <c r="E423" s="314"/>
      <c r="F423" s="314"/>
      <c r="H423" s="1149"/>
      <c r="I423" s="1538"/>
      <c r="J423" s="365"/>
      <c r="K423" s="428"/>
      <c r="O423" s="314"/>
      <c r="Q423" s="314"/>
      <c r="R423" s="201"/>
      <c r="S423" s="314"/>
      <c r="AR423" s="314"/>
      <c r="AS423" s="314"/>
    </row>
    <row r="424" ht="15.75" customHeight="1">
      <c r="E424" s="314"/>
      <c r="F424" s="314"/>
      <c r="H424" s="1149"/>
      <c r="I424" s="1538"/>
      <c r="J424" s="365"/>
      <c r="K424" s="428"/>
      <c r="O424" s="314"/>
      <c r="Q424" s="314"/>
      <c r="R424" s="201"/>
      <c r="S424" s="314"/>
      <c r="AR424" s="314"/>
      <c r="AS424" s="314"/>
    </row>
    <row r="425" ht="15.75" customHeight="1">
      <c r="E425" s="314"/>
      <c r="F425" s="314"/>
      <c r="H425" s="1149"/>
      <c r="I425" s="1538"/>
      <c r="J425" s="365"/>
      <c r="K425" s="428"/>
      <c r="O425" s="314"/>
      <c r="Q425" s="314"/>
      <c r="R425" s="201"/>
      <c r="S425" s="314"/>
      <c r="AR425" s="314"/>
      <c r="AS425" s="314"/>
    </row>
    <row r="426" ht="15.75" customHeight="1">
      <c r="E426" s="314"/>
      <c r="F426" s="314"/>
      <c r="H426" s="1149"/>
      <c r="I426" s="1538"/>
      <c r="J426" s="365"/>
      <c r="K426" s="428"/>
      <c r="O426" s="314"/>
      <c r="Q426" s="314"/>
      <c r="R426" s="201"/>
      <c r="S426" s="314"/>
      <c r="AR426" s="314"/>
      <c r="AS426" s="314"/>
    </row>
    <row r="427" ht="15.75" customHeight="1">
      <c r="E427" s="314"/>
      <c r="F427" s="314"/>
      <c r="H427" s="1149"/>
      <c r="I427" s="1538"/>
      <c r="J427" s="365"/>
      <c r="K427" s="428"/>
      <c r="O427" s="314"/>
      <c r="Q427" s="314"/>
      <c r="R427" s="201"/>
      <c r="S427" s="314"/>
      <c r="AR427" s="314"/>
      <c r="AS427" s="314"/>
    </row>
    <row r="428" ht="15.75" customHeight="1">
      <c r="E428" s="314"/>
      <c r="F428" s="314"/>
      <c r="H428" s="1149"/>
      <c r="I428" s="1538"/>
      <c r="J428" s="365"/>
      <c r="K428" s="428"/>
      <c r="O428" s="314"/>
      <c r="Q428" s="314"/>
      <c r="R428" s="201"/>
      <c r="S428" s="314"/>
      <c r="AR428" s="314"/>
      <c r="AS428" s="314"/>
    </row>
    <row r="429" ht="15.75" customHeight="1">
      <c r="E429" s="314"/>
      <c r="F429" s="314"/>
      <c r="H429" s="1149"/>
      <c r="I429" s="1538"/>
      <c r="J429" s="365"/>
      <c r="K429" s="428"/>
      <c r="O429" s="314"/>
      <c r="Q429" s="314"/>
      <c r="R429" s="201"/>
      <c r="S429" s="314"/>
      <c r="AR429" s="314"/>
      <c r="AS429" s="314"/>
    </row>
    <row r="430" ht="15.75" customHeight="1">
      <c r="E430" s="314"/>
      <c r="F430" s="314"/>
      <c r="H430" s="1149"/>
      <c r="I430" s="1538"/>
      <c r="J430" s="365"/>
      <c r="K430" s="428"/>
      <c r="O430" s="314"/>
      <c r="Q430" s="314"/>
      <c r="R430" s="201"/>
      <c r="S430" s="314"/>
      <c r="AR430" s="314"/>
      <c r="AS430" s="314"/>
    </row>
    <row r="431" ht="15.75" customHeight="1">
      <c r="E431" s="314"/>
      <c r="F431" s="314"/>
      <c r="H431" s="1149"/>
      <c r="I431" s="1538"/>
      <c r="J431" s="365"/>
      <c r="K431" s="428"/>
      <c r="O431" s="314"/>
      <c r="Q431" s="314"/>
      <c r="R431" s="201"/>
      <c r="S431" s="314"/>
      <c r="AR431" s="314"/>
      <c r="AS431" s="314"/>
    </row>
    <row r="432" ht="15.75" customHeight="1">
      <c r="E432" s="314"/>
      <c r="F432" s="314"/>
      <c r="H432" s="1149"/>
      <c r="I432" s="1538"/>
      <c r="J432" s="365"/>
      <c r="K432" s="428"/>
      <c r="O432" s="314"/>
      <c r="Q432" s="314"/>
      <c r="R432" s="201"/>
      <c r="S432" s="314"/>
      <c r="AR432" s="314"/>
      <c r="AS432" s="314"/>
    </row>
    <row r="433" ht="15.75" customHeight="1">
      <c r="E433" s="314"/>
      <c r="F433" s="314"/>
      <c r="H433" s="1149"/>
      <c r="I433" s="1538"/>
      <c r="J433" s="365"/>
      <c r="K433" s="428"/>
      <c r="O433" s="314"/>
      <c r="Q433" s="314"/>
      <c r="R433" s="201"/>
      <c r="S433" s="314"/>
      <c r="AR433" s="314"/>
      <c r="AS433" s="314"/>
    </row>
    <row r="434" ht="15.75" customHeight="1">
      <c r="E434" s="314"/>
      <c r="F434" s="314"/>
      <c r="H434" s="1149"/>
      <c r="I434" s="1538"/>
      <c r="J434" s="365"/>
      <c r="K434" s="428"/>
      <c r="O434" s="314"/>
      <c r="Q434" s="314"/>
      <c r="R434" s="201"/>
      <c r="S434" s="314"/>
      <c r="AR434" s="314"/>
      <c r="AS434" s="314"/>
    </row>
    <row r="435" ht="15.75" customHeight="1">
      <c r="E435" s="314"/>
      <c r="F435" s="314"/>
      <c r="H435" s="1149"/>
      <c r="I435" s="1538"/>
      <c r="J435" s="365"/>
      <c r="K435" s="428"/>
      <c r="O435" s="314"/>
      <c r="Q435" s="314"/>
      <c r="R435" s="201"/>
      <c r="S435" s="314"/>
      <c r="AR435" s="314"/>
      <c r="AS435" s="314"/>
    </row>
    <row r="436" ht="15.75" customHeight="1">
      <c r="E436" s="314"/>
      <c r="F436" s="314"/>
      <c r="H436" s="1149"/>
      <c r="I436" s="1538"/>
      <c r="J436" s="365"/>
      <c r="K436" s="428"/>
      <c r="O436" s="314"/>
      <c r="Q436" s="314"/>
      <c r="R436" s="201"/>
      <c r="S436" s="314"/>
      <c r="AR436" s="314"/>
      <c r="AS436" s="314"/>
    </row>
    <row r="437" ht="15.75" customHeight="1">
      <c r="E437" s="314"/>
      <c r="F437" s="314"/>
      <c r="H437" s="1149"/>
      <c r="I437" s="1538"/>
      <c r="J437" s="365"/>
      <c r="K437" s="428"/>
      <c r="O437" s="314"/>
      <c r="Q437" s="314"/>
      <c r="R437" s="201"/>
      <c r="S437" s="314"/>
      <c r="AR437" s="314"/>
      <c r="AS437" s="314"/>
    </row>
    <row r="438" ht="15.75" customHeight="1">
      <c r="E438" s="314"/>
      <c r="F438" s="314"/>
      <c r="H438" s="1149"/>
      <c r="I438" s="1538"/>
      <c r="J438" s="365"/>
      <c r="K438" s="428"/>
      <c r="O438" s="314"/>
      <c r="Q438" s="314"/>
      <c r="R438" s="201"/>
      <c r="S438" s="314"/>
      <c r="AR438" s="314"/>
      <c r="AS438" s="314"/>
    </row>
    <row r="439" ht="15.75" customHeight="1">
      <c r="E439" s="314"/>
      <c r="F439" s="314"/>
      <c r="H439" s="1149"/>
      <c r="I439" s="1538"/>
      <c r="J439" s="365"/>
      <c r="K439" s="428"/>
      <c r="O439" s="314"/>
      <c r="Q439" s="314"/>
      <c r="R439" s="201"/>
      <c r="S439" s="314"/>
      <c r="AR439" s="314"/>
      <c r="AS439" s="314"/>
    </row>
    <row r="440" ht="15.75" customHeight="1">
      <c r="E440" s="314"/>
      <c r="F440" s="314"/>
      <c r="H440" s="1149"/>
      <c r="I440" s="1538"/>
      <c r="J440" s="365"/>
      <c r="K440" s="428"/>
      <c r="O440" s="314"/>
      <c r="Q440" s="314"/>
      <c r="R440" s="201"/>
      <c r="S440" s="314"/>
      <c r="AR440" s="314"/>
      <c r="AS440" s="314"/>
    </row>
    <row r="441" ht="15.75" customHeight="1">
      <c r="E441" s="314"/>
      <c r="F441" s="314"/>
      <c r="H441" s="1149"/>
      <c r="I441" s="1538"/>
      <c r="J441" s="365"/>
      <c r="K441" s="428"/>
      <c r="O441" s="314"/>
      <c r="Q441" s="314"/>
      <c r="R441" s="201"/>
      <c r="S441" s="314"/>
      <c r="AR441" s="314"/>
      <c r="AS441" s="314"/>
    </row>
    <row r="442" ht="15.75" customHeight="1">
      <c r="E442" s="314"/>
      <c r="F442" s="314"/>
      <c r="H442" s="1149"/>
      <c r="I442" s="1538"/>
      <c r="J442" s="365"/>
      <c r="K442" s="428"/>
      <c r="O442" s="314"/>
      <c r="Q442" s="314"/>
      <c r="R442" s="201"/>
      <c r="S442" s="314"/>
      <c r="AR442" s="314"/>
      <c r="AS442" s="314"/>
    </row>
    <row r="443" ht="15.75" customHeight="1">
      <c r="E443" s="314"/>
      <c r="F443" s="314"/>
      <c r="H443" s="1149"/>
      <c r="I443" s="1538"/>
      <c r="J443" s="365"/>
      <c r="K443" s="428"/>
      <c r="O443" s="314"/>
      <c r="Q443" s="314"/>
      <c r="R443" s="201"/>
      <c r="S443" s="314"/>
      <c r="AR443" s="314"/>
      <c r="AS443" s="314"/>
    </row>
    <row r="444" ht="15.75" customHeight="1">
      <c r="E444" s="314"/>
      <c r="F444" s="314"/>
      <c r="H444" s="1149"/>
      <c r="I444" s="1538"/>
      <c r="J444" s="365"/>
      <c r="K444" s="428"/>
      <c r="O444" s="314"/>
      <c r="Q444" s="314"/>
      <c r="R444" s="201"/>
      <c r="S444" s="314"/>
      <c r="AR444" s="314"/>
      <c r="AS444" s="314"/>
    </row>
    <row r="445" ht="15.75" customHeight="1">
      <c r="E445" s="314"/>
      <c r="F445" s="314"/>
      <c r="H445" s="1149"/>
      <c r="I445" s="1538"/>
      <c r="J445" s="365"/>
      <c r="K445" s="428"/>
      <c r="O445" s="314"/>
      <c r="Q445" s="314"/>
      <c r="R445" s="201"/>
      <c r="S445" s="314"/>
      <c r="AR445" s="314"/>
      <c r="AS445" s="314"/>
    </row>
    <row r="446" ht="15.75" customHeight="1">
      <c r="E446" s="314"/>
      <c r="F446" s="314"/>
      <c r="H446" s="1149"/>
      <c r="I446" s="1538"/>
      <c r="J446" s="365"/>
      <c r="K446" s="428"/>
      <c r="O446" s="314"/>
      <c r="Q446" s="314"/>
      <c r="R446" s="201"/>
      <c r="S446" s="314"/>
      <c r="AR446" s="314"/>
      <c r="AS446" s="314"/>
    </row>
    <row r="447" ht="15.75" customHeight="1">
      <c r="E447" s="314"/>
      <c r="F447" s="314"/>
      <c r="H447" s="1149"/>
      <c r="I447" s="1538"/>
      <c r="J447" s="365"/>
      <c r="K447" s="428"/>
      <c r="O447" s="314"/>
      <c r="Q447" s="314"/>
      <c r="R447" s="201"/>
      <c r="S447" s="314"/>
      <c r="AR447" s="314"/>
      <c r="AS447" s="314"/>
    </row>
    <row r="448" ht="15.75" customHeight="1">
      <c r="E448" s="314"/>
      <c r="F448" s="314"/>
      <c r="H448" s="1149"/>
      <c r="I448" s="1538"/>
      <c r="J448" s="365"/>
      <c r="K448" s="428"/>
      <c r="O448" s="314"/>
      <c r="Q448" s="314"/>
      <c r="R448" s="201"/>
      <c r="S448" s="314"/>
      <c r="AR448" s="314"/>
      <c r="AS448" s="314"/>
    </row>
    <row r="449" ht="15.75" customHeight="1">
      <c r="E449" s="314"/>
      <c r="F449" s="314"/>
      <c r="H449" s="1149"/>
      <c r="I449" s="1538"/>
      <c r="J449" s="365"/>
      <c r="K449" s="428"/>
      <c r="O449" s="314"/>
      <c r="Q449" s="314"/>
      <c r="R449" s="201"/>
      <c r="S449" s="314"/>
      <c r="AR449" s="314"/>
      <c r="AS449" s="314"/>
    </row>
    <row r="450" ht="15.75" customHeight="1">
      <c r="E450" s="314"/>
      <c r="F450" s="314"/>
      <c r="H450" s="1149"/>
      <c r="I450" s="1538"/>
      <c r="J450" s="365"/>
      <c r="K450" s="428"/>
      <c r="O450" s="314"/>
      <c r="Q450" s="314"/>
      <c r="R450" s="201"/>
      <c r="S450" s="314"/>
      <c r="AR450" s="314"/>
      <c r="AS450" s="314"/>
    </row>
    <row r="451" ht="15.75" customHeight="1">
      <c r="E451" s="314"/>
      <c r="F451" s="314"/>
      <c r="H451" s="1149"/>
      <c r="I451" s="1538"/>
      <c r="J451" s="365"/>
      <c r="K451" s="428"/>
      <c r="O451" s="314"/>
      <c r="Q451" s="314"/>
      <c r="R451" s="201"/>
      <c r="S451" s="314"/>
      <c r="AR451" s="314"/>
      <c r="AS451" s="314"/>
    </row>
    <row r="452" ht="15.75" customHeight="1">
      <c r="E452" s="314"/>
      <c r="F452" s="314"/>
      <c r="H452" s="1149"/>
      <c r="I452" s="1538"/>
      <c r="J452" s="365"/>
      <c r="K452" s="428"/>
      <c r="O452" s="314"/>
      <c r="Q452" s="314"/>
      <c r="R452" s="201"/>
      <c r="S452" s="314"/>
      <c r="AR452" s="314"/>
      <c r="AS452" s="314"/>
    </row>
    <row r="453" ht="15.75" customHeight="1">
      <c r="E453" s="314"/>
      <c r="F453" s="314"/>
      <c r="H453" s="1149"/>
      <c r="I453" s="1538"/>
      <c r="J453" s="365"/>
      <c r="K453" s="428"/>
      <c r="O453" s="314"/>
      <c r="Q453" s="314"/>
      <c r="R453" s="201"/>
      <c r="S453" s="314"/>
      <c r="AR453" s="314"/>
      <c r="AS453" s="314"/>
    </row>
    <row r="454" ht="15.75" customHeight="1">
      <c r="E454" s="314"/>
      <c r="F454" s="314"/>
      <c r="H454" s="1149"/>
      <c r="I454" s="1538"/>
      <c r="J454" s="365"/>
      <c r="K454" s="428"/>
      <c r="O454" s="314"/>
      <c r="Q454" s="314"/>
      <c r="R454" s="201"/>
      <c r="S454" s="314"/>
      <c r="AR454" s="314"/>
      <c r="AS454" s="314"/>
    </row>
    <row r="455" ht="15.75" customHeight="1">
      <c r="E455" s="314"/>
      <c r="F455" s="314"/>
      <c r="H455" s="1149"/>
      <c r="I455" s="1538"/>
      <c r="J455" s="365"/>
      <c r="K455" s="428"/>
      <c r="O455" s="314"/>
      <c r="Q455" s="314"/>
      <c r="R455" s="201"/>
      <c r="S455" s="314"/>
      <c r="AR455" s="314"/>
      <c r="AS455" s="314"/>
    </row>
    <row r="456" ht="15.75" customHeight="1">
      <c r="E456" s="314"/>
      <c r="F456" s="314"/>
      <c r="H456" s="1149"/>
      <c r="I456" s="1538"/>
      <c r="J456" s="365"/>
      <c r="K456" s="428"/>
      <c r="O456" s="314"/>
      <c r="Q456" s="314"/>
      <c r="R456" s="201"/>
      <c r="S456" s="314"/>
      <c r="AR456" s="314"/>
      <c r="AS456" s="314"/>
    </row>
    <row r="457" ht="15.75" customHeight="1">
      <c r="E457" s="314"/>
      <c r="F457" s="314"/>
      <c r="H457" s="1149"/>
      <c r="I457" s="1538"/>
      <c r="J457" s="365"/>
      <c r="K457" s="428"/>
      <c r="O457" s="314"/>
      <c r="Q457" s="314"/>
      <c r="R457" s="201"/>
      <c r="S457" s="314"/>
      <c r="AR457" s="314"/>
      <c r="AS457" s="314"/>
    </row>
    <row r="458" ht="15.75" customHeight="1">
      <c r="E458" s="314"/>
      <c r="F458" s="314"/>
      <c r="H458" s="1149"/>
      <c r="I458" s="1538"/>
      <c r="J458" s="365"/>
      <c r="K458" s="428"/>
      <c r="O458" s="314"/>
      <c r="Q458" s="314"/>
      <c r="R458" s="201"/>
      <c r="S458" s="314"/>
      <c r="AR458" s="314"/>
      <c r="AS458" s="314"/>
    </row>
    <row r="459" ht="15.75" customHeight="1">
      <c r="E459" s="314"/>
      <c r="F459" s="314"/>
      <c r="H459" s="1149"/>
      <c r="I459" s="1538"/>
      <c r="J459" s="365"/>
      <c r="K459" s="428"/>
      <c r="O459" s="314"/>
      <c r="Q459" s="314"/>
      <c r="R459" s="201"/>
      <c r="S459" s="314"/>
      <c r="AR459" s="314"/>
      <c r="AS459" s="314"/>
    </row>
    <row r="460" ht="15.75" customHeight="1">
      <c r="E460" s="314"/>
      <c r="F460" s="314"/>
      <c r="H460" s="1149"/>
      <c r="I460" s="1538"/>
      <c r="J460" s="365"/>
      <c r="K460" s="428"/>
      <c r="O460" s="314"/>
      <c r="Q460" s="314"/>
      <c r="R460" s="201"/>
      <c r="S460" s="314"/>
      <c r="AR460" s="314"/>
      <c r="AS460" s="314"/>
    </row>
    <row r="461" ht="15.75" customHeight="1">
      <c r="E461" s="314"/>
      <c r="F461" s="314"/>
      <c r="H461" s="1149"/>
      <c r="I461" s="1538"/>
      <c r="J461" s="365"/>
      <c r="K461" s="428"/>
      <c r="O461" s="314"/>
      <c r="Q461" s="314"/>
      <c r="R461" s="201"/>
      <c r="S461" s="314"/>
      <c r="AR461" s="314"/>
      <c r="AS461" s="314"/>
    </row>
    <row r="462" ht="15.75" customHeight="1">
      <c r="E462" s="314"/>
      <c r="F462" s="314"/>
      <c r="H462" s="1149"/>
      <c r="I462" s="1538"/>
      <c r="J462" s="365"/>
      <c r="K462" s="428"/>
      <c r="O462" s="314"/>
      <c r="Q462" s="314"/>
      <c r="R462" s="201"/>
      <c r="S462" s="314"/>
      <c r="AR462" s="314"/>
      <c r="AS462" s="314"/>
    </row>
    <row r="463" ht="15.75" customHeight="1">
      <c r="E463" s="314"/>
      <c r="F463" s="314"/>
      <c r="H463" s="1149"/>
      <c r="I463" s="1538"/>
      <c r="J463" s="365"/>
      <c r="K463" s="428"/>
      <c r="O463" s="314"/>
      <c r="Q463" s="314"/>
      <c r="R463" s="201"/>
      <c r="S463" s="314"/>
      <c r="AR463" s="314"/>
      <c r="AS463" s="314"/>
    </row>
    <row r="464" ht="15.75" customHeight="1">
      <c r="E464" s="314"/>
      <c r="F464" s="314"/>
      <c r="H464" s="1149"/>
      <c r="I464" s="1538"/>
      <c r="J464" s="365"/>
      <c r="K464" s="428"/>
      <c r="O464" s="314"/>
      <c r="Q464" s="314"/>
      <c r="R464" s="201"/>
      <c r="S464" s="314"/>
      <c r="AR464" s="314"/>
      <c r="AS464" s="314"/>
    </row>
    <row r="465" ht="15.75" customHeight="1">
      <c r="E465" s="314"/>
      <c r="F465" s="314"/>
      <c r="H465" s="1149"/>
      <c r="I465" s="1538"/>
      <c r="J465" s="365"/>
      <c r="K465" s="428"/>
      <c r="O465" s="314"/>
      <c r="Q465" s="314"/>
      <c r="R465" s="201"/>
      <c r="S465" s="314"/>
      <c r="AR465" s="314"/>
      <c r="AS465" s="314"/>
    </row>
    <row r="466" ht="15.75" customHeight="1">
      <c r="E466" s="314"/>
      <c r="F466" s="314"/>
      <c r="H466" s="1149"/>
      <c r="I466" s="1538"/>
      <c r="J466" s="365"/>
      <c r="K466" s="428"/>
      <c r="O466" s="314"/>
      <c r="Q466" s="314"/>
      <c r="R466" s="201"/>
      <c r="S466" s="314"/>
      <c r="AR466" s="314"/>
      <c r="AS466" s="314"/>
    </row>
    <row r="467" ht="15.75" customHeight="1">
      <c r="E467" s="314"/>
      <c r="F467" s="314"/>
      <c r="H467" s="1149"/>
      <c r="I467" s="1538"/>
      <c r="J467" s="365"/>
      <c r="K467" s="428"/>
      <c r="O467" s="314"/>
      <c r="Q467" s="314"/>
      <c r="R467" s="201"/>
      <c r="S467" s="314"/>
      <c r="AR467" s="314"/>
      <c r="AS467" s="314"/>
    </row>
    <row r="468" ht="15.75" customHeight="1">
      <c r="E468" s="314"/>
      <c r="F468" s="314"/>
      <c r="H468" s="1149"/>
      <c r="I468" s="1538"/>
      <c r="J468" s="365"/>
      <c r="K468" s="428"/>
      <c r="O468" s="314"/>
      <c r="Q468" s="314"/>
      <c r="R468" s="201"/>
      <c r="S468" s="314"/>
      <c r="AR468" s="314"/>
      <c r="AS468" s="314"/>
    </row>
    <row r="469" ht="15.75" customHeight="1">
      <c r="E469" s="314"/>
      <c r="F469" s="314"/>
      <c r="H469" s="1149"/>
      <c r="I469" s="1538"/>
      <c r="J469" s="365"/>
      <c r="K469" s="428"/>
      <c r="O469" s="314"/>
      <c r="Q469" s="314"/>
      <c r="R469" s="201"/>
      <c r="S469" s="314"/>
      <c r="AR469" s="314"/>
      <c r="AS469" s="314"/>
    </row>
    <row r="470" ht="15.75" customHeight="1">
      <c r="E470" s="314"/>
      <c r="F470" s="314"/>
      <c r="H470" s="1149"/>
      <c r="I470" s="1538"/>
      <c r="J470" s="365"/>
      <c r="K470" s="428"/>
      <c r="O470" s="314"/>
      <c r="Q470" s="314"/>
      <c r="R470" s="201"/>
      <c r="S470" s="314"/>
      <c r="AR470" s="314"/>
      <c r="AS470" s="314"/>
    </row>
    <row r="471" ht="15.75" customHeight="1">
      <c r="E471" s="314"/>
      <c r="F471" s="314"/>
      <c r="H471" s="1149"/>
      <c r="I471" s="1538"/>
      <c r="J471" s="365"/>
      <c r="K471" s="428"/>
      <c r="O471" s="314"/>
      <c r="Q471" s="314"/>
      <c r="R471" s="201"/>
      <c r="S471" s="314"/>
      <c r="AR471" s="314"/>
      <c r="AS471" s="314"/>
    </row>
    <row r="472" ht="15.75" customHeight="1">
      <c r="E472" s="314"/>
      <c r="F472" s="314"/>
      <c r="H472" s="1149"/>
      <c r="I472" s="1538"/>
      <c r="J472" s="365"/>
      <c r="K472" s="428"/>
      <c r="O472" s="314"/>
      <c r="Q472" s="314"/>
      <c r="R472" s="201"/>
      <c r="S472" s="314"/>
      <c r="AR472" s="314"/>
      <c r="AS472" s="314"/>
    </row>
    <row r="473" ht="15.75" customHeight="1">
      <c r="E473" s="314"/>
      <c r="F473" s="314"/>
      <c r="H473" s="1149"/>
      <c r="I473" s="1538"/>
      <c r="J473" s="365"/>
      <c r="K473" s="428"/>
      <c r="O473" s="314"/>
      <c r="Q473" s="314"/>
      <c r="R473" s="201"/>
      <c r="S473" s="314"/>
      <c r="AR473" s="314"/>
      <c r="AS473" s="314"/>
    </row>
    <row r="474" ht="15.75" customHeight="1">
      <c r="E474" s="314"/>
      <c r="F474" s="314"/>
      <c r="H474" s="1149"/>
      <c r="I474" s="1538"/>
      <c r="J474" s="365"/>
      <c r="K474" s="428"/>
      <c r="O474" s="314"/>
      <c r="Q474" s="314"/>
      <c r="R474" s="201"/>
      <c r="S474" s="314"/>
      <c r="AR474" s="314"/>
      <c r="AS474" s="314"/>
    </row>
    <row r="475" ht="15.75" customHeight="1">
      <c r="E475" s="314"/>
      <c r="F475" s="314"/>
      <c r="H475" s="1149"/>
      <c r="I475" s="1538"/>
      <c r="J475" s="365"/>
      <c r="K475" s="428"/>
      <c r="O475" s="314"/>
      <c r="Q475" s="314"/>
      <c r="R475" s="201"/>
      <c r="S475" s="314"/>
      <c r="AR475" s="314"/>
      <c r="AS475" s="314"/>
    </row>
    <row r="476" ht="15.75" customHeight="1">
      <c r="E476" s="314"/>
      <c r="F476" s="314"/>
      <c r="H476" s="1149"/>
      <c r="I476" s="1538"/>
      <c r="J476" s="365"/>
      <c r="K476" s="428"/>
      <c r="O476" s="314"/>
      <c r="Q476" s="314"/>
      <c r="R476" s="201"/>
      <c r="S476" s="314"/>
      <c r="AR476" s="314"/>
      <c r="AS476" s="314"/>
    </row>
    <row r="477" ht="15.75" customHeight="1">
      <c r="E477" s="314"/>
      <c r="F477" s="314"/>
      <c r="H477" s="1149"/>
      <c r="I477" s="1538"/>
      <c r="J477" s="365"/>
      <c r="K477" s="428"/>
      <c r="O477" s="314"/>
      <c r="Q477" s="314"/>
      <c r="R477" s="201"/>
      <c r="S477" s="314"/>
      <c r="AR477" s="314"/>
      <c r="AS477" s="314"/>
    </row>
    <row r="478" ht="15.75" customHeight="1">
      <c r="E478" s="314"/>
      <c r="F478" s="314"/>
      <c r="H478" s="1149"/>
      <c r="I478" s="1538"/>
      <c r="J478" s="365"/>
      <c r="K478" s="428"/>
      <c r="O478" s="314"/>
      <c r="Q478" s="314"/>
      <c r="R478" s="201"/>
      <c r="S478" s="314"/>
      <c r="AR478" s="314"/>
      <c r="AS478" s="314"/>
    </row>
    <row r="479" ht="15.75" customHeight="1">
      <c r="E479" s="314"/>
      <c r="F479" s="314"/>
      <c r="H479" s="1149"/>
      <c r="I479" s="1538"/>
      <c r="J479" s="365"/>
      <c r="K479" s="428"/>
      <c r="O479" s="314"/>
      <c r="Q479" s="314"/>
      <c r="R479" s="201"/>
      <c r="S479" s="314"/>
      <c r="AR479" s="314"/>
      <c r="AS479" s="314"/>
    </row>
    <row r="480" ht="15.75" customHeight="1">
      <c r="E480" s="314"/>
      <c r="F480" s="314"/>
      <c r="H480" s="1149"/>
      <c r="I480" s="1538"/>
      <c r="J480" s="365"/>
      <c r="K480" s="428"/>
      <c r="O480" s="314"/>
      <c r="Q480" s="314"/>
      <c r="R480" s="201"/>
      <c r="S480" s="314"/>
      <c r="AR480" s="314"/>
      <c r="AS480" s="314"/>
    </row>
    <row r="481" ht="15.75" customHeight="1">
      <c r="E481" s="314"/>
      <c r="F481" s="314"/>
      <c r="H481" s="1149"/>
      <c r="I481" s="1538"/>
      <c r="J481" s="365"/>
      <c r="K481" s="428"/>
      <c r="O481" s="314"/>
      <c r="Q481" s="314"/>
      <c r="R481" s="201"/>
      <c r="S481" s="314"/>
      <c r="AR481" s="314"/>
      <c r="AS481" s="314"/>
    </row>
    <row r="482" ht="15.75" customHeight="1">
      <c r="E482" s="314"/>
      <c r="F482" s="314"/>
      <c r="H482" s="1149"/>
      <c r="I482" s="1538"/>
      <c r="J482" s="365"/>
      <c r="K482" s="428"/>
      <c r="O482" s="314"/>
      <c r="Q482" s="314"/>
      <c r="R482" s="201"/>
      <c r="S482" s="314"/>
      <c r="AR482" s="314"/>
      <c r="AS482" s="314"/>
    </row>
    <row r="483" ht="15.75" customHeight="1">
      <c r="E483" s="314"/>
      <c r="F483" s="314"/>
      <c r="H483" s="1149"/>
      <c r="I483" s="1538"/>
      <c r="J483" s="365"/>
      <c r="K483" s="428"/>
      <c r="O483" s="314"/>
      <c r="Q483" s="314"/>
      <c r="R483" s="201"/>
      <c r="S483" s="314"/>
      <c r="AR483" s="314"/>
      <c r="AS483" s="314"/>
    </row>
    <row r="484" ht="15.75" customHeight="1">
      <c r="E484" s="314"/>
      <c r="F484" s="314"/>
      <c r="H484" s="1149"/>
      <c r="I484" s="1538"/>
      <c r="J484" s="365"/>
      <c r="K484" s="428"/>
      <c r="O484" s="314"/>
      <c r="Q484" s="314"/>
      <c r="R484" s="201"/>
      <c r="S484" s="314"/>
      <c r="AR484" s="314"/>
      <c r="AS484" s="314"/>
    </row>
    <row r="485" ht="15.75" customHeight="1">
      <c r="E485" s="314"/>
      <c r="F485" s="314"/>
      <c r="H485" s="1149"/>
      <c r="I485" s="1538"/>
      <c r="J485" s="365"/>
      <c r="K485" s="428"/>
      <c r="O485" s="314"/>
      <c r="Q485" s="314"/>
      <c r="R485" s="201"/>
      <c r="S485" s="314"/>
      <c r="AR485" s="314"/>
      <c r="AS485" s="314"/>
    </row>
    <row r="486" ht="15.75" customHeight="1">
      <c r="E486" s="314"/>
      <c r="F486" s="314"/>
      <c r="H486" s="1149"/>
      <c r="I486" s="1538"/>
      <c r="J486" s="365"/>
      <c r="K486" s="428"/>
      <c r="O486" s="314"/>
      <c r="Q486" s="314"/>
      <c r="R486" s="201"/>
      <c r="S486" s="314"/>
      <c r="AR486" s="314"/>
      <c r="AS486" s="314"/>
    </row>
    <row r="487" ht="15.75" customHeight="1">
      <c r="E487" s="314"/>
      <c r="F487" s="314"/>
      <c r="H487" s="1149"/>
      <c r="I487" s="1538"/>
      <c r="J487" s="365"/>
      <c r="K487" s="428"/>
      <c r="O487" s="314"/>
      <c r="Q487" s="314"/>
      <c r="R487" s="201"/>
      <c r="S487" s="314"/>
      <c r="AR487" s="314"/>
      <c r="AS487" s="314"/>
    </row>
    <row r="488" ht="15.75" customHeight="1">
      <c r="E488" s="314"/>
      <c r="F488" s="314"/>
      <c r="H488" s="1149"/>
      <c r="I488" s="1538"/>
      <c r="J488" s="365"/>
      <c r="K488" s="428"/>
      <c r="O488" s="314"/>
      <c r="Q488" s="314"/>
      <c r="R488" s="201"/>
      <c r="S488" s="314"/>
      <c r="AR488" s="314"/>
      <c r="AS488" s="314"/>
    </row>
    <row r="489" ht="15.75" customHeight="1">
      <c r="E489" s="314"/>
      <c r="F489" s="314"/>
      <c r="H489" s="1149"/>
      <c r="I489" s="1538"/>
      <c r="J489" s="365"/>
      <c r="K489" s="428"/>
      <c r="O489" s="314"/>
      <c r="Q489" s="314"/>
      <c r="R489" s="201"/>
      <c r="S489" s="314"/>
      <c r="AR489" s="314"/>
      <c r="AS489" s="314"/>
    </row>
    <row r="490" ht="15.75" customHeight="1">
      <c r="E490" s="314"/>
      <c r="F490" s="314"/>
      <c r="H490" s="1149"/>
      <c r="I490" s="1538"/>
      <c r="J490" s="365"/>
      <c r="K490" s="428"/>
      <c r="O490" s="314"/>
      <c r="Q490" s="314"/>
      <c r="R490" s="201"/>
      <c r="S490" s="314"/>
      <c r="AR490" s="314"/>
      <c r="AS490" s="314"/>
    </row>
    <row r="491" ht="15.75" customHeight="1">
      <c r="E491" s="314"/>
      <c r="F491" s="314"/>
      <c r="H491" s="1149"/>
      <c r="I491" s="1538"/>
      <c r="J491" s="365"/>
      <c r="K491" s="428"/>
      <c r="O491" s="314"/>
      <c r="Q491" s="314"/>
      <c r="R491" s="201"/>
      <c r="S491" s="314"/>
      <c r="AR491" s="314"/>
      <c r="AS491" s="314"/>
    </row>
    <row r="492" ht="15.75" customHeight="1">
      <c r="E492" s="314"/>
      <c r="F492" s="314"/>
      <c r="H492" s="1149"/>
      <c r="I492" s="1538"/>
      <c r="J492" s="365"/>
      <c r="K492" s="428"/>
      <c r="O492" s="314"/>
      <c r="Q492" s="314"/>
      <c r="R492" s="201"/>
      <c r="S492" s="314"/>
      <c r="AR492" s="314"/>
      <c r="AS492" s="314"/>
    </row>
    <row r="493" ht="15.75" customHeight="1">
      <c r="E493" s="314"/>
      <c r="F493" s="314"/>
      <c r="H493" s="1149"/>
      <c r="I493" s="1538"/>
      <c r="J493" s="365"/>
      <c r="K493" s="428"/>
      <c r="O493" s="314"/>
      <c r="Q493" s="314"/>
      <c r="R493" s="201"/>
      <c r="S493" s="314"/>
      <c r="AR493" s="314"/>
      <c r="AS493" s="314"/>
    </row>
    <row r="494" ht="15.75" customHeight="1">
      <c r="E494" s="314"/>
      <c r="F494" s="314"/>
      <c r="H494" s="1149"/>
      <c r="I494" s="1538"/>
      <c r="J494" s="365"/>
      <c r="K494" s="428"/>
      <c r="O494" s="314"/>
      <c r="Q494" s="314"/>
      <c r="R494" s="201"/>
      <c r="S494" s="314"/>
      <c r="AR494" s="314"/>
      <c r="AS494" s="314"/>
    </row>
    <row r="495" ht="15.75" customHeight="1">
      <c r="E495" s="314"/>
      <c r="F495" s="314"/>
      <c r="H495" s="1149"/>
      <c r="I495" s="1538"/>
      <c r="J495" s="365"/>
      <c r="K495" s="428"/>
      <c r="O495" s="314"/>
      <c r="Q495" s="314"/>
      <c r="R495" s="201"/>
      <c r="S495" s="314"/>
      <c r="AR495" s="314"/>
      <c r="AS495" s="314"/>
    </row>
    <row r="496" ht="15.75" customHeight="1">
      <c r="E496" s="314"/>
      <c r="F496" s="314"/>
      <c r="H496" s="1149"/>
      <c r="I496" s="1538"/>
      <c r="J496" s="365"/>
      <c r="K496" s="428"/>
      <c r="O496" s="314"/>
      <c r="Q496" s="314"/>
      <c r="R496" s="201"/>
      <c r="S496" s="314"/>
      <c r="AR496" s="314"/>
      <c r="AS496" s="314"/>
    </row>
    <row r="497" ht="15.75" customHeight="1">
      <c r="E497" s="314"/>
      <c r="F497" s="314"/>
      <c r="H497" s="1149"/>
      <c r="I497" s="1538"/>
      <c r="J497" s="365"/>
      <c r="K497" s="428"/>
      <c r="O497" s="314"/>
      <c r="Q497" s="314"/>
      <c r="R497" s="201"/>
      <c r="S497" s="314"/>
      <c r="AR497" s="314"/>
      <c r="AS497" s="314"/>
    </row>
    <row r="498" ht="15.75" customHeight="1">
      <c r="E498" s="314"/>
      <c r="F498" s="314"/>
      <c r="H498" s="1149"/>
      <c r="I498" s="1538"/>
      <c r="J498" s="365"/>
      <c r="K498" s="428"/>
      <c r="O498" s="314"/>
      <c r="Q498" s="314"/>
      <c r="R498" s="201"/>
      <c r="S498" s="314"/>
      <c r="AR498" s="314"/>
      <c r="AS498" s="314"/>
    </row>
    <row r="499" ht="15.75" customHeight="1">
      <c r="E499" s="314"/>
      <c r="F499" s="314"/>
      <c r="H499" s="1149"/>
      <c r="I499" s="1538"/>
      <c r="J499" s="365"/>
      <c r="K499" s="428"/>
      <c r="O499" s="314"/>
      <c r="Q499" s="314"/>
      <c r="R499" s="201"/>
      <c r="S499" s="314"/>
      <c r="AR499" s="314"/>
      <c r="AS499" s="314"/>
    </row>
    <row r="500" ht="15.75" customHeight="1">
      <c r="E500" s="314"/>
      <c r="F500" s="314"/>
      <c r="H500" s="1149"/>
      <c r="I500" s="1538"/>
      <c r="J500" s="365"/>
      <c r="K500" s="428"/>
      <c r="O500" s="314"/>
      <c r="Q500" s="314"/>
      <c r="R500" s="201"/>
      <c r="S500" s="314"/>
      <c r="AR500" s="314"/>
      <c r="AS500" s="314"/>
    </row>
    <row r="501" ht="15.75" customHeight="1">
      <c r="E501" s="314"/>
      <c r="F501" s="314"/>
      <c r="H501" s="1149"/>
      <c r="I501" s="1538"/>
      <c r="J501" s="365"/>
      <c r="K501" s="428"/>
      <c r="O501" s="314"/>
      <c r="Q501" s="314"/>
      <c r="R501" s="201"/>
      <c r="S501" s="314"/>
      <c r="AR501" s="314"/>
      <c r="AS501" s="314"/>
    </row>
    <row r="502" ht="15.75" customHeight="1">
      <c r="E502" s="314"/>
      <c r="F502" s="314"/>
      <c r="H502" s="1149"/>
      <c r="I502" s="1538"/>
      <c r="J502" s="365"/>
      <c r="K502" s="428"/>
      <c r="O502" s="314"/>
      <c r="Q502" s="314"/>
      <c r="R502" s="201"/>
      <c r="S502" s="314"/>
      <c r="AR502" s="314"/>
      <c r="AS502" s="314"/>
    </row>
    <row r="503" ht="15.75" customHeight="1">
      <c r="E503" s="314"/>
      <c r="F503" s="314"/>
      <c r="H503" s="1149"/>
      <c r="I503" s="1538"/>
      <c r="J503" s="365"/>
      <c r="K503" s="428"/>
      <c r="O503" s="314"/>
      <c r="Q503" s="314"/>
      <c r="R503" s="201"/>
      <c r="S503" s="314"/>
      <c r="AR503" s="314"/>
      <c r="AS503" s="314"/>
    </row>
    <row r="504" ht="15.75" customHeight="1">
      <c r="E504" s="314"/>
      <c r="F504" s="314"/>
      <c r="H504" s="1149"/>
      <c r="I504" s="1538"/>
      <c r="J504" s="365"/>
      <c r="K504" s="428"/>
      <c r="O504" s="314"/>
      <c r="Q504" s="314"/>
      <c r="R504" s="201"/>
      <c r="S504" s="314"/>
      <c r="AR504" s="314"/>
      <c r="AS504" s="314"/>
    </row>
    <row r="505" ht="15.75" customHeight="1">
      <c r="E505" s="314"/>
      <c r="F505" s="314"/>
      <c r="H505" s="1149"/>
      <c r="I505" s="1538"/>
      <c r="J505" s="365"/>
      <c r="K505" s="428"/>
      <c r="O505" s="314"/>
      <c r="Q505" s="314"/>
      <c r="R505" s="201"/>
      <c r="S505" s="314"/>
      <c r="AR505" s="314"/>
      <c r="AS505" s="314"/>
    </row>
    <row r="506" ht="15.75" customHeight="1">
      <c r="E506" s="314"/>
      <c r="F506" s="314"/>
      <c r="H506" s="1149"/>
      <c r="I506" s="1538"/>
      <c r="J506" s="365"/>
      <c r="K506" s="428"/>
      <c r="O506" s="314"/>
      <c r="Q506" s="314"/>
      <c r="R506" s="201"/>
      <c r="S506" s="314"/>
      <c r="AR506" s="314"/>
      <c r="AS506" s="314"/>
    </row>
    <row r="507" ht="15.75" customHeight="1">
      <c r="E507" s="314"/>
      <c r="F507" s="314"/>
      <c r="H507" s="1149"/>
      <c r="I507" s="1538"/>
      <c r="J507" s="365"/>
      <c r="K507" s="428"/>
      <c r="O507" s="314"/>
      <c r="Q507" s="314"/>
      <c r="R507" s="201"/>
      <c r="S507" s="314"/>
      <c r="AR507" s="314"/>
      <c r="AS507" s="314"/>
    </row>
    <row r="508" ht="15.75" customHeight="1">
      <c r="E508" s="314"/>
      <c r="F508" s="314"/>
      <c r="H508" s="1149"/>
      <c r="I508" s="1538"/>
      <c r="J508" s="365"/>
      <c r="K508" s="428"/>
      <c r="O508" s="314"/>
      <c r="Q508" s="314"/>
      <c r="R508" s="201"/>
      <c r="S508" s="314"/>
      <c r="AR508" s="314"/>
      <c r="AS508" s="314"/>
    </row>
    <row r="509" ht="15.75" customHeight="1">
      <c r="E509" s="314"/>
      <c r="F509" s="314"/>
      <c r="H509" s="1149"/>
      <c r="I509" s="1538"/>
      <c r="J509" s="365"/>
      <c r="K509" s="428"/>
      <c r="O509" s="314"/>
      <c r="Q509" s="314"/>
      <c r="R509" s="201"/>
      <c r="S509" s="314"/>
      <c r="AR509" s="314"/>
      <c r="AS509" s="314"/>
    </row>
    <row r="510" ht="15.75" customHeight="1">
      <c r="E510" s="314"/>
      <c r="F510" s="314"/>
      <c r="H510" s="1149"/>
      <c r="I510" s="1538"/>
      <c r="J510" s="365"/>
      <c r="K510" s="428"/>
      <c r="O510" s="314"/>
      <c r="Q510" s="314"/>
      <c r="R510" s="201"/>
      <c r="S510" s="314"/>
      <c r="AR510" s="314"/>
      <c r="AS510" s="314"/>
    </row>
    <row r="511" ht="15.75" customHeight="1">
      <c r="E511" s="314"/>
      <c r="F511" s="314"/>
      <c r="H511" s="1149"/>
      <c r="I511" s="1538"/>
      <c r="J511" s="365"/>
      <c r="K511" s="428"/>
      <c r="O511" s="314"/>
      <c r="Q511" s="314"/>
      <c r="R511" s="201"/>
      <c r="S511" s="314"/>
      <c r="AR511" s="314"/>
      <c r="AS511" s="314"/>
    </row>
    <row r="512" ht="15.75" customHeight="1">
      <c r="E512" s="314"/>
      <c r="F512" s="314"/>
      <c r="H512" s="1149"/>
      <c r="I512" s="1538"/>
      <c r="J512" s="365"/>
      <c r="K512" s="428"/>
      <c r="O512" s="314"/>
      <c r="Q512" s="314"/>
      <c r="R512" s="201"/>
      <c r="S512" s="314"/>
      <c r="AR512" s="314"/>
      <c r="AS512" s="314"/>
    </row>
    <row r="513" ht="15.75" customHeight="1">
      <c r="E513" s="314"/>
      <c r="F513" s="314"/>
      <c r="H513" s="1149"/>
      <c r="I513" s="1538"/>
      <c r="J513" s="365"/>
      <c r="K513" s="428"/>
      <c r="O513" s="314"/>
      <c r="Q513" s="314"/>
      <c r="R513" s="201"/>
      <c r="S513" s="314"/>
      <c r="AR513" s="314"/>
      <c r="AS513" s="314"/>
    </row>
    <row r="514" ht="15.75" customHeight="1">
      <c r="E514" s="314"/>
      <c r="F514" s="314"/>
      <c r="H514" s="1149"/>
      <c r="I514" s="1538"/>
      <c r="J514" s="365"/>
      <c r="K514" s="428"/>
      <c r="O514" s="314"/>
      <c r="Q514" s="314"/>
      <c r="R514" s="201"/>
      <c r="S514" s="314"/>
      <c r="AR514" s="314"/>
      <c r="AS514" s="314"/>
    </row>
    <row r="515" ht="15.75" customHeight="1">
      <c r="E515" s="314"/>
      <c r="F515" s="314"/>
      <c r="H515" s="1149"/>
      <c r="I515" s="1538"/>
      <c r="J515" s="365"/>
      <c r="K515" s="428"/>
      <c r="O515" s="314"/>
      <c r="Q515" s="314"/>
      <c r="R515" s="201"/>
      <c r="S515" s="314"/>
      <c r="AR515" s="314"/>
      <c r="AS515" s="314"/>
    </row>
    <row r="516" ht="15.75" customHeight="1">
      <c r="E516" s="314"/>
      <c r="F516" s="314"/>
      <c r="H516" s="1149"/>
      <c r="I516" s="1538"/>
      <c r="J516" s="365"/>
      <c r="K516" s="428"/>
      <c r="O516" s="314"/>
      <c r="Q516" s="314"/>
      <c r="R516" s="201"/>
      <c r="S516" s="314"/>
      <c r="AR516" s="314"/>
      <c r="AS516" s="314"/>
    </row>
    <row r="517" ht="15.75" customHeight="1">
      <c r="E517" s="314"/>
      <c r="F517" s="314"/>
      <c r="H517" s="1149"/>
      <c r="I517" s="1538"/>
      <c r="J517" s="365"/>
      <c r="K517" s="428"/>
      <c r="O517" s="314"/>
      <c r="Q517" s="314"/>
      <c r="R517" s="201"/>
      <c r="S517" s="314"/>
      <c r="AR517" s="314"/>
      <c r="AS517" s="314"/>
    </row>
    <row r="518" ht="15.75" customHeight="1">
      <c r="E518" s="314"/>
      <c r="F518" s="314"/>
      <c r="H518" s="1149"/>
      <c r="I518" s="1538"/>
      <c r="J518" s="365"/>
      <c r="K518" s="428"/>
      <c r="O518" s="314"/>
      <c r="Q518" s="314"/>
      <c r="R518" s="201"/>
      <c r="S518" s="314"/>
      <c r="AR518" s="314"/>
      <c r="AS518" s="314"/>
    </row>
    <row r="519" ht="15.75" customHeight="1">
      <c r="E519" s="314"/>
      <c r="F519" s="314"/>
      <c r="H519" s="1149"/>
      <c r="I519" s="1538"/>
      <c r="J519" s="365"/>
      <c r="K519" s="428"/>
      <c r="O519" s="314"/>
      <c r="Q519" s="314"/>
      <c r="R519" s="201"/>
      <c r="S519" s="314"/>
      <c r="AR519" s="314"/>
      <c r="AS519" s="314"/>
    </row>
    <row r="520" ht="15.75" customHeight="1">
      <c r="E520" s="314"/>
      <c r="F520" s="314"/>
      <c r="H520" s="1149"/>
      <c r="I520" s="1538"/>
      <c r="J520" s="365"/>
      <c r="K520" s="428"/>
      <c r="O520" s="314"/>
      <c r="Q520" s="314"/>
      <c r="R520" s="201"/>
      <c r="S520" s="314"/>
      <c r="AR520" s="314"/>
      <c r="AS520" s="314"/>
    </row>
    <row r="521" ht="15.75" customHeight="1">
      <c r="E521" s="314"/>
      <c r="F521" s="314"/>
      <c r="H521" s="1149"/>
      <c r="I521" s="1538"/>
      <c r="J521" s="365"/>
      <c r="K521" s="428"/>
      <c r="O521" s="314"/>
      <c r="Q521" s="314"/>
      <c r="R521" s="201"/>
      <c r="S521" s="314"/>
      <c r="AR521" s="314"/>
      <c r="AS521" s="314"/>
    </row>
    <row r="522" ht="15.75" customHeight="1">
      <c r="E522" s="314"/>
      <c r="F522" s="314"/>
      <c r="H522" s="1149"/>
      <c r="I522" s="1538"/>
      <c r="J522" s="365"/>
      <c r="K522" s="428"/>
      <c r="O522" s="314"/>
      <c r="Q522" s="314"/>
      <c r="R522" s="201"/>
      <c r="S522" s="314"/>
      <c r="AR522" s="314"/>
      <c r="AS522" s="314"/>
    </row>
    <row r="523" ht="15.75" customHeight="1">
      <c r="E523" s="314"/>
      <c r="F523" s="314"/>
      <c r="H523" s="1149"/>
      <c r="I523" s="1538"/>
      <c r="J523" s="365"/>
      <c r="K523" s="428"/>
      <c r="O523" s="314"/>
      <c r="Q523" s="314"/>
      <c r="R523" s="201"/>
      <c r="S523" s="314"/>
      <c r="AR523" s="314"/>
      <c r="AS523" s="314"/>
    </row>
    <row r="524" ht="15.75" customHeight="1">
      <c r="E524" s="314"/>
      <c r="F524" s="314"/>
      <c r="H524" s="1149"/>
      <c r="I524" s="1538"/>
      <c r="J524" s="365"/>
      <c r="K524" s="428"/>
      <c r="O524" s="314"/>
      <c r="Q524" s="314"/>
      <c r="R524" s="201"/>
      <c r="S524" s="314"/>
      <c r="AR524" s="314"/>
      <c r="AS524" s="314"/>
    </row>
    <row r="525" ht="15.75" customHeight="1">
      <c r="E525" s="314"/>
      <c r="F525" s="314"/>
      <c r="H525" s="1149"/>
      <c r="I525" s="1538"/>
      <c r="J525" s="365"/>
      <c r="K525" s="428"/>
      <c r="O525" s="314"/>
      <c r="Q525" s="314"/>
      <c r="R525" s="201"/>
      <c r="S525" s="314"/>
      <c r="AR525" s="314"/>
      <c r="AS525" s="314"/>
    </row>
    <row r="526" ht="15.75" customHeight="1">
      <c r="E526" s="314"/>
      <c r="F526" s="314"/>
      <c r="H526" s="1149"/>
      <c r="I526" s="1538"/>
      <c r="J526" s="365"/>
      <c r="K526" s="428"/>
      <c r="O526" s="314"/>
      <c r="Q526" s="314"/>
      <c r="R526" s="201"/>
      <c r="S526" s="314"/>
      <c r="AR526" s="314"/>
      <c r="AS526" s="314"/>
    </row>
    <row r="527" ht="15.75" customHeight="1">
      <c r="E527" s="314"/>
      <c r="F527" s="314"/>
      <c r="H527" s="1149"/>
      <c r="I527" s="1538"/>
      <c r="J527" s="365"/>
      <c r="K527" s="428"/>
      <c r="O527" s="314"/>
      <c r="Q527" s="314"/>
      <c r="R527" s="201"/>
      <c r="S527" s="314"/>
      <c r="AR527" s="314"/>
      <c r="AS527" s="314"/>
    </row>
    <row r="528" ht="15.75" customHeight="1">
      <c r="E528" s="314"/>
      <c r="F528" s="314"/>
      <c r="H528" s="1149"/>
      <c r="I528" s="1538"/>
      <c r="J528" s="365"/>
      <c r="K528" s="428"/>
      <c r="O528" s="314"/>
      <c r="Q528" s="314"/>
      <c r="R528" s="201"/>
      <c r="S528" s="314"/>
      <c r="AR528" s="314"/>
      <c r="AS528" s="314"/>
    </row>
    <row r="529" ht="15.75" customHeight="1">
      <c r="E529" s="314"/>
      <c r="F529" s="314"/>
      <c r="H529" s="1149"/>
      <c r="I529" s="1538"/>
      <c r="J529" s="365"/>
      <c r="K529" s="428"/>
      <c r="O529" s="314"/>
      <c r="Q529" s="314"/>
      <c r="R529" s="201"/>
      <c r="S529" s="314"/>
      <c r="AR529" s="314"/>
      <c r="AS529" s="314"/>
    </row>
    <row r="530" ht="15.75" customHeight="1">
      <c r="E530" s="314"/>
      <c r="F530" s="314"/>
      <c r="H530" s="1149"/>
      <c r="I530" s="1538"/>
      <c r="J530" s="365"/>
      <c r="K530" s="428"/>
      <c r="O530" s="314"/>
      <c r="Q530" s="314"/>
      <c r="R530" s="201"/>
      <c r="S530" s="314"/>
      <c r="AR530" s="314"/>
      <c r="AS530" s="314"/>
    </row>
    <row r="531" ht="15.75" customHeight="1">
      <c r="E531" s="314"/>
      <c r="F531" s="314"/>
      <c r="H531" s="1149"/>
      <c r="I531" s="1538"/>
      <c r="J531" s="365"/>
      <c r="K531" s="428"/>
      <c r="O531" s="314"/>
      <c r="Q531" s="314"/>
      <c r="R531" s="201"/>
      <c r="S531" s="314"/>
      <c r="AR531" s="314"/>
      <c r="AS531" s="314"/>
    </row>
    <row r="532" ht="15.75" customHeight="1">
      <c r="E532" s="314"/>
      <c r="F532" s="314"/>
      <c r="H532" s="1149"/>
      <c r="I532" s="1538"/>
      <c r="J532" s="365"/>
      <c r="K532" s="428"/>
      <c r="O532" s="314"/>
      <c r="Q532" s="314"/>
      <c r="R532" s="201"/>
      <c r="S532" s="314"/>
      <c r="AR532" s="314"/>
      <c r="AS532" s="314"/>
    </row>
    <row r="533" ht="15.75" customHeight="1">
      <c r="E533" s="314"/>
      <c r="F533" s="314"/>
      <c r="H533" s="1149"/>
      <c r="I533" s="1538"/>
      <c r="J533" s="365"/>
      <c r="K533" s="428"/>
      <c r="O533" s="314"/>
      <c r="Q533" s="314"/>
      <c r="R533" s="201"/>
      <c r="S533" s="314"/>
      <c r="AR533" s="314"/>
      <c r="AS533" s="314"/>
    </row>
    <row r="534" ht="15.75" customHeight="1">
      <c r="E534" s="314"/>
      <c r="F534" s="314"/>
      <c r="H534" s="1149"/>
      <c r="I534" s="1538"/>
      <c r="J534" s="365"/>
      <c r="K534" s="428"/>
      <c r="O534" s="314"/>
      <c r="Q534" s="314"/>
      <c r="R534" s="201"/>
      <c r="S534" s="314"/>
      <c r="AR534" s="314"/>
      <c r="AS534" s="314"/>
    </row>
    <row r="535" ht="15.75" customHeight="1">
      <c r="E535" s="314"/>
      <c r="F535" s="314"/>
      <c r="H535" s="1149"/>
      <c r="I535" s="1538"/>
      <c r="J535" s="365"/>
      <c r="K535" s="428"/>
      <c r="O535" s="314"/>
      <c r="Q535" s="314"/>
      <c r="R535" s="201"/>
      <c r="S535" s="314"/>
      <c r="AR535" s="314"/>
      <c r="AS535" s="314"/>
    </row>
    <row r="536" ht="15.75" customHeight="1">
      <c r="E536" s="314"/>
      <c r="F536" s="314"/>
      <c r="H536" s="1149"/>
      <c r="I536" s="1538"/>
      <c r="J536" s="365"/>
      <c r="K536" s="428"/>
      <c r="O536" s="314"/>
      <c r="Q536" s="314"/>
      <c r="R536" s="201"/>
      <c r="S536" s="314"/>
      <c r="AR536" s="314"/>
      <c r="AS536" s="314"/>
    </row>
    <row r="537" ht="15.75" customHeight="1">
      <c r="E537" s="314"/>
      <c r="F537" s="314"/>
      <c r="H537" s="1149"/>
      <c r="I537" s="1538"/>
      <c r="J537" s="365"/>
      <c r="K537" s="428"/>
      <c r="O537" s="314"/>
      <c r="Q537" s="314"/>
      <c r="R537" s="201"/>
      <c r="S537" s="314"/>
      <c r="AR537" s="314"/>
      <c r="AS537" s="314"/>
    </row>
    <row r="538" ht="15.75" customHeight="1">
      <c r="E538" s="314"/>
      <c r="F538" s="314"/>
      <c r="H538" s="1149"/>
      <c r="I538" s="1538"/>
      <c r="J538" s="365"/>
      <c r="K538" s="428"/>
      <c r="O538" s="314"/>
      <c r="Q538" s="314"/>
      <c r="R538" s="201"/>
      <c r="S538" s="314"/>
      <c r="AR538" s="314"/>
      <c r="AS538" s="314"/>
    </row>
    <row r="539" ht="15.75" customHeight="1">
      <c r="E539" s="314"/>
      <c r="F539" s="314"/>
      <c r="H539" s="1149"/>
      <c r="I539" s="1538"/>
      <c r="J539" s="365"/>
      <c r="K539" s="428"/>
      <c r="O539" s="314"/>
      <c r="Q539" s="314"/>
      <c r="R539" s="201"/>
      <c r="S539" s="314"/>
      <c r="AR539" s="314"/>
      <c r="AS539" s="314"/>
    </row>
    <row r="540" ht="15.75" customHeight="1">
      <c r="E540" s="314"/>
      <c r="F540" s="314"/>
      <c r="H540" s="1149"/>
      <c r="I540" s="1538"/>
      <c r="J540" s="365"/>
      <c r="K540" s="428"/>
      <c r="O540" s="314"/>
      <c r="Q540" s="314"/>
      <c r="R540" s="201"/>
      <c r="S540" s="314"/>
      <c r="AR540" s="314"/>
      <c r="AS540" s="314"/>
    </row>
    <row r="541" ht="15.75" customHeight="1">
      <c r="E541" s="314"/>
      <c r="F541" s="314"/>
      <c r="H541" s="1149"/>
      <c r="I541" s="1538"/>
      <c r="J541" s="365"/>
      <c r="K541" s="428"/>
      <c r="O541" s="314"/>
      <c r="Q541" s="314"/>
      <c r="R541" s="201"/>
      <c r="S541" s="314"/>
      <c r="AR541" s="314"/>
      <c r="AS541" s="314"/>
    </row>
    <row r="542" ht="15.75" customHeight="1">
      <c r="E542" s="314"/>
      <c r="F542" s="314"/>
      <c r="H542" s="1149"/>
      <c r="I542" s="1538"/>
      <c r="J542" s="365"/>
      <c r="K542" s="428"/>
      <c r="O542" s="314"/>
      <c r="Q542" s="314"/>
      <c r="R542" s="201"/>
      <c r="S542" s="314"/>
      <c r="AR542" s="314"/>
      <c r="AS542" s="314"/>
    </row>
    <row r="543" ht="15.75" customHeight="1">
      <c r="E543" s="314"/>
      <c r="F543" s="314"/>
      <c r="H543" s="1149"/>
      <c r="I543" s="1538"/>
      <c r="J543" s="365"/>
      <c r="K543" s="428"/>
      <c r="O543" s="314"/>
      <c r="Q543" s="314"/>
      <c r="R543" s="201"/>
      <c r="S543" s="314"/>
      <c r="AR543" s="314"/>
      <c r="AS543" s="314"/>
    </row>
    <row r="544" ht="15.75" customHeight="1">
      <c r="E544" s="314"/>
      <c r="F544" s="314"/>
      <c r="H544" s="1149"/>
      <c r="I544" s="1538"/>
      <c r="J544" s="365"/>
      <c r="K544" s="428"/>
      <c r="O544" s="314"/>
      <c r="Q544" s="314"/>
      <c r="R544" s="201"/>
      <c r="S544" s="314"/>
      <c r="AR544" s="314"/>
      <c r="AS544" s="314"/>
    </row>
    <row r="545" ht="15.75" customHeight="1">
      <c r="E545" s="314"/>
      <c r="F545" s="314"/>
      <c r="H545" s="1149"/>
      <c r="I545" s="1538"/>
      <c r="J545" s="365"/>
      <c r="K545" s="428"/>
      <c r="O545" s="314"/>
      <c r="Q545" s="314"/>
      <c r="R545" s="201"/>
      <c r="S545" s="314"/>
      <c r="AR545" s="314"/>
      <c r="AS545" s="314"/>
    </row>
    <row r="546" ht="15.75" customHeight="1">
      <c r="E546" s="314"/>
      <c r="F546" s="314"/>
      <c r="H546" s="1149"/>
      <c r="I546" s="1538"/>
      <c r="J546" s="365"/>
      <c r="K546" s="428"/>
      <c r="O546" s="314"/>
      <c r="Q546" s="314"/>
      <c r="R546" s="201"/>
      <c r="S546" s="314"/>
      <c r="AR546" s="314"/>
      <c r="AS546" s="314"/>
    </row>
    <row r="547" ht="15.75" customHeight="1">
      <c r="E547" s="314"/>
      <c r="F547" s="314"/>
      <c r="H547" s="1149"/>
      <c r="I547" s="1538"/>
      <c r="J547" s="365"/>
      <c r="K547" s="428"/>
      <c r="O547" s="314"/>
      <c r="Q547" s="314"/>
      <c r="R547" s="201"/>
      <c r="S547" s="314"/>
      <c r="AR547" s="314"/>
      <c r="AS547" s="314"/>
    </row>
    <row r="548" ht="15.75" customHeight="1">
      <c r="E548" s="314"/>
      <c r="F548" s="314"/>
      <c r="H548" s="1149"/>
      <c r="I548" s="1538"/>
      <c r="J548" s="365"/>
      <c r="K548" s="428"/>
      <c r="O548" s="314"/>
      <c r="Q548" s="314"/>
      <c r="R548" s="201"/>
      <c r="S548" s="314"/>
      <c r="AR548" s="314"/>
      <c r="AS548" s="314"/>
    </row>
    <row r="549" ht="15.75" customHeight="1">
      <c r="E549" s="314"/>
      <c r="F549" s="314"/>
      <c r="H549" s="1149"/>
      <c r="I549" s="1538"/>
      <c r="J549" s="365"/>
      <c r="K549" s="428"/>
      <c r="O549" s="314"/>
      <c r="Q549" s="314"/>
      <c r="R549" s="201"/>
      <c r="S549" s="314"/>
      <c r="AR549" s="314"/>
      <c r="AS549" s="314"/>
    </row>
    <row r="550" ht="15.75" customHeight="1">
      <c r="E550" s="314"/>
      <c r="F550" s="314"/>
      <c r="H550" s="1149"/>
      <c r="I550" s="1538"/>
      <c r="J550" s="365"/>
      <c r="K550" s="428"/>
      <c r="O550" s="314"/>
      <c r="Q550" s="314"/>
      <c r="R550" s="201"/>
      <c r="S550" s="314"/>
      <c r="AR550" s="314"/>
      <c r="AS550" s="314"/>
    </row>
    <row r="551" ht="15.75" customHeight="1">
      <c r="E551" s="314"/>
      <c r="F551" s="314"/>
      <c r="H551" s="1149"/>
      <c r="I551" s="1538"/>
      <c r="J551" s="365"/>
      <c r="K551" s="428"/>
      <c r="O551" s="314"/>
      <c r="Q551" s="314"/>
      <c r="R551" s="201"/>
      <c r="S551" s="314"/>
      <c r="AR551" s="314"/>
      <c r="AS551" s="314"/>
    </row>
    <row r="552" ht="15.75" customHeight="1">
      <c r="E552" s="314"/>
      <c r="F552" s="314"/>
      <c r="H552" s="1149"/>
      <c r="I552" s="1538"/>
      <c r="J552" s="365"/>
      <c r="K552" s="428"/>
      <c r="O552" s="314"/>
      <c r="Q552" s="314"/>
      <c r="R552" s="201"/>
      <c r="S552" s="314"/>
      <c r="AR552" s="314"/>
      <c r="AS552" s="314"/>
    </row>
    <row r="553" ht="15.75" customHeight="1">
      <c r="E553" s="314"/>
      <c r="F553" s="314"/>
      <c r="H553" s="1149"/>
      <c r="I553" s="1538"/>
      <c r="J553" s="365"/>
      <c r="K553" s="428"/>
      <c r="O553" s="314"/>
      <c r="Q553" s="314"/>
      <c r="R553" s="201"/>
      <c r="S553" s="314"/>
      <c r="AR553" s="314"/>
      <c r="AS553" s="314"/>
    </row>
    <row r="554" ht="15.75" customHeight="1">
      <c r="E554" s="314"/>
      <c r="F554" s="314"/>
      <c r="H554" s="1149"/>
      <c r="I554" s="1538"/>
      <c r="J554" s="365"/>
      <c r="K554" s="428"/>
      <c r="O554" s="314"/>
      <c r="Q554" s="314"/>
      <c r="R554" s="201"/>
      <c r="S554" s="314"/>
      <c r="AR554" s="314"/>
      <c r="AS554" s="314"/>
    </row>
    <row r="555" ht="15.75" customHeight="1">
      <c r="E555" s="314"/>
      <c r="F555" s="314"/>
      <c r="H555" s="1149"/>
      <c r="I555" s="1538"/>
      <c r="J555" s="365"/>
      <c r="K555" s="428"/>
      <c r="O555" s="314"/>
      <c r="Q555" s="314"/>
      <c r="R555" s="201"/>
      <c r="S555" s="314"/>
      <c r="AR555" s="314"/>
      <c r="AS555" s="314"/>
    </row>
    <row r="556" ht="15.75" customHeight="1">
      <c r="E556" s="314"/>
      <c r="F556" s="314"/>
      <c r="H556" s="1149"/>
      <c r="I556" s="1538"/>
      <c r="J556" s="365"/>
      <c r="K556" s="428"/>
      <c r="O556" s="314"/>
      <c r="Q556" s="314"/>
      <c r="R556" s="201"/>
      <c r="S556" s="314"/>
      <c r="AR556" s="314"/>
      <c r="AS556" s="314"/>
    </row>
    <row r="557" ht="15.75" customHeight="1">
      <c r="E557" s="314"/>
      <c r="F557" s="314"/>
      <c r="H557" s="1149"/>
      <c r="I557" s="1538"/>
      <c r="J557" s="365"/>
      <c r="K557" s="428"/>
      <c r="O557" s="314"/>
      <c r="Q557" s="314"/>
      <c r="R557" s="201"/>
      <c r="S557" s="314"/>
      <c r="AR557" s="314"/>
      <c r="AS557" s="314"/>
    </row>
    <row r="558" ht="15.75" customHeight="1">
      <c r="E558" s="314"/>
      <c r="F558" s="314"/>
      <c r="H558" s="1149"/>
      <c r="I558" s="1538"/>
      <c r="J558" s="365"/>
      <c r="K558" s="428"/>
      <c r="O558" s="314"/>
      <c r="Q558" s="314"/>
      <c r="R558" s="201"/>
      <c r="S558" s="314"/>
      <c r="AR558" s="314"/>
      <c r="AS558" s="314"/>
    </row>
    <row r="559" ht="15.75" customHeight="1">
      <c r="E559" s="314"/>
      <c r="F559" s="314"/>
      <c r="H559" s="1149"/>
      <c r="I559" s="1538"/>
      <c r="J559" s="365"/>
      <c r="K559" s="428"/>
      <c r="O559" s="314"/>
      <c r="Q559" s="314"/>
      <c r="R559" s="201"/>
      <c r="S559" s="314"/>
      <c r="AR559" s="314"/>
      <c r="AS559" s="314"/>
    </row>
    <row r="560" ht="15.75" customHeight="1">
      <c r="E560" s="314"/>
      <c r="F560" s="314"/>
      <c r="H560" s="1149"/>
      <c r="I560" s="1538"/>
      <c r="J560" s="365"/>
      <c r="K560" s="428"/>
      <c r="O560" s="314"/>
      <c r="Q560" s="314"/>
      <c r="R560" s="201"/>
      <c r="S560" s="314"/>
      <c r="AR560" s="314"/>
      <c r="AS560" s="314"/>
    </row>
    <row r="561" ht="15.75" customHeight="1">
      <c r="E561" s="314"/>
      <c r="F561" s="314"/>
      <c r="H561" s="1149"/>
      <c r="I561" s="1538"/>
      <c r="J561" s="365"/>
      <c r="K561" s="428"/>
      <c r="O561" s="314"/>
      <c r="Q561" s="314"/>
      <c r="R561" s="201"/>
      <c r="S561" s="314"/>
      <c r="AR561" s="314"/>
      <c r="AS561" s="314"/>
    </row>
    <row r="562" ht="15.75" customHeight="1">
      <c r="E562" s="314"/>
      <c r="F562" s="314"/>
      <c r="H562" s="1149"/>
      <c r="I562" s="1538"/>
      <c r="J562" s="365"/>
      <c r="K562" s="428"/>
      <c r="O562" s="314"/>
      <c r="Q562" s="314"/>
      <c r="R562" s="201"/>
      <c r="S562" s="314"/>
      <c r="AR562" s="314"/>
      <c r="AS562" s="314"/>
    </row>
    <row r="563" ht="15.75" customHeight="1">
      <c r="E563" s="314"/>
      <c r="F563" s="314"/>
      <c r="H563" s="1149"/>
      <c r="I563" s="1538"/>
      <c r="J563" s="365"/>
      <c r="K563" s="428"/>
      <c r="O563" s="314"/>
      <c r="Q563" s="314"/>
      <c r="R563" s="201"/>
      <c r="S563" s="314"/>
      <c r="AR563" s="314"/>
      <c r="AS563" s="314"/>
    </row>
    <row r="564" ht="15.75" customHeight="1">
      <c r="E564" s="314"/>
      <c r="F564" s="314"/>
      <c r="H564" s="1149"/>
      <c r="I564" s="1538"/>
      <c r="J564" s="365"/>
      <c r="K564" s="428"/>
      <c r="O564" s="314"/>
      <c r="Q564" s="314"/>
      <c r="R564" s="201"/>
      <c r="S564" s="314"/>
      <c r="AR564" s="314"/>
      <c r="AS564" s="314"/>
    </row>
    <row r="565" ht="15.75" customHeight="1">
      <c r="E565" s="314"/>
      <c r="F565" s="314"/>
      <c r="H565" s="1149"/>
      <c r="I565" s="1538"/>
      <c r="J565" s="365"/>
      <c r="K565" s="428"/>
      <c r="O565" s="314"/>
      <c r="Q565" s="314"/>
      <c r="R565" s="201"/>
      <c r="S565" s="314"/>
      <c r="AR565" s="314"/>
      <c r="AS565" s="314"/>
    </row>
    <row r="566" ht="15.75" customHeight="1">
      <c r="E566" s="314"/>
      <c r="F566" s="314"/>
      <c r="H566" s="1149"/>
      <c r="I566" s="1538"/>
      <c r="J566" s="365"/>
      <c r="K566" s="428"/>
      <c r="O566" s="314"/>
      <c r="Q566" s="314"/>
      <c r="R566" s="201"/>
      <c r="S566" s="314"/>
      <c r="AR566" s="314"/>
      <c r="AS566" s="314"/>
    </row>
    <row r="567" ht="15.75" customHeight="1">
      <c r="E567" s="314"/>
      <c r="F567" s="314"/>
      <c r="H567" s="1149"/>
      <c r="I567" s="1538"/>
      <c r="J567" s="365"/>
      <c r="K567" s="428"/>
      <c r="O567" s="314"/>
      <c r="Q567" s="314"/>
      <c r="R567" s="201"/>
      <c r="S567" s="314"/>
      <c r="AR567" s="314"/>
      <c r="AS567" s="314"/>
    </row>
    <row r="568" ht="15.75" customHeight="1">
      <c r="E568" s="314"/>
      <c r="F568" s="314"/>
      <c r="H568" s="1149"/>
      <c r="I568" s="1538"/>
      <c r="J568" s="365"/>
      <c r="K568" s="428"/>
      <c r="O568" s="314"/>
      <c r="Q568" s="314"/>
      <c r="R568" s="201"/>
      <c r="S568" s="314"/>
      <c r="AR568" s="314"/>
      <c r="AS568" s="314"/>
    </row>
    <row r="569" ht="15.75" customHeight="1">
      <c r="E569" s="314"/>
      <c r="F569" s="314"/>
      <c r="H569" s="1149"/>
      <c r="I569" s="1538"/>
      <c r="J569" s="365"/>
      <c r="K569" s="428"/>
      <c r="O569" s="314"/>
      <c r="Q569" s="314"/>
      <c r="R569" s="201"/>
      <c r="S569" s="314"/>
      <c r="AR569" s="314"/>
      <c r="AS569" s="314"/>
    </row>
    <row r="570" ht="15.75" customHeight="1">
      <c r="E570" s="314"/>
      <c r="F570" s="314"/>
      <c r="H570" s="1149"/>
      <c r="I570" s="1538"/>
      <c r="J570" s="365"/>
      <c r="K570" s="428"/>
      <c r="O570" s="314"/>
      <c r="Q570" s="314"/>
      <c r="R570" s="201"/>
      <c r="S570" s="314"/>
      <c r="AR570" s="314"/>
      <c r="AS570" s="314"/>
    </row>
    <row r="571" ht="15.75" customHeight="1">
      <c r="E571" s="314"/>
      <c r="F571" s="314"/>
      <c r="H571" s="1149"/>
      <c r="I571" s="1538"/>
      <c r="J571" s="365"/>
      <c r="K571" s="428"/>
      <c r="O571" s="314"/>
      <c r="Q571" s="314"/>
      <c r="R571" s="201"/>
      <c r="S571" s="314"/>
      <c r="AR571" s="314"/>
      <c r="AS571" s="314"/>
    </row>
    <row r="572" ht="15.75" customHeight="1">
      <c r="E572" s="314"/>
      <c r="F572" s="314"/>
      <c r="H572" s="1149"/>
      <c r="I572" s="1538"/>
      <c r="J572" s="365"/>
      <c r="K572" s="428"/>
      <c r="O572" s="314"/>
      <c r="Q572" s="314"/>
      <c r="R572" s="201"/>
      <c r="S572" s="314"/>
      <c r="AR572" s="314"/>
      <c r="AS572" s="314"/>
    </row>
    <row r="573" ht="15.75" customHeight="1">
      <c r="E573" s="314"/>
      <c r="F573" s="314"/>
      <c r="H573" s="1149"/>
      <c r="I573" s="1538"/>
      <c r="J573" s="365"/>
      <c r="K573" s="428"/>
      <c r="O573" s="314"/>
      <c r="Q573" s="314"/>
      <c r="R573" s="201"/>
      <c r="S573" s="314"/>
      <c r="AR573" s="314"/>
      <c r="AS573" s="314"/>
    </row>
    <row r="574" ht="15.75" customHeight="1">
      <c r="E574" s="314"/>
      <c r="F574" s="314"/>
      <c r="H574" s="1149"/>
      <c r="I574" s="1538"/>
      <c r="J574" s="365"/>
      <c r="K574" s="428"/>
      <c r="O574" s="314"/>
      <c r="Q574" s="314"/>
      <c r="R574" s="201"/>
      <c r="S574" s="314"/>
      <c r="AR574" s="314"/>
      <c r="AS574" s="314"/>
    </row>
    <row r="575" ht="15.75" customHeight="1">
      <c r="E575" s="314"/>
      <c r="F575" s="314"/>
      <c r="H575" s="1149"/>
      <c r="I575" s="1538"/>
      <c r="J575" s="365"/>
      <c r="K575" s="428"/>
      <c r="O575" s="314"/>
      <c r="Q575" s="314"/>
      <c r="R575" s="201"/>
      <c r="S575" s="314"/>
      <c r="AR575" s="314"/>
      <c r="AS575" s="314"/>
    </row>
    <row r="576" ht="15.75" customHeight="1">
      <c r="E576" s="314"/>
      <c r="F576" s="314"/>
      <c r="H576" s="1149"/>
      <c r="I576" s="1538"/>
      <c r="J576" s="365"/>
      <c r="K576" s="428"/>
      <c r="O576" s="314"/>
      <c r="Q576" s="314"/>
      <c r="R576" s="201"/>
      <c r="S576" s="314"/>
      <c r="AR576" s="314"/>
      <c r="AS576" s="314"/>
    </row>
    <row r="577" ht="15.75" customHeight="1">
      <c r="E577" s="314"/>
      <c r="F577" s="314"/>
      <c r="H577" s="1149"/>
      <c r="I577" s="1538"/>
      <c r="J577" s="365"/>
      <c r="K577" s="428"/>
      <c r="O577" s="314"/>
      <c r="Q577" s="314"/>
      <c r="R577" s="201"/>
      <c r="S577" s="314"/>
      <c r="AR577" s="314"/>
      <c r="AS577" s="314"/>
    </row>
    <row r="578" ht="15.75" customHeight="1">
      <c r="E578" s="314"/>
      <c r="F578" s="314"/>
      <c r="H578" s="1149"/>
      <c r="I578" s="1538"/>
      <c r="J578" s="365"/>
      <c r="K578" s="428"/>
      <c r="O578" s="314"/>
      <c r="Q578" s="314"/>
      <c r="R578" s="201"/>
      <c r="S578" s="314"/>
      <c r="AR578" s="314"/>
      <c r="AS578" s="314"/>
    </row>
    <row r="579" ht="15.75" customHeight="1">
      <c r="E579" s="314"/>
      <c r="F579" s="314"/>
      <c r="H579" s="1149"/>
      <c r="I579" s="1538"/>
      <c r="J579" s="365"/>
      <c r="K579" s="428"/>
      <c r="O579" s="314"/>
      <c r="Q579" s="314"/>
      <c r="R579" s="201"/>
      <c r="S579" s="314"/>
      <c r="AR579" s="314"/>
      <c r="AS579" s="314"/>
    </row>
    <row r="580" ht="15.75" customHeight="1">
      <c r="E580" s="314"/>
      <c r="F580" s="314"/>
      <c r="H580" s="1149"/>
      <c r="I580" s="1538"/>
      <c r="J580" s="365"/>
      <c r="K580" s="428"/>
      <c r="O580" s="314"/>
      <c r="Q580" s="314"/>
      <c r="R580" s="201"/>
      <c r="S580" s="314"/>
      <c r="AR580" s="314"/>
      <c r="AS580" s="314"/>
    </row>
    <row r="581" ht="15.75" customHeight="1">
      <c r="E581" s="314"/>
      <c r="F581" s="314"/>
      <c r="H581" s="1149"/>
      <c r="I581" s="1538"/>
      <c r="J581" s="365"/>
      <c r="K581" s="428"/>
      <c r="O581" s="314"/>
      <c r="Q581" s="314"/>
      <c r="R581" s="201"/>
      <c r="S581" s="314"/>
      <c r="AR581" s="314"/>
      <c r="AS581" s="314"/>
    </row>
    <row r="582" ht="15.75" customHeight="1">
      <c r="E582" s="314"/>
      <c r="F582" s="314"/>
      <c r="H582" s="1149"/>
      <c r="I582" s="1538"/>
      <c r="J582" s="365"/>
      <c r="K582" s="428"/>
      <c r="O582" s="314"/>
      <c r="Q582" s="314"/>
      <c r="R582" s="201"/>
      <c r="S582" s="314"/>
      <c r="AR582" s="314"/>
      <c r="AS582" s="314"/>
    </row>
    <row r="583" ht="15.75" customHeight="1">
      <c r="E583" s="314"/>
      <c r="F583" s="314"/>
      <c r="H583" s="1149"/>
      <c r="I583" s="1538"/>
      <c r="J583" s="365"/>
      <c r="K583" s="428"/>
      <c r="O583" s="314"/>
      <c r="Q583" s="314"/>
      <c r="R583" s="201"/>
      <c r="S583" s="314"/>
      <c r="AR583" s="314"/>
      <c r="AS583" s="314"/>
    </row>
    <row r="584" ht="15.75" customHeight="1">
      <c r="E584" s="314"/>
      <c r="F584" s="314"/>
      <c r="H584" s="1149"/>
      <c r="I584" s="1538"/>
      <c r="J584" s="365"/>
      <c r="K584" s="428"/>
      <c r="O584" s="314"/>
      <c r="Q584" s="314"/>
      <c r="R584" s="201"/>
      <c r="S584" s="314"/>
      <c r="AR584" s="314"/>
      <c r="AS584" s="314"/>
    </row>
    <row r="585" ht="15.75" customHeight="1">
      <c r="E585" s="314"/>
      <c r="F585" s="314"/>
      <c r="H585" s="1149"/>
      <c r="I585" s="1538"/>
      <c r="J585" s="365"/>
      <c r="K585" s="428"/>
      <c r="O585" s="314"/>
      <c r="Q585" s="314"/>
      <c r="R585" s="201"/>
      <c r="S585" s="314"/>
      <c r="AR585" s="314"/>
      <c r="AS585" s="314"/>
    </row>
    <row r="586" ht="15.75" customHeight="1">
      <c r="E586" s="314"/>
      <c r="F586" s="314"/>
      <c r="H586" s="1149"/>
      <c r="I586" s="1538"/>
      <c r="J586" s="365"/>
      <c r="K586" s="428"/>
      <c r="O586" s="314"/>
      <c r="Q586" s="314"/>
      <c r="R586" s="201"/>
      <c r="S586" s="314"/>
      <c r="AR586" s="314"/>
      <c r="AS586" s="314"/>
    </row>
    <row r="587" ht="15.75" customHeight="1">
      <c r="E587" s="314"/>
      <c r="F587" s="314"/>
      <c r="H587" s="1149"/>
      <c r="I587" s="1538"/>
      <c r="J587" s="365"/>
      <c r="K587" s="428"/>
      <c r="O587" s="314"/>
      <c r="Q587" s="314"/>
      <c r="R587" s="201"/>
      <c r="S587" s="314"/>
      <c r="AR587" s="314"/>
      <c r="AS587" s="314"/>
    </row>
    <row r="588" ht="15.75" customHeight="1">
      <c r="E588" s="314"/>
      <c r="F588" s="314"/>
      <c r="H588" s="1149"/>
      <c r="I588" s="1538"/>
      <c r="J588" s="365"/>
      <c r="K588" s="428"/>
      <c r="O588" s="314"/>
      <c r="Q588" s="314"/>
      <c r="R588" s="201"/>
      <c r="S588" s="314"/>
      <c r="AR588" s="314"/>
      <c r="AS588" s="314"/>
    </row>
    <row r="589" ht="15.75" customHeight="1">
      <c r="E589" s="314"/>
      <c r="F589" s="314"/>
      <c r="H589" s="1149"/>
      <c r="I589" s="1538"/>
      <c r="J589" s="365"/>
      <c r="K589" s="428"/>
      <c r="O589" s="314"/>
      <c r="Q589" s="314"/>
      <c r="R589" s="201"/>
      <c r="S589" s="314"/>
      <c r="AR589" s="314"/>
      <c r="AS589" s="314"/>
    </row>
    <row r="590" ht="15.75" customHeight="1">
      <c r="E590" s="314"/>
      <c r="F590" s="314"/>
      <c r="H590" s="1149"/>
      <c r="I590" s="1538"/>
      <c r="J590" s="365"/>
      <c r="K590" s="428"/>
      <c r="O590" s="314"/>
      <c r="Q590" s="314"/>
      <c r="R590" s="201"/>
      <c r="S590" s="314"/>
      <c r="AR590" s="314"/>
      <c r="AS590" s="314"/>
    </row>
    <row r="591" ht="15.75" customHeight="1">
      <c r="E591" s="314"/>
      <c r="F591" s="314"/>
      <c r="H591" s="1149"/>
      <c r="I591" s="1538"/>
      <c r="J591" s="365"/>
      <c r="K591" s="428"/>
      <c r="O591" s="314"/>
      <c r="Q591" s="314"/>
      <c r="R591" s="201"/>
      <c r="S591" s="314"/>
      <c r="AR591" s="314"/>
      <c r="AS591" s="314"/>
    </row>
    <row r="592" ht="15.75" customHeight="1">
      <c r="E592" s="314"/>
      <c r="F592" s="314"/>
      <c r="H592" s="1149"/>
      <c r="I592" s="1538"/>
      <c r="J592" s="365"/>
      <c r="K592" s="428"/>
      <c r="O592" s="314"/>
      <c r="Q592" s="314"/>
      <c r="R592" s="201"/>
      <c r="S592" s="314"/>
      <c r="AR592" s="314"/>
      <c r="AS592" s="314"/>
    </row>
    <row r="593" ht="15.75" customHeight="1">
      <c r="E593" s="314"/>
      <c r="F593" s="314"/>
      <c r="H593" s="1149"/>
      <c r="I593" s="1538"/>
      <c r="J593" s="365"/>
      <c r="K593" s="428"/>
      <c r="O593" s="314"/>
      <c r="Q593" s="314"/>
      <c r="R593" s="201"/>
      <c r="S593" s="314"/>
      <c r="AR593" s="314"/>
      <c r="AS593" s="314"/>
    </row>
    <row r="594" ht="15.75" customHeight="1">
      <c r="E594" s="314"/>
      <c r="F594" s="314"/>
      <c r="H594" s="1149"/>
      <c r="I594" s="1538"/>
      <c r="J594" s="365"/>
      <c r="K594" s="428"/>
      <c r="O594" s="314"/>
      <c r="Q594" s="314"/>
      <c r="R594" s="201"/>
      <c r="S594" s="314"/>
      <c r="AR594" s="314"/>
      <c r="AS594" s="314"/>
    </row>
    <row r="595" ht="15.75" customHeight="1">
      <c r="E595" s="314"/>
      <c r="F595" s="314"/>
      <c r="H595" s="1149"/>
      <c r="I595" s="1538"/>
      <c r="J595" s="365"/>
      <c r="K595" s="428"/>
      <c r="O595" s="314"/>
      <c r="Q595" s="314"/>
      <c r="R595" s="201"/>
      <c r="S595" s="314"/>
      <c r="AR595" s="314"/>
      <c r="AS595" s="314"/>
    </row>
    <row r="596" ht="15.75" customHeight="1">
      <c r="E596" s="314"/>
      <c r="F596" s="314"/>
      <c r="H596" s="1149"/>
      <c r="I596" s="1538"/>
      <c r="J596" s="365"/>
      <c r="K596" s="428"/>
      <c r="O596" s="314"/>
      <c r="Q596" s="314"/>
      <c r="R596" s="201"/>
      <c r="S596" s="314"/>
      <c r="AR596" s="314"/>
      <c r="AS596" s="314"/>
    </row>
    <row r="597" ht="15.75" customHeight="1">
      <c r="E597" s="314"/>
      <c r="F597" s="314"/>
      <c r="H597" s="1149"/>
      <c r="I597" s="1538"/>
      <c r="J597" s="365"/>
      <c r="K597" s="428"/>
      <c r="O597" s="314"/>
      <c r="Q597" s="314"/>
      <c r="R597" s="201"/>
      <c r="S597" s="314"/>
      <c r="AR597" s="314"/>
      <c r="AS597" s="314"/>
    </row>
    <row r="598" ht="15.75" customHeight="1">
      <c r="E598" s="314"/>
      <c r="F598" s="314"/>
      <c r="H598" s="1149"/>
      <c r="I598" s="1538"/>
      <c r="J598" s="365"/>
      <c r="K598" s="428"/>
      <c r="O598" s="314"/>
      <c r="Q598" s="314"/>
      <c r="R598" s="201"/>
      <c r="S598" s="314"/>
      <c r="AR598" s="314"/>
      <c r="AS598" s="314"/>
    </row>
    <row r="599" ht="15.75" customHeight="1">
      <c r="E599" s="314"/>
      <c r="F599" s="314"/>
      <c r="H599" s="1149"/>
      <c r="I599" s="1538"/>
      <c r="J599" s="365"/>
      <c r="K599" s="428"/>
      <c r="O599" s="314"/>
      <c r="Q599" s="314"/>
      <c r="R599" s="201"/>
      <c r="S599" s="314"/>
      <c r="AR599" s="314"/>
      <c r="AS599" s="314"/>
    </row>
    <row r="600" ht="15.75" customHeight="1">
      <c r="E600" s="314"/>
      <c r="F600" s="314"/>
      <c r="H600" s="1149"/>
      <c r="I600" s="1538"/>
      <c r="J600" s="365"/>
      <c r="K600" s="428"/>
      <c r="O600" s="314"/>
      <c r="Q600" s="314"/>
      <c r="R600" s="201"/>
      <c r="S600" s="314"/>
      <c r="AR600" s="314"/>
      <c r="AS600" s="314"/>
    </row>
    <row r="601" ht="15.75" customHeight="1">
      <c r="E601" s="314"/>
      <c r="F601" s="314"/>
      <c r="H601" s="1149"/>
      <c r="I601" s="1538"/>
      <c r="J601" s="365"/>
      <c r="K601" s="428"/>
      <c r="O601" s="314"/>
      <c r="Q601" s="314"/>
      <c r="R601" s="201"/>
      <c r="S601" s="314"/>
      <c r="AR601" s="314"/>
      <c r="AS601" s="314"/>
    </row>
    <row r="602" ht="15.75" customHeight="1">
      <c r="E602" s="314"/>
      <c r="F602" s="314"/>
      <c r="H602" s="1149"/>
      <c r="I602" s="1538"/>
      <c r="J602" s="365"/>
      <c r="K602" s="428"/>
      <c r="O602" s="314"/>
      <c r="Q602" s="314"/>
      <c r="R602" s="201"/>
      <c r="S602" s="314"/>
      <c r="AR602" s="314"/>
      <c r="AS602" s="314"/>
    </row>
    <row r="603" ht="15.75" customHeight="1">
      <c r="E603" s="314"/>
      <c r="F603" s="314"/>
      <c r="H603" s="1149"/>
      <c r="I603" s="1538"/>
      <c r="J603" s="365"/>
      <c r="K603" s="428"/>
      <c r="O603" s="314"/>
      <c r="Q603" s="314"/>
      <c r="R603" s="201"/>
      <c r="S603" s="314"/>
      <c r="AR603" s="314"/>
      <c r="AS603" s="314"/>
    </row>
    <row r="604" ht="15.75" customHeight="1">
      <c r="E604" s="314"/>
      <c r="F604" s="314"/>
      <c r="H604" s="1149"/>
      <c r="I604" s="1538"/>
      <c r="J604" s="365"/>
      <c r="K604" s="428"/>
      <c r="O604" s="314"/>
      <c r="Q604" s="314"/>
      <c r="R604" s="201"/>
      <c r="S604" s="314"/>
      <c r="AR604" s="314"/>
      <c r="AS604" s="314"/>
    </row>
    <row r="605" ht="15.75" customHeight="1">
      <c r="E605" s="314"/>
      <c r="F605" s="314"/>
      <c r="H605" s="1149"/>
      <c r="I605" s="1538"/>
      <c r="J605" s="365"/>
      <c r="K605" s="428"/>
      <c r="O605" s="314"/>
      <c r="Q605" s="314"/>
      <c r="R605" s="201"/>
      <c r="S605" s="314"/>
      <c r="AR605" s="314"/>
      <c r="AS605" s="314"/>
    </row>
    <row r="606" ht="15.75" customHeight="1">
      <c r="E606" s="314"/>
      <c r="F606" s="314"/>
      <c r="H606" s="1149"/>
      <c r="I606" s="1538"/>
      <c r="J606" s="365"/>
      <c r="K606" s="428"/>
      <c r="O606" s="314"/>
      <c r="Q606" s="314"/>
      <c r="R606" s="201"/>
      <c r="S606" s="314"/>
      <c r="AR606" s="314"/>
      <c r="AS606" s="314"/>
    </row>
    <row r="607" ht="15.75" customHeight="1">
      <c r="E607" s="314"/>
      <c r="F607" s="314"/>
      <c r="H607" s="1149"/>
      <c r="I607" s="1538"/>
      <c r="J607" s="365"/>
      <c r="K607" s="428"/>
      <c r="O607" s="314"/>
      <c r="Q607" s="314"/>
      <c r="R607" s="201"/>
      <c r="S607" s="314"/>
      <c r="AR607" s="314"/>
      <c r="AS607" s="314"/>
    </row>
    <row r="608" ht="15.75" customHeight="1">
      <c r="E608" s="314"/>
      <c r="F608" s="314"/>
      <c r="H608" s="1149"/>
      <c r="I608" s="1538"/>
      <c r="J608" s="365"/>
      <c r="K608" s="428"/>
      <c r="O608" s="314"/>
      <c r="Q608" s="314"/>
      <c r="R608" s="201"/>
      <c r="S608" s="314"/>
      <c r="AR608" s="314"/>
      <c r="AS608" s="314"/>
    </row>
    <row r="609" ht="15.75" customHeight="1">
      <c r="E609" s="314"/>
      <c r="F609" s="314"/>
      <c r="H609" s="1149"/>
      <c r="I609" s="1538"/>
      <c r="J609" s="365"/>
      <c r="K609" s="428"/>
      <c r="O609" s="314"/>
      <c r="Q609" s="314"/>
      <c r="R609" s="201"/>
      <c r="S609" s="314"/>
      <c r="AR609" s="314"/>
      <c r="AS609" s="314"/>
    </row>
    <row r="610" ht="15.75" customHeight="1">
      <c r="E610" s="314"/>
      <c r="F610" s="314"/>
      <c r="H610" s="1149"/>
      <c r="I610" s="1538"/>
      <c r="J610" s="365"/>
      <c r="K610" s="428"/>
      <c r="O610" s="314"/>
      <c r="Q610" s="314"/>
      <c r="R610" s="201"/>
      <c r="S610" s="314"/>
      <c r="AR610" s="314"/>
      <c r="AS610" s="314"/>
    </row>
    <row r="611" ht="15.75" customHeight="1">
      <c r="E611" s="314"/>
      <c r="F611" s="314"/>
      <c r="H611" s="1149"/>
      <c r="I611" s="1538"/>
      <c r="J611" s="365"/>
      <c r="K611" s="428"/>
      <c r="O611" s="314"/>
      <c r="Q611" s="314"/>
      <c r="R611" s="201"/>
      <c r="S611" s="314"/>
      <c r="AR611" s="314"/>
      <c r="AS611" s="314"/>
    </row>
    <row r="612" ht="15.75" customHeight="1">
      <c r="E612" s="314"/>
      <c r="F612" s="314"/>
      <c r="H612" s="1149"/>
      <c r="I612" s="1538"/>
      <c r="J612" s="365"/>
      <c r="K612" s="428"/>
      <c r="O612" s="314"/>
      <c r="Q612" s="314"/>
      <c r="R612" s="201"/>
      <c r="S612" s="314"/>
      <c r="AR612" s="314"/>
      <c r="AS612" s="314"/>
    </row>
    <row r="613" ht="15.75" customHeight="1">
      <c r="E613" s="314"/>
      <c r="F613" s="314"/>
      <c r="H613" s="1149"/>
      <c r="I613" s="1538"/>
      <c r="J613" s="365"/>
      <c r="K613" s="428"/>
      <c r="O613" s="314"/>
      <c r="Q613" s="314"/>
      <c r="R613" s="201"/>
      <c r="S613" s="314"/>
      <c r="AR613" s="314"/>
      <c r="AS613" s="314"/>
    </row>
    <row r="614" ht="15.75" customHeight="1">
      <c r="E614" s="314"/>
      <c r="F614" s="314"/>
      <c r="H614" s="1149"/>
      <c r="I614" s="1538"/>
      <c r="J614" s="365"/>
      <c r="K614" s="428"/>
      <c r="O614" s="314"/>
      <c r="Q614" s="314"/>
      <c r="R614" s="201"/>
      <c r="S614" s="314"/>
      <c r="AR614" s="314"/>
      <c r="AS614" s="314"/>
    </row>
    <row r="615" ht="15.75" customHeight="1">
      <c r="E615" s="314"/>
      <c r="F615" s="314"/>
      <c r="H615" s="1149"/>
      <c r="I615" s="1538"/>
      <c r="J615" s="365"/>
      <c r="K615" s="428"/>
      <c r="O615" s="314"/>
      <c r="Q615" s="314"/>
      <c r="R615" s="201"/>
      <c r="S615" s="314"/>
      <c r="AR615" s="314"/>
      <c r="AS615" s="314"/>
    </row>
    <row r="616" ht="15.75" customHeight="1">
      <c r="E616" s="314"/>
      <c r="F616" s="314"/>
      <c r="H616" s="1149"/>
      <c r="I616" s="1538"/>
      <c r="J616" s="365"/>
      <c r="K616" s="428"/>
      <c r="O616" s="314"/>
      <c r="Q616" s="314"/>
      <c r="R616" s="201"/>
      <c r="S616" s="314"/>
      <c r="AR616" s="314"/>
      <c r="AS616" s="314"/>
    </row>
    <row r="617" ht="15.75" customHeight="1">
      <c r="E617" s="314"/>
      <c r="F617" s="314"/>
      <c r="H617" s="1149"/>
      <c r="I617" s="1538"/>
      <c r="J617" s="365"/>
      <c r="K617" s="428"/>
      <c r="O617" s="314"/>
      <c r="Q617" s="314"/>
      <c r="R617" s="201"/>
      <c r="S617" s="314"/>
      <c r="AR617" s="314"/>
      <c r="AS617" s="314"/>
    </row>
    <row r="618" ht="15.75" customHeight="1">
      <c r="E618" s="314"/>
      <c r="F618" s="314"/>
      <c r="H618" s="1149"/>
      <c r="I618" s="1538"/>
      <c r="J618" s="365"/>
      <c r="K618" s="428"/>
      <c r="O618" s="314"/>
      <c r="Q618" s="314"/>
      <c r="R618" s="201"/>
      <c r="S618" s="314"/>
      <c r="AR618" s="314"/>
      <c r="AS618" s="314"/>
    </row>
    <row r="619" ht="15.75" customHeight="1">
      <c r="E619" s="314"/>
      <c r="F619" s="314"/>
      <c r="H619" s="1149"/>
      <c r="I619" s="1538"/>
      <c r="J619" s="365"/>
      <c r="K619" s="428"/>
      <c r="O619" s="314"/>
      <c r="Q619" s="314"/>
      <c r="R619" s="201"/>
      <c r="S619" s="314"/>
      <c r="AR619" s="314"/>
      <c r="AS619" s="314"/>
    </row>
    <row r="620" ht="15.75" customHeight="1">
      <c r="E620" s="314"/>
      <c r="F620" s="314"/>
      <c r="H620" s="1149"/>
      <c r="I620" s="1538"/>
      <c r="J620" s="365"/>
      <c r="K620" s="428"/>
      <c r="O620" s="314"/>
      <c r="Q620" s="314"/>
      <c r="R620" s="201"/>
      <c r="S620" s="314"/>
      <c r="AR620" s="314"/>
      <c r="AS620" s="314"/>
    </row>
    <row r="621" ht="15.75" customHeight="1">
      <c r="E621" s="314"/>
      <c r="F621" s="314"/>
      <c r="H621" s="1149"/>
      <c r="I621" s="1538"/>
      <c r="J621" s="365"/>
      <c r="K621" s="428"/>
      <c r="O621" s="314"/>
      <c r="Q621" s="314"/>
      <c r="R621" s="201"/>
      <c r="S621" s="314"/>
      <c r="AR621" s="314"/>
      <c r="AS621" s="314"/>
    </row>
    <row r="622" ht="15.75" customHeight="1">
      <c r="E622" s="314"/>
      <c r="F622" s="314"/>
      <c r="H622" s="1149"/>
      <c r="I622" s="1538"/>
      <c r="J622" s="365"/>
      <c r="K622" s="428"/>
      <c r="O622" s="314"/>
      <c r="Q622" s="314"/>
      <c r="R622" s="201"/>
      <c r="S622" s="314"/>
      <c r="AR622" s="314"/>
      <c r="AS622" s="314"/>
    </row>
    <row r="623" ht="15.75" customHeight="1">
      <c r="E623" s="314"/>
      <c r="F623" s="314"/>
      <c r="H623" s="1149"/>
      <c r="I623" s="1538"/>
      <c r="J623" s="365"/>
      <c r="K623" s="428"/>
      <c r="O623" s="314"/>
      <c r="Q623" s="314"/>
      <c r="R623" s="201"/>
      <c r="S623" s="314"/>
      <c r="AR623" s="314"/>
      <c r="AS623" s="314"/>
    </row>
    <row r="624" ht="15.75" customHeight="1">
      <c r="E624" s="314"/>
      <c r="F624" s="314"/>
      <c r="H624" s="1149"/>
      <c r="I624" s="1538"/>
      <c r="J624" s="365"/>
      <c r="K624" s="428"/>
      <c r="O624" s="314"/>
      <c r="Q624" s="314"/>
      <c r="R624" s="201"/>
      <c r="S624" s="314"/>
      <c r="AR624" s="314"/>
      <c r="AS624" s="314"/>
    </row>
    <row r="625" ht="15.75" customHeight="1">
      <c r="E625" s="314"/>
      <c r="F625" s="314"/>
      <c r="H625" s="1149"/>
      <c r="I625" s="1538"/>
      <c r="J625" s="365"/>
      <c r="K625" s="428"/>
      <c r="O625" s="314"/>
      <c r="Q625" s="314"/>
      <c r="R625" s="201"/>
      <c r="S625" s="314"/>
      <c r="AR625" s="314"/>
      <c r="AS625" s="314"/>
    </row>
    <row r="626" ht="15.75" customHeight="1">
      <c r="E626" s="314"/>
      <c r="F626" s="314"/>
      <c r="H626" s="1149"/>
      <c r="I626" s="1538"/>
      <c r="J626" s="365"/>
      <c r="K626" s="428"/>
      <c r="O626" s="314"/>
      <c r="Q626" s="314"/>
      <c r="R626" s="201"/>
      <c r="S626" s="314"/>
      <c r="AR626" s="314"/>
      <c r="AS626" s="314"/>
    </row>
    <row r="627" ht="15.75" customHeight="1">
      <c r="E627" s="314"/>
      <c r="F627" s="314"/>
      <c r="H627" s="1149"/>
      <c r="I627" s="1538"/>
      <c r="J627" s="365"/>
      <c r="K627" s="428"/>
      <c r="O627" s="314"/>
      <c r="Q627" s="314"/>
      <c r="R627" s="201"/>
      <c r="S627" s="314"/>
      <c r="AR627" s="314"/>
      <c r="AS627" s="314"/>
    </row>
    <row r="628" ht="15.75" customHeight="1">
      <c r="E628" s="314"/>
      <c r="F628" s="314"/>
      <c r="H628" s="1149"/>
      <c r="I628" s="1538"/>
      <c r="J628" s="365"/>
      <c r="K628" s="428"/>
      <c r="O628" s="314"/>
      <c r="Q628" s="314"/>
      <c r="R628" s="201"/>
      <c r="S628" s="314"/>
      <c r="AR628" s="314"/>
      <c r="AS628" s="314"/>
    </row>
    <row r="629" ht="15.75" customHeight="1">
      <c r="E629" s="314"/>
      <c r="F629" s="314"/>
      <c r="H629" s="1149"/>
      <c r="I629" s="1538"/>
      <c r="J629" s="365"/>
      <c r="K629" s="428"/>
      <c r="O629" s="314"/>
      <c r="Q629" s="314"/>
      <c r="R629" s="201"/>
      <c r="S629" s="314"/>
      <c r="AR629" s="314"/>
      <c r="AS629" s="314"/>
    </row>
    <row r="630" ht="15.75" customHeight="1">
      <c r="E630" s="314"/>
      <c r="F630" s="314"/>
      <c r="H630" s="1149"/>
      <c r="I630" s="1538"/>
      <c r="J630" s="365"/>
      <c r="K630" s="428"/>
      <c r="O630" s="314"/>
      <c r="Q630" s="314"/>
      <c r="R630" s="201"/>
      <c r="S630" s="314"/>
      <c r="AR630" s="314"/>
      <c r="AS630" s="314"/>
    </row>
    <row r="631" ht="15.75" customHeight="1">
      <c r="E631" s="314"/>
      <c r="F631" s="314"/>
      <c r="H631" s="1149"/>
      <c r="I631" s="1538"/>
      <c r="J631" s="365"/>
      <c r="K631" s="428"/>
      <c r="O631" s="314"/>
      <c r="Q631" s="314"/>
      <c r="R631" s="201"/>
      <c r="S631" s="314"/>
      <c r="AR631" s="314"/>
      <c r="AS631" s="314"/>
    </row>
    <row r="632" ht="15.75" customHeight="1">
      <c r="E632" s="314"/>
      <c r="F632" s="314"/>
      <c r="H632" s="1149"/>
      <c r="I632" s="1538"/>
      <c r="J632" s="365"/>
      <c r="K632" s="428"/>
      <c r="O632" s="314"/>
      <c r="Q632" s="314"/>
      <c r="R632" s="201"/>
      <c r="S632" s="314"/>
      <c r="AR632" s="314"/>
      <c r="AS632" s="314"/>
    </row>
    <row r="633" ht="15.75" customHeight="1">
      <c r="E633" s="314"/>
      <c r="F633" s="314"/>
      <c r="H633" s="1149"/>
      <c r="I633" s="1538"/>
      <c r="J633" s="365"/>
      <c r="K633" s="428"/>
      <c r="O633" s="314"/>
      <c r="Q633" s="314"/>
      <c r="R633" s="201"/>
      <c r="S633" s="314"/>
      <c r="AR633" s="314"/>
      <c r="AS633" s="314"/>
    </row>
    <row r="634" ht="15.75" customHeight="1">
      <c r="E634" s="314"/>
      <c r="F634" s="314"/>
      <c r="H634" s="1149"/>
      <c r="I634" s="1538"/>
      <c r="J634" s="365"/>
      <c r="K634" s="428"/>
      <c r="O634" s="314"/>
      <c r="Q634" s="314"/>
      <c r="R634" s="201"/>
      <c r="S634" s="314"/>
      <c r="AR634" s="314"/>
      <c r="AS634" s="314"/>
    </row>
    <row r="635" ht="15.75" customHeight="1">
      <c r="E635" s="314"/>
      <c r="F635" s="314"/>
      <c r="H635" s="1149"/>
      <c r="I635" s="1538"/>
      <c r="J635" s="365"/>
      <c r="K635" s="428"/>
      <c r="O635" s="314"/>
      <c r="Q635" s="314"/>
      <c r="R635" s="201"/>
      <c r="S635" s="314"/>
      <c r="AR635" s="314"/>
      <c r="AS635" s="314"/>
    </row>
    <row r="636" ht="15.75" customHeight="1">
      <c r="E636" s="314"/>
      <c r="F636" s="314"/>
      <c r="H636" s="1149"/>
      <c r="I636" s="1538"/>
      <c r="J636" s="365"/>
      <c r="K636" s="428"/>
      <c r="O636" s="314"/>
      <c r="Q636" s="314"/>
      <c r="R636" s="201"/>
      <c r="S636" s="314"/>
      <c r="AR636" s="314"/>
      <c r="AS636" s="314"/>
    </row>
    <row r="637" ht="15.75" customHeight="1">
      <c r="E637" s="314"/>
      <c r="F637" s="314"/>
      <c r="H637" s="1149"/>
      <c r="I637" s="1538"/>
      <c r="J637" s="365"/>
      <c r="K637" s="428"/>
      <c r="O637" s="314"/>
      <c r="Q637" s="314"/>
      <c r="R637" s="201"/>
      <c r="S637" s="314"/>
      <c r="AR637" s="314"/>
      <c r="AS637" s="314"/>
    </row>
    <row r="638" ht="15.75" customHeight="1">
      <c r="E638" s="314"/>
      <c r="F638" s="314"/>
      <c r="H638" s="1149"/>
      <c r="I638" s="1538"/>
      <c r="J638" s="365"/>
      <c r="K638" s="428"/>
      <c r="O638" s="314"/>
      <c r="Q638" s="314"/>
      <c r="R638" s="201"/>
      <c r="S638" s="314"/>
      <c r="AR638" s="314"/>
      <c r="AS638" s="314"/>
    </row>
    <row r="639" ht="15.75" customHeight="1">
      <c r="E639" s="314"/>
      <c r="F639" s="314"/>
      <c r="H639" s="1149"/>
      <c r="I639" s="1538"/>
      <c r="J639" s="365"/>
      <c r="K639" s="428"/>
      <c r="O639" s="314"/>
      <c r="Q639" s="314"/>
      <c r="R639" s="201"/>
      <c r="S639" s="314"/>
      <c r="AR639" s="314"/>
      <c r="AS639" s="314"/>
    </row>
    <row r="640" ht="15.75" customHeight="1">
      <c r="E640" s="314"/>
      <c r="F640" s="314"/>
      <c r="H640" s="1149"/>
      <c r="I640" s="1538"/>
      <c r="J640" s="365"/>
      <c r="K640" s="428"/>
      <c r="O640" s="314"/>
      <c r="Q640" s="314"/>
      <c r="R640" s="201"/>
      <c r="S640" s="314"/>
      <c r="AR640" s="314"/>
      <c r="AS640" s="314"/>
    </row>
    <row r="641" ht="15.75" customHeight="1">
      <c r="E641" s="314"/>
      <c r="F641" s="314"/>
      <c r="H641" s="1149"/>
      <c r="I641" s="1538"/>
      <c r="J641" s="365"/>
      <c r="K641" s="428"/>
      <c r="O641" s="314"/>
      <c r="Q641" s="314"/>
      <c r="R641" s="201"/>
      <c r="S641" s="314"/>
      <c r="AR641" s="314"/>
      <c r="AS641" s="314"/>
    </row>
    <row r="642" ht="15.75" customHeight="1">
      <c r="E642" s="314"/>
      <c r="F642" s="314"/>
      <c r="H642" s="1149"/>
      <c r="I642" s="1538"/>
      <c r="J642" s="365"/>
      <c r="K642" s="428"/>
      <c r="O642" s="314"/>
      <c r="Q642" s="314"/>
      <c r="R642" s="201"/>
      <c r="S642" s="314"/>
      <c r="AR642" s="314"/>
      <c r="AS642" s="314"/>
    </row>
    <row r="643" ht="15.75" customHeight="1">
      <c r="E643" s="314"/>
      <c r="F643" s="314"/>
      <c r="H643" s="1149"/>
      <c r="I643" s="1538"/>
      <c r="J643" s="365"/>
      <c r="K643" s="428"/>
      <c r="O643" s="314"/>
      <c r="Q643" s="314"/>
      <c r="R643" s="201"/>
      <c r="S643" s="314"/>
      <c r="AR643" s="314"/>
      <c r="AS643" s="314"/>
    </row>
    <row r="644" ht="15.75" customHeight="1">
      <c r="E644" s="314"/>
      <c r="F644" s="314"/>
      <c r="H644" s="1149"/>
      <c r="I644" s="1538"/>
      <c r="J644" s="365"/>
      <c r="K644" s="428"/>
      <c r="O644" s="314"/>
      <c r="Q644" s="314"/>
      <c r="R644" s="201"/>
      <c r="S644" s="314"/>
      <c r="AR644" s="314"/>
      <c r="AS644" s="314"/>
    </row>
    <row r="645" ht="15.75" customHeight="1">
      <c r="E645" s="314"/>
      <c r="F645" s="314"/>
      <c r="H645" s="1149"/>
      <c r="I645" s="1538"/>
      <c r="J645" s="365"/>
      <c r="K645" s="428"/>
      <c r="O645" s="314"/>
      <c r="Q645" s="314"/>
      <c r="R645" s="201"/>
      <c r="S645" s="314"/>
      <c r="AR645" s="314"/>
      <c r="AS645" s="314"/>
    </row>
    <row r="646" ht="15.75" customHeight="1">
      <c r="E646" s="314"/>
      <c r="F646" s="314"/>
      <c r="H646" s="1149"/>
      <c r="I646" s="1538"/>
      <c r="J646" s="365"/>
      <c r="K646" s="428"/>
      <c r="O646" s="314"/>
      <c r="Q646" s="314"/>
      <c r="R646" s="201"/>
      <c r="S646" s="314"/>
      <c r="AR646" s="314"/>
      <c r="AS646" s="314"/>
    </row>
    <row r="647" ht="15.75" customHeight="1">
      <c r="E647" s="314"/>
      <c r="F647" s="314"/>
      <c r="H647" s="1149"/>
      <c r="I647" s="1538"/>
      <c r="J647" s="365"/>
      <c r="K647" s="428"/>
      <c r="O647" s="314"/>
      <c r="Q647" s="314"/>
      <c r="R647" s="201"/>
      <c r="S647" s="314"/>
      <c r="AR647" s="314"/>
      <c r="AS647" s="314"/>
    </row>
    <row r="648" ht="15.75" customHeight="1">
      <c r="E648" s="314"/>
      <c r="F648" s="314"/>
      <c r="H648" s="1149"/>
      <c r="I648" s="1538"/>
      <c r="J648" s="365"/>
      <c r="K648" s="428"/>
      <c r="O648" s="314"/>
      <c r="Q648" s="314"/>
      <c r="R648" s="201"/>
      <c r="S648" s="314"/>
      <c r="AR648" s="314"/>
      <c r="AS648" s="314"/>
    </row>
    <row r="649" ht="15.75" customHeight="1">
      <c r="E649" s="314"/>
      <c r="F649" s="314"/>
      <c r="H649" s="1149"/>
      <c r="I649" s="1538"/>
      <c r="J649" s="365"/>
      <c r="K649" s="428"/>
      <c r="O649" s="314"/>
      <c r="Q649" s="314"/>
      <c r="R649" s="201"/>
      <c r="S649" s="314"/>
      <c r="AR649" s="314"/>
      <c r="AS649" s="314"/>
    </row>
    <row r="650" ht="15.75" customHeight="1">
      <c r="E650" s="314"/>
      <c r="F650" s="314"/>
      <c r="H650" s="1149"/>
      <c r="I650" s="1538"/>
      <c r="J650" s="365"/>
      <c r="K650" s="428"/>
      <c r="O650" s="314"/>
      <c r="Q650" s="314"/>
      <c r="R650" s="201"/>
      <c r="S650" s="314"/>
      <c r="AR650" s="314"/>
      <c r="AS650" s="314"/>
    </row>
    <row r="651" ht="15.75" customHeight="1">
      <c r="E651" s="314"/>
      <c r="F651" s="314"/>
      <c r="H651" s="1149"/>
      <c r="I651" s="1538"/>
      <c r="J651" s="365"/>
      <c r="K651" s="428"/>
      <c r="O651" s="314"/>
      <c r="Q651" s="314"/>
      <c r="R651" s="201"/>
      <c r="S651" s="314"/>
      <c r="AR651" s="314"/>
      <c r="AS651" s="314"/>
    </row>
    <row r="652" ht="15.75" customHeight="1">
      <c r="E652" s="314"/>
      <c r="F652" s="314"/>
      <c r="H652" s="1149"/>
      <c r="I652" s="1538"/>
      <c r="J652" s="365"/>
      <c r="K652" s="428"/>
      <c r="O652" s="314"/>
      <c r="Q652" s="314"/>
      <c r="R652" s="201"/>
      <c r="S652" s="314"/>
      <c r="AR652" s="314"/>
      <c r="AS652" s="314"/>
    </row>
    <row r="653" ht="15.75" customHeight="1">
      <c r="E653" s="314"/>
      <c r="F653" s="314"/>
      <c r="H653" s="1149"/>
      <c r="I653" s="1538"/>
      <c r="J653" s="365"/>
      <c r="K653" s="428"/>
      <c r="O653" s="314"/>
      <c r="Q653" s="314"/>
      <c r="R653" s="201"/>
      <c r="S653" s="314"/>
      <c r="AR653" s="314"/>
      <c r="AS653" s="314"/>
    </row>
    <row r="654" ht="15.75" customHeight="1">
      <c r="E654" s="314"/>
      <c r="F654" s="314"/>
      <c r="H654" s="1149"/>
      <c r="I654" s="1538"/>
      <c r="J654" s="365"/>
      <c r="K654" s="428"/>
      <c r="O654" s="314"/>
      <c r="Q654" s="314"/>
      <c r="R654" s="201"/>
      <c r="S654" s="314"/>
      <c r="AR654" s="314"/>
      <c r="AS654" s="314"/>
    </row>
    <row r="655" ht="15.75" customHeight="1">
      <c r="E655" s="314"/>
      <c r="F655" s="314"/>
      <c r="H655" s="1149"/>
      <c r="I655" s="1538"/>
      <c r="J655" s="365"/>
      <c r="K655" s="428"/>
      <c r="O655" s="314"/>
      <c r="Q655" s="314"/>
      <c r="R655" s="201"/>
      <c r="S655" s="314"/>
      <c r="AR655" s="314"/>
      <c r="AS655" s="314"/>
    </row>
    <row r="656" ht="15.75" customHeight="1">
      <c r="E656" s="314"/>
      <c r="F656" s="314"/>
      <c r="H656" s="1149"/>
      <c r="I656" s="1538"/>
      <c r="J656" s="365"/>
      <c r="K656" s="428"/>
      <c r="O656" s="314"/>
      <c r="Q656" s="314"/>
      <c r="R656" s="201"/>
      <c r="S656" s="314"/>
      <c r="AR656" s="314"/>
      <c r="AS656" s="314"/>
    </row>
    <row r="657" ht="15.75" customHeight="1">
      <c r="E657" s="314"/>
      <c r="F657" s="314"/>
      <c r="H657" s="1149"/>
      <c r="I657" s="1538"/>
      <c r="J657" s="365"/>
      <c r="K657" s="428"/>
      <c r="O657" s="314"/>
      <c r="Q657" s="314"/>
      <c r="R657" s="201"/>
      <c r="S657" s="314"/>
      <c r="AR657" s="314"/>
      <c r="AS657" s="314"/>
    </row>
    <row r="658" ht="15.75" customHeight="1">
      <c r="E658" s="314"/>
      <c r="F658" s="314"/>
      <c r="H658" s="1149"/>
      <c r="I658" s="1538"/>
      <c r="J658" s="365"/>
      <c r="K658" s="428"/>
      <c r="O658" s="314"/>
      <c r="Q658" s="314"/>
      <c r="R658" s="201"/>
      <c r="S658" s="314"/>
      <c r="AR658" s="314"/>
      <c r="AS658" s="314"/>
    </row>
    <row r="659" ht="15.75" customHeight="1">
      <c r="E659" s="314"/>
      <c r="F659" s="314"/>
      <c r="H659" s="1149"/>
      <c r="I659" s="1538"/>
      <c r="J659" s="365"/>
      <c r="K659" s="428"/>
      <c r="O659" s="314"/>
      <c r="Q659" s="314"/>
      <c r="R659" s="201"/>
      <c r="S659" s="314"/>
      <c r="AR659" s="314"/>
      <c r="AS659" s="314"/>
    </row>
    <row r="660" ht="15.75" customHeight="1">
      <c r="E660" s="314"/>
      <c r="F660" s="314"/>
      <c r="H660" s="1149"/>
      <c r="I660" s="1538"/>
      <c r="J660" s="365"/>
      <c r="K660" s="428"/>
      <c r="O660" s="314"/>
      <c r="Q660" s="314"/>
      <c r="R660" s="201"/>
      <c r="S660" s="314"/>
      <c r="AR660" s="314"/>
      <c r="AS660" s="314"/>
    </row>
    <row r="661" ht="15.75" customHeight="1">
      <c r="E661" s="314"/>
      <c r="F661" s="314"/>
      <c r="H661" s="1149"/>
      <c r="I661" s="1538"/>
      <c r="J661" s="365"/>
      <c r="K661" s="428"/>
      <c r="O661" s="314"/>
      <c r="Q661" s="314"/>
      <c r="R661" s="201"/>
      <c r="S661" s="314"/>
      <c r="AR661" s="314"/>
      <c r="AS661" s="314"/>
    </row>
    <row r="662" ht="15.75" customHeight="1">
      <c r="E662" s="314"/>
      <c r="F662" s="314"/>
      <c r="H662" s="1149"/>
      <c r="I662" s="1538"/>
      <c r="J662" s="365"/>
      <c r="K662" s="428"/>
      <c r="O662" s="314"/>
      <c r="Q662" s="314"/>
      <c r="R662" s="201"/>
      <c r="S662" s="314"/>
      <c r="AR662" s="314"/>
      <c r="AS662" s="314"/>
    </row>
    <row r="663" ht="15.75" customHeight="1">
      <c r="E663" s="314"/>
      <c r="F663" s="314"/>
      <c r="H663" s="1149"/>
      <c r="I663" s="1538"/>
      <c r="J663" s="365"/>
      <c r="K663" s="428"/>
      <c r="O663" s="314"/>
      <c r="Q663" s="314"/>
      <c r="R663" s="201"/>
      <c r="S663" s="314"/>
      <c r="AR663" s="314"/>
      <c r="AS663" s="314"/>
    </row>
    <row r="664" ht="15.75" customHeight="1">
      <c r="E664" s="314"/>
      <c r="F664" s="314"/>
      <c r="H664" s="1149"/>
      <c r="I664" s="1538"/>
      <c r="J664" s="365"/>
      <c r="K664" s="428"/>
      <c r="O664" s="314"/>
      <c r="Q664" s="314"/>
      <c r="R664" s="201"/>
      <c r="S664" s="314"/>
      <c r="AR664" s="314"/>
      <c r="AS664" s="314"/>
    </row>
    <row r="665" ht="15.75" customHeight="1">
      <c r="E665" s="314"/>
      <c r="F665" s="314"/>
      <c r="H665" s="1149"/>
      <c r="I665" s="1538"/>
      <c r="J665" s="365"/>
      <c r="K665" s="428"/>
      <c r="O665" s="314"/>
      <c r="Q665" s="314"/>
      <c r="R665" s="201"/>
      <c r="S665" s="314"/>
      <c r="AR665" s="314"/>
      <c r="AS665" s="314"/>
    </row>
    <row r="666" ht="15.75" customHeight="1">
      <c r="E666" s="314"/>
      <c r="F666" s="314"/>
      <c r="H666" s="1149"/>
      <c r="I666" s="1538"/>
      <c r="J666" s="365"/>
      <c r="K666" s="428"/>
      <c r="O666" s="314"/>
      <c r="Q666" s="314"/>
      <c r="R666" s="201"/>
      <c r="S666" s="314"/>
      <c r="AR666" s="314"/>
      <c r="AS666" s="314"/>
    </row>
    <row r="667" ht="15.75" customHeight="1">
      <c r="E667" s="314"/>
      <c r="F667" s="314"/>
      <c r="H667" s="1149"/>
      <c r="I667" s="1538"/>
      <c r="J667" s="365"/>
      <c r="K667" s="428"/>
      <c r="O667" s="314"/>
      <c r="Q667" s="314"/>
      <c r="R667" s="201"/>
      <c r="S667" s="314"/>
      <c r="AR667" s="314"/>
      <c r="AS667" s="314"/>
    </row>
    <row r="668" ht="15.75" customHeight="1">
      <c r="E668" s="314"/>
      <c r="F668" s="314"/>
      <c r="H668" s="1149"/>
      <c r="I668" s="1538"/>
      <c r="J668" s="365"/>
      <c r="K668" s="428"/>
      <c r="O668" s="314"/>
      <c r="Q668" s="314"/>
      <c r="R668" s="201"/>
      <c r="S668" s="314"/>
      <c r="AR668" s="314"/>
      <c r="AS668" s="314"/>
    </row>
    <row r="669" ht="15.75" customHeight="1">
      <c r="E669" s="314"/>
      <c r="F669" s="314"/>
      <c r="H669" s="1149"/>
      <c r="I669" s="1538"/>
      <c r="J669" s="365"/>
      <c r="K669" s="428"/>
      <c r="O669" s="314"/>
      <c r="Q669" s="314"/>
      <c r="R669" s="201"/>
      <c r="S669" s="314"/>
      <c r="AR669" s="314"/>
      <c r="AS669" s="314"/>
    </row>
    <row r="670" ht="15.75" customHeight="1">
      <c r="E670" s="314"/>
      <c r="F670" s="314"/>
      <c r="H670" s="1149"/>
      <c r="I670" s="1538"/>
      <c r="J670" s="365"/>
      <c r="K670" s="428"/>
      <c r="O670" s="314"/>
      <c r="Q670" s="314"/>
      <c r="R670" s="201"/>
      <c r="S670" s="314"/>
      <c r="AR670" s="314"/>
      <c r="AS670" s="314"/>
    </row>
    <row r="671" ht="15.75" customHeight="1">
      <c r="E671" s="314"/>
      <c r="F671" s="314"/>
      <c r="H671" s="1149"/>
      <c r="I671" s="1538"/>
      <c r="J671" s="365"/>
      <c r="K671" s="428"/>
      <c r="O671" s="314"/>
      <c r="Q671" s="314"/>
      <c r="R671" s="201"/>
      <c r="S671" s="314"/>
      <c r="AR671" s="314"/>
      <c r="AS671" s="314"/>
    </row>
    <row r="672" ht="15.75" customHeight="1">
      <c r="E672" s="314"/>
      <c r="F672" s="314"/>
      <c r="H672" s="1149"/>
      <c r="I672" s="1538"/>
      <c r="J672" s="365"/>
      <c r="K672" s="428"/>
      <c r="O672" s="314"/>
      <c r="Q672" s="314"/>
      <c r="R672" s="201"/>
      <c r="S672" s="314"/>
      <c r="AR672" s="314"/>
      <c r="AS672" s="314"/>
    </row>
    <row r="673" ht="15.75" customHeight="1">
      <c r="E673" s="314"/>
      <c r="F673" s="314"/>
      <c r="H673" s="1149"/>
      <c r="I673" s="1538"/>
      <c r="J673" s="365"/>
      <c r="K673" s="428"/>
      <c r="O673" s="314"/>
      <c r="Q673" s="314"/>
      <c r="R673" s="201"/>
      <c r="S673" s="314"/>
      <c r="AR673" s="314"/>
      <c r="AS673" s="314"/>
    </row>
    <row r="674" ht="15.75" customHeight="1">
      <c r="E674" s="314"/>
      <c r="F674" s="314"/>
      <c r="H674" s="1149"/>
      <c r="I674" s="1538"/>
      <c r="J674" s="365"/>
      <c r="K674" s="428"/>
      <c r="O674" s="314"/>
      <c r="Q674" s="314"/>
      <c r="R674" s="201"/>
      <c r="S674" s="314"/>
      <c r="AR674" s="314"/>
      <c r="AS674" s="314"/>
    </row>
    <row r="675" ht="15.75" customHeight="1">
      <c r="E675" s="314"/>
      <c r="F675" s="314"/>
      <c r="H675" s="1149"/>
      <c r="I675" s="1538"/>
      <c r="J675" s="365"/>
      <c r="K675" s="428"/>
      <c r="O675" s="314"/>
      <c r="Q675" s="314"/>
      <c r="R675" s="201"/>
      <c r="S675" s="314"/>
      <c r="AR675" s="314"/>
      <c r="AS675" s="314"/>
    </row>
    <row r="676" ht="15.75" customHeight="1">
      <c r="E676" s="314"/>
      <c r="F676" s="314"/>
      <c r="H676" s="1149"/>
      <c r="I676" s="1538"/>
      <c r="J676" s="365"/>
      <c r="K676" s="428"/>
      <c r="O676" s="314"/>
      <c r="Q676" s="314"/>
      <c r="R676" s="201"/>
      <c r="S676" s="314"/>
      <c r="AR676" s="314"/>
      <c r="AS676" s="314"/>
    </row>
    <row r="677" ht="15.75" customHeight="1">
      <c r="E677" s="314"/>
      <c r="F677" s="314"/>
      <c r="H677" s="1149"/>
      <c r="I677" s="1538"/>
      <c r="J677" s="365"/>
      <c r="K677" s="428"/>
      <c r="O677" s="314"/>
      <c r="Q677" s="314"/>
      <c r="R677" s="201"/>
      <c r="S677" s="314"/>
      <c r="AR677" s="314"/>
      <c r="AS677" s="314"/>
    </row>
    <row r="678" ht="15.75" customHeight="1">
      <c r="E678" s="314"/>
      <c r="F678" s="314"/>
      <c r="H678" s="1149"/>
      <c r="I678" s="1538"/>
      <c r="J678" s="365"/>
      <c r="K678" s="428"/>
      <c r="O678" s="314"/>
      <c r="Q678" s="314"/>
      <c r="R678" s="201"/>
      <c r="S678" s="314"/>
      <c r="AR678" s="314"/>
      <c r="AS678" s="314"/>
    </row>
    <row r="679" ht="15.75" customHeight="1">
      <c r="E679" s="314"/>
      <c r="F679" s="314"/>
      <c r="H679" s="1149"/>
      <c r="I679" s="1538"/>
      <c r="J679" s="365"/>
      <c r="K679" s="428"/>
      <c r="O679" s="314"/>
      <c r="Q679" s="314"/>
      <c r="R679" s="201"/>
      <c r="S679" s="314"/>
      <c r="AR679" s="314"/>
      <c r="AS679" s="314"/>
    </row>
    <row r="680" ht="15.75" customHeight="1">
      <c r="E680" s="314"/>
      <c r="F680" s="314"/>
      <c r="H680" s="1149"/>
      <c r="I680" s="1538"/>
      <c r="J680" s="365"/>
      <c r="K680" s="428"/>
      <c r="O680" s="314"/>
      <c r="Q680" s="314"/>
      <c r="R680" s="201"/>
      <c r="S680" s="314"/>
      <c r="AR680" s="314"/>
      <c r="AS680" s="314"/>
    </row>
    <row r="681" ht="15.75" customHeight="1">
      <c r="E681" s="314"/>
      <c r="F681" s="314"/>
      <c r="H681" s="1149"/>
      <c r="I681" s="1538"/>
      <c r="J681" s="365"/>
      <c r="K681" s="428"/>
      <c r="O681" s="314"/>
      <c r="Q681" s="314"/>
      <c r="R681" s="201"/>
      <c r="S681" s="314"/>
      <c r="AR681" s="314"/>
      <c r="AS681" s="314"/>
    </row>
    <row r="682" ht="15.75" customHeight="1">
      <c r="E682" s="314"/>
      <c r="F682" s="314"/>
      <c r="H682" s="1149"/>
      <c r="I682" s="1538"/>
      <c r="J682" s="365"/>
      <c r="K682" s="428"/>
      <c r="O682" s="314"/>
      <c r="Q682" s="314"/>
      <c r="R682" s="201"/>
      <c r="S682" s="314"/>
      <c r="AR682" s="314"/>
      <c r="AS682" s="314"/>
    </row>
    <row r="683" ht="15.75" customHeight="1">
      <c r="E683" s="314"/>
      <c r="F683" s="314"/>
      <c r="H683" s="1149"/>
      <c r="I683" s="1538"/>
      <c r="J683" s="365"/>
      <c r="K683" s="428"/>
      <c r="O683" s="314"/>
      <c r="Q683" s="314"/>
      <c r="R683" s="201"/>
      <c r="S683" s="314"/>
      <c r="AR683" s="314"/>
      <c r="AS683" s="314"/>
    </row>
    <row r="684" ht="15.75" customHeight="1">
      <c r="E684" s="314"/>
      <c r="F684" s="314"/>
      <c r="H684" s="1149"/>
      <c r="I684" s="1538"/>
      <c r="J684" s="365"/>
      <c r="K684" s="428"/>
      <c r="O684" s="314"/>
      <c r="Q684" s="314"/>
      <c r="R684" s="201"/>
      <c r="S684" s="314"/>
      <c r="AR684" s="314"/>
      <c r="AS684" s="314"/>
    </row>
    <row r="685" ht="15.75" customHeight="1">
      <c r="E685" s="314"/>
      <c r="F685" s="314"/>
      <c r="H685" s="1149"/>
      <c r="I685" s="1538"/>
      <c r="J685" s="365"/>
      <c r="K685" s="428"/>
      <c r="O685" s="314"/>
      <c r="Q685" s="314"/>
      <c r="R685" s="201"/>
      <c r="S685" s="314"/>
      <c r="AR685" s="314"/>
      <c r="AS685" s="314"/>
    </row>
    <row r="686" ht="15.75" customHeight="1">
      <c r="E686" s="314"/>
      <c r="F686" s="314"/>
      <c r="H686" s="1149"/>
      <c r="I686" s="1538"/>
      <c r="J686" s="365"/>
      <c r="K686" s="428"/>
      <c r="O686" s="314"/>
      <c r="Q686" s="314"/>
      <c r="R686" s="201"/>
      <c r="S686" s="314"/>
      <c r="AR686" s="314"/>
      <c r="AS686" s="314"/>
    </row>
    <row r="687" ht="15.75" customHeight="1">
      <c r="E687" s="314"/>
      <c r="F687" s="314"/>
      <c r="H687" s="1149"/>
      <c r="I687" s="1538"/>
      <c r="J687" s="365"/>
      <c r="K687" s="428"/>
      <c r="O687" s="314"/>
      <c r="Q687" s="314"/>
      <c r="R687" s="201"/>
      <c r="S687" s="314"/>
      <c r="AR687" s="314"/>
      <c r="AS687" s="314"/>
    </row>
    <row r="688" ht="15.75" customHeight="1">
      <c r="E688" s="314"/>
      <c r="F688" s="314"/>
      <c r="H688" s="1149"/>
      <c r="I688" s="1538"/>
      <c r="J688" s="365"/>
      <c r="K688" s="428"/>
      <c r="O688" s="314"/>
      <c r="Q688" s="314"/>
      <c r="R688" s="201"/>
      <c r="S688" s="314"/>
      <c r="AR688" s="314"/>
      <c r="AS688" s="314"/>
    </row>
    <row r="689" ht="15.75" customHeight="1">
      <c r="E689" s="314"/>
      <c r="F689" s="314"/>
      <c r="H689" s="1149"/>
      <c r="I689" s="1538"/>
      <c r="J689" s="365"/>
      <c r="K689" s="428"/>
      <c r="O689" s="314"/>
      <c r="Q689" s="314"/>
      <c r="R689" s="201"/>
      <c r="S689" s="314"/>
      <c r="AR689" s="314"/>
      <c r="AS689" s="314"/>
    </row>
    <row r="690" ht="15.75" customHeight="1">
      <c r="E690" s="314"/>
      <c r="F690" s="314"/>
      <c r="H690" s="1149"/>
      <c r="I690" s="1538"/>
      <c r="J690" s="365"/>
      <c r="K690" s="428"/>
      <c r="O690" s="314"/>
      <c r="Q690" s="314"/>
      <c r="R690" s="201"/>
      <c r="S690" s="314"/>
      <c r="AR690" s="314"/>
      <c r="AS690" s="314"/>
    </row>
    <row r="691" ht="15.75" customHeight="1">
      <c r="E691" s="314"/>
      <c r="F691" s="314"/>
      <c r="H691" s="1149"/>
      <c r="I691" s="1538"/>
      <c r="J691" s="365"/>
      <c r="K691" s="428"/>
      <c r="O691" s="314"/>
      <c r="Q691" s="314"/>
      <c r="R691" s="201"/>
      <c r="S691" s="314"/>
      <c r="AR691" s="314"/>
      <c r="AS691" s="314"/>
    </row>
    <row r="692" ht="15.75" customHeight="1">
      <c r="E692" s="314"/>
      <c r="F692" s="314"/>
      <c r="H692" s="1149"/>
      <c r="I692" s="1538"/>
      <c r="J692" s="365"/>
      <c r="K692" s="428"/>
      <c r="O692" s="314"/>
      <c r="Q692" s="314"/>
      <c r="R692" s="201"/>
      <c r="S692" s="314"/>
      <c r="AR692" s="314"/>
      <c r="AS692" s="314"/>
    </row>
    <row r="693" ht="15.75" customHeight="1">
      <c r="E693" s="314"/>
      <c r="F693" s="314"/>
      <c r="H693" s="1149"/>
      <c r="I693" s="1538"/>
      <c r="J693" s="365"/>
      <c r="K693" s="428"/>
      <c r="O693" s="314"/>
      <c r="Q693" s="314"/>
      <c r="R693" s="201"/>
      <c r="S693" s="314"/>
      <c r="AR693" s="314"/>
      <c r="AS693" s="314"/>
    </row>
    <row r="694" ht="15.75" customHeight="1">
      <c r="E694" s="314"/>
      <c r="F694" s="314"/>
      <c r="H694" s="1149"/>
      <c r="I694" s="1538"/>
      <c r="J694" s="365"/>
      <c r="K694" s="428"/>
      <c r="O694" s="314"/>
      <c r="Q694" s="314"/>
      <c r="R694" s="201"/>
      <c r="S694" s="314"/>
      <c r="AR694" s="314"/>
      <c r="AS694" s="314"/>
    </row>
    <row r="695" ht="15.75" customHeight="1">
      <c r="E695" s="314"/>
      <c r="F695" s="314"/>
      <c r="H695" s="1149"/>
      <c r="I695" s="1538"/>
      <c r="J695" s="365"/>
      <c r="K695" s="428"/>
      <c r="O695" s="314"/>
      <c r="Q695" s="314"/>
      <c r="R695" s="201"/>
      <c r="S695" s="314"/>
      <c r="AR695" s="314"/>
      <c r="AS695" s="314"/>
    </row>
    <row r="696" ht="15.75" customHeight="1">
      <c r="E696" s="314"/>
      <c r="F696" s="314"/>
      <c r="H696" s="1149"/>
      <c r="I696" s="1538"/>
      <c r="J696" s="365"/>
      <c r="K696" s="428"/>
      <c r="O696" s="314"/>
      <c r="Q696" s="314"/>
      <c r="R696" s="201"/>
      <c r="S696" s="314"/>
      <c r="AR696" s="314"/>
      <c r="AS696" s="314"/>
    </row>
    <row r="697" ht="15.75" customHeight="1">
      <c r="E697" s="314"/>
      <c r="F697" s="314"/>
      <c r="H697" s="1149"/>
      <c r="I697" s="1538"/>
      <c r="J697" s="365"/>
      <c r="K697" s="428"/>
      <c r="O697" s="314"/>
      <c r="Q697" s="314"/>
      <c r="R697" s="201"/>
      <c r="S697" s="314"/>
      <c r="AR697" s="314"/>
      <c r="AS697" s="314"/>
    </row>
    <row r="698" ht="15.75" customHeight="1">
      <c r="E698" s="314"/>
      <c r="F698" s="314"/>
      <c r="H698" s="1149"/>
      <c r="I698" s="1538"/>
      <c r="J698" s="365"/>
      <c r="K698" s="428"/>
      <c r="O698" s="314"/>
      <c r="Q698" s="314"/>
      <c r="R698" s="201"/>
      <c r="S698" s="314"/>
      <c r="AR698" s="314"/>
      <c r="AS698" s="314"/>
    </row>
    <row r="699" ht="15.75" customHeight="1">
      <c r="E699" s="314"/>
      <c r="F699" s="314"/>
      <c r="H699" s="1149"/>
      <c r="I699" s="1538"/>
      <c r="J699" s="365"/>
      <c r="K699" s="428"/>
      <c r="O699" s="314"/>
      <c r="Q699" s="314"/>
      <c r="R699" s="201"/>
      <c r="S699" s="314"/>
      <c r="AR699" s="314"/>
      <c r="AS699" s="314"/>
    </row>
    <row r="700" ht="15.75" customHeight="1">
      <c r="E700" s="314"/>
      <c r="F700" s="314"/>
      <c r="H700" s="1149"/>
      <c r="I700" s="1538"/>
      <c r="J700" s="365"/>
      <c r="K700" s="428"/>
      <c r="O700" s="314"/>
      <c r="Q700" s="314"/>
      <c r="R700" s="201"/>
      <c r="S700" s="314"/>
      <c r="AR700" s="314"/>
      <c r="AS700" s="314"/>
    </row>
    <row r="701" ht="15.75" customHeight="1">
      <c r="E701" s="314"/>
      <c r="F701" s="314"/>
      <c r="H701" s="1149"/>
      <c r="I701" s="1538"/>
      <c r="J701" s="365"/>
      <c r="K701" s="428"/>
      <c r="O701" s="314"/>
      <c r="Q701" s="314"/>
      <c r="R701" s="201"/>
      <c r="S701" s="314"/>
      <c r="AR701" s="314"/>
      <c r="AS701" s="314"/>
    </row>
    <row r="702" ht="15.75" customHeight="1">
      <c r="E702" s="314"/>
      <c r="F702" s="314"/>
      <c r="H702" s="1149"/>
      <c r="I702" s="1538"/>
      <c r="J702" s="365"/>
      <c r="K702" s="428"/>
      <c r="O702" s="314"/>
      <c r="Q702" s="314"/>
      <c r="R702" s="201"/>
      <c r="S702" s="314"/>
      <c r="AR702" s="314"/>
      <c r="AS702" s="314"/>
    </row>
    <row r="703" ht="15.75" customHeight="1">
      <c r="E703" s="314"/>
      <c r="F703" s="314"/>
      <c r="H703" s="1149"/>
      <c r="I703" s="1538"/>
      <c r="J703" s="365"/>
      <c r="K703" s="428"/>
      <c r="O703" s="314"/>
      <c r="Q703" s="314"/>
      <c r="R703" s="201"/>
      <c r="S703" s="314"/>
      <c r="AR703" s="314"/>
      <c r="AS703" s="314"/>
    </row>
    <row r="704" ht="15.75" customHeight="1">
      <c r="E704" s="314"/>
      <c r="F704" s="314"/>
      <c r="H704" s="1149"/>
      <c r="I704" s="1538"/>
      <c r="J704" s="365"/>
      <c r="K704" s="428"/>
      <c r="O704" s="314"/>
      <c r="Q704" s="314"/>
      <c r="R704" s="201"/>
      <c r="S704" s="314"/>
      <c r="AR704" s="314"/>
      <c r="AS704" s="314"/>
    </row>
    <row r="705" ht="15.75" customHeight="1">
      <c r="E705" s="314"/>
      <c r="F705" s="314"/>
      <c r="H705" s="1149"/>
      <c r="I705" s="1538"/>
      <c r="J705" s="365"/>
      <c r="K705" s="428"/>
      <c r="O705" s="314"/>
      <c r="Q705" s="314"/>
      <c r="R705" s="201"/>
      <c r="S705" s="314"/>
      <c r="AR705" s="314"/>
      <c r="AS705" s="314"/>
    </row>
    <row r="706" ht="15.75" customHeight="1">
      <c r="E706" s="314"/>
      <c r="F706" s="314"/>
      <c r="H706" s="1149"/>
      <c r="I706" s="1538"/>
      <c r="J706" s="365"/>
      <c r="K706" s="428"/>
      <c r="O706" s="314"/>
      <c r="Q706" s="314"/>
      <c r="R706" s="201"/>
      <c r="S706" s="314"/>
      <c r="AR706" s="314"/>
      <c r="AS706" s="314"/>
    </row>
    <row r="707" ht="15.75" customHeight="1">
      <c r="E707" s="314"/>
      <c r="F707" s="314"/>
      <c r="H707" s="1149"/>
      <c r="I707" s="1538"/>
      <c r="J707" s="365"/>
      <c r="K707" s="428"/>
      <c r="O707" s="314"/>
      <c r="Q707" s="314"/>
      <c r="R707" s="201"/>
      <c r="S707" s="314"/>
      <c r="AR707" s="314"/>
      <c r="AS707" s="314"/>
    </row>
    <row r="708" ht="15.75" customHeight="1">
      <c r="E708" s="314"/>
      <c r="F708" s="314"/>
      <c r="H708" s="1149"/>
      <c r="I708" s="1538"/>
      <c r="J708" s="365"/>
      <c r="K708" s="428"/>
      <c r="O708" s="314"/>
      <c r="Q708" s="314"/>
      <c r="R708" s="201"/>
      <c r="S708" s="314"/>
      <c r="AR708" s="314"/>
      <c r="AS708" s="314"/>
    </row>
    <row r="709" ht="15.75" customHeight="1">
      <c r="E709" s="314"/>
      <c r="F709" s="314"/>
      <c r="H709" s="1149"/>
      <c r="I709" s="1538"/>
      <c r="J709" s="365"/>
      <c r="K709" s="428"/>
      <c r="O709" s="314"/>
      <c r="Q709" s="314"/>
      <c r="R709" s="201"/>
      <c r="S709" s="314"/>
      <c r="AR709" s="314"/>
      <c r="AS709" s="314"/>
    </row>
    <row r="710" ht="15.75" customHeight="1">
      <c r="E710" s="314"/>
      <c r="F710" s="314"/>
      <c r="H710" s="1149"/>
      <c r="I710" s="1538"/>
      <c r="J710" s="365"/>
      <c r="K710" s="428"/>
      <c r="O710" s="314"/>
      <c r="Q710" s="314"/>
      <c r="R710" s="201"/>
      <c r="S710" s="314"/>
      <c r="AR710" s="314"/>
      <c r="AS710" s="314"/>
    </row>
    <row r="711" ht="15.75" customHeight="1">
      <c r="E711" s="314"/>
      <c r="F711" s="314"/>
      <c r="H711" s="1149"/>
      <c r="I711" s="1538"/>
      <c r="J711" s="365"/>
      <c r="K711" s="428"/>
      <c r="O711" s="314"/>
      <c r="Q711" s="314"/>
      <c r="R711" s="201"/>
      <c r="S711" s="314"/>
      <c r="AR711" s="314"/>
      <c r="AS711" s="314"/>
    </row>
    <row r="712" ht="15.75" customHeight="1">
      <c r="E712" s="314"/>
      <c r="F712" s="314"/>
      <c r="H712" s="1149"/>
      <c r="I712" s="1538"/>
      <c r="J712" s="365"/>
      <c r="K712" s="428"/>
      <c r="O712" s="314"/>
      <c r="Q712" s="314"/>
      <c r="R712" s="201"/>
      <c r="S712" s="314"/>
      <c r="AR712" s="314"/>
      <c r="AS712" s="314"/>
    </row>
    <row r="713" ht="15.75" customHeight="1">
      <c r="E713" s="314"/>
      <c r="F713" s="314"/>
      <c r="H713" s="1149"/>
      <c r="I713" s="1538"/>
      <c r="J713" s="365"/>
      <c r="K713" s="428"/>
      <c r="O713" s="314"/>
      <c r="Q713" s="314"/>
      <c r="R713" s="201"/>
      <c r="S713" s="314"/>
      <c r="AR713" s="314"/>
      <c r="AS713" s="314"/>
    </row>
    <row r="714" ht="15.75" customHeight="1">
      <c r="E714" s="314"/>
      <c r="F714" s="314"/>
      <c r="H714" s="1149"/>
      <c r="I714" s="1538"/>
      <c r="J714" s="365"/>
      <c r="K714" s="428"/>
      <c r="O714" s="314"/>
      <c r="Q714" s="314"/>
      <c r="R714" s="201"/>
      <c r="S714" s="314"/>
      <c r="AR714" s="314"/>
      <c r="AS714" s="314"/>
    </row>
    <row r="715" ht="15.75" customHeight="1">
      <c r="E715" s="314"/>
      <c r="F715" s="314"/>
      <c r="H715" s="1149"/>
      <c r="I715" s="1538"/>
      <c r="J715" s="365"/>
      <c r="K715" s="428"/>
      <c r="O715" s="314"/>
      <c r="Q715" s="314"/>
      <c r="R715" s="201"/>
      <c r="S715" s="314"/>
      <c r="AR715" s="314"/>
      <c r="AS715" s="314"/>
    </row>
    <row r="716" ht="15.75" customHeight="1">
      <c r="E716" s="314"/>
      <c r="F716" s="314"/>
      <c r="H716" s="1149"/>
      <c r="I716" s="1538"/>
      <c r="J716" s="365"/>
      <c r="K716" s="428"/>
      <c r="O716" s="314"/>
      <c r="Q716" s="314"/>
      <c r="R716" s="201"/>
      <c r="S716" s="314"/>
      <c r="AR716" s="314"/>
      <c r="AS716" s="314"/>
    </row>
    <row r="717" ht="15.75" customHeight="1">
      <c r="E717" s="314"/>
      <c r="F717" s="314"/>
      <c r="H717" s="1149"/>
      <c r="I717" s="1538"/>
      <c r="J717" s="365"/>
      <c r="K717" s="428"/>
      <c r="O717" s="314"/>
      <c r="Q717" s="314"/>
      <c r="R717" s="201"/>
      <c r="S717" s="314"/>
      <c r="AR717" s="314"/>
      <c r="AS717" s="314"/>
    </row>
    <row r="718" ht="15.75" customHeight="1">
      <c r="E718" s="314"/>
      <c r="F718" s="314"/>
      <c r="H718" s="1149"/>
      <c r="I718" s="1538"/>
      <c r="J718" s="365"/>
      <c r="K718" s="428"/>
      <c r="O718" s="314"/>
      <c r="Q718" s="314"/>
      <c r="R718" s="201"/>
      <c r="S718" s="314"/>
      <c r="AR718" s="314"/>
      <c r="AS718" s="314"/>
    </row>
    <row r="719" ht="15.75" customHeight="1">
      <c r="E719" s="314"/>
      <c r="F719" s="314"/>
      <c r="H719" s="1149"/>
      <c r="I719" s="1538"/>
      <c r="J719" s="365"/>
      <c r="K719" s="428"/>
      <c r="O719" s="314"/>
      <c r="Q719" s="314"/>
      <c r="R719" s="201"/>
      <c r="S719" s="314"/>
      <c r="AR719" s="314"/>
      <c r="AS719" s="314"/>
    </row>
    <row r="720" ht="15.75" customHeight="1">
      <c r="E720" s="314"/>
      <c r="F720" s="314"/>
      <c r="H720" s="1149"/>
      <c r="I720" s="1538"/>
      <c r="J720" s="365"/>
      <c r="K720" s="428"/>
      <c r="O720" s="314"/>
      <c r="Q720" s="314"/>
      <c r="R720" s="201"/>
      <c r="S720" s="314"/>
      <c r="AR720" s="314"/>
      <c r="AS720" s="314"/>
    </row>
    <row r="721" ht="15.75" customHeight="1">
      <c r="E721" s="314"/>
      <c r="F721" s="314"/>
      <c r="H721" s="1149"/>
      <c r="I721" s="1538"/>
      <c r="J721" s="365"/>
      <c r="K721" s="428"/>
      <c r="O721" s="314"/>
      <c r="Q721" s="314"/>
      <c r="R721" s="201"/>
      <c r="S721" s="314"/>
      <c r="AR721" s="314"/>
      <c r="AS721" s="314"/>
    </row>
    <row r="722" ht="15.75" customHeight="1">
      <c r="E722" s="314"/>
      <c r="F722" s="314"/>
      <c r="H722" s="1149"/>
      <c r="I722" s="1538"/>
      <c r="J722" s="365"/>
      <c r="K722" s="428"/>
      <c r="O722" s="314"/>
      <c r="Q722" s="314"/>
      <c r="R722" s="201"/>
      <c r="S722" s="314"/>
      <c r="AR722" s="314"/>
      <c r="AS722" s="314"/>
    </row>
    <row r="723" ht="15.75" customHeight="1">
      <c r="E723" s="314"/>
      <c r="F723" s="314"/>
      <c r="H723" s="1149"/>
      <c r="I723" s="1538"/>
      <c r="J723" s="365"/>
      <c r="K723" s="428"/>
      <c r="O723" s="314"/>
      <c r="Q723" s="314"/>
      <c r="R723" s="201"/>
      <c r="S723" s="314"/>
      <c r="AR723" s="314"/>
      <c r="AS723" s="314"/>
    </row>
    <row r="724" ht="15.75" customHeight="1">
      <c r="E724" s="314"/>
      <c r="F724" s="314"/>
      <c r="H724" s="1149"/>
      <c r="I724" s="1538"/>
      <c r="J724" s="365"/>
      <c r="K724" s="428"/>
      <c r="O724" s="314"/>
      <c r="Q724" s="314"/>
      <c r="R724" s="201"/>
      <c r="S724" s="314"/>
      <c r="AR724" s="314"/>
      <c r="AS724" s="314"/>
    </row>
    <row r="725" ht="15.75" customHeight="1">
      <c r="E725" s="314"/>
      <c r="F725" s="314"/>
      <c r="H725" s="1149"/>
      <c r="I725" s="1538"/>
      <c r="J725" s="365"/>
      <c r="K725" s="428"/>
      <c r="O725" s="314"/>
      <c r="Q725" s="314"/>
      <c r="R725" s="201"/>
      <c r="S725" s="314"/>
      <c r="AR725" s="314"/>
      <c r="AS725" s="314"/>
    </row>
    <row r="726" ht="15.75" customHeight="1">
      <c r="E726" s="314"/>
      <c r="F726" s="314"/>
      <c r="H726" s="1149"/>
      <c r="I726" s="1538"/>
      <c r="J726" s="365"/>
      <c r="K726" s="428"/>
      <c r="O726" s="314"/>
      <c r="Q726" s="314"/>
      <c r="R726" s="201"/>
      <c r="S726" s="314"/>
      <c r="AR726" s="314"/>
      <c r="AS726" s="314"/>
    </row>
    <row r="727" ht="15.75" customHeight="1">
      <c r="E727" s="314"/>
      <c r="F727" s="314"/>
      <c r="H727" s="1149"/>
      <c r="I727" s="1538"/>
      <c r="J727" s="365"/>
      <c r="K727" s="428"/>
      <c r="O727" s="314"/>
      <c r="Q727" s="314"/>
      <c r="R727" s="201"/>
      <c r="S727" s="314"/>
      <c r="AR727" s="314"/>
      <c r="AS727" s="314"/>
    </row>
    <row r="728" ht="15.75" customHeight="1">
      <c r="E728" s="314"/>
      <c r="F728" s="314"/>
      <c r="H728" s="1149"/>
      <c r="I728" s="1538"/>
      <c r="J728" s="365"/>
      <c r="K728" s="428"/>
      <c r="O728" s="314"/>
      <c r="Q728" s="314"/>
      <c r="R728" s="201"/>
      <c r="S728" s="314"/>
      <c r="AR728" s="314"/>
      <c r="AS728" s="314"/>
    </row>
    <row r="729" ht="15.75" customHeight="1">
      <c r="E729" s="314"/>
      <c r="F729" s="314"/>
      <c r="H729" s="1149"/>
      <c r="I729" s="1538"/>
      <c r="J729" s="365"/>
      <c r="K729" s="428"/>
      <c r="O729" s="314"/>
      <c r="Q729" s="314"/>
      <c r="R729" s="201"/>
      <c r="S729" s="314"/>
      <c r="AR729" s="314"/>
      <c r="AS729" s="314"/>
    </row>
    <row r="730" ht="15.75" customHeight="1">
      <c r="E730" s="314"/>
      <c r="F730" s="314"/>
      <c r="H730" s="1149"/>
      <c r="I730" s="1538"/>
      <c r="J730" s="365"/>
      <c r="K730" s="428"/>
      <c r="O730" s="314"/>
      <c r="Q730" s="314"/>
      <c r="R730" s="201"/>
      <c r="S730" s="314"/>
      <c r="AR730" s="314"/>
      <c r="AS730" s="314"/>
    </row>
    <row r="731" ht="15.75" customHeight="1">
      <c r="E731" s="314"/>
      <c r="F731" s="314"/>
      <c r="H731" s="1149"/>
      <c r="I731" s="1538"/>
      <c r="J731" s="365"/>
      <c r="K731" s="428"/>
      <c r="O731" s="314"/>
      <c r="Q731" s="314"/>
      <c r="R731" s="201"/>
      <c r="S731" s="314"/>
      <c r="AR731" s="314"/>
      <c r="AS731" s="314"/>
    </row>
    <row r="732" ht="15.75" customHeight="1">
      <c r="E732" s="314"/>
      <c r="F732" s="314"/>
      <c r="H732" s="1149"/>
      <c r="I732" s="1538"/>
      <c r="J732" s="365"/>
      <c r="K732" s="428"/>
      <c r="O732" s="314"/>
      <c r="Q732" s="314"/>
      <c r="R732" s="201"/>
      <c r="S732" s="314"/>
      <c r="AR732" s="314"/>
      <c r="AS732" s="314"/>
    </row>
    <row r="733" ht="15.75" customHeight="1">
      <c r="E733" s="314"/>
      <c r="F733" s="314"/>
      <c r="H733" s="1149"/>
      <c r="I733" s="1538"/>
      <c r="J733" s="365"/>
      <c r="K733" s="428"/>
      <c r="O733" s="314"/>
      <c r="Q733" s="314"/>
      <c r="R733" s="201"/>
      <c r="S733" s="314"/>
      <c r="AR733" s="314"/>
      <c r="AS733" s="314"/>
    </row>
    <row r="734" ht="15.75" customHeight="1">
      <c r="E734" s="314"/>
      <c r="F734" s="314"/>
      <c r="H734" s="1149"/>
      <c r="I734" s="1538"/>
      <c r="J734" s="365"/>
      <c r="K734" s="428"/>
      <c r="O734" s="314"/>
      <c r="Q734" s="314"/>
      <c r="R734" s="201"/>
      <c r="S734" s="314"/>
      <c r="AR734" s="314"/>
      <c r="AS734" s="314"/>
    </row>
    <row r="735" ht="15.75" customHeight="1">
      <c r="E735" s="314"/>
      <c r="F735" s="314"/>
      <c r="H735" s="1149"/>
      <c r="I735" s="1538"/>
      <c r="J735" s="365"/>
      <c r="K735" s="428"/>
      <c r="O735" s="314"/>
      <c r="Q735" s="314"/>
      <c r="R735" s="201"/>
      <c r="S735" s="314"/>
      <c r="AR735" s="314"/>
      <c r="AS735" s="314"/>
    </row>
    <row r="736" ht="15.75" customHeight="1">
      <c r="E736" s="314"/>
      <c r="F736" s="314"/>
      <c r="H736" s="1149"/>
      <c r="I736" s="1538"/>
      <c r="J736" s="365"/>
      <c r="K736" s="428"/>
      <c r="O736" s="314"/>
      <c r="Q736" s="314"/>
      <c r="R736" s="201"/>
      <c r="S736" s="314"/>
      <c r="AR736" s="314"/>
      <c r="AS736" s="314"/>
    </row>
    <row r="737" ht="15.75" customHeight="1">
      <c r="E737" s="314"/>
      <c r="F737" s="314"/>
      <c r="H737" s="1149"/>
      <c r="I737" s="1538"/>
      <c r="J737" s="365"/>
      <c r="K737" s="428"/>
      <c r="O737" s="314"/>
      <c r="Q737" s="314"/>
      <c r="R737" s="201"/>
      <c r="S737" s="314"/>
      <c r="AR737" s="314"/>
      <c r="AS737" s="314"/>
    </row>
    <row r="738" ht="15.75" customHeight="1">
      <c r="E738" s="314"/>
      <c r="F738" s="314"/>
      <c r="H738" s="1149"/>
      <c r="I738" s="1538"/>
      <c r="J738" s="365"/>
      <c r="K738" s="428"/>
      <c r="O738" s="314"/>
      <c r="Q738" s="314"/>
      <c r="R738" s="201"/>
      <c r="S738" s="314"/>
      <c r="AR738" s="314"/>
      <c r="AS738" s="314"/>
    </row>
    <row r="739" ht="15.75" customHeight="1">
      <c r="E739" s="314"/>
      <c r="F739" s="314"/>
      <c r="H739" s="1149"/>
      <c r="I739" s="1538"/>
      <c r="J739" s="365"/>
      <c r="K739" s="428"/>
      <c r="O739" s="314"/>
      <c r="Q739" s="314"/>
      <c r="R739" s="201"/>
      <c r="S739" s="314"/>
      <c r="AR739" s="314"/>
      <c r="AS739" s="314"/>
    </row>
    <row r="740" ht="15.75" customHeight="1">
      <c r="E740" s="314"/>
      <c r="F740" s="314"/>
      <c r="H740" s="1149"/>
      <c r="I740" s="1538"/>
      <c r="J740" s="365"/>
      <c r="K740" s="428"/>
      <c r="O740" s="314"/>
      <c r="Q740" s="314"/>
      <c r="R740" s="201"/>
      <c r="S740" s="314"/>
      <c r="AR740" s="314"/>
      <c r="AS740" s="314"/>
    </row>
    <row r="741" ht="15.75" customHeight="1">
      <c r="E741" s="314"/>
      <c r="F741" s="314"/>
      <c r="H741" s="1149"/>
      <c r="I741" s="1538"/>
      <c r="J741" s="365"/>
      <c r="K741" s="428"/>
      <c r="O741" s="314"/>
      <c r="Q741" s="314"/>
      <c r="R741" s="201"/>
      <c r="S741" s="314"/>
      <c r="AR741" s="314"/>
      <c r="AS741" s="314"/>
    </row>
    <row r="742" ht="15.75" customHeight="1">
      <c r="E742" s="314"/>
      <c r="F742" s="314"/>
      <c r="H742" s="1149"/>
      <c r="I742" s="1538"/>
      <c r="J742" s="365"/>
      <c r="K742" s="428"/>
      <c r="O742" s="314"/>
      <c r="Q742" s="314"/>
      <c r="R742" s="201"/>
      <c r="S742" s="314"/>
      <c r="AR742" s="314"/>
      <c r="AS742" s="314"/>
    </row>
    <row r="743" ht="15.75" customHeight="1">
      <c r="E743" s="314"/>
      <c r="F743" s="314"/>
      <c r="H743" s="1149"/>
      <c r="I743" s="1538"/>
      <c r="J743" s="365"/>
      <c r="K743" s="428"/>
      <c r="O743" s="314"/>
      <c r="Q743" s="314"/>
      <c r="R743" s="201"/>
      <c r="S743" s="314"/>
      <c r="AR743" s="314"/>
      <c r="AS743" s="314"/>
    </row>
    <row r="744" ht="15.75" customHeight="1">
      <c r="E744" s="314"/>
      <c r="F744" s="314"/>
      <c r="H744" s="1149"/>
      <c r="I744" s="1538"/>
      <c r="J744" s="365"/>
      <c r="K744" s="428"/>
      <c r="O744" s="314"/>
      <c r="Q744" s="314"/>
      <c r="R744" s="201"/>
      <c r="S744" s="314"/>
      <c r="AR744" s="314"/>
      <c r="AS744" s="314"/>
    </row>
    <row r="745" ht="15.75" customHeight="1">
      <c r="E745" s="314"/>
      <c r="F745" s="314"/>
      <c r="H745" s="1149"/>
      <c r="I745" s="1538"/>
      <c r="J745" s="365"/>
      <c r="K745" s="428"/>
      <c r="O745" s="314"/>
      <c r="Q745" s="314"/>
      <c r="R745" s="201"/>
      <c r="S745" s="314"/>
      <c r="AR745" s="314"/>
      <c r="AS745" s="314"/>
    </row>
    <row r="746" ht="15.75" customHeight="1">
      <c r="E746" s="314"/>
      <c r="F746" s="314"/>
      <c r="H746" s="1149"/>
      <c r="I746" s="1538"/>
      <c r="J746" s="365"/>
      <c r="K746" s="428"/>
      <c r="O746" s="314"/>
      <c r="Q746" s="314"/>
      <c r="R746" s="201"/>
      <c r="S746" s="314"/>
      <c r="AR746" s="314"/>
      <c r="AS746" s="314"/>
    </row>
    <row r="747" ht="15.75" customHeight="1">
      <c r="E747" s="314"/>
      <c r="F747" s="314"/>
      <c r="H747" s="1149"/>
      <c r="I747" s="1538"/>
      <c r="J747" s="365"/>
      <c r="K747" s="428"/>
      <c r="O747" s="314"/>
      <c r="Q747" s="314"/>
      <c r="R747" s="201"/>
      <c r="S747" s="314"/>
      <c r="AR747" s="314"/>
      <c r="AS747" s="314"/>
    </row>
    <row r="748" ht="15.75" customHeight="1">
      <c r="E748" s="314"/>
      <c r="F748" s="314"/>
      <c r="H748" s="1149"/>
      <c r="I748" s="1538"/>
      <c r="J748" s="365"/>
      <c r="K748" s="428"/>
      <c r="O748" s="314"/>
      <c r="Q748" s="314"/>
      <c r="R748" s="201"/>
      <c r="S748" s="314"/>
      <c r="AR748" s="314"/>
      <c r="AS748" s="314"/>
    </row>
    <row r="749" ht="15.75" customHeight="1">
      <c r="E749" s="314"/>
      <c r="F749" s="314"/>
      <c r="H749" s="1149"/>
      <c r="I749" s="1538"/>
      <c r="J749" s="365"/>
      <c r="K749" s="428"/>
      <c r="O749" s="314"/>
      <c r="Q749" s="314"/>
      <c r="R749" s="201"/>
      <c r="S749" s="314"/>
      <c r="AR749" s="314"/>
      <c r="AS749" s="314"/>
    </row>
    <row r="750" ht="15.75" customHeight="1">
      <c r="E750" s="314"/>
      <c r="F750" s="314"/>
      <c r="H750" s="1149"/>
      <c r="I750" s="1538"/>
      <c r="J750" s="365"/>
      <c r="K750" s="428"/>
      <c r="O750" s="314"/>
      <c r="Q750" s="314"/>
      <c r="R750" s="201"/>
      <c r="S750" s="314"/>
      <c r="AR750" s="314"/>
      <c r="AS750" s="314"/>
    </row>
    <row r="751" ht="15.75" customHeight="1">
      <c r="E751" s="314"/>
      <c r="F751" s="314"/>
      <c r="H751" s="1149"/>
      <c r="I751" s="1538"/>
      <c r="J751" s="365"/>
      <c r="K751" s="428"/>
      <c r="O751" s="314"/>
      <c r="Q751" s="314"/>
      <c r="R751" s="201"/>
      <c r="S751" s="314"/>
      <c r="AR751" s="314"/>
      <c r="AS751" s="314"/>
    </row>
    <row r="752" ht="15.75" customHeight="1">
      <c r="E752" s="314"/>
      <c r="F752" s="314"/>
      <c r="H752" s="1149"/>
      <c r="I752" s="1538"/>
      <c r="J752" s="365"/>
      <c r="K752" s="428"/>
      <c r="O752" s="314"/>
      <c r="Q752" s="314"/>
      <c r="R752" s="201"/>
      <c r="S752" s="314"/>
      <c r="AR752" s="314"/>
      <c r="AS752" s="314"/>
    </row>
    <row r="753" ht="15.75" customHeight="1">
      <c r="E753" s="314"/>
      <c r="F753" s="314"/>
      <c r="H753" s="1149"/>
      <c r="I753" s="1538"/>
      <c r="J753" s="365"/>
      <c r="K753" s="428"/>
      <c r="O753" s="314"/>
      <c r="Q753" s="314"/>
      <c r="R753" s="201"/>
      <c r="S753" s="314"/>
      <c r="AR753" s="314"/>
      <c r="AS753" s="314"/>
    </row>
    <row r="754" ht="15.75" customHeight="1">
      <c r="E754" s="314"/>
      <c r="F754" s="314"/>
      <c r="H754" s="1149"/>
      <c r="I754" s="1538"/>
      <c r="J754" s="365"/>
      <c r="K754" s="428"/>
      <c r="O754" s="314"/>
      <c r="Q754" s="314"/>
      <c r="R754" s="201"/>
      <c r="S754" s="314"/>
      <c r="AR754" s="314"/>
      <c r="AS754" s="314"/>
    </row>
    <row r="755" ht="15.75" customHeight="1">
      <c r="E755" s="314"/>
      <c r="F755" s="314"/>
      <c r="H755" s="1149"/>
      <c r="I755" s="1538"/>
      <c r="J755" s="365"/>
      <c r="K755" s="428"/>
      <c r="O755" s="314"/>
      <c r="Q755" s="314"/>
      <c r="R755" s="201"/>
      <c r="S755" s="314"/>
      <c r="AR755" s="314"/>
      <c r="AS755" s="314"/>
    </row>
    <row r="756" ht="15.75" customHeight="1">
      <c r="E756" s="314"/>
      <c r="F756" s="314"/>
      <c r="H756" s="1149"/>
      <c r="I756" s="1538"/>
      <c r="J756" s="365"/>
      <c r="K756" s="428"/>
      <c r="O756" s="314"/>
      <c r="Q756" s="314"/>
      <c r="R756" s="201"/>
      <c r="S756" s="314"/>
      <c r="AR756" s="314"/>
      <c r="AS756" s="314"/>
    </row>
    <row r="757" ht="15.75" customHeight="1">
      <c r="E757" s="314"/>
      <c r="F757" s="314"/>
      <c r="H757" s="1149"/>
      <c r="I757" s="1538"/>
      <c r="J757" s="365"/>
      <c r="K757" s="428"/>
      <c r="O757" s="314"/>
      <c r="Q757" s="314"/>
      <c r="R757" s="201"/>
      <c r="S757" s="314"/>
      <c r="AR757" s="314"/>
      <c r="AS757" s="314"/>
    </row>
    <row r="758" ht="15.75" customHeight="1">
      <c r="E758" s="314"/>
      <c r="F758" s="314"/>
      <c r="H758" s="1149"/>
      <c r="I758" s="1538"/>
      <c r="J758" s="365"/>
      <c r="K758" s="428"/>
      <c r="O758" s="314"/>
      <c r="Q758" s="314"/>
      <c r="R758" s="201"/>
      <c r="S758" s="314"/>
      <c r="AR758" s="314"/>
      <c r="AS758" s="314"/>
    </row>
    <row r="759" ht="15.75" customHeight="1">
      <c r="E759" s="314"/>
      <c r="F759" s="314"/>
      <c r="H759" s="1149"/>
      <c r="I759" s="1538"/>
      <c r="J759" s="365"/>
      <c r="K759" s="428"/>
      <c r="O759" s="314"/>
      <c r="Q759" s="314"/>
      <c r="R759" s="201"/>
      <c r="S759" s="314"/>
      <c r="AR759" s="314"/>
      <c r="AS759" s="314"/>
    </row>
    <row r="760" ht="15.75" customHeight="1">
      <c r="E760" s="314"/>
      <c r="F760" s="314"/>
      <c r="H760" s="1149"/>
      <c r="I760" s="1538"/>
      <c r="J760" s="365"/>
      <c r="K760" s="428"/>
      <c r="O760" s="314"/>
      <c r="Q760" s="314"/>
      <c r="R760" s="201"/>
      <c r="S760" s="314"/>
      <c r="AR760" s="314"/>
      <c r="AS760" s="314"/>
    </row>
    <row r="761" ht="15.75" customHeight="1">
      <c r="E761" s="314"/>
      <c r="F761" s="314"/>
      <c r="H761" s="1149"/>
      <c r="I761" s="1538"/>
      <c r="J761" s="365"/>
      <c r="K761" s="428"/>
      <c r="O761" s="314"/>
      <c r="Q761" s="314"/>
      <c r="R761" s="201"/>
      <c r="S761" s="314"/>
      <c r="AR761" s="314"/>
      <c r="AS761" s="314"/>
    </row>
    <row r="762" ht="15.75" customHeight="1">
      <c r="E762" s="314"/>
      <c r="F762" s="314"/>
      <c r="H762" s="1149"/>
      <c r="I762" s="1538"/>
      <c r="J762" s="365"/>
      <c r="K762" s="428"/>
      <c r="O762" s="314"/>
      <c r="Q762" s="314"/>
      <c r="R762" s="201"/>
      <c r="S762" s="314"/>
      <c r="AR762" s="314"/>
      <c r="AS762" s="314"/>
    </row>
    <row r="763" ht="15.75" customHeight="1">
      <c r="E763" s="314"/>
      <c r="F763" s="314"/>
      <c r="H763" s="1149"/>
      <c r="I763" s="1538"/>
      <c r="J763" s="365"/>
      <c r="K763" s="428"/>
      <c r="O763" s="314"/>
      <c r="Q763" s="314"/>
      <c r="R763" s="201"/>
      <c r="S763" s="314"/>
      <c r="AR763" s="314"/>
      <c r="AS763" s="314"/>
    </row>
    <row r="764" ht="15.75" customHeight="1">
      <c r="E764" s="314"/>
      <c r="F764" s="314"/>
      <c r="H764" s="1149"/>
      <c r="I764" s="1538"/>
      <c r="J764" s="365"/>
      <c r="K764" s="428"/>
      <c r="O764" s="314"/>
      <c r="Q764" s="314"/>
      <c r="R764" s="201"/>
      <c r="S764" s="314"/>
      <c r="AR764" s="314"/>
      <c r="AS764" s="314"/>
    </row>
    <row r="765" ht="15.75" customHeight="1">
      <c r="E765" s="314"/>
      <c r="F765" s="314"/>
      <c r="H765" s="1149"/>
      <c r="I765" s="1538"/>
      <c r="J765" s="365"/>
      <c r="K765" s="428"/>
      <c r="O765" s="314"/>
      <c r="Q765" s="314"/>
      <c r="R765" s="201"/>
      <c r="S765" s="314"/>
      <c r="AR765" s="314"/>
      <c r="AS765" s="314"/>
    </row>
    <row r="766" ht="15.75" customHeight="1">
      <c r="E766" s="314"/>
      <c r="F766" s="314"/>
      <c r="H766" s="1149"/>
      <c r="I766" s="1538"/>
      <c r="J766" s="365"/>
      <c r="K766" s="428"/>
      <c r="O766" s="314"/>
      <c r="Q766" s="314"/>
      <c r="R766" s="201"/>
      <c r="S766" s="314"/>
      <c r="AR766" s="314"/>
      <c r="AS766" s="314"/>
    </row>
    <row r="767" ht="15.75" customHeight="1">
      <c r="E767" s="314"/>
      <c r="F767" s="314"/>
      <c r="H767" s="1149"/>
      <c r="I767" s="1538"/>
      <c r="J767" s="365"/>
      <c r="K767" s="428"/>
      <c r="O767" s="314"/>
      <c r="Q767" s="314"/>
      <c r="R767" s="201"/>
      <c r="S767" s="314"/>
      <c r="AR767" s="314"/>
      <c r="AS767" s="314"/>
    </row>
    <row r="768" ht="15.75" customHeight="1">
      <c r="E768" s="314"/>
      <c r="F768" s="314"/>
      <c r="H768" s="1149"/>
      <c r="I768" s="1538"/>
      <c r="J768" s="365"/>
      <c r="K768" s="428"/>
      <c r="O768" s="314"/>
      <c r="Q768" s="314"/>
      <c r="R768" s="201"/>
      <c r="S768" s="314"/>
      <c r="AR768" s="314"/>
      <c r="AS768" s="314"/>
    </row>
    <row r="769" ht="15.75" customHeight="1">
      <c r="E769" s="314"/>
      <c r="F769" s="314"/>
      <c r="H769" s="1149"/>
      <c r="I769" s="1538"/>
      <c r="J769" s="365"/>
      <c r="K769" s="428"/>
      <c r="O769" s="314"/>
      <c r="Q769" s="314"/>
      <c r="R769" s="201"/>
      <c r="S769" s="314"/>
      <c r="AR769" s="314"/>
      <c r="AS769" s="314"/>
    </row>
    <row r="770" ht="15.75" customHeight="1">
      <c r="E770" s="314"/>
      <c r="F770" s="314"/>
      <c r="H770" s="1149"/>
      <c r="I770" s="1538"/>
      <c r="J770" s="365"/>
      <c r="K770" s="428"/>
      <c r="O770" s="314"/>
      <c r="Q770" s="314"/>
      <c r="R770" s="201"/>
      <c r="S770" s="314"/>
      <c r="AR770" s="314"/>
      <c r="AS770" s="314"/>
    </row>
    <row r="771" ht="15.75" customHeight="1">
      <c r="E771" s="314"/>
      <c r="F771" s="314"/>
      <c r="H771" s="1149"/>
      <c r="I771" s="1538"/>
      <c r="J771" s="365"/>
      <c r="K771" s="428"/>
      <c r="O771" s="314"/>
      <c r="Q771" s="314"/>
      <c r="R771" s="201"/>
      <c r="S771" s="314"/>
      <c r="AR771" s="314"/>
      <c r="AS771" s="314"/>
    </row>
    <row r="772" ht="15.75" customHeight="1">
      <c r="E772" s="314"/>
      <c r="F772" s="314"/>
      <c r="H772" s="1149"/>
      <c r="I772" s="1538"/>
      <c r="J772" s="365"/>
      <c r="K772" s="428"/>
      <c r="O772" s="314"/>
      <c r="Q772" s="314"/>
      <c r="R772" s="201"/>
      <c r="S772" s="314"/>
      <c r="AR772" s="314"/>
      <c r="AS772" s="314"/>
    </row>
    <row r="773" ht="15.75" customHeight="1">
      <c r="E773" s="314"/>
      <c r="F773" s="314"/>
      <c r="H773" s="1149"/>
      <c r="I773" s="1538"/>
      <c r="J773" s="365"/>
      <c r="K773" s="428"/>
      <c r="O773" s="314"/>
      <c r="Q773" s="314"/>
      <c r="R773" s="201"/>
      <c r="S773" s="314"/>
      <c r="AR773" s="314"/>
      <c r="AS773" s="314"/>
    </row>
    <row r="774" ht="15.75" customHeight="1">
      <c r="E774" s="314"/>
      <c r="F774" s="314"/>
      <c r="H774" s="1149"/>
      <c r="I774" s="1538"/>
      <c r="J774" s="365"/>
      <c r="K774" s="428"/>
      <c r="O774" s="314"/>
      <c r="Q774" s="314"/>
      <c r="R774" s="201"/>
      <c r="S774" s="314"/>
      <c r="AR774" s="314"/>
      <c r="AS774" s="314"/>
    </row>
    <row r="775" ht="15.75" customHeight="1">
      <c r="E775" s="314"/>
      <c r="F775" s="314"/>
      <c r="H775" s="1149"/>
      <c r="I775" s="1538"/>
      <c r="J775" s="365"/>
      <c r="K775" s="428"/>
      <c r="O775" s="314"/>
      <c r="Q775" s="314"/>
      <c r="R775" s="201"/>
      <c r="S775" s="314"/>
      <c r="AR775" s="314"/>
      <c r="AS775" s="314"/>
    </row>
    <row r="776" ht="15.75" customHeight="1">
      <c r="E776" s="314"/>
      <c r="F776" s="314"/>
      <c r="H776" s="1149"/>
      <c r="I776" s="1538"/>
      <c r="J776" s="365"/>
      <c r="K776" s="428"/>
      <c r="O776" s="314"/>
      <c r="Q776" s="314"/>
      <c r="R776" s="201"/>
      <c r="S776" s="314"/>
      <c r="AR776" s="314"/>
      <c r="AS776" s="314"/>
    </row>
    <row r="777" ht="15.75" customHeight="1">
      <c r="E777" s="314"/>
      <c r="F777" s="314"/>
      <c r="H777" s="1149"/>
      <c r="I777" s="1538"/>
      <c r="J777" s="365"/>
      <c r="K777" s="428"/>
      <c r="O777" s="314"/>
      <c r="Q777" s="314"/>
      <c r="R777" s="201"/>
      <c r="S777" s="314"/>
      <c r="AR777" s="314"/>
      <c r="AS777" s="314"/>
    </row>
    <row r="778" ht="15.75" customHeight="1">
      <c r="E778" s="314"/>
      <c r="F778" s="314"/>
      <c r="H778" s="1149"/>
      <c r="I778" s="1538"/>
      <c r="J778" s="365"/>
      <c r="K778" s="428"/>
      <c r="O778" s="314"/>
      <c r="Q778" s="314"/>
      <c r="R778" s="201"/>
      <c r="S778" s="314"/>
      <c r="AR778" s="314"/>
      <c r="AS778" s="314"/>
    </row>
    <row r="779" ht="15.75" customHeight="1">
      <c r="E779" s="314"/>
      <c r="F779" s="314"/>
      <c r="H779" s="1149"/>
      <c r="I779" s="1538"/>
      <c r="J779" s="365"/>
      <c r="K779" s="428"/>
      <c r="O779" s="314"/>
      <c r="Q779" s="314"/>
      <c r="R779" s="201"/>
      <c r="S779" s="314"/>
      <c r="AR779" s="314"/>
      <c r="AS779" s="314"/>
    </row>
    <row r="780" ht="15.75" customHeight="1">
      <c r="E780" s="314"/>
      <c r="F780" s="314"/>
      <c r="H780" s="1149"/>
      <c r="I780" s="1538"/>
      <c r="J780" s="365"/>
      <c r="K780" s="428"/>
      <c r="O780" s="314"/>
      <c r="Q780" s="314"/>
      <c r="R780" s="201"/>
      <c r="S780" s="314"/>
      <c r="AR780" s="314"/>
      <c r="AS780" s="314"/>
    </row>
    <row r="781" ht="15.75" customHeight="1">
      <c r="E781" s="314"/>
      <c r="F781" s="314"/>
      <c r="H781" s="1149"/>
      <c r="I781" s="1538"/>
      <c r="J781" s="365"/>
      <c r="K781" s="428"/>
      <c r="O781" s="314"/>
      <c r="Q781" s="314"/>
      <c r="R781" s="201"/>
      <c r="S781" s="314"/>
      <c r="AR781" s="314"/>
      <c r="AS781" s="314"/>
    </row>
    <row r="782" ht="15.75" customHeight="1">
      <c r="E782" s="314"/>
      <c r="F782" s="314"/>
      <c r="H782" s="1149"/>
      <c r="I782" s="1538"/>
      <c r="J782" s="365"/>
      <c r="K782" s="428"/>
      <c r="O782" s="314"/>
      <c r="Q782" s="314"/>
      <c r="R782" s="201"/>
      <c r="S782" s="314"/>
      <c r="AR782" s="314"/>
      <c r="AS782" s="314"/>
    </row>
    <row r="783" ht="15.75" customHeight="1">
      <c r="E783" s="314"/>
      <c r="F783" s="314"/>
      <c r="H783" s="1149"/>
      <c r="I783" s="1538"/>
      <c r="J783" s="365"/>
      <c r="K783" s="428"/>
      <c r="O783" s="314"/>
      <c r="Q783" s="314"/>
      <c r="R783" s="201"/>
      <c r="S783" s="314"/>
      <c r="AR783" s="314"/>
      <c r="AS783" s="314"/>
    </row>
    <row r="784" ht="15.75" customHeight="1">
      <c r="E784" s="314"/>
      <c r="F784" s="314"/>
      <c r="H784" s="1149"/>
      <c r="I784" s="1538"/>
      <c r="J784" s="365"/>
      <c r="K784" s="428"/>
      <c r="O784" s="314"/>
      <c r="Q784" s="314"/>
      <c r="R784" s="201"/>
      <c r="S784" s="314"/>
      <c r="AR784" s="314"/>
      <c r="AS784" s="314"/>
    </row>
    <row r="785" ht="15.75" customHeight="1">
      <c r="E785" s="314"/>
      <c r="F785" s="314"/>
      <c r="H785" s="1149"/>
      <c r="I785" s="1538"/>
      <c r="J785" s="365"/>
      <c r="K785" s="428"/>
      <c r="O785" s="314"/>
      <c r="Q785" s="314"/>
      <c r="R785" s="201"/>
      <c r="S785" s="314"/>
      <c r="AR785" s="314"/>
      <c r="AS785" s="314"/>
    </row>
    <row r="786" ht="15.75" customHeight="1">
      <c r="E786" s="314"/>
      <c r="F786" s="314"/>
      <c r="H786" s="1149"/>
      <c r="I786" s="1538"/>
      <c r="J786" s="365"/>
      <c r="K786" s="428"/>
      <c r="O786" s="314"/>
      <c r="Q786" s="314"/>
      <c r="R786" s="201"/>
      <c r="S786" s="314"/>
      <c r="AR786" s="314"/>
      <c r="AS786" s="314"/>
    </row>
    <row r="787" ht="15.75" customHeight="1">
      <c r="E787" s="314"/>
      <c r="F787" s="314"/>
      <c r="H787" s="1149"/>
      <c r="I787" s="1538"/>
      <c r="J787" s="365"/>
      <c r="K787" s="428"/>
      <c r="O787" s="314"/>
      <c r="Q787" s="314"/>
      <c r="R787" s="201"/>
      <c r="S787" s="314"/>
      <c r="AR787" s="314"/>
      <c r="AS787" s="314"/>
    </row>
    <row r="788" ht="15.75" customHeight="1">
      <c r="E788" s="314"/>
      <c r="F788" s="314"/>
      <c r="H788" s="1149"/>
      <c r="I788" s="1538"/>
      <c r="J788" s="365"/>
      <c r="K788" s="428"/>
      <c r="O788" s="314"/>
      <c r="Q788" s="314"/>
      <c r="R788" s="201"/>
      <c r="S788" s="314"/>
      <c r="AR788" s="314"/>
      <c r="AS788" s="314"/>
    </row>
    <row r="789" ht="15.75" customHeight="1">
      <c r="E789" s="314"/>
      <c r="F789" s="314"/>
      <c r="H789" s="1149"/>
      <c r="I789" s="1538"/>
      <c r="J789" s="365"/>
      <c r="K789" s="428"/>
      <c r="O789" s="314"/>
      <c r="Q789" s="314"/>
      <c r="R789" s="201"/>
      <c r="S789" s="314"/>
      <c r="AR789" s="314"/>
      <c r="AS789" s="314"/>
    </row>
    <row r="790" ht="15.75" customHeight="1">
      <c r="E790" s="314"/>
      <c r="F790" s="314"/>
      <c r="H790" s="1149"/>
      <c r="I790" s="1538"/>
      <c r="J790" s="365"/>
      <c r="K790" s="428"/>
      <c r="O790" s="314"/>
      <c r="Q790" s="314"/>
      <c r="R790" s="201"/>
      <c r="S790" s="314"/>
      <c r="AR790" s="314"/>
      <c r="AS790" s="314"/>
    </row>
    <row r="791" ht="15.75" customHeight="1">
      <c r="E791" s="314"/>
      <c r="F791" s="314"/>
      <c r="H791" s="1149"/>
      <c r="I791" s="1538"/>
      <c r="J791" s="365"/>
      <c r="K791" s="428"/>
      <c r="O791" s="314"/>
      <c r="Q791" s="314"/>
      <c r="R791" s="201"/>
      <c r="S791" s="314"/>
      <c r="AR791" s="314"/>
      <c r="AS791" s="314"/>
    </row>
    <row r="792" ht="15.75" customHeight="1">
      <c r="E792" s="314"/>
      <c r="F792" s="314"/>
      <c r="H792" s="1149"/>
      <c r="I792" s="1538"/>
      <c r="J792" s="365"/>
      <c r="K792" s="428"/>
      <c r="O792" s="314"/>
      <c r="Q792" s="314"/>
      <c r="R792" s="201"/>
      <c r="S792" s="314"/>
      <c r="AR792" s="314"/>
      <c r="AS792" s="314"/>
    </row>
    <row r="793" ht="15.75" customHeight="1">
      <c r="E793" s="314"/>
      <c r="F793" s="314"/>
      <c r="H793" s="1149"/>
      <c r="I793" s="1538"/>
      <c r="J793" s="365"/>
      <c r="K793" s="428"/>
      <c r="O793" s="314"/>
      <c r="Q793" s="314"/>
      <c r="R793" s="201"/>
      <c r="S793" s="314"/>
      <c r="AR793" s="314"/>
      <c r="AS793" s="314"/>
    </row>
    <row r="794" ht="15.75" customHeight="1">
      <c r="E794" s="314"/>
      <c r="F794" s="314"/>
      <c r="H794" s="1149"/>
      <c r="I794" s="1538"/>
      <c r="J794" s="365"/>
      <c r="K794" s="428"/>
      <c r="O794" s="314"/>
      <c r="Q794" s="314"/>
      <c r="R794" s="201"/>
      <c r="S794" s="314"/>
      <c r="AR794" s="314"/>
      <c r="AS794" s="314"/>
    </row>
    <row r="795" ht="15.75" customHeight="1">
      <c r="E795" s="314"/>
      <c r="F795" s="314"/>
      <c r="H795" s="1149"/>
      <c r="I795" s="1538"/>
      <c r="J795" s="365"/>
      <c r="K795" s="428"/>
      <c r="O795" s="314"/>
      <c r="Q795" s="314"/>
      <c r="R795" s="201"/>
      <c r="S795" s="314"/>
      <c r="AR795" s="314"/>
      <c r="AS795" s="314"/>
    </row>
    <row r="796" ht="15.75" customHeight="1">
      <c r="E796" s="314"/>
      <c r="F796" s="314"/>
      <c r="H796" s="1149"/>
      <c r="I796" s="1538"/>
      <c r="J796" s="365"/>
      <c r="K796" s="428"/>
      <c r="O796" s="314"/>
      <c r="Q796" s="314"/>
      <c r="R796" s="201"/>
      <c r="S796" s="314"/>
      <c r="AR796" s="314"/>
      <c r="AS796" s="314"/>
    </row>
    <row r="797" ht="15.75" customHeight="1">
      <c r="E797" s="314"/>
      <c r="F797" s="314"/>
      <c r="H797" s="1149"/>
      <c r="I797" s="1538"/>
      <c r="J797" s="365"/>
      <c r="K797" s="428"/>
      <c r="O797" s="314"/>
      <c r="Q797" s="314"/>
      <c r="R797" s="201"/>
      <c r="S797" s="314"/>
      <c r="AR797" s="314"/>
      <c r="AS797" s="314"/>
    </row>
    <row r="798" ht="15.75" customHeight="1">
      <c r="E798" s="314"/>
      <c r="F798" s="314"/>
      <c r="H798" s="1149"/>
      <c r="I798" s="1538"/>
      <c r="J798" s="365"/>
      <c r="K798" s="428"/>
      <c r="O798" s="314"/>
      <c r="Q798" s="314"/>
      <c r="R798" s="201"/>
      <c r="S798" s="314"/>
      <c r="AR798" s="314"/>
      <c r="AS798" s="314"/>
    </row>
    <row r="799" ht="15.75" customHeight="1">
      <c r="E799" s="314"/>
      <c r="F799" s="314"/>
      <c r="H799" s="1149"/>
      <c r="I799" s="1538"/>
      <c r="J799" s="365"/>
      <c r="K799" s="428"/>
      <c r="O799" s="314"/>
      <c r="Q799" s="314"/>
      <c r="R799" s="201"/>
      <c r="S799" s="314"/>
      <c r="AR799" s="314"/>
      <c r="AS799" s="314"/>
    </row>
    <row r="800" ht="15.75" customHeight="1">
      <c r="E800" s="314"/>
      <c r="F800" s="314"/>
      <c r="H800" s="1149"/>
      <c r="I800" s="1538"/>
      <c r="J800" s="365"/>
      <c r="K800" s="428"/>
      <c r="O800" s="314"/>
      <c r="Q800" s="314"/>
      <c r="R800" s="201"/>
      <c r="S800" s="314"/>
      <c r="AR800" s="314"/>
      <c r="AS800" s="314"/>
    </row>
    <row r="801" ht="15.75" customHeight="1">
      <c r="E801" s="314"/>
      <c r="F801" s="314"/>
      <c r="H801" s="1149"/>
      <c r="I801" s="1538"/>
      <c r="J801" s="365"/>
      <c r="K801" s="428"/>
      <c r="O801" s="314"/>
      <c r="Q801" s="314"/>
      <c r="R801" s="201"/>
      <c r="S801" s="314"/>
      <c r="AR801" s="314"/>
      <c r="AS801" s="314"/>
    </row>
    <row r="802" ht="15.75" customHeight="1">
      <c r="E802" s="314"/>
      <c r="F802" s="314"/>
      <c r="H802" s="1149"/>
      <c r="I802" s="1538"/>
      <c r="J802" s="365"/>
      <c r="K802" s="428"/>
      <c r="O802" s="314"/>
      <c r="Q802" s="314"/>
      <c r="R802" s="201"/>
      <c r="S802" s="314"/>
      <c r="AR802" s="314"/>
      <c r="AS802" s="314"/>
    </row>
    <row r="803" ht="15.75" customHeight="1">
      <c r="E803" s="314"/>
      <c r="F803" s="314"/>
      <c r="H803" s="1149"/>
      <c r="I803" s="1538"/>
      <c r="J803" s="365"/>
      <c r="K803" s="428"/>
      <c r="O803" s="314"/>
      <c r="Q803" s="314"/>
      <c r="R803" s="201"/>
      <c r="S803" s="314"/>
      <c r="AR803" s="314"/>
      <c r="AS803" s="314"/>
    </row>
    <row r="804" ht="15.75" customHeight="1">
      <c r="E804" s="314"/>
      <c r="F804" s="314"/>
      <c r="H804" s="1149"/>
      <c r="I804" s="1538"/>
      <c r="J804" s="365"/>
      <c r="K804" s="428"/>
      <c r="O804" s="314"/>
      <c r="Q804" s="314"/>
      <c r="R804" s="201"/>
      <c r="S804" s="314"/>
      <c r="AR804" s="314"/>
      <c r="AS804" s="314"/>
    </row>
    <row r="805" ht="15.75" customHeight="1">
      <c r="E805" s="314"/>
      <c r="F805" s="314"/>
      <c r="H805" s="1149"/>
      <c r="I805" s="1538"/>
      <c r="J805" s="365"/>
      <c r="K805" s="428"/>
      <c r="O805" s="314"/>
      <c r="Q805" s="314"/>
      <c r="R805" s="201"/>
      <c r="S805" s="314"/>
      <c r="AR805" s="314"/>
      <c r="AS805" s="314"/>
    </row>
    <row r="806" ht="15.75" customHeight="1">
      <c r="E806" s="314"/>
      <c r="F806" s="314"/>
      <c r="H806" s="1149"/>
      <c r="I806" s="1538"/>
      <c r="J806" s="365"/>
      <c r="K806" s="428"/>
      <c r="O806" s="314"/>
      <c r="Q806" s="314"/>
      <c r="R806" s="201"/>
      <c r="S806" s="314"/>
      <c r="AR806" s="314"/>
      <c r="AS806" s="314"/>
    </row>
    <row r="807" ht="15.75" customHeight="1">
      <c r="E807" s="314"/>
      <c r="F807" s="314"/>
      <c r="H807" s="1149"/>
      <c r="I807" s="1538"/>
      <c r="J807" s="365"/>
      <c r="K807" s="428"/>
      <c r="O807" s="314"/>
      <c r="Q807" s="314"/>
      <c r="R807" s="201"/>
      <c r="S807" s="314"/>
      <c r="AR807" s="314"/>
      <c r="AS807" s="314"/>
    </row>
    <row r="808" ht="15.75" customHeight="1">
      <c r="E808" s="314"/>
      <c r="F808" s="314"/>
      <c r="H808" s="1149"/>
      <c r="I808" s="1538"/>
      <c r="J808" s="365"/>
      <c r="K808" s="428"/>
      <c r="O808" s="314"/>
      <c r="Q808" s="314"/>
      <c r="R808" s="201"/>
      <c r="S808" s="314"/>
      <c r="AR808" s="314"/>
      <c r="AS808" s="314"/>
    </row>
    <row r="809" ht="15.75" customHeight="1">
      <c r="E809" s="314"/>
      <c r="F809" s="314"/>
      <c r="H809" s="1149"/>
      <c r="I809" s="1538"/>
      <c r="J809" s="365"/>
      <c r="K809" s="428"/>
      <c r="O809" s="314"/>
      <c r="Q809" s="314"/>
      <c r="R809" s="201"/>
      <c r="S809" s="314"/>
      <c r="AR809" s="314"/>
      <c r="AS809" s="314"/>
    </row>
    <row r="810" ht="15.75" customHeight="1">
      <c r="E810" s="314"/>
      <c r="F810" s="314"/>
      <c r="H810" s="1149"/>
      <c r="I810" s="1538"/>
      <c r="J810" s="365"/>
      <c r="K810" s="428"/>
      <c r="O810" s="314"/>
      <c r="Q810" s="314"/>
      <c r="R810" s="201"/>
      <c r="S810" s="314"/>
      <c r="AR810" s="314"/>
      <c r="AS810" s="314"/>
    </row>
    <row r="811" ht="15.75" customHeight="1">
      <c r="E811" s="314"/>
      <c r="F811" s="314"/>
      <c r="H811" s="1149"/>
      <c r="I811" s="1538"/>
      <c r="J811" s="365"/>
      <c r="K811" s="428"/>
      <c r="O811" s="314"/>
      <c r="Q811" s="314"/>
      <c r="R811" s="201"/>
      <c r="S811" s="314"/>
      <c r="AR811" s="314"/>
      <c r="AS811" s="314"/>
    </row>
    <row r="812" ht="15.75" customHeight="1">
      <c r="E812" s="314"/>
      <c r="F812" s="314"/>
      <c r="H812" s="1149"/>
      <c r="I812" s="1538"/>
      <c r="J812" s="365"/>
      <c r="K812" s="428"/>
      <c r="O812" s="314"/>
      <c r="Q812" s="314"/>
      <c r="R812" s="201"/>
      <c r="S812" s="314"/>
      <c r="AR812" s="314"/>
      <c r="AS812" s="314"/>
    </row>
    <row r="813" ht="15.75" customHeight="1">
      <c r="E813" s="314"/>
      <c r="F813" s="314"/>
      <c r="H813" s="1149"/>
      <c r="I813" s="1538"/>
      <c r="J813" s="365"/>
      <c r="K813" s="428"/>
      <c r="O813" s="314"/>
      <c r="Q813" s="314"/>
      <c r="R813" s="201"/>
      <c r="S813" s="314"/>
      <c r="AR813" s="314"/>
      <c r="AS813" s="314"/>
    </row>
    <row r="814" ht="15.75" customHeight="1">
      <c r="E814" s="314"/>
      <c r="F814" s="314"/>
      <c r="H814" s="1149"/>
      <c r="I814" s="1538"/>
      <c r="J814" s="365"/>
      <c r="K814" s="428"/>
      <c r="O814" s="314"/>
      <c r="Q814" s="314"/>
      <c r="R814" s="201"/>
      <c r="S814" s="314"/>
      <c r="AR814" s="314"/>
      <c r="AS814" s="314"/>
    </row>
    <row r="815" ht="15.75" customHeight="1">
      <c r="E815" s="314"/>
      <c r="F815" s="314"/>
      <c r="H815" s="1149"/>
      <c r="I815" s="1538"/>
      <c r="J815" s="365"/>
      <c r="K815" s="428"/>
      <c r="O815" s="314"/>
      <c r="Q815" s="314"/>
      <c r="R815" s="201"/>
      <c r="S815" s="314"/>
      <c r="AR815" s="314"/>
      <c r="AS815" s="314"/>
    </row>
    <row r="816" ht="15.75" customHeight="1">
      <c r="E816" s="314"/>
      <c r="F816" s="314"/>
      <c r="H816" s="1149"/>
      <c r="I816" s="1538"/>
      <c r="J816" s="365"/>
      <c r="K816" s="428"/>
      <c r="O816" s="314"/>
      <c r="Q816" s="314"/>
      <c r="R816" s="201"/>
      <c r="S816" s="314"/>
      <c r="AR816" s="314"/>
      <c r="AS816" s="314"/>
    </row>
    <row r="817" ht="15.75" customHeight="1">
      <c r="E817" s="314"/>
      <c r="F817" s="314"/>
      <c r="H817" s="1149"/>
      <c r="I817" s="1538"/>
      <c r="J817" s="365"/>
      <c r="K817" s="428"/>
      <c r="O817" s="314"/>
      <c r="Q817" s="314"/>
      <c r="R817" s="201"/>
      <c r="S817" s="314"/>
      <c r="AR817" s="314"/>
      <c r="AS817" s="314"/>
    </row>
    <row r="818" ht="15.75" customHeight="1">
      <c r="E818" s="314"/>
      <c r="F818" s="314"/>
      <c r="H818" s="1149"/>
      <c r="I818" s="1538"/>
      <c r="J818" s="365"/>
      <c r="K818" s="428"/>
      <c r="O818" s="314"/>
      <c r="Q818" s="314"/>
      <c r="R818" s="201"/>
      <c r="S818" s="314"/>
      <c r="AR818" s="314"/>
      <c r="AS818" s="314"/>
    </row>
    <row r="819" ht="15.75" customHeight="1">
      <c r="E819" s="314"/>
      <c r="F819" s="314"/>
      <c r="H819" s="1149"/>
      <c r="I819" s="1538"/>
      <c r="J819" s="365"/>
      <c r="K819" s="428"/>
      <c r="O819" s="314"/>
      <c r="Q819" s="314"/>
      <c r="R819" s="201"/>
      <c r="S819" s="314"/>
      <c r="AR819" s="314"/>
      <c r="AS819" s="314"/>
    </row>
    <row r="820" ht="15.75" customHeight="1">
      <c r="E820" s="314"/>
      <c r="F820" s="314"/>
      <c r="H820" s="1149"/>
      <c r="I820" s="1538"/>
      <c r="J820" s="365"/>
      <c r="K820" s="428"/>
      <c r="O820" s="314"/>
      <c r="Q820" s="314"/>
      <c r="R820" s="201"/>
      <c r="S820" s="314"/>
      <c r="AR820" s="314"/>
      <c r="AS820" s="314"/>
    </row>
    <row r="821" ht="15.75" customHeight="1">
      <c r="E821" s="314"/>
      <c r="F821" s="314"/>
      <c r="H821" s="1149"/>
      <c r="I821" s="1538"/>
      <c r="J821" s="365"/>
      <c r="K821" s="428"/>
      <c r="O821" s="314"/>
      <c r="Q821" s="314"/>
      <c r="R821" s="201"/>
      <c r="S821" s="314"/>
      <c r="AR821" s="314"/>
      <c r="AS821" s="314"/>
    </row>
    <row r="822" ht="15.75" customHeight="1">
      <c r="E822" s="314"/>
      <c r="F822" s="314"/>
      <c r="H822" s="1149"/>
      <c r="I822" s="1538"/>
      <c r="J822" s="365"/>
      <c r="K822" s="428"/>
      <c r="O822" s="314"/>
      <c r="Q822" s="314"/>
      <c r="R822" s="201"/>
      <c r="S822" s="314"/>
      <c r="AR822" s="314"/>
      <c r="AS822" s="314"/>
    </row>
    <row r="823" ht="15.75" customHeight="1">
      <c r="E823" s="314"/>
      <c r="F823" s="314"/>
      <c r="H823" s="1149"/>
      <c r="I823" s="1538"/>
      <c r="J823" s="365"/>
      <c r="K823" s="428"/>
      <c r="O823" s="314"/>
      <c r="Q823" s="314"/>
      <c r="R823" s="201"/>
      <c r="S823" s="314"/>
      <c r="AR823" s="314"/>
      <c r="AS823" s="314"/>
    </row>
    <row r="824" ht="15.75" customHeight="1">
      <c r="E824" s="314"/>
      <c r="F824" s="314"/>
      <c r="H824" s="1149"/>
      <c r="I824" s="1538"/>
      <c r="J824" s="365"/>
      <c r="K824" s="428"/>
      <c r="O824" s="314"/>
      <c r="Q824" s="314"/>
      <c r="R824" s="201"/>
      <c r="S824" s="314"/>
      <c r="AR824" s="314"/>
      <c r="AS824" s="314"/>
    </row>
    <row r="825" ht="15.75" customHeight="1">
      <c r="E825" s="314"/>
      <c r="F825" s="314"/>
      <c r="H825" s="1149"/>
      <c r="I825" s="1538"/>
      <c r="J825" s="365"/>
      <c r="K825" s="428"/>
      <c r="O825" s="314"/>
      <c r="Q825" s="314"/>
      <c r="R825" s="201"/>
      <c r="S825" s="314"/>
      <c r="AR825" s="314"/>
      <c r="AS825" s="314"/>
    </row>
    <row r="826" ht="15.75" customHeight="1">
      <c r="E826" s="314"/>
      <c r="F826" s="314"/>
      <c r="H826" s="1149"/>
      <c r="I826" s="1538"/>
      <c r="J826" s="365"/>
      <c r="K826" s="428"/>
      <c r="O826" s="314"/>
      <c r="Q826" s="314"/>
      <c r="R826" s="201"/>
      <c r="S826" s="314"/>
      <c r="AR826" s="314"/>
      <c r="AS826" s="314"/>
    </row>
    <row r="827" ht="15.75" customHeight="1">
      <c r="E827" s="314"/>
      <c r="F827" s="314"/>
      <c r="H827" s="1149"/>
      <c r="I827" s="1538"/>
      <c r="J827" s="365"/>
      <c r="K827" s="428"/>
      <c r="O827" s="314"/>
      <c r="Q827" s="314"/>
      <c r="R827" s="201"/>
      <c r="S827" s="314"/>
      <c r="AR827" s="314"/>
      <c r="AS827" s="314"/>
    </row>
    <row r="828" ht="15.75" customHeight="1">
      <c r="E828" s="314"/>
      <c r="F828" s="314"/>
      <c r="H828" s="1149"/>
      <c r="I828" s="1538"/>
      <c r="J828" s="365"/>
      <c r="K828" s="428"/>
      <c r="O828" s="314"/>
      <c r="Q828" s="314"/>
      <c r="R828" s="201"/>
      <c r="S828" s="314"/>
      <c r="AR828" s="314"/>
      <c r="AS828" s="314"/>
    </row>
    <row r="829" ht="15.75" customHeight="1">
      <c r="E829" s="314"/>
      <c r="F829" s="314"/>
      <c r="H829" s="1149"/>
      <c r="I829" s="1538"/>
      <c r="J829" s="365"/>
      <c r="K829" s="428"/>
      <c r="O829" s="314"/>
      <c r="Q829" s="314"/>
      <c r="R829" s="201"/>
      <c r="S829" s="314"/>
      <c r="AR829" s="314"/>
      <c r="AS829" s="314"/>
    </row>
    <row r="830" ht="15.75" customHeight="1">
      <c r="E830" s="314"/>
      <c r="F830" s="314"/>
      <c r="H830" s="1149"/>
      <c r="I830" s="1538"/>
      <c r="J830" s="365"/>
      <c r="K830" s="428"/>
      <c r="O830" s="314"/>
      <c r="Q830" s="314"/>
      <c r="R830" s="201"/>
      <c r="S830" s="314"/>
      <c r="AR830" s="314"/>
      <c r="AS830" s="314"/>
    </row>
    <row r="831" ht="15.75" customHeight="1">
      <c r="E831" s="314"/>
      <c r="F831" s="314"/>
      <c r="H831" s="1149"/>
      <c r="I831" s="1538"/>
      <c r="J831" s="365"/>
      <c r="K831" s="428"/>
      <c r="O831" s="314"/>
      <c r="Q831" s="314"/>
      <c r="R831" s="201"/>
      <c r="S831" s="314"/>
      <c r="AR831" s="314"/>
      <c r="AS831" s="314"/>
    </row>
    <row r="832" ht="15.75" customHeight="1">
      <c r="E832" s="314"/>
      <c r="F832" s="314"/>
      <c r="H832" s="1149"/>
      <c r="I832" s="1538"/>
      <c r="J832" s="365"/>
      <c r="K832" s="428"/>
      <c r="O832" s="314"/>
      <c r="Q832" s="314"/>
      <c r="R832" s="201"/>
      <c r="S832" s="314"/>
      <c r="AR832" s="314"/>
      <c r="AS832" s="314"/>
    </row>
    <row r="833" ht="15.75" customHeight="1">
      <c r="E833" s="314"/>
      <c r="F833" s="314"/>
      <c r="H833" s="1149"/>
      <c r="I833" s="1538"/>
      <c r="J833" s="365"/>
      <c r="K833" s="428"/>
      <c r="O833" s="314"/>
      <c r="Q833" s="314"/>
      <c r="R833" s="201"/>
      <c r="S833" s="314"/>
      <c r="AR833" s="314"/>
      <c r="AS833" s="314"/>
    </row>
    <row r="834" ht="15.75" customHeight="1">
      <c r="E834" s="314"/>
      <c r="F834" s="314"/>
      <c r="H834" s="1149"/>
      <c r="I834" s="1538"/>
      <c r="J834" s="365"/>
      <c r="K834" s="428"/>
      <c r="O834" s="314"/>
      <c r="Q834" s="314"/>
      <c r="R834" s="201"/>
      <c r="S834" s="314"/>
      <c r="AR834" s="314"/>
      <c r="AS834" s="314"/>
    </row>
    <row r="835" ht="15.75" customHeight="1">
      <c r="E835" s="314"/>
      <c r="F835" s="314"/>
      <c r="H835" s="1149"/>
      <c r="I835" s="1538"/>
      <c r="J835" s="365"/>
      <c r="K835" s="428"/>
      <c r="O835" s="314"/>
      <c r="Q835" s="314"/>
      <c r="R835" s="201"/>
      <c r="S835" s="314"/>
      <c r="AR835" s="314"/>
      <c r="AS835" s="314"/>
    </row>
    <row r="836" ht="15.75" customHeight="1">
      <c r="E836" s="314"/>
      <c r="F836" s="314"/>
      <c r="H836" s="1149"/>
      <c r="I836" s="1538"/>
      <c r="J836" s="365"/>
      <c r="K836" s="428"/>
      <c r="O836" s="314"/>
      <c r="Q836" s="314"/>
      <c r="R836" s="201"/>
      <c r="S836" s="314"/>
      <c r="AR836" s="314"/>
      <c r="AS836" s="314"/>
    </row>
    <row r="837" ht="15.75" customHeight="1">
      <c r="E837" s="314"/>
      <c r="F837" s="314"/>
      <c r="H837" s="1149"/>
      <c r="I837" s="1538"/>
      <c r="J837" s="365"/>
      <c r="K837" s="428"/>
      <c r="O837" s="314"/>
      <c r="Q837" s="314"/>
      <c r="R837" s="201"/>
      <c r="S837" s="314"/>
      <c r="AR837" s="314"/>
      <c r="AS837" s="314"/>
    </row>
    <row r="838" ht="15.75" customHeight="1">
      <c r="E838" s="314"/>
      <c r="F838" s="314"/>
      <c r="H838" s="1149"/>
      <c r="I838" s="1538"/>
      <c r="J838" s="365"/>
      <c r="K838" s="428"/>
      <c r="O838" s="314"/>
      <c r="Q838" s="314"/>
      <c r="R838" s="201"/>
      <c r="S838" s="314"/>
      <c r="AR838" s="314"/>
      <c r="AS838" s="314"/>
    </row>
    <row r="839" ht="15.75" customHeight="1">
      <c r="E839" s="314"/>
      <c r="F839" s="314"/>
      <c r="H839" s="1149"/>
      <c r="I839" s="1538"/>
      <c r="J839" s="365"/>
      <c r="K839" s="428"/>
      <c r="O839" s="314"/>
      <c r="Q839" s="314"/>
      <c r="R839" s="201"/>
      <c r="S839" s="314"/>
      <c r="AR839" s="314"/>
      <c r="AS839" s="314"/>
    </row>
    <row r="840" ht="15.75" customHeight="1">
      <c r="E840" s="314"/>
      <c r="F840" s="314"/>
      <c r="H840" s="1149"/>
      <c r="I840" s="1538"/>
      <c r="J840" s="365"/>
      <c r="K840" s="428"/>
      <c r="O840" s="314"/>
      <c r="Q840" s="314"/>
      <c r="R840" s="201"/>
      <c r="S840" s="314"/>
      <c r="AR840" s="314"/>
      <c r="AS840" s="314"/>
    </row>
    <row r="841" ht="15.75" customHeight="1">
      <c r="E841" s="314"/>
      <c r="F841" s="314"/>
      <c r="H841" s="1149"/>
      <c r="I841" s="1538"/>
      <c r="J841" s="365"/>
      <c r="K841" s="428"/>
      <c r="O841" s="314"/>
      <c r="Q841" s="314"/>
      <c r="R841" s="201"/>
      <c r="S841" s="314"/>
      <c r="AR841" s="314"/>
      <c r="AS841" s="314"/>
    </row>
    <row r="842" ht="15.75" customHeight="1">
      <c r="E842" s="314"/>
      <c r="F842" s="314"/>
      <c r="H842" s="1149"/>
      <c r="I842" s="1538"/>
      <c r="J842" s="365"/>
      <c r="K842" s="428"/>
      <c r="O842" s="314"/>
      <c r="Q842" s="314"/>
      <c r="R842" s="201"/>
      <c r="S842" s="314"/>
      <c r="AR842" s="314"/>
      <c r="AS842" s="314"/>
    </row>
    <row r="843" ht="15.75" customHeight="1">
      <c r="E843" s="314"/>
      <c r="F843" s="314"/>
      <c r="H843" s="1149"/>
      <c r="I843" s="1538"/>
      <c r="J843" s="365"/>
      <c r="K843" s="428"/>
      <c r="O843" s="314"/>
      <c r="Q843" s="314"/>
      <c r="R843" s="201"/>
      <c r="S843" s="314"/>
      <c r="AR843" s="314"/>
      <c r="AS843" s="314"/>
    </row>
    <row r="844" ht="15.75" customHeight="1">
      <c r="E844" s="314"/>
      <c r="F844" s="314"/>
      <c r="H844" s="1149"/>
      <c r="I844" s="1538"/>
      <c r="J844" s="365"/>
      <c r="K844" s="428"/>
      <c r="O844" s="314"/>
      <c r="Q844" s="314"/>
      <c r="R844" s="201"/>
      <c r="S844" s="314"/>
      <c r="AR844" s="314"/>
      <c r="AS844" s="314"/>
    </row>
    <row r="845" ht="15.75" customHeight="1">
      <c r="E845" s="314"/>
      <c r="F845" s="314"/>
      <c r="H845" s="1149"/>
      <c r="I845" s="1538"/>
      <c r="J845" s="365"/>
      <c r="K845" s="428"/>
      <c r="O845" s="314"/>
      <c r="Q845" s="314"/>
      <c r="R845" s="201"/>
      <c r="S845" s="314"/>
      <c r="AR845" s="314"/>
      <c r="AS845" s="314"/>
    </row>
    <row r="846" ht="15.75" customHeight="1">
      <c r="E846" s="314"/>
      <c r="F846" s="314"/>
      <c r="H846" s="1149"/>
      <c r="I846" s="1538"/>
      <c r="J846" s="365"/>
      <c r="K846" s="428"/>
      <c r="O846" s="314"/>
      <c r="Q846" s="314"/>
      <c r="R846" s="201"/>
      <c r="S846" s="314"/>
      <c r="AR846" s="314"/>
      <c r="AS846" s="314"/>
    </row>
    <row r="847" ht="15.75" customHeight="1">
      <c r="E847" s="314"/>
      <c r="F847" s="314"/>
      <c r="H847" s="1149"/>
      <c r="I847" s="1538"/>
      <c r="J847" s="365"/>
      <c r="K847" s="428"/>
      <c r="O847" s="314"/>
      <c r="Q847" s="314"/>
      <c r="R847" s="201"/>
      <c r="S847" s="314"/>
      <c r="AR847" s="314"/>
      <c r="AS847" s="314"/>
    </row>
    <row r="848" ht="15.75" customHeight="1">
      <c r="E848" s="314"/>
      <c r="F848" s="314"/>
      <c r="H848" s="1149"/>
      <c r="I848" s="1538"/>
      <c r="J848" s="365"/>
      <c r="K848" s="428"/>
      <c r="O848" s="314"/>
      <c r="Q848" s="314"/>
      <c r="R848" s="201"/>
      <c r="S848" s="314"/>
      <c r="AR848" s="314"/>
      <c r="AS848" s="314"/>
    </row>
    <row r="849" ht="15.75" customHeight="1">
      <c r="E849" s="314"/>
      <c r="F849" s="314"/>
      <c r="H849" s="1149"/>
      <c r="I849" s="1538"/>
      <c r="J849" s="365"/>
      <c r="K849" s="428"/>
      <c r="O849" s="314"/>
      <c r="Q849" s="314"/>
      <c r="R849" s="201"/>
      <c r="S849" s="314"/>
      <c r="AR849" s="314"/>
      <c r="AS849" s="314"/>
    </row>
    <row r="850" ht="15.75" customHeight="1">
      <c r="E850" s="314"/>
      <c r="F850" s="314"/>
      <c r="H850" s="1149"/>
      <c r="I850" s="1538"/>
      <c r="J850" s="365"/>
      <c r="K850" s="428"/>
      <c r="O850" s="314"/>
      <c r="Q850" s="314"/>
      <c r="R850" s="201"/>
      <c r="S850" s="314"/>
      <c r="AR850" s="314"/>
      <c r="AS850" s="314"/>
    </row>
    <row r="851" ht="15.75" customHeight="1">
      <c r="E851" s="314"/>
      <c r="F851" s="314"/>
      <c r="H851" s="1149"/>
      <c r="I851" s="1538"/>
      <c r="J851" s="365"/>
      <c r="K851" s="428"/>
      <c r="O851" s="314"/>
      <c r="Q851" s="314"/>
      <c r="R851" s="201"/>
      <c r="S851" s="314"/>
      <c r="AR851" s="314"/>
      <c r="AS851" s="314"/>
    </row>
    <row r="852" ht="15.75" customHeight="1">
      <c r="E852" s="314"/>
      <c r="F852" s="314"/>
      <c r="H852" s="1149"/>
      <c r="I852" s="1538"/>
      <c r="J852" s="365"/>
      <c r="K852" s="428"/>
      <c r="O852" s="314"/>
      <c r="Q852" s="314"/>
      <c r="R852" s="201"/>
      <c r="S852" s="314"/>
      <c r="AR852" s="314"/>
      <c r="AS852" s="314"/>
    </row>
    <row r="853" ht="15.75" customHeight="1">
      <c r="E853" s="314"/>
      <c r="F853" s="314"/>
      <c r="H853" s="1149"/>
      <c r="I853" s="1538"/>
      <c r="J853" s="365"/>
      <c r="K853" s="428"/>
      <c r="O853" s="314"/>
      <c r="Q853" s="314"/>
      <c r="R853" s="201"/>
      <c r="S853" s="314"/>
      <c r="AR853" s="314"/>
      <c r="AS853" s="314"/>
    </row>
    <row r="854" ht="15.75" customHeight="1">
      <c r="E854" s="314"/>
      <c r="F854" s="314"/>
      <c r="H854" s="1149"/>
      <c r="I854" s="1538"/>
      <c r="J854" s="365"/>
      <c r="K854" s="428"/>
      <c r="O854" s="314"/>
      <c r="Q854" s="314"/>
      <c r="R854" s="201"/>
      <c r="S854" s="314"/>
      <c r="AR854" s="314"/>
      <c r="AS854" s="314"/>
    </row>
    <row r="855" ht="15.75" customHeight="1">
      <c r="E855" s="314"/>
      <c r="F855" s="314"/>
      <c r="H855" s="1149"/>
      <c r="I855" s="1538"/>
      <c r="J855" s="365"/>
      <c r="K855" s="428"/>
      <c r="O855" s="314"/>
      <c r="Q855" s="314"/>
      <c r="R855" s="201"/>
      <c r="S855" s="314"/>
      <c r="AR855" s="314"/>
      <c r="AS855" s="314"/>
    </row>
    <row r="856" ht="15.75" customHeight="1">
      <c r="E856" s="314"/>
      <c r="F856" s="314"/>
      <c r="H856" s="1149"/>
      <c r="I856" s="1538"/>
      <c r="J856" s="365"/>
      <c r="K856" s="428"/>
      <c r="O856" s="314"/>
      <c r="Q856" s="314"/>
      <c r="R856" s="201"/>
      <c r="S856" s="314"/>
      <c r="AR856" s="314"/>
      <c r="AS856" s="314"/>
    </row>
    <row r="857" ht="15.75" customHeight="1">
      <c r="E857" s="314"/>
      <c r="F857" s="314"/>
      <c r="H857" s="1149"/>
      <c r="I857" s="1538"/>
      <c r="J857" s="365"/>
      <c r="K857" s="428"/>
      <c r="O857" s="314"/>
      <c r="Q857" s="314"/>
      <c r="R857" s="201"/>
      <c r="S857" s="314"/>
      <c r="AR857" s="314"/>
      <c r="AS857" s="314"/>
    </row>
    <row r="858" ht="15.75" customHeight="1">
      <c r="E858" s="314"/>
      <c r="F858" s="314"/>
      <c r="H858" s="1149"/>
      <c r="I858" s="1538"/>
      <c r="J858" s="365"/>
      <c r="K858" s="428"/>
      <c r="O858" s="314"/>
      <c r="Q858" s="314"/>
      <c r="R858" s="201"/>
      <c r="S858" s="314"/>
      <c r="AR858" s="314"/>
      <c r="AS858" s="314"/>
    </row>
    <row r="859" ht="15.75" customHeight="1">
      <c r="E859" s="314"/>
      <c r="F859" s="314"/>
      <c r="H859" s="1149"/>
      <c r="I859" s="1538"/>
      <c r="J859" s="365"/>
      <c r="K859" s="428"/>
      <c r="O859" s="314"/>
      <c r="Q859" s="314"/>
      <c r="R859" s="201"/>
      <c r="S859" s="314"/>
      <c r="AR859" s="314"/>
      <c r="AS859" s="314"/>
    </row>
    <row r="860" ht="15.75" customHeight="1">
      <c r="E860" s="314"/>
      <c r="F860" s="314"/>
      <c r="H860" s="1149"/>
      <c r="I860" s="1538"/>
      <c r="J860" s="365"/>
      <c r="K860" s="428"/>
      <c r="O860" s="314"/>
      <c r="Q860" s="314"/>
      <c r="R860" s="201"/>
      <c r="S860" s="314"/>
      <c r="AR860" s="314"/>
      <c r="AS860" s="314"/>
    </row>
    <row r="861" ht="15.75" customHeight="1">
      <c r="E861" s="314"/>
      <c r="F861" s="314"/>
      <c r="H861" s="1149"/>
      <c r="I861" s="1538"/>
      <c r="J861" s="365"/>
      <c r="K861" s="428"/>
      <c r="O861" s="314"/>
      <c r="Q861" s="314"/>
      <c r="R861" s="201"/>
      <c r="S861" s="314"/>
      <c r="AR861" s="314"/>
      <c r="AS861" s="314"/>
    </row>
    <row r="862" ht="15.75" customHeight="1">
      <c r="E862" s="314"/>
      <c r="F862" s="314"/>
      <c r="H862" s="1149"/>
      <c r="I862" s="1538"/>
      <c r="J862" s="365"/>
      <c r="K862" s="428"/>
      <c r="O862" s="314"/>
      <c r="Q862" s="314"/>
      <c r="R862" s="201"/>
      <c r="S862" s="314"/>
      <c r="AR862" s="314"/>
      <c r="AS862" s="314"/>
    </row>
    <row r="863" ht="15.75" customHeight="1">
      <c r="E863" s="314"/>
      <c r="F863" s="314"/>
      <c r="H863" s="1149"/>
      <c r="I863" s="1538"/>
      <c r="J863" s="365"/>
      <c r="K863" s="428"/>
      <c r="O863" s="314"/>
      <c r="Q863" s="314"/>
      <c r="R863" s="201"/>
      <c r="S863" s="314"/>
      <c r="AR863" s="314"/>
      <c r="AS863" s="314"/>
    </row>
    <row r="864" ht="15.75" customHeight="1">
      <c r="E864" s="314"/>
      <c r="F864" s="314"/>
      <c r="H864" s="1149"/>
      <c r="I864" s="1538"/>
      <c r="J864" s="365"/>
      <c r="K864" s="428"/>
      <c r="O864" s="314"/>
      <c r="Q864" s="314"/>
      <c r="R864" s="201"/>
      <c r="S864" s="314"/>
      <c r="AR864" s="314"/>
      <c r="AS864" s="314"/>
    </row>
    <row r="865" ht="15.75" customHeight="1">
      <c r="E865" s="314"/>
      <c r="F865" s="314"/>
      <c r="H865" s="1149"/>
      <c r="I865" s="1538"/>
      <c r="J865" s="365"/>
      <c r="K865" s="428"/>
      <c r="O865" s="314"/>
      <c r="Q865" s="314"/>
      <c r="R865" s="201"/>
      <c r="S865" s="314"/>
      <c r="AR865" s="314"/>
      <c r="AS865" s="314"/>
    </row>
    <row r="866" ht="15.75" customHeight="1">
      <c r="E866" s="314"/>
      <c r="F866" s="314"/>
      <c r="H866" s="1149"/>
      <c r="I866" s="1538"/>
      <c r="J866" s="365"/>
      <c r="K866" s="428"/>
      <c r="O866" s="314"/>
      <c r="Q866" s="314"/>
      <c r="R866" s="201"/>
      <c r="S866" s="314"/>
      <c r="AR866" s="314"/>
      <c r="AS866" s="314"/>
    </row>
    <row r="867" ht="15.75" customHeight="1">
      <c r="E867" s="314"/>
      <c r="F867" s="314"/>
      <c r="H867" s="1149"/>
      <c r="I867" s="1538"/>
      <c r="J867" s="365"/>
      <c r="K867" s="428"/>
      <c r="O867" s="314"/>
      <c r="Q867" s="314"/>
      <c r="R867" s="201"/>
      <c r="S867" s="314"/>
      <c r="AR867" s="314"/>
      <c r="AS867" s="314"/>
    </row>
    <row r="868" ht="15.75" customHeight="1">
      <c r="E868" s="314"/>
      <c r="F868" s="314"/>
      <c r="H868" s="1149"/>
      <c r="I868" s="1538"/>
      <c r="J868" s="365"/>
      <c r="K868" s="428"/>
      <c r="O868" s="314"/>
      <c r="Q868" s="314"/>
      <c r="R868" s="201"/>
      <c r="S868" s="314"/>
      <c r="AR868" s="314"/>
      <c r="AS868" s="314"/>
    </row>
    <row r="869" ht="15.75" customHeight="1">
      <c r="E869" s="314"/>
      <c r="F869" s="314"/>
      <c r="H869" s="1149"/>
      <c r="I869" s="1538"/>
      <c r="J869" s="365"/>
      <c r="K869" s="428"/>
      <c r="O869" s="314"/>
      <c r="Q869" s="314"/>
      <c r="R869" s="201"/>
      <c r="S869" s="314"/>
      <c r="AR869" s="314"/>
      <c r="AS869" s="314"/>
    </row>
    <row r="870" ht="15.75" customHeight="1">
      <c r="E870" s="314"/>
      <c r="F870" s="314"/>
      <c r="H870" s="1149"/>
      <c r="I870" s="1538"/>
      <c r="J870" s="365"/>
      <c r="K870" s="428"/>
      <c r="O870" s="314"/>
      <c r="Q870" s="314"/>
      <c r="R870" s="201"/>
      <c r="S870" s="314"/>
      <c r="AR870" s="314"/>
      <c r="AS870" s="314"/>
    </row>
    <row r="871" ht="15.75" customHeight="1">
      <c r="E871" s="314"/>
      <c r="F871" s="314"/>
      <c r="H871" s="1149"/>
      <c r="I871" s="1538"/>
      <c r="J871" s="365"/>
      <c r="K871" s="428"/>
      <c r="O871" s="314"/>
      <c r="Q871" s="314"/>
      <c r="R871" s="201"/>
      <c r="S871" s="314"/>
      <c r="AR871" s="314"/>
      <c r="AS871" s="314"/>
    </row>
    <row r="872" ht="15.75" customHeight="1">
      <c r="E872" s="314"/>
      <c r="F872" s="314"/>
      <c r="H872" s="1149"/>
      <c r="I872" s="1538"/>
      <c r="J872" s="365"/>
      <c r="K872" s="428"/>
      <c r="O872" s="314"/>
      <c r="Q872" s="314"/>
      <c r="R872" s="201"/>
      <c r="S872" s="314"/>
      <c r="AR872" s="314"/>
      <c r="AS872" s="314"/>
    </row>
    <row r="873" ht="15.75" customHeight="1">
      <c r="E873" s="314"/>
      <c r="F873" s="314"/>
      <c r="H873" s="1149"/>
      <c r="I873" s="1538"/>
      <c r="J873" s="365"/>
      <c r="K873" s="428"/>
      <c r="O873" s="314"/>
      <c r="Q873" s="314"/>
      <c r="R873" s="201"/>
      <c r="S873" s="314"/>
      <c r="AR873" s="314"/>
      <c r="AS873" s="314"/>
    </row>
    <row r="874" ht="15.75" customHeight="1">
      <c r="E874" s="314"/>
      <c r="F874" s="314"/>
      <c r="H874" s="1149"/>
      <c r="I874" s="1538"/>
      <c r="J874" s="365"/>
      <c r="K874" s="428"/>
      <c r="O874" s="314"/>
      <c r="Q874" s="314"/>
      <c r="R874" s="201"/>
      <c r="S874" s="314"/>
      <c r="AR874" s="314"/>
      <c r="AS874" s="314"/>
    </row>
    <row r="875" ht="15.75" customHeight="1">
      <c r="E875" s="314"/>
      <c r="F875" s="314"/>
      <c r="H875" s="1149"/>
      <c r="I875" s="1538"/>
      <c r="J875" s="365"/>
      <c r="K875" s="428"/>
      <c r="O875" s="314"/>
      <c r="Q875" s="314"/>
      <c r="R875" s="201"/>
      <c r="S875" s="314"/>
      <c r="AR875" s="314"/>
      <c r="AS875" s="314"/>
    </row>
    <row r="876" ht="15.75" customHeight="1">
      <c r="E876" s="314"/>
      <c r="F876" s="314"/>
      <c r="H876" s="1149"/>
      <c r="I876" s="1538"/>
      <c r="J876" s="365"/>
      <c r="K876" s="428"/>
      <c r="O876" s="314"/>
      <c r="Q876" s="314"/>
      <c r="R876" s="201"/>
      <c r="S876" s="314"/>
      <c r="AR876" s="314"/>
      <c r="AS876" s="314"/>
    </row>
    <row r="877" ht="15.75" customHeight="1">
      <c r="E877" s="314"/>
      <c r="F877" s="314"/>
      <c r="H877" s="1149"/>
      <c r="I877" s="1538"/>
      <c r="J877" s="365"/>
      <c r="K877" s="428"/>
      <c r="O877" s="314"/>
      <c r="Q877" s="314"/>
      <c r="R877" s="201"/>
      <c r="S877" s="314"/>
      <c r="AR877" s="314"/>
      <c r="AS877" s="314"/>
    </row>
    <row r="878" ht="15.75" customHeight="1">
      <c r="E878" s="314"/>
      <c r="F878" s="314"/>
      <c r="H878" s="1149"/>
      <c r="I878" s="1538"/>
      <c r="J878" s="365"/>
      <c r="K878" s="428"/>
      <c r="O878" s="314"/>
      <c r="Q878" s="314"/>
      <c r="R878" s="201"/>
      <c r="S878" s="314"/>
      <c r="AR878" s="314"/>
      <c r="AS878" s="314"/>
    </row>
    <row r="879" ht="15.75" customHeight="1">
      <c r="E879" s="314"/>
      <c r="F879" s="314"/>
      <c r="H879" s="1149"/>
      <c r="I879" s="1538"/>
      <c r="J879" s="365"/>
      <c r="K879" s="428"/>
      <c r="O879" s="314"/>
      <c r="Q879" s="314"/>
      <c r="R879" s="201"/>
      <c r="S879" s="314"/>
      <c r="AR879" s="314"/>
      <c r="AS879" s="314"/>
    </row>
    <row r="880" ht="15.75" customHeight="1">
      <c r="E880" s="314"/>
      <c r="F880" s="314"/>
      <c r="H880" s="1149"/>
      <c r="I880" s="1538"/>
      <c r="J880" s="365"/>
      <c r="K880" s="428"/>
      <c r="O880" s="314"/>
      <c r="Q880" s="314"/>
      <c r="R880" s="201"/>
      <c r="S880" s="314"/>
      <c r="AR880" s="314"/>
      <c r="AS880" s="314"/>
    </row>
    <row r="881" ht="15.75" customHeight="1">
      <c r="E881" s="314"/>
      <c r="F881" s="314"/>
      <c r="H881" s="1149"/>
      <c r="I881" s="1538"/>
      <c r="J881" s="365"/>
      <c r="K881" s="428"/>
      <c r="O881" s="314"/>
      <c r="Q881" s="314"/>
      <c r="R881" s="201"/>
      <c r="S881" s="314"/>
      <c r="AR881" s="314"/>
      <c r="AS881" s="314"/>
    </row>
    <row r="882" ht="15.75" customHeight="1">
      <c r="E882" s="314"/>
      <c r="F882" s="314"/>
      <c r="H882" s="1149"/>
      <c r="I882" s="1538"/>
      <c r="J882" s="365"/>
      <c r="K882" s="428"/>
      <c r="O882" s="314"/>
      <c r="Q882" s="314"/>
      <c r="R882" s="201"/>
      <c r="S882" s="314"/>
      <c r="AR882" s="314"/>
      <c r="AS882" s="314"/>
    </row>
    <row r="883" ht="15.75" customHeight="1">
      <c r="E883" s="314"/>
      <c r="F883" s="314"/>
      <c r="H883" s="1149"/>
      <c r="I883" s="1538"/>
      <c r="J883" s="365"/>
      <c r="K883" s="428"/>
      <c r="O883" s="314"/>
      <c r="Q883" s="314"/>
      <c r="R883" s="201"/>
      <c r="S883" s="314"/>
      <c r="AR883" s="314"/>
      <c r="AS883" s="314"/>
    </row>
    <row r="884" ht="15.75" customHeight="1">
      <c r="E884" s="314"/>
      <c r="F884" s="314"/>
      <c r="H884" s="1149"/>
      <c r="I884" s="1538"/>
      <c r="J884" s="365"/>
      <c r="K884" s="428"/>
      <c r="O884" s="314"/>
      <c r="Q884" s="314"/>
      <c r="R884" s="201"/>
      <c r="S884" s="314"/>
      <c r="AR884" s="314"/>
      <c r="AS884" s="314"/>
    </row>
    <row r="885" ht="15.75" customHeight="1">
      <c r="E885" s="314"/>
      <c r="F885" s="314"/>
      <c r="H885" s="1149"/>
      <c r="I885" s="1538"/>
      <c r="J885" s="365"/>
      <c r="K885" s="428"/>
      <c r="O885" s="314"/>
      <c r="Q885" s="314"/>
      <c r="R885" s="201"/>
      <c r="S885" s="314"/>
      <c r="AR885" s="314"/>
      <c r="AS885" s="314"/>
    </row>
    <row r="886" ht="15.75" customHeight="1">
      <c r="E886" s="314"/>
      <c r="F886" s="314"/>
      <c r="H886" s="1149"/>
      <c r="I886" s="1538"/>
      <c r="J886" s="365"/>
      <c r="K886" s="428"/>
      <c r="O886" s="314"/>
      <c r="Q886" s="314"/>
      <c r="R886" s="201"/>
      <c r="S886" s="314"/>
      <c r="AR886" s="314"/>
      <c r="AS886" s="314"/>
    </row>
    <row r="887" ht="15.75" customHeight="1">
      <c r="E887" s="314"/>
      <c r="F887" s="314"/>
      <c r="H887" s="1149"/>
      <c r="I887" s="1538"/>
      <c r="J887" s="365"/>
      <c r="K887" s="428"/>
      <c r="O887" s="314"/>
      <c r="Q887" s="314"/>
      <c r="R887" s="201"/>
      <c r="S887" s="314"/>
      <c r="AR887" s="314"/>
      <c r="AS887" s="314"/>
    </row>
    <row r="888" ht="15.75" customHeight="1">
      <c r="E888" s="314"/>
      <c r="F888" s="314"/>
      <c r="H888" s="1149"/>
      <c r="I888" s="1538"/>
      <c r="J888" s="365"/>
      <c r="K888" s="428"/>
      <c r="O888" s="314"/>
      <c r="Q888" s="314"/>
      <c r="R888" s="201"/>
      <c r="S888" s="314"/>
      <c r="AR888" s="314"/>
      <c r="AS888" s="314"/>
    </row>
    <row r="889" ht="15.75" customHeight="1">
      <c r="E889" s="314"/>
      <c r="F889" s="314"/>
      <c r="H889" s="1149"/>
      <c r="I889" s="1538"/>
      <c r="J889" s="365"/>
      <c r="K889" s="428"/>
      <c r="O889" s="314"/>
      <c r="Q889" s="314"/>
      <c r="R889" s="201"/>
      <c r="S889" s="314"/>
      <c r="AR889" s="314"/>
      <c r="AS889" s="314"/>
    </row>
    <row r="890" ht="15.75" customHeight="1">
      <c r="E890" s="314"/>
      <c r="F890" s="314"/>
      <c r="H890" s="1149"/>
      <c r="I890" s="1538"/>
      <c r="J890" s="365"/>
      <c r="K890" s="428"/>
      <c r="O890" s="314"/>
      <c r="Q890" s="314"/>
      <c r="R890" s="201"/>
      <c r="S890" s="314"/>
      <c r="AR890" s="314"/>
      <c r="AS890" s="314"/>
    </row>
    <row r="891" ht="15.75" customHeight="1">
      <c r="E891" s="314"/>
      <c r="F891" s="314"/>
      <c r="H891" s="1149"/>
      <c r="I891" s="1538"/>
      <c r="J891" s="365"/>
      <c r="K891" s="428"/>
      <c r="O891" s="314"/>
      <c r="Q891" s="314"/>
      <c r="R891" s="201"/>
      <c r="S891" s="314"/>
      <c r="AR891" s="314"/>
      <c r="AS891" s="314"/>
    </row>
    <row r="892" ht="15.75" customHeight="1">
      <c r="E892" s="314"/>
      <c r="F892" s="314"/>
      <c r="H892" s="1149"/>
      <c r="I892" s="1538"/>
      <c r="J892" s="365"/>
      <c r="K892" s="428"/>
      <c r="O892" s="314"/>
      <c r="Q892" s="314"/>
      <c r="R892" s="201"/>
      <c r="S892" s="314"/>
      <c r="AR892" s="314"/>
      <c r="AS892" s="314"/>
    </row>
    <row r="893" ht="15.75" customHeight="1">
      <c r="E893" s="314"/>
      <c r="F893" s="314"/>
      <c r="H893" s="1149"/>
      <c r="I893" s="1538"/>
      <c r="J893" s="365"/>
      <c r="K893" s="428"/>
      <c r="O893" s="314"/>
      <c r="Q893" s="314"/>
      <c r="R893" s="201"/>
      <c r="S893" s="314"/>
      <c r="AR893" s="314"/>
      <c r="AS893" s="314"/>
    </row>
    <row r="894" ht="15.75" customHeight="1">
      <c r="E894" s="314"/>
      <c r="F894" s="314"/>
      <c r="H894" s="1149"/>
      <c r="I894" s="1538"/>
      <c r="J894" s="365"/>
      <c r="K894" s="428"/>
      <c r="O894" s="314"/>
      <c r="Q894" s="314"/>
      <c r="R894" s="201"/>
      <c r="S894" s="314"/>
      <c r="AR894" s="314"/>
      <c r="AS894" s="314"/>
    </row>
    <row r="895" ht="15.75" customHeight="1">
      <c r="E895" s="314"/>
      <c r="F895" s="314"/>
      <c r="H895" s="1149"/>
      <c r="I895" s="1538"/>
      <c r="J895" s="365"/>
      <c r="K895" s="428"/>
      <c r="O895" s="314"/>
      <c r="Q895" s="314"/>
      <c r="R895" s="201"/>
      <c r="S895" s="314"/>
      <c r="AR895" s="314"/>
      <c r="AS895" s="314"/>
    </row>
    <row r="896" ht="15.75" customHeight="1">
      <c r="E896" s="314"/>
      <c r="F896" s="314"/>
      <c r="H896" s="1149"/>
      <c r="I896" s="1538"/>
      <c r="J896" s="365"/>
      <c r="K896" s="428"/>
      <c r="O896" s="314"/>
      <c r="Q896" s="314"/>
      <c r="R896" s="201"/>
      <c r="S896" s="314"/>
      <c r="AR896" s="314"/>
      <c r="AS896" s="314"/>
    </row>
    <row r="897" ht="15.75" customHeight="1">
      <c r="E897" s="314"/>
      <c r="F897" s="314"/>
      <c r="H897" s="1149"/>
      <c r="I897" s="1538"/>
      <c r="J897" s="365"/>
      <c r="K897" s="428"/>
      <c r="O897" s="314"/>
      <c r="Q897" s="314"/>
      <c r="R897" s="201"/>
      <c r="S897" s="314"/>
      <c r="AR897" s="314"/>
      <c r="AS897" s="314"/>
    </row>
    <row r="898" ht="15.75" customHeight="1">
      <c r="E898" s="314"/>
      <c r="F898" s="314"/>
      <c r="H898" s="1149"/>
      <c r="I898" s="1538"/>
      <c r="J898" s="365"/>
      <c r="K898" s="428"/>
      <c r="O898" s="314"/>
      <c r="Q898" s="314"/>
      <c r="R898" s="201"/>
      <c r="S898" s="314"/>
      <c r="AR898" s="314"/>
      <c r="AS898" s="314"/>
    </row>
    <row r="899" ht="15.75" customHeight="1">
      <c r="E899" s="314"/>
      <c r="F899" s="314"/>
      <c r="H899" s="1149"/>
      <c r="I899" s="1538"/>
      <c r="J899" s="365"/>
      <c r="K899" s="428"/>
      <c r="O899" s="314"/>
      <c r="Q899" s="314"/>
      <c r="R899" s="201"/>
      <c r="S899" s="314"/>
      <c r="AR899" s="314"/>
      <c r="AS899" s="314"/>
    </row>
    <row r="900" ht="15.75" customHeight="1">
      <c r="E900" s="314"/>
      <c r="F900" s="314"/>
      <c r="H900" s="1149"/>
      <c r="I900" s="1538"/>
      <c r="J900" s="365"/>
      <c r="K900" s="428"/>
      <c r="O900" s="314"/>
      <c r="Q900" s="314"/>
      <c r="R900" s="201"/>
      <c r="S900" s="314"/>
      <c r="AR900" s="314"/>
      <c r="AS900" s="314"/>
    </row>
    <row r="901" ht="15.75" customHeight="1">
      <c r="E901" s="314"/>
      <c r="F901" s="314"/>
      <c r="H901" s="1149"/>
      <c r="I901" s="1538"/>
      <c r="J901" s="365"/>
      <c r="K901" s="428"/>
      <c r="O901" s="314"/>
      <c r="Q901" s="314"/>
      <c r="R901" s="201"/>
      <c r="S901" s="314"/>
      <c r="AR901" s="314"/>
      <c r="AS901" s="314"/>
    </row>
    <row r="902" ht="15.75" customHeight="1">
      <c r="E902" s="314"/>
      <c r="F902" s="314"/>
      <c r="H902" s="1149"/>
      <c r="I902" s="1538"/>
      <c r="J902" s="365"/>
      <c r="K902" s="428"/>
      <c r="O902" s="314"/>
      <c r="Q902" s="314"/>
      <c r="R902" s="201"/>
      <c r="S902" s="314"/>
      <c r="AR902" s="314"/>
      <c r="AS902" s="314"/>
    </row>
    <row r="903" ht="15.75" customHeight="1">
      <c r="E903" s="314"/>
      <c r="F903" s="314"/>
      <c r="H903" s="1149"/>
      <c r="I903" s="1538"/>
      <c r="J903" s="365"/>
      <c r="K903" s="428"/>
      <c r="O903" s="314"/>
      <c r="Q903" s="314"/>
      <c r="R903" s="201"/>
      <c r="S903" s="314"/>
      <c r="AR903" s="314"/>
      <c r="AS903" s="314"/>
    </row>
    <row r="904" ht="15.75" customHeight="1">
      <c r="E904" s="314"/>
      <c r="F904" s="314"/>
      <c r="H904" s="1149"/>
      <c r="I904" s="1538"/>
      <c r="J904" s="365"/>
      <c r="K904" s="428"/>
      <c r="O904" s="314"/>
      <c r="Q904" s="314"/>
      <c r="R904" s="201"/>
      <c r="S904" s="314"/>
      <c r="AR904" s="314"/>
      <c r="AS904" s="314"/>
    </row>
    <row r="905" ht="15.75" customHeight="1">
      <c r="E905" s="314"/>
      <c r="F905" s="314"/>
      <c r="H905" s="1149"/>
      <c r="I905" s="1538"/>
      <c r="J905" s="365"/>
      <c r="K905" s="428"/>
      <c r="O905" s="314"/>
      <c r="Q905" s="314"/>
      <c r="R905" s="201"/>
      <c r="S905" s="314"/>
      <c r="AR905" s="314"/>
      <c r="AS905" s="314"/>
    </row>
    <row r="906" ht="15.75" customHeight="1">
      <c r="E906" s="314"/>
      <c r="F906" s="314"/>
      <c r="H906" s="1149"/>
      <c r="I906" s="1538"/>
      <c r="J906" s="365"/>
      <c r="K906" s="428"/>
      <c r="O906" s="314"/>
      <c r="Q906" s="314"/>
      <c r="R906" s="201"/>
      <c r="S906" s="314"/>
      <c r="AR906" s="314"/>
      <c r="AS906" s="314"/>
    </row>
    <row r="907" ht="15.75" customHeight="1">
      <c r="E907" s="314"/>
      <c r="F907" s="314"/>
      <c r="H907" s="1149"/>
      <c r="I907" s="1538"/>
      <c r="J907" s="365"/>
      <c r="K907" s="428"/>
      <c r="O907" s="314"/>
      <c r="Q907" s="314"/>
      <c r="R907" s="201"/>
      <c r="S907" s="314"/>
      <c r="AR907" s="314"/>
      <c r="AS907" s="314"/>
    </row>
    <row r="908" ht="15.75" customHeight="1">
      <c r="E908" s="314"/>
      <c r="F908" s="314"/>
      <c r="H908" s="1149"/>
      <c r="I908" s="1538"/>
      <c r="J908" s="365"/>
      <c r="K908" s="428"/>
      <c r="O908" s="314"/>
      <c r="Q908" s="314"/>
      <c r="R908" s="201"/>
      <c r="S908" s="314"/>
      <c r="AR908" s="314"/>
      <c r="AS908" s="314"/>
    </row>
    <row r="909" ht="15.75" customHeight="1">
      <c r="E909" s="314"/>
      <c r="F909" s="314"/>
      <c r="H909" s="1149"/>
      <c r="I909" s="1538"/>
      <c r="J909" s="365"/>
      <c r="K909" s="428"/>
      <c r="O909" s="314"/>
      <c r="Q909" s="314"/>
      <c r="R909" s="201"/>
      <c r="S909" s="314"/>
      <c r="AR909" s="314"/>
      <c r="AS909" s="314"/>
    </row>
    <row r="910" ht="15.75" customHeight="1">
      <c r="E910" s="314"/>
      <c r="F910" s="314"/>
      <c r="H910" s="1149"/>
      <c r="I910" s="1538"/>
      <c r="J910" s="365"/>
      <c r="K910" s="428"/>
      <c r="O910" s="314"/>
      <c r="Q910" s="314"/>
      <c r="R910" s="201"/>
      <c r="S910" s="314"/>
      <c r="AR910" s="314"/>
      <c r="AS910" s="314"/>
    </row>
    <row r="911" ht="15.75" customHeight="1">
      <c r="E911" s="314"/>
      <c r="F911" s="314"/>
      <c r="H911" s="1149"/>
      <c r="I911" s="1538"/>
      <c r="J911" s="365"/>
      <c r="K911" s="428"/>
      <c r="O911" s="314"/>
      <c r="Q911" s="314"/>
      <c r="R911" s="201"/>
      <c r="S911" s="314"/>
      <c r="AR911" s="314"/>
      <c r="AS911" s="314"/>
    </row>
    <row r="912" ht="15.75" customHeight="1">
      <c r="E912" s="314"/>
      <c r="F912" s="314"/>
      <c r="H912" s="1149"/>
      <c r="I912" s="1538"/>
      <c r="J912" s="365"/>
      <c r="K912" s="428"/>
      <c r="O912" s="314"/>
      <c r="Q912" s="314"/>
      <c r="R912" s="201"/>
      <c r="S912" s="314"/>
      <c r="AR912" s="314"/>
      <c r="AS912" s="314"/>
    </row>
    <row r="913" ht="15.75" customHeight="1">
      <c r="E913" s="314"/>
      <c r="F913" s="314"/>
      <c r="H913" s="1149"/>
      <c r="I913" s="1538"/>
      <c r="J913" s="365"/>
      <c r="K913" s="428"/>
      <c r="O913" s="314"/>
      <c r="Q913" s="314"/>
      <c r="R913" s="201"/>
      <c r="S913" s="314"/>
      <c r="AR913" s="314"/>
      <c r="AS913" s="314"/>
    </row>
    <row r="914" ht="15.75" customHeight="1">
      <c r="E914" s="314"/>
      <c r="F914" s="314"/>
      <c r="H914" s="1149"/>
      <c r="I914" s="1538"/>
      <c r="J914" s="365"/>
      <c r="K914" s="428"/>
      <c r="O914" s="314"/>
      <c r="Q914" s="314"/>
      <c r="R914" s="201"/>
      <c r="S914" s="314"/>
      <c r="AR914" s="314"/>
      <c r="AS914" s="314"/>
    </row>
    <row r="915" ht="15.75" customHeight="1">
      <c r="E915" s="314"/>
      <c r="F915" s="314"/>
      <c r="H915" s="1149"/>
      <c r="I915" s="1538"/>
      <c r="J915" s="365"/>
      <c r="K915" s="428"/>
      <c r="O915" s="314"/>
      <c r="Q915" s="314"/>
      <c r="R915" s="201"/>
      <c r="S915" s="314"/>
      <c r="AR915" s="314"/>
      <c r="AS915" s="314"/>
    </row>
    <row r="916" ht="15.75" customHeight="1">
      <c r="E916" s="314"/>
      <c r="F916" s="314"/>
      <c r="H916" s="1149"/>
      <c r="I916" s="1538"/>
      <c r="J916" s="365"/>
      <c r="K916" s="428"/>
      <c r="O916" s="314"/>
      <c r="Q916" s="314"/>
      <c r="R916" s="201"/>
      <c r="S916" s="314"/>
      <c r="AR916" s="314"/>
      <c r="AS916" s="314"/>
    </row>
    <row r="917" ht="15.75" customHeight="1">
      <c r="E917" s="314"/>
      <c r="F917" s="314"/>
      <c r="H917" s="1149"/>
      <c r="I917" s="1538"/>
      <c r="J917" s="365"/>
      <c r="K917" s="428"/>
      <c r="O917" s="314"/>
      <c r="Q917" s="314"/>
      <c r="R917" s="201"/>
      <c r="S917" s="314"/>
      <c r="AR917" s="314"/>
      <c r="AS917" s="314"/>
    </row>
    <row r="918" ht="15.75" customHeight="1">
      <c r="E918" s="314"/>
      <c r="F918" s="314"/>
      <c r="H918" s="1149"/>
      <c r="I918" s="1538"/>
      <c r="J918" s="365"/>
      <c r="K918" s="428"/>
      <c r="O918" s="314"/>
      <c r="Q918" s="314"/>
      <c r="R918" s="201"/>
      <c r="S918" s="314"/>
      <c r="AR918" s="314"/>
      <c r="AS918" s="314"/>
    </row>
    <row r="919" ht="15.75" customHeight="1">
      <c r="E919" s="314"/>
      <c r="F919" s="314"/>
      <c r="H919" s="1149"/>
      <c r="I919" s="1538"/>
      <c r="J919" s="365"/>
      <c r="K919" s="428"/>
      <c r="O919" s="314"/>
      <c r="Q919" s="314"/>
      <c r="R919" s="201"/>
      <c r="S919" s="314"/>
      <c r="AR919" s="314"/>
      <c r="AS919" s="314"/>
    </row>
    <row r="920" ht="15.75" customHeight="1">
      <c r="E920" s="314"/>
      <c r="F920" s="314"/>
      <c r="H920" s="1149"/>
      <c r="I920" s="1538"/>
      <c r="J920" s="365"/>
      <c r="K920" s="428"/>
      <c r="O920" s="314"/>
      <c r="Q920" s="314"/>
      <c r="R920" s="201"/>
      <c r="S920" s="314"/>
      <c r="AR920" s="314"/>
      <c r="AS920" s="314"/>
    </row>
    <row r="921" ht="15.75" customHeight="1">
      <c r="E921" s="314"/>
      <c r="F921" s="314"/>
      <c r="H921" s="1149"/>
      <c r="I921" s="1538"/>
      <c r="J921" s="365"/>
      <c r="K921" s="428"/>
      <c r="O921" s="314"/>
      <c r="Q921" s="314"/>
      <c r="R921" s="201"/>
      <c r="S921" s="314"/>
      <c r="AR921" s="314"/>
      <c r="AS921" s="314"/>
    </row>
    <row r="922" ht="15.75" customHeight="1">
      <c r="E922" s="314"/>
      <c r="F922" s="314"/>
      <c r="H922" s="1149"/>
      <c r="I922" s="1538"/>
      <c r="J922" s="365"/>
      <c r="K922" s="428"/>
      <c r="O922" s="314"/>
      <c r="Q922" s="314"/>
      <c r="R922" s="201"/>
      <c r="S922" s="314"/>
      <c r="AR922" s="314"/>
      <c r="AS922" s="314"/>
    </row>
    <row r="923" ht="15.75" customHeight="1">
      <c r="E923" s="314"/>
      <c r="F923" s="314"/>
      <c r="H923" s="1149"/>
      <c r="I923" s="1538"/>
      <c r="J923" s="365"/>
      <c r="K923" s="428"/>
      <c r="O923" s="314"/>
      <c r="Q923" s="314"/>
      <c r="R923" s="201"/>
      <c r="S923" s="314"/>
      <c r="AR923" s="314"/>
      <c r="AS923" s="314"/>
    </row>
    <row r="924" ht="15.75" customHeight="1">
      <c r="E924" s="314"/>
      <c r="F924" s="314"/>
      <c r="H924" s="1149"/>
      <c r="I924" s="1538"/>
      <c r="J924" s="365"/>
      <c r="K924" s="428"/>
      <c r="O924" s="314"/>
      <c r="Q924" s="314"/>
      <c r="R924" s="201"/>
      <c r="S924" s="314"/>
      <c r="AR924" s="314"/>
      <c r="AS924" s="314"/>
    </row>
    <row r="925" ht="15.75" customHeight="1">
      <c r="E925" s="314"/>
      <c r="F925" s="314"/>
      <c r="H925" s="1149"/>
      <c r="I925" s="1538"/>
      <c r="J925" s="365"/>
      <c r="K925" s="428"/>
      <c r="O925" s="314"/>
      <c r="Q925" s="314"/>
      <c r="R925" s="201"/>
      <c r="S925" s="314"/>
      <c r="AR925" s="314"/>
      <c r="AS925" s="314"/>
    </row>
    <row r="926" ht="15.75" customHeight="1">
      <c r="E926" s="314"/>
      <c r="F926" s="314"/>
      <c r="H926" s="1149"/>
      <c r="I926" s="1538"/>
      <c r="J926" s="365"/>
      <c r="K926" s="428"/>
      <c r="O926" s="314"/>
      <c r="Q926" s="314"/>
      <c r="R926" s="201"/>
      <c r="S926" s="314"/>
      <c r="AR926" s="314"/>
      <c r="AS926" s="314"/>
    </row>
    <row r="927" ht="15.75" customHeight="1">
      <c r="E927" s="314"/>
      <c r="F927" s="314"/>
      <c r="H927" s="1149"/>
      <c r="I927" s="1538"/>
      <c r="J927" s="365"/>
      <c r="K927" s="428"/>
      <c r="O927" s="314"/>
      <c r="Q927" s="314"/>
      <c r="R927" s="201"/>
      <c r="S927" s="314"/>
      <c r="AR927" s="314"/>
      <c r="AS927" s="314"/>
    </row>
    <row r="928" ht="15.75" customHeight="1">
      <c r="E928" s="314"/>
      <c r="F928" s="314"/>
      <c r="H928" s="1149"/>
      <c r="I928" s="1538"/>
      <c r="J928" s="365"/>
      <c r="K928" s="428"/>
      <c r="O928" s="314"/>
      <c r="Q928" s="314"/>
      <c r="R928" s="201"/>
      <c r="S928" s="314"/>
      <c r="AR928" s="314"/>
      <c r="AS928" s="314"/>
    </row>
    <row r="929" ht="15.75" customHeight="1">
      <c r="E929" s="314"/>
      <c r="F929" s="314"/>
      <c r="H929" s="1149"/>
      <c r="I929" s="1538"/>
      <c r="J929" s="365"/>
      <c r="K929" s="428"/>
      <c r="O929" s="314"/>
      <c r="Q929" s="314"/>
      <c r="R929" s="201"/>
      <c r="S929" s="314"/>
      <c r="AR929" s="314"/>
      <c r="AS929" s="314"/>
    </row>
    <row r="930" ht="15.75" customHeight="1">
      <c r="E930" s="314"/>
      <c r="F930" s="314"/>
      <c r="H930" s="1149"/>
      <c r="I930" s="1538"/>
      <c r="J930" s="365"/>
      <c r="K930" s="428"/>
      <c r="O930" s="314"/>
      <c r="Q930" s="314"/>
      <c r="R930" s="201"/>
      <c r="S930" s="314"/>
      <c r="AR930" s="314"/>
      <c r="AS930" s="314"/>
    </row>
    <row r="931" ht="15.75" customHeight="1">
      <c r="E931" s="314"/>
      <c r="F931" s="314"/>
      <c r="H931" s="1149"/>
      <c r="I931" s="1538"/>
      <c r="J931" s="365"/>
      <c r="K931" s="428"/>
      <c r="O931" s="314"/>
      <c r="Q931" s="314"/>
      <c r="R931" s="201"/>
      <c r="S931" s="314"/>
      <c r="AR931" s="314"/>
      <c r="AS931" s="314"/>
    </row>
    <row r="932" ht="15.75" customHeight="1">
      <c r="E932" s="314"/>
      <c r="F932" s="314"/>
      <c r="H932" s="1149"/>
      <c r="I932" s="1538"/>
      <c r="J932" s="365"/>
      <c r="K932" s="428"/>
      <c r="O932" s="314"/>
      <c r="Q932" s="314"/>
      <c r="R932" s="201"/>
      <c r="S932" s="314"/>
      <c r="AR932" s="314"/>
      <c r="AS932" s="314"/>
    </row>
    <row r="933" ht="15.75" customHeight="1">
      <c r="E933" s="314"/>
      <c r="F933" s="314"/>
      <c r="H933" s="1149"/>
      <c r="I933" s="1538"/>
      <c r="J933" s="365"/>
      <c r="K933" s="428"/>
      <c r="O933" s="314"/>
      <c r="Q933" s="314"/>
      <c r="R933" s="201"/>
      <c r="S933" s="314"/>
      <c r="AR933" s="314"/>
      <c r="AS933" s="314"/>
    </row>
    <row r="934" ht="15.75" customHeight="1">
      <c r="E934" s="314"/>
      <c r="F934" s="314"/>
      <c r="H934" s="1149"/>
      <c r="I934" s="1538"/>
      <c r="J934" s="365"/>
      <c r="K934" s="428"/>
      <c r="O934" s="314"/>
      <c r="Q934" s="314"/>
      <c r="R934" s="201"/>
      <c r="S934" s="314"/>
      <c r="AR934" s="314"/>
      <c r="AS934" s="314"/>
    </row>
    <row r="935" ht="15.75" customHeight="1">
      <c r="E935" s="314"/>
      <c r="F935" s="314"/>
      <c r="H935" s="1149"/>
      <c r="I935" s="1538"/>
      <c r="J935" s="365"/>
      <c r="K935" s="428"/>
      <c r="O935" s="314"/>
      <c r="Q935" s="314"/>
      <c r="R935" s="201"/>
      <c r="S935" s="314"/>
      <c r="AR935" s="314"/>
      <c r="AS935" s="314"/>
    </row>
    <row r="936" ht="15.75" customHeight="1">
      <c r="E936" s="314"/>
      <c r="F936" s="314"/>
      <c r="H936" s="1149"/>
      <c r="I936" s="1538"/>
      <c r="J936" s="365"/>
      <c r="K936" s="428"/>
      <c r="O936" s="314"/>
      <c r="Q936" s="314"/>
      <c r="R936" s="201"/>
      <c r="S936" s="314"/>
      <c r="AR936" s="314"/>
      <c r="AS936" s="314"/>
    </row>
    <row r="937" ht="15.75" customHeight="1">
      <c r="E937" s="314"/>
      <c r="F937" s="314"/>
      <c r="H937" s="1149"/>
      <c r="I937" s="1538"/>
      <c r="J937" s="365"/>
      <c r="K937" s="428"/>
      <c r="O937" s="314"/>
      <c r="Q937" s="314"/>
      <c r="R937" s="201"/>
      <c r="S937" s="314"/>
      <c r="AR937" s="314"/>
      <c r="AS937" s="314"/>
    </row>
    <row r="938" ht="15.75" customHeight="1">
      <c r="E938" s="314"/>
      <c r="F938" s="314"/>
      <c r="H938" s="1149"/>
      <c r="I938" s="1538"/>
      <c r="J938" s="365"/>
      <c r="K938" s="428"/>
      <c r="O938" s="314"/>
      <c r="Q938" s="314"/>
      <c r="R938" s="201"/>
      <c r="S938" s="314"/>
      <c r="AR938" s="314"/>
      <c r="AS938" s="314"/>
    </row>
    <row r="939" ht="15.75" customHeight="1">
      <c r="E939" s="314"/>
      <c r="F939" s="314"/>
      <c r="H939" s="1149"/>
      <c r="I939" s="1538"/>
      <c r="J939" s="365"/>
      <c r="K939" s="428"/>
      <c r="O939" s="314"/>
      <c r="Q939" s="314"/>
      <c r="R939" s="201"/>
      <c r="S939" s="314"/>
      <c r="AR939" s="314"/>
      <c r="AS939" s="314"/>
    </row>
    <row r="940" ht="15.75" customHeight="1">
      <c r="E940" s="314"/>
      <c r="F940" s="314"/>
      <c r="H940" s="1149"/>
      <c r="I940" s="1538"/>
      <c r="J940" s="365"/>
      <c r="K940" s="428"/>
      <c r="O940" s="314"/>
      <c r="Q940" s="314"/>
      <c r="R940" s="201"/>
      <c r="S940" s="314"/>
      <c r="AR940" s="314"/>
      <c r="AS940" s="314"/>
    </row>
    <row r="941" ht="15.75" customHeight="1">
      <c r="E941" s="314"/>
      <c r="F941" s="314"/>
      <c r="H941" s="1149"/>
      <c r="I941" s="1538"/>
      <c r="J941" s="365"/>
      <c r="K941" s="428"/>
      <c r="O941" s="314"/>
      <c r="Q941" s="314"/>
      <c r="R941" s="201"/>
      <c r="S941" s="314"/>
      <c r="AR941" s="314"/>
      <c r="AS941" s="314"/>
    </row>
    <row r="942" ht="15.75" customHeight="1">
      <c r="E942" s="314"/>
      <c r="F942" s="314"/>
      <c r="H942" s="1149"/>
      <c r="I942" s="1538"/>
      <c r="J942" s="365"/>
      <c r="K942" s="428"/>
      <c r="O942" s="314"/>
      <c r="Q942" s="314"/>
      <c r="R942" s="201"/>
      <c r="S942" s="314"/>
      <c r="AR942" s="314"/>
      <c r="AS942" s="314"/>
    </row>
    <row r="943" ht="15.75" customHeight="1">
      <c r="E943" s="314"/>
      <c r="F943" s="314"/>
      <c r="H943" s="1149"/>
      <c r="I943" s="1538"/>
      <c r="J943" s="365"/>
      <c r="K943" s="428"/>
      <c r="O943" s="314"/>
      <c r="Q943" s="314"/>
      <c r="R943" s="201"/>
      <c r="S943" s="314"/>
      <c r="AR943" s="314"/>
      <c r="AS943" s="314"/>
    </row>
    <row r="944" ht="15.75" customHeight="1">
      <c r="E944" s="314"/>
      <c r="F944" s="314"/>
      <c r="H944" s="1149"/>
      <c r="I944" s="1538"/>
      <c r="J944" s="365"/>
      <c r="K944" s="428"/>
      <c r="O944" s="314"/>
      <c r="Q944" s="314"/>
      <c r="R944" s="201"/>
      <c r="S944" s="314"/>
      <c r="AR944" s="314"/>
      <c r="AS944" s="314"/>
    </row>
    <row r="945" ht="15.75" customHeight="1">
      <c r="E945" s="314"/>
      <c r="F945" s="314"/>
      <c r="H945" s="1149"/>
      <c r="I945" s="1538"/>
      <c r="J945" s="365"/>
      <c r="K945" s="428"/>
      <c r="O945" s="314"/>
      <c r="Q945" s="314"/>
      <c r="R945" s="201"/>
      <c r="S945" s="314"/>
      <c r="AR945" s="314"/>
      <c r="AS945" s="314"/>
    </row>
    <row r="946" ht="15.75" customHeight="1">
      <c r="E946" s="314"/>
      <c r="F946" s="314"/>
      <c r="H946" s="1149"/>
      <c r="I946" s="1538"/>
      <c r="J946" s="365"/>
      <c r="K946" s="428"/>
      <c r="O946" s="314"/>
      <c r="Q946" s="314"/>
      <c r="R946" s="201"/>
      <c r="S946" s="314"/>
      <c r="AR946" s="314"/>
      <c r="AS946" s="314"/>
    </row>
    <row r="947" ht="15.75" customHeight="1">
      <c r="E947" s="314"/>
      <c r="F947" s="314"/>
      <c r="H947" s="1149"/>
      <c r="I947" s="1538"/>
      <c r="J947" s="365"/>
      <c r="K947" s="428"/>
      <c r="O947" s="314"/>
      <c r="Q947" s="314"/>
      <c r="R947" s="201"/>
      <c r="S947" s="314"/>
      <c r="AR947" s="314"/>
      <c r="AS947" s="314"/>
    </row>
    <row r="948" ht="15.75" customHeight="1">
      <c r="E948" s="314"/>
      <c r="F948" s="314"/>
      <c r="H948" s="1149"/>
      <c r="I948" s="1538"/>
      <c r="J948" s="365"/>
      <c r="K948" s="428"/>
      <c r="O948" s="314"/>
      <c r="Q948" s="314"/>
      <c r="R948" s="201"/>
      <c r="S948" s="314"/>
      <c r="AR948" s="314"/>
      <c r="AS948" s="314"/>
    </row>
    <row r="949" ht="15.75" customHeight="1">
      <c r="E949" s="314"/>
      <c r="F949" s="314"/>
      <c r="H949" s="1149"/>
      <c r="I949" s="1538"/>
      <c r="J949" s="365"/>
      <c r="K949" s="428"/>
      <c r="O949" s="314"/>
      <c r="Q949" s="314"/>
      <c r="R949" s="201"/>
      <c r="S949" s="314"/>
      <c r="AR949" s="314"/>
      <c r="AS949" s="314"/>
    </row>
    <row r="950" ht="15.75" customHeight="1">
      <c r="E950" s="314"/>
      <c r="F950" s="314"/>
      <c r="H950" s="1149"/>
      <c r="I950" s="1538"/>
      <c r="J950" s="365"/>
      <c r="K950" s="428"/>
      <c r="O950" s="314"/>
      <c r="Q950" s="314"/>
      <c r="R950" s="201"/>
      <c r="S950" s="314"/>
      <c r="AR950" s="314"/>
      <c r="AS950" s="314"/>
    </row>
    <row r="951" ht="15.75" customHeight="1">
      <c r="E951" s="314"/>
      <c r="F951" s="314"/>
      <c r="H951" s="1149"/>
      <c r="I951" s="1538"/>
      <c r="J951" s="365"/>
      <c r="K951" s="428"/>
      <c r="O951" s="314"/>
      <c r="Q951" s="314"/>
      <c r="R951" s="201"/>
      <c r="S951" s="314"/>
      <c r="AR951" s="314"/>
      <c r="AS951" s="314"/>
    </row>
    <row r="952" ht="15.75" customHeight="1">
      <c r="E952" s="314"/>
      <c r="F952" s="314"/>
      <c r="H952" s="1149"/>
      <c r="I952" s="1538"/>
      <c r="J952" s="365"/>
      <c r="K952" s="428"/>
      <c r="O952" s="314"/>
      <c r="Q952" s="314"/>
      <c r="R952" s="201"/>
      <c r="S952" s="314"/>
      <c r="AR952" s="314"/>
      <c r="AS952" s="314"/>
    </row>
    <row r="953" ht="15.75" customHeight="1">
      <c r="E953" s="314"/>
      <c r="F953" s="314"/>
      <c r="H953" s="1149"/>
      <c r="I953" s="1538"/>
      <c r="J953" s="365"/>
      <c r="K953" s="428"/>
      <c r="O953" s="314"/>
      <c r="Q953" s="314"/>
      <c r="R953" s="201"/>
      <c r="S953" s="314"/>
      <c r="AR953" s="314"/>
      <c r="AS953" s="314"/>
    </row>
    <row r="954" ht="15.75" customHeight="1">
      <c r="E954" s="314"/>
      <c r="F954" s="314"/>
      <c r="H954" s="1149"/>
      <c r="I954" s="1538"/>
      <c r="J954" s="365"/>
      <c r="K954" s="428"/>
      <c r="O954" s="314"/>
      <c r="Q954" s="314"/>
      <c r="R954" s="201"/>
      <c r="S954" s="314"/>
      <c r="AR954" s="314"/>
      <c r="AS954" s="314"/>
    </row>
    <row r="955" ht="15.75" customHeight="1">
      <c r="E955" s="314"/>
      <c r="F955" s="314"/>
      <c r="H955" s="1149"/>
      <c r="I955" s="1538"/>
      <c r="J955" s="365"/>
      <c r="K955" s="428"/>
      <c r="O955" s="314"/>
      <c r="Q955" s="314"/>
      <c r="R955" s="201"/>
      <c r="S955" s="314"/>
      <c r="AR955" s="314"/>
      <c r="AS955" s="314"/>
    </row>
    <row r="956" ht="15.75" customHeight="1">
      <c r="E956" s="314"/>
      <c r="F956" s="314"/>
      <c r="H956" s="1149"/>
      <c r="I956" s="1538"/>
      <c r="J956" s="365"/>
      <c r="K956" s="428"/>
      <c r="O956" s="314"/>
      <c r="Q956" s="314"/>
      <c r="R956" s="201"/>
      <c r="S956" s="314"/>
      <c r="AR956" s="314"/>
      <c r="AS956" s="314"/>
    </row>
    <row r="957" ht="15.75" customHeight="1">
      <c r="E957" s="314"/>
      <c r="F957" s="314"/>
      <c r="H957" s="1149"/>
      <c r="I957" s="1538"/>
      <c r="J957" s="365"/>
      <c r="K957" s="428"/>
      <c r="O957" s="314"/>
      <c r="Q957" s="314"/>
      <c r="R957" s="201"/>
      <c r="S957" s="314"/>
      <c r="AR957" s="314"/>
      <c r="AS957" s="314"/>
    </row>
    <row r="958" ht="15.75" customHeight="1">
      <c r="E958" s="314"/>
      <c r="F958" s="314"/>
      <c r="H958" s="1149"/>
      <c r="I958" s="1538"/>
      <c r="J958" s="365"/>
      <c r="K958" s="428"/>
      <c r="O958" s="314"/>
      <c r="Q958" s="314"/>
      <c r="R958" s="201"/>
      <c r="S958" s="314"/>
      <c r="AR958" s="314"/>
      <c r="AS958" s="314"/>
    </row>
    <row r="959" ht="15.75" customHeight="1">
      <c r="E959" s="314"/>
      <c r="F959" s="314"/>
      <c r="H959" s="1149"/>
      <c r="I959" s="1538"/>
      <c r="J959" s="365"/>
      <c r="K959" s="428"/>
      <c r="O959" s="314"/>
      <c r="Q959" s="314"/>
      <c r="R959" s="201"/>
      <c r="S959" s="314"/>
      <c r="AR959" s="314"/>
      <c r="AS959" s="314"/>
    </row>
    <row r="960" ht="15.75" customHeight="1">
      <c r="E960" s="314"/>
      <c r="F960" s="314"/>
      <c r="H960" s="1149"/>
      <c r="I960" s="1538"/>
      <c r="J960" s="365"/>
      <c r="K960" s="428"/>
      <c r="O960" s="314"/>
      <c r="Q960" s="314"/>
      <c r="R960" s="201"/>
      <c r="S960" s="314"/>
      <c r="AR960" s="314"/>
      <c r="AS960" s="314"/>
    </row>
    <row r="961" ht="15.75" customHeight="1">
      <c r="E961" s="314"/>
      <c r="F961" s="314"/>
      <c r="H961" s="1149"/>
      <c r="I961" s="1538"/>
      <c r="J961" s="365"/>
      <c r="K961" s="428"/>
      <c r="O961" s="314"/>
      <c r="Q961" s="314"/>
      <c r="R961" s="201"/>
      <c r="S961" s="314"/>
      <c r="AR961" s="314"/>
      <c r="AS961" s="314"/>
    </row>
    <row r="962" ht="15.75" customHeight="1">
      <c r="E962" s="314"/>
      <c r="F962" s="314"/>
      <c r="H962" s="1149"/>
      <c r="I962" s="1538"/>
      <c r="J962" s="365"/>
      <c r="K962" s="428"/>
      <c r="O962" s="314"/>
      <c r="Q962" s="314"/>
      <c r="R962" s="201"/>
      <c r="S962" s="314"/>
      <c r="AR962" s="314"/>
      <c r="AS962" s="314"/>
    </row>
    <row r="963" ht="15.75" customHeight="1">
      <c r="E963" s="314"/>
      <c r="F963" s="314"/>
      <c r="H963" s="1149"/>
      <c r="I963" s="1538"/>
      <c r="J963" s="365"/>
      <c r="K963" s="428"/>
      <c r="O963" s="314"/>
      <c r="Q963" s="314"/>
      <c r="R963" s="201"/>
      <c r="S963" s="314"/>
      <c r="AR963" s="314"/>
      <c r="AS963" s="314"/>
    </row>
    <row r="964" ht="15.75" customHeight="1">
      <c r="E964" s="314"/>
      <c r="F964" s="314"/>
      <c r="H964" s="1149"/>
      <c r="I964" s="1538"/>
      <c r="J964" s="365"/>
      <c r="K964" s="428"/>
      <c r="O964" s="314"/>
      <c r="Q964" s="314"/>
      <c r="R964" s="201"/>
      <c r="S964" s="314"/>
      <c r="AR964" s="314"/>
      <c r="AS964" s="314"/>
    </row>
    <row r="965" ht="15.75" customHeight="1">
      <c r="E965" s="314"/>
      <c r="F965" s="314"/>
      <c r="H965" s="1149"/>
      <c r="I965" s="1538"/>
      <c r="J965" s="365"/>
      <c r="K965" s="428"/>
      <c r="O965" s="314"/>
      <c r="Q965" s="314"/>
      <c r="R965" s="201"/>
      <c r="S965" s="314"/>
      <c r="AR965" s="314"/>
      <c r="AS965" s="314"/>
    </row>
    <row r="966" ht="15.75" customHeight="1">
      <c r="E966" s="314"/>
      <c r="F966" s="314"/>
      <c r="H966" s="1149"/>
      <c r="I966" s="1538"/>
      <c r="J966" s="365"/>
      <c r="K966" s="428"/>
      <c r="O966" s="314"/>
      <c r="Q966" s="314"/>
      <c r="R966" s="201"/>
      <c r="S966" s="314"/>
      <c r="AR966" s="314"/>
      <c r="AS966" s="314"/>
    </row>
    <row r="967" ht="15.75" customHeight="1">
      <c r="E967" s="314"/>
      <c r="F967" s="314"/>
      <c r="H967" s="1149"/>
      <c r="I967" s="1538"/>
      <c r="J967" s="365"/>
      <c r="K967" s="428"/>
      <c r="O967" s="314"/>
      <c r="Q967" s="314"/>
      <c r="R967" s="201"/>
      <c r="S967" s="314"/>
      <c r="AR967" s="314"/>
      <c r="AS967" s="314"/>
    </row>
    <row r="968" ht="15.75" customHeight="1">
      <c r="E968" s="314"/>
      <c r="F968" s="314"/>
      <c r="H968" s="1149"/>
      <c r="I968" s="1538"/>
      <c r="J968" s="365"/>
      <c r="K968" s="428"/>
      <c r="O968" s="314"/>
      <c r="Q968" s="314"/>
      <c r="R968" s="201"/>
      <c r="S968" s="314"/>
      <c r="AR968" s="314"/>
      <c r="AS968" s="314"/>
    </row>
    <row r="969" ht="15.75" customHeight="1">
      <c r="E969" s="314"/>
      <c r="F969" s="314"/>
      <c r="H969" s="1149"/>
      <c r="I969" s="1538"/>
      <c r="J969" s="365"/>
      <c r="K969" s="428"/>
      <c r="O969" s="314"/>
      <c r="Q969" s="314"/>
      <c r="R969" s="201"/>
      <c r="S969" s="314"/>
      <c r="AR969" s="314"/>
      <c r="AS969" s="314"/>
    </row>
    <row r="970" ht="15.75" customHeight="1">
      <c r="E970" s="314"/>
      <c r="F970" s="314"/>
      <c r="H970" s="1149"/>
      <c r="I970" s="1538"/>
      <c r="J970" s="365"/>
      <c r="K970" s="428"/>
      <c r="O970" s="314"/>
      <c r="Q970" s="314"/>
      <c r="R970" s="201"/>
      <c r="S970" s="314"/>
      <c r="AR970" s="314"/>
      <c r="AS970" s="314"/>
    </row>
    <row r="971" ht="15.75" customHeight="1">
      <c r="E971" s="314"/>
      <c r="F971" s="314"/>
      <c r="H971" s="1149"/>
      <c r="I971" s="1538"/>
      <c r="J971" s="365"/>
      <c r="K971" s="428"/>
      <c r="O971" s="314"/>
      <c r="Q971" s="314"/>
      <c r="R971" s="201"/>
      <c r="S971" s="314"/>
      <c r="AR971" s="314"/>
      <c r="AS971" s="314"/>
    </row>
    <row r="972" ht="15.75" customHeight="1">
      <c r="E972" s="314"/>
      <c r="F972" s="314"/>
      <c r="H972" s="1149"/>
      <c r="I972" s="1538"/>
      <c r="J972" s="365"/>
      <c r="K972" s="428"/>
      <c r="O972" s="314"/>
      <c r="Q972" s="314"/>
      <c r="R972" s="201"/>
      <c r="S972" s="314"/>
      <c r="AR972" s="314"/>
      <c r="AS972" s="314"/>
    </row>
    <row r="973" ht="15.75" customHeight="1">
      <c r="E973" s="314"/>
      <c r="F973" s="314"/>
      <c r="H973" s="1149"/>
      <c r="I973" s="1538"/>
      <c r="J973" s="365"/>
      <c r="K973" s="428"/>
      <c r="O973" s="314"/>
      <c r="Q973" s="314"/>
      <c r="R973" s="201"/>
      <c r="S973" s="314"/>
      <c r="AR973" s="314"/>
      <c r="AS973" s="314"/>
    </row>
    <row r="974" ht="15.75" customHeight="1">
      <c r="E974" s="314"/>
      <c r="F974" s="314"/>
      <c r="H974" s="1149"/>
      <c r="I974" s="1538"/>
      <c r="J974" s="365"/>
      <c r="K974" s="428"/>
      <c r="O974" s="314"/>
      <c r="Q974" s="314"/>
      <c r="R974" s="201"/>
      <c r="S974" s="314"/>
      <c r="AR974" s="314"/>
      <c r="AS974" s="314"/>
    </row>
    <row r="975" ht="15.75" customHeight="1">
      <c r="E975" s="314"/>
      <c r="F975" s="314"/>
      <c r="H975" s="1149"/>
      <c r="I975" s="1538"/>
      <c r="J975" s="365"/>
      <c r="K975" s="428"/>
      <c r="O975" s="314"/>
      <c r="Q975" s="314"/>
      <c r="R975" s="201"/>
      <c r="S975" s="314"/>
      <c r="AR975" s="314"/>
      <c r="AS975" s="314"/>
    </row>
    <row r="976" ht="15.75" customHeight="1">
      <c r="E976" s="314"/>
      <c r="F976" s="314"/>
      <c r="H976" s="1149"/>
      <c r="I976" s="1538"/>
      <c r="J976" s="365"/>
      <c r="K976" s="428"/>
      <c r="O976" s="314"/>
      <c r="Q976" s="314"/>
      <c r="R976" s="201"/>
      <c r="S976" s="314"/>
      <c r="AR976" s="314"/>
      <c r="AS976" s="314"/>
    </row>
    <row r="977" ht="15.75" customHeight="1">
      <c r="E977" s="314"/>
      <c r="F977" s="314"/>
      <c r="H977" s="1149"/>
      <c r="I977" s="1538"/>
      <c r="J977" s="365"/>
      <c r="K977" s="428"/>
      <c r="O977" s="314"/>
      <c r="Q977" s="314"/>
      <c r="R977" s="201"/>
      <c r="S977" s="314"/>
      <c r="AR977" s="314"/>
      <c r="AS977" s="314"/>
    </row>
    <row r="978" ht="15.75" customHeight="1">
      <c r="E978" s="314"/>
      <c r="F978" s="314"/>
      <c r="H978" s="1149"/>
      <c r="I978" s="1538"/>
      <c r="J978" s="365"/>
      <c r="K978" s="428"/>
      <c r="O978" s="314"/>
      <c r="Q978" s="314"/>
      <c r="R978" s="201"/>
      <c r="S978" s="314"/>
      <c r="AR978" s="314"/>
      <c r="AS978" s="314"/>
    </row>
    <row r="979" ht="15.75" customHeight="1">
      <c r="E979" s="314"/>
      <c r="F979" s="314"/>
      <c r="H979" s="1149"/>
      <c r="I979" s="1538"/>
      <c r="J979" s="365"/>
      <c r="K979" s="428"/>
      <c r="O979" s="314"/>
      <c r="Q979" s="314"/>
      <c r="R979" s="201"/>
      <c r="S979" s="314"/>
      <c r="AR979" s="314"/>
      <c r="AS979" s="314"/>
    </row>
    <row r="980" ht="15.75" customHeight="1">
      <c r="E980" s="314"/>
      <c r="F980" s="314"/>
      <c r="H980" s="1149"/>
      <c r="I980" s="1538"/>
      <c r="J980" s="365"/>
      <c r="K980" s="428"/>
      <c r="O980" s="314"/>
      <c r="Q980" s="314"/>
      <c r="R980" s="201"/>
      <c r="S980" s="314"/>
      <c r="AR980" s="314"/>
      <c r="AS980" s="314"/>
    </row>
    <row r="981" ht="15.75" customHeight="1">
      <c r="E981" s="314"/>
      <c r="F981" s="314"/>
      <c r="H981" s="1149"/>
      <c r="I981" s="1538"/>
      <c r="J981" s="365"/>
      <c r="K981" s="428"/>
      <c r="O981" s="314"/>
      <c r="Q981" s="314"/>
      <c r="R981" s="201"/>
      <c r="S981" s="314"/>
      <c r="AR981" s="314"/>
      <c r="AS981" s="314"/>
    </row>
    <row r="982" ht="15.75" customHeight="1">
      <c r="E982" s="314"/>
      <c r="F982" s="314"/>
      <c r="H982" s="1149"/>
      <c r="I982" s="1538"/>
      <c r="J982" s="365"/>
      <c r="K982" s="428"/>
      <c r="O982" s="314"/>
      <c r="Q982" s="314"/>
      <c r="R982" s="201"/>
      <c r="S982" s="314"/>
      <c r="AR982" s="314"/>
      <c r="AS982" s="314"/>
    </row>
    <row r="983" ht="15.75" customHeight="1">
      <c r="E983" s="314"/>
      <c r="F983" s="314"/>
      <c r="H983" s="1149"/>
      <c r="I983" s="1538"/>
      <c r="J983" s="365"/>
      <c r="K983" s="428"/>
      <c r="O983" s="314"/>
      <c r="Q983" s="314"/>
      <c r="R983" s="201"/>
      <c r="S983" s="314"/>
      <c r="AR983" s="314"/>
      <c r="AS983" s="314"/>
    </row>
    <row r="984" ht="15.75" customHeight="1">
      <c r="E984" s="314"/>
      <c r="F984" s="314"/>
      <c r="H984" s="1149"/>
      <c r="I984" s="1538"/>
      <c r="J984" s="365"/>
      <c r="K984" s="428"/>
      <c r="O984" s="314"/>
      <c r="Q984" s="314"/>
      <c r="R984" s="201"/>
      <c r="S984" s="314"/>
      <c r="AR984" s="314"/>
      <c r="AS984" s="314"/>
    </row>
    <row r="985" ht="15.75" customHeight="1">
      <c r="E985" s="314"/>
      <c r="F985" s="314"/>
      <c r="H985" s="1149"/>
      <c r="I985" s="1538"/>
      <c r="J985" s="365"/>
      <c r="K985" s="428"/>
      <c r="O985" s="314"/>
      <c r="Q985" s="314"/>
      <c r="R985" s="201"/>
      <c r="S985" s="314"/>
      <c r="AR985" s="314"/>
      <c r="AS985" s="314"/>
    </row>
    <row r="986" ht="15.75" customHeight="1">
      <c r="E986" s="314"/>
      <c r="F986" s="314"/>
      <c r="H986" s="1149"/>
      <c r="I986" s="1538"/>
      <c r="J986" s="365"/>
      <c r="K986" s="428"/>
      <c r="O986" s="314"/>
      <c r="Q986" s="314"/>
      <c r="R986" s="201"/>
      <c r="S986" s="314"/>
      <c r="AR986" s="314"/>
      <c r="AS986" s="314"/>
    </row>
    <row r="987" ht="15.75" customHeight="1">
      <c r="E987" s="314"/>
      <c r="F987" s="314"/>
      <c r="H987" s="1149"/>
      <c r="I987" s="1538"/>
      <c r="J987" s="365"/>
      <c r="K987" s="428"/>
      <c r="O987" s="314"/>
      <c r="Q987" s="314"/>
      <c r="R987" s="201"/>
      <c r="S987" s="314"/>
      <c r="AR987" s="314"/>
      <c r="AS987" s="314"/>
    </row>
    <row r="988" ht="15.75" customHeight="1">
      <c r="E988" s="314"/>
      <c r="F988" s="314"/>
      <c r="H988" s="1149"/>
      <c r="I988" s="1538"/>
      <c r="J988" s="365"/>
      <c r="K988" s="428"/>
      <c r="O988" s="314"/>
      <c r="Q988" s="314"/>
      <c r="R988" s="201"/>
      <c r="S988" s="314"/>
      <c r="AR988" s="314"/>
      <c r="AS988" s="314"/>
    </row>
    <row r="989" ht="15.75" customHeight="1">
      <c r="E989" s="314"/>
      <c r="F989" s="314"/>
      <c r="H989" s="1149"/>
      <c r="I989" s="1538"/>
      <c r="J989" s="365"/>
      <c r="K989" s="428"/>
      <c r="O989" s="314"/>
      <c r="Q989" s="314"/>
      <c r="R989" s="201"/>
      <c r="S989" s="314"/>
      <c r="AR989" s="314"/>
      <c r="AS989" s="314"/>
    </row>
    <row r="990" ht="15.75" customHeight="1">
      <c r="E990" s="314"/>
      <c r="F990" s="314"/>
      <c r="H990" s="1149"/>
      <c r="I990" s="1538"/>
      <c r="J990" s="365"/>
      <c r="K990" s="428"/>
      <c r="O990" s="314"/>
      <c r="Q990" s="314"/>
      <c r="R990" s="201"/>
      <c r="S990" s="314"/>
      <c r="AR990" s="314"/>
      <c r="AS990" s="314"/>
    </row>
    <row r="991" ht="15.75" customHeight="1">
      <c r="E991" s="314"/>
      <c r="F991" s="314"/>
      <c r="H991" s="1149"/>
      <c r="I991" s="1538"/>
      <c r="J991" s="365"/>
      <c r="K991" s="428"/>
      <c r="O991" s="314"/>
      <c r="Q991" s="314"/>
      <c r="R991" s="201"/>
      <c r="S991" s="314"/>
      <c r="AR991" s="314"/>
      <c r="AS991" s="314"/>
    </row>
    <row r="992" ht="15.75" customHeight="1">
      <c r="E992" s="314"/>
      <c r="F992" s="314"/>
      <c r="H992" s="1149"/>
      <c r="I992" s="1538"/>
      <c r="J992" s="365"/>
      <c r="K992" s="428"/>
      <c r="O992" s="314"/>
      <c r="Q992" s="314"/>
      <c r="R992" s="201"/>
      <c r="S992" s="314"/>
      <c r="AR992" s="314"/>
      <c r="AS992" s="314"/>
    </row>
    <row r="993" ht="15.75" customHeight="1">
      <c r="E993" s="314"/>
      <c r="F993" s="314"/>
      <c r="H993" s="1149"/>
      <c r="I993" s="1538"/>
      <c r="J993" s="365"/>
      <c r="K993" s="428"/>
      <c r="O993" s="314"/>
      <c r="Q993" s="314"/>
      <c r="R993" s="201"/>
      <c r="S993" s="314"/>
      <c r="AR993" s="314"/>
      <c r="AS993" s="314"/>
    </row>
    <row r="994" ht="15.75" customHeight="1">
      <c r="E994" s="314"/>
      <c r="F994" s="314"/>
      <c r="H994" s="1149"/>
      <c r="I994" s="1538"/>
      <c r="J994" s="365"/>
      <c r="K994" s="428"/>
      <c r="O994" s="314"/>
      <c r="Q994" s="314"/>
      <c r="R994" s="201"/>
      <c r="S994" s="314"/>
      <c r="AR994" s="314"/>
      <c r="AS994" s="314"/>
    </row>
    <row r="995" ht="15.75" customHeight="1">
      <c r="E995" s="314"/>
      <c r="F995" s="314"/>
      <c r="H995" s="1149"/>
      <c r="I995" s="1538"/>
      <c r="J995" s="365"/>
      <c r="K995" s="428"/>
      <c r="O995" s="314"/>
      <c r="Q995" s="314"/>
      <c r="R995" s="201"/>
      <c r="S995" s="314"/>
      <c r="AR995" s="314"/>
      <c r="AS995" s="314"/>
    </row>
    <row r="996" ht="15.75" customHeight="1">
      <c r="E996" s="314"/>
      <c r="F996" s="314"/>
      <c r="H996" s="1149"/>
      <c r="I996" s="1538"/>
      <c r="J996" s="365"/>
      <c r="K996" s="428"/>
      <c r="O996" s="314"/>
      <c r="Q996" s="314"/>
      <c r="R996" s="201"/>
      <c r="S996" s="314"/>
      <c r="AR996" s="314"/>
      <c r="AS996" s="314"/>
    </row>
    <row r="997" ht="15.75" customHeight="1">
      <c r="E997" s="314"/>
      <c r="F997" s="314"/>
      <c r="H997" s="1149"/>
      <c r="I997" s="1538"/>
      <c r="J997" s="365"/>
      <c r="K997" s="428"/>
      <c r="O997" s="314"/>
      <c r="Q997" s="314"/>
      <c r="R997" s="201"/>
      <c r="S997" s="314"/>
      <c r="AR997" s="314"/>
      <c r="AS997" s="314"/>
    </row>
    <row r="998" ht="15.75" customHeight="1">
      <c r="E998" s="314"/>
      <c r="F998" s="314"/>
      <c r="H998" s="1149"/>
      <c r="I998" s="1538"/>
      <c r="J998" s="365"/>
      <c r="K998" s="428"/>
      <c r="O998" s="314"/>
      <c r="Q998" s="314"/>
      <c r="R998" s="201"/>
      <c r="S998" s="314"/>
      <c r="AR998" s="314"/>
      <c r="AS998" s="314"/>
    </row>
    <row r="999" ht="15.75" customHeight="1">
      <c r="E999" s="314"/>
      <c r="F999" s="314"/>
      <c r="H999" s="1149"/>
      <c r="I999" s="1538"/>
      <c r="J999" s="365"/>
      <c r="K999" s="428"/>
      <c r="O999" s="314"/>
      <c r="Q999" s="314"/>
      <c r="R999" s="201"/>
      <c r="S999" s="314"/>
      <c r="AR999" s="314"/>
      <c r="AS999" s="314"/>
    </row>
    <row r="1000" ht="15.75" customHeight="1">
      <c r="E1000" s="314"/>
      <c r="F1000" s="314"/>
      <c r="H1000" s="1149"/>
      <c r="I1000" s="1538"/>
      <c r="J1000" s="365"/>
      <c r="K1000" s="428"/>
      <c r="O1000" s="314"/>
      <c r="Q1000" s="314"/>
      <c r="R1000" s="201"/>
      <c r="S1000" s="314"/>
      <c r="AR1000" s="314"/>
      <c r="AS1000" s="314"/>
    </row>
  </sheetData>
  <autoFilter ref="$B$1:$S$82">
    <sortState ref="B1:S82">
      <sortCondition ref="B1:B82"/>
      <sortCondition ref="S1:S82"/>
    </sortState>
  </autoFilter>
  <mergeCells count="15">
    <mergeCell ref="AM1:AO1"/>
    <mergeCell ref="AD18:AP18"/>
    <mergeCell ref="U24:AA24"/>
    <mergeCell ref="AC35:AG35"/>
    <mergeCell ref="U47:AA47"/>
    <mergeCell ref="U70:AA70"/>
    <mergeCell ref="U93:AC93"/>
    <mergeCell ref="U116:AC116"/>
    <mergeCell ref="U1:AA1"/>
    <mergeCell ref="AD1:AF1"/>
    <mergeCell ref="AG1:AI1"/>
    <mergeCell ref="AJ1:AL1"/>
    <mergeCell ref="AP1:AR1"/>
    <mergeCell ref="AS1:AU1"/>
    <mergeCell ref="AV1:AX1"/>
  </mergeCells>
  <conditionalFormatting sqref="N1">
    <cfRule type="colorScale" priority="1">
      <colorScale>
        <cfvo type="min"/>
        <cfvo type="percentile" val="50"/>
        <cfvo type="max"/>
        <color rgb="FF63BE7B"/>
        <color rgb="FFFCFCFF"/>
        <color rgb="FFF8696B"/>
      </colorScale>
    </cfRule>
  </conditionalFormatting>
  <conditionalFormatting sqref="N2:N82">
    <cfRule type="colorScale" priority="2">
      <colorScale>
        <cfvo type="min"/>
        <cfvo type="percentile" val="50"/>
        <cfvo type="max"/>
        <color rgb="FF63BE7B"/>
        <color rgb="FFFCFCFF"/>
        <color rgb="FFF8696B"/>
      </colorScale>
    </cfRule>
  </conditionalFormatting>
  <conditionalFormatting sqref="N2:N82">
    <cfRule type="colorScale" priority="3">
      <colorScale>
        <cfvo type="min"/>
        <cfvo type="percentile" val="50"/>
        <cfvo type="max"/>
        <color rgb="FF63BE7B"/>
        <color rgb="FFFCFCFF"/>
        <color rgb="FFF8696B"/>
      </colorScale>
    </cfRule>
  </conditionalFormatting>
  <conditionalFormatting sqref="P1">
    <cfRule type="colorScale" priority="4">
      <colorScale>
        <cfvo type="min"/>
        <cfvo type="percentile" val="50"/>
        <cfvo type="max"/>
        <color rgb="FFF8696B"/>
        <color rgb="FFFCFCFF"/>
        <color rgb="FF63BE7B"/>
      </colorScale>
    </cfRule>
  </conditionalFormatting>
  <conditionalFormatting sqref="P2:P82 R2:R82">
    <cfRule type="colorScale" priority="5">
      <colorScale>
        <cfvo type="min"/>
        <cfvo type="percentile" val="50"/>
        <cfvo type="max"/>
        <color rgb="FFF8696B"/>
        <color rgb="FFFCFCFF"/>
        <color rgb="FF63BE7B"/>
      </colorScale>
    </cfRule>
  </conditionalFormatting>
  <conditionalFormatting sqref="P2:P82">
    <cfRule type="colorScale" priority="6">
      <colorScale>
        <cfvo type="min"/>
        <cfvo type="percentile" val="50"/>
        <cfvo type="max"/>
        <color rgb="FFF8696B"/>
        <color rgb="FFFCFCFF"/>
        <color rgb="FF63BE7B"/>
      </colorScale>
    </cfRule>
  </conditionalFormatting>
  <conditionalFormatting sqref="R1">
    <cfRule type="colorScale" priority="7">
      <colorScale>
        <cfvo type="min"/>
        <cfvo type="percentile" val="50"/>
        <cfvo type="max"/>
        <color rgb="FF63BE7B"/>
        <color rgb="FFFCFCFF"/>
        <color rgb="FFF8696B"/>
      </colorScale>
    </cfRule>
  </conditionalFormatting>
  <conditionalFormatting sqref="R2:R82">
    <cfRule type="colorScale" priority="8">
      <colorScale>
        <cfvo type="min"/>
        <cfvo type="percentile" val="50"/>
        <cfvo type="max"/>
        <color rgb="FF63BE7B"/>
        <color rgb="FFFCFCFF"/>
        <color rgb="FFF8696B"/>
      </colorScale>
    </cfRule>
  </conditionalFormatting>
  <conditionalFormatting sqref="V3:V22">
    <cfRule type="colorScale" priority="9">
      <colorScale>
        <cfvo type="min"/>
        <cfvo type="max"/>
        <color rgb="FF63BE7B"/>
        <color rgb="FFFCFCFF"/>
      </colorScale>
    </cfRule>
  </conditionalFormatting>
  <conditionalFormatting sqref="V26:V45">
    <cfRule type="colorScale" priority="10">
      <colorScale>
        <cfvo type="min"/>
        <cfvo type="max"/>
        <color rgb="FFFCFCFF"/>
        <color rgb="FF63BE7B"/>
      </colorScale>
    </cfRule>
  </conditionalFormatting>
  <conditionalFormatting sqref="V49:V68">
    <cfRule type="colorScale" priority="11">
      <colorScale>
        <cfvo type="min"/>
        <cfvo type="max"/>
        <color rgb="FFFCFCFF"/>
        <color rgb="FF63BE7B"/>
      </colorScale>
    </cfRule>
  </conditionalFormatting>
  <conditionalFormatting sqref="V95:V114">
    <cfRule type="colorScale" priority="12">
      <colorScale>
        <cfvo type="min"/>
        <cfvo type="max"/>
        <color rgb="FF63BE7B"/>
        <color rgb="FFFCFCFF"/>
      </colorScale>
    </cfRule>
  </conditionalFormatting>
  <conditionalFormatting sqref="V118:V137">
    <cfRule type="colorScale" priority="13">
      <colorScale>
        <cfvo type="min"/>
        <cfvo type="max"/>
        <color rgb="FFFCFCFF"/>
        <color rgb="FFF8696B"/>
      </colorScale>
    </cfRule>
  </conditionalFormatting>
  <conditionalFormatting sqref="AB95:AB114">
    <cfRule type="colorScale" priority="14">
      <colorScale>
        <cfvo type="min"/>
        <cfvo type="max"/>
        <color rgb="FF63BE7B"/>
        <color rgb="FFFCFCFF"/>
      </colorScale>
    </cfRule>
  </conditionalFormatting>
  <conditionalFormatting sqref="AB118:AB137">
    <cfRule type="colorScale" priority="15">
      <colorScale>
        <cfvo type="min"/>
        <cfvo type="max"/>
        <color rgb="FFFCFCFF"/>
        <color rgb="FFF8696B"/>
      </colorScale>
    </cfRule>
  </conditionalFormatting>
  <conditionalFormatting sqref="AC95:AC114">
    <cfRule type="colorScale" priority="16">
      <colorScale>
        <cfvo type="min"/>
        <cfvo type="max"/>
        <color rgb="FFFCFCFF"/>
        <color rgb="FF63BE7B"/>
      </colorScale>
    </cfRule>
  </conditionalFormatting>
  <conditionalFormatting sqref="AC118:AC137">
    <cfRule type="colorScale" priority="17">
      <colorScale>
        <cfvo type="min"/>
        <cfvo type="max"/>
        <color rgb="FFF8696B"/>
        <color rgb="FFFCFCFF"/>
      </colorScale>
    </cfRule>
  </conditionalFormatting>
  <conditionalFormatting sqref="AF20:AF31">
    <cfRule type="colorScale" priority="18">
      <colorScale>
        <cfvo type="min"/>
        <cfvo type="percentile" val="50"/>
        <cfvo type="max"/>
        <color rgb="FFF8696B"/>
        <color rgb="FFFCFCFF"/>
        <color rgb="FF63BE7B"/>
      </colorScale>
    </cfRule>
  </conditionalFormatting>
  <conditionalFormatting sqref="AF38:AF49">
    <cfRule type="colorScale" priority="19">
      <colorScale>
        <cfvo type="min"/>
        <cfvo type="max"/>
        <color rgb="FFFCFCFF"/>
        <color rgb="FF63BE7B"/>
      </colorScale>
    </cfRule>
  </conditionalFormatting>
  <conditionalFormatting sqref="AF38:AF49">
    <cfRule type="colorScale" priority="20">
      <colorScale>
        <cfvo type="min"/>
        <cfvo type="percentile" val="50"/>
        <cfvo type="max"/>
        <color rgb="FFF8696B"/>
        <color rgb="FFFCFCFF"/>
        <color rgb="FF63BE7B"/>
      </colorScale>
    </cfRule>
  </conditionalFormatting>
  <conditionalFormatting sqref="AG38:AG49">
    <cfRule type="colorScale" priority="21">
      <colorScale>
        <cfvo type="min"/>
        <cfvo type="max"/>
        <color rgb="FFFCFCFF"/>
        <color rgb="FF63BE7B"/>
      </colorScale>
    </cfRule>
  </conditionalFormatting>
  <conditionalFormatting sqref="AG38:AG49">
    <cfRule type="colorScale" priority="22">
      <colorScale>
        <cfvo type="min"/>
        <cfvo type="percentile" val="50"/>
        <cfvo type="max"/>
        <color rgb="FFF8696B"/>
        <color rgb="FFFCFCFF"/>
        <color rgb="FF63BE7B"/>
      </colorScale>
    </cfRule>
  </conditionalFormatting>
  <conditionalFormatting sqref="AH20:AH31">
    <cfRule type="colorScale" priority="23">
      <colorScale>
        <cfvo type="min"/>
        <cfvo type="max"/>
        <color rgb="FFFCFCFF"/>
        <color rgb="FF63BE7B"/>
      </colorScale>
    </cfRule>
  </conditionalFormatting>
  <conditionalFormatting sqref="AJ20:AJ31">
    <cfRule type="colorScale" priority="24">
      <colorScale>
        <cfvo type="min"/>
        <cfvo type="max"/>
        <color rgb="FFFCFCFF"/>
        <color rgb="FF63BE7B"/>
      </colorScale>
    </cfRule>
  </conditionalFormatting>
  <dataValidations>
    <dataValidation type="list" allowBlank="1" showErrorMessage="1" sqref="AC36">
      <formula1>'League History'!$A$3:$A$16</formula1>
    </dataValidation>
  </dataValidations>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I19"/>
    <hyperlink r:id="rId36" ref="J19"/>
    <hyperlink r:id="rId37" ref="I20"/>
    <hyperlink r:id="rId38" ref="J20"/>
    <hyperlink r:id="rId39" ref="I21"/>
    <hyperlink r:id="rId40" ref="J21"/>
    <hyperlink r:id="rId41" ref="I22"/>
    <hyperlink r:id="rId42" ref="J22"/>
    <hyperlink r:id="rId43" ref="I23"/>
    <hyperlink r:id="rId44" ref="J23"/>
    <hyperlink r:id="rId45" ref="I24"/>
    <hyperlink r:id="rId46" ref="J24"/>
    <hyperlink r:id="rId47" ref="I25"/>
    <hyperlink r:id="rId48" ref="J25"/>
    <hyperlink r:id="rId49" ref="I26"/>
    <hyperlink r:id="rId50" ref="J26"/>
    <hyperlink r:id="rId51" ref="I27"/>
    <hyperlink r:id="rId52" ref="J27"/>
    <hyperlink r:id="rId53" ref="I28"/>
    <hyperlink r:id="rId54" ref="J28"/>
    <hyperlink r:id="rId55" ref="I29"/>
    <hyperlink r:id="rId56" ref="J29"/>
    <hyperlink r:id="rId57" ref="I30"/>
    <hyperlink r:id="rId58" ref="J30"/>
    <hyperlink r:id="rId59" ref="I31"/>
    <hyperlink r:id="rId60" ref="J31"/>
    <hyperlink r:id="rId61" ref="I32"/>
    <hyperlink r:id="rId62" ref="J32"/>
    <hyperlink r:id="rId63" ref="I33"/>
    <hyperlink r:id="rId64" ref="J33"/>
    <hyperlink r:id="rId65" ref="I34"/>
    <hyperlink r:id="rId66" ref="J34"/>
    <hyperlink r:id="rId67" ref="I35"/>
    <hyperlink r:id="rId68" ref="J35"/>
    <hyperlink r:id="rId69" ref="I36"/>
    <hyperlink r:id="rId70" ref="J36"/>
    <hyperlink r:id="rId71" ref="I37"/>
    <hyperlink r:id="rId72" ref="J37"/>
    <hyperlink r:id="rId73" ref="I38"/>
    <hyperlink r:id="rId74" ref="J38"/>
    <hyperlink r:id="rId75" ref="I39"/>
    <hyperlink r:id="rId76" ref="J39"/>
    <hyperlink r:id="rId77" ref="I40"/>
    <hyperlink r:id="rId78" ref="J40"/>
    <hyperlink r:id="rId79" ref="I41"/>
    <hyperlink r:id="rId80" ref="J41"/>
    <hyperlink r:id="rId81" ref="I42"/>
    <hyperlink r:id="rId82" ref="J42"/>
    <hyperlink r:id="rId83" ref="I43"/>
    <hyperlink r:id="rId84" ref="J43"/>
    <hyperlink r:id="rId85" ref="I44"/>
    <hyperlink r:id="rId86" ref="J44"/>
    <hyperlink r:id="rId87" ref="I45"/>
    <hyperlink r:id="rId88" ref="J45"/>
    <hyperlink r:id="rId89" ref="I46"/>
    <hyperlink r:id="rId90" ref="J46"/>
    <hyperlink r:id="rId91" ref="I47"/>
    <hyperlink r:id="rId92" ref="J47"/>
    <hyperlink r:id="rId93" ref="I48"/>
    <hyperlink r:id="rId94" ref="J48"/>
    <hyperlink r:id="rId95" ref="I49"/>
    <hyperlink r:id="rId96" ref="J49"/>
    <hyperlink r:id="rId97" ref="I50"/>
    <hyperlink r:id="rId98" ref="J50"/>
    <hyperlink r:id="rId99" ref="I51"/>
    <hyperlink r:id="rId100" ref="J51"/>
    <hyperlink r:id="rId101" ref="I52"/>
    <hyperlink r:id="rId102" ref="J52"/>
    <hyperlink r:id="rId103" ref="I53"/>
    <hyperlink r:id="rId104" ref="J53"/>
    <hyperlink r:id="rId105" ref="I54"/>
    <hyperlink r:id="rId106" ref="J54"/>
    <hyperlink r:id="rId107" ref="I55"/>
    <hyperlink r:id="rId108" ref="J55"/>
    <hyperlink r:id="rId109" ref="I56"/>
    <hyperlink r:id="rId110" ref="J56"/>
    <hyperlink r:id="rId111" ref="I57"/>
    <hyperlink r:id="rId112" ref="J57"/>
    <hyperlink r:id="rId113" ref="I58"/>
    <hyperlink r:id="rId114" ref="J58"/>
    <hyperlink r:id="rId115" ref="I59"/>
    <hyperlink r:id="rId116" ref="J59"/>
    <hyperlink r:id="rId117" ref="I60"/>
    <hyperlink r:id="rId118" ref="J60"/>
  </hyperlinks>
  <printOptions/>
  <pageMargins bottom="0.75" footer="0.0" header="0.0" left="0.7" right="0.7" top="0.75"/>
  <pageSetup orientation="portrait"/>
  <drawing r:id="rId119"/>
  <tableParts count="6">
    <tablePart r:id="rId126"/>
    <tablePart r:id="rId127"/>
    <tablePart r:id="rId128"/>
    <tablePart r:id="rId129"/>
    <tablePart r:id="rId130"/>
    <tablePart r:id="rId131"/>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8.0"/>
    <col customWidth="1" min="3" max="4" width="7.11"/>
    <col customWidth="1" min="5" max="5" width="16.33"/>
    <col customWidth="1" min="6" max="6" width="32.78"/>
    <col customWidth="1" min="7" max="26" width="10.56"/>
  </cols>
  <sheetData>
    <row r="1" ht="15.75" customHeight="1">
      <c r="A1" s="1179" t="s">
        <v>721</v>
      </c>
      <c r="B1" s="13" t="s">
        <v>538</v>
      </c>
    </row>
    <row r="2" ht="15.75" customHeight="1">
      <c r="A2" s="1180" t="s">
        <v>722</v>
      </c>
      <c r="B2" s="13" t="s">
        <v>493</v>
      </c>
    </row>
    <row r="3" ht="15.75" customHeight="1">
      <c r="A3" s="1179" t="s">
        <v>723</v>
      </c>
      <c r="B3" s="13" t="s">
        <v>497</v>
      </c>
    </row>
    <row r="4" ht="15.75" customHeight="1">
      <c r="A4" s="1179" t="s">
        <v>724</v>
      </c>
      <c r="B4" s="13" t="s">
        <v>578</v>
      </c>
    </row>
    <row r="5" ht="15.75" customHeight="1">
      <c r="A5" s="1179" t="s">
        <v>725</v>
      </c>
      <c r="B5" s="13" t="s">
        <v>537</v>
      </c>
    </row>
    <row r="6" ht="15.75" customHeight="1">
      <c r="A6" s="1179" t="s">
        <v>726</v>
      </c>
      <c r="B6" s="13" t="s">
        <v>494</v>
      </c>
    </row>
    <row r="7" ht="15.75" customHeight="1">
      <c r="A7" s="1179" t="s">
        <v>727</v>
      </c>
      <c r="B7" s="13" t="s">
        <v>495</v>
      </c>
    </row>
    <row r="8" ht="15.75" customHeight="1">
      <c r="A8" s="1179" t="s">
        <v>728</v>
      </c>
      <c r="B8" s="13" t="s">
        <v>672</v>
      </c>
    </row>
    <row r="9" ht="15.75" customHeight="1">
      <c r="A9" s="1179" t="s">
        <v>729</v>
      </c>
      <c r="B9" s="13" t="s">
        <v>673</v>
      </c>
    </row>
    <row r="10" ht="15.75" customHeight="1">
      <c r="A10" s="1179"/>
    </row>
    <row r="11" ht="15.75" customHeight="1"/>
    <row r="12" ht="15.75" customHeight="1"/>
    <row r="13" ht="15.75" customHeight="1"/>
    <row r="14" ht="15.75" customHeight="1"/>
    <row r="15" ht="15.75" customHeight="1"/>
    <row r="16" ht="15.75" customHeight="1"/>
    <row r="17" ht="15.75" customHeight="1"/>
    <row r="18" ht="15.75" customHeight="1">
      <c r="A18" s="1181" t="s">
        <v>730</v>
      </c>
    </row>
    <row r="19" ht="15.75" customHeight="1">
      <c r="A19" s="1182" t="s">
        <v>731</v>
      </c>
      <c r="B19" s="1183"/>
      <c r="C19" s="1182" t="s">
        <v>510</v>
      </c>
      <c r="D19" s="1182" t="s">
        <v>510</v>
      </c>
      <c r="E19" s="1183"/>
      <c r="F19" s="1182" t="s">
        <v>732</v>
      </c>
    </row>
    <row r="20" ht="15.75" customHeight="1">
      <c r="A20" s="1185"/>
      <c r="B20" s="1179" t="s">
        <v>729</v>
      </c>
      <c r="C20" s="1186">
        <v>250.84</v>
      </c>
      <c r="D20" s="1186">
        <v>134.34</v>
      </c>
      <c r="E20" s="1179" t="s">
        <v>725</v>
      </c>
      <c r="F20" s="1185"/>
      <c r="G20" s="13" t="str">
        <f t="shared" ref="G20:G181" si="2">IFERROR(VLOOKUP(B20, $A$1:$B$9, 2, FALSE),1)</f>
        <v>GIRLS</v>
      </c>
      <c r="H20" s="1187">
        <f t="shared" ref="H20:I20" si="1">IF(OR(C20=0,C20="SCORE"),"",C20)</f>
        <v>250.84</v>
      </c>
      <c r="I20" s="1188">
        <f t="shared" si="1"/>
        <v>134.34</v>
      </c>
      <c r="J20" s="13" t="str">
        <f t="shared" ref="J20:J181" si="4">IFERROR(VLOOKUP(E20, $A$1:$B$9, 2, FALSE),"")</f>
        <v>YARDIES</v>
      </c>
      <c r="K20" s="13" t="str">
        <f t="shared" ref="K20:K197" si="5">IF(G20&lt;&gt;1, "Game", "N/A")</f>
        <v>Game</v>
      </c>
    </row>
    <row r="21" ht="15.75" hidden="1" customHeight="1">
      <c r="A21" s="1185" t="s">
        <v>733</v>
      </c>
      <c r="B21" s="1179"/>
      <c r="C21" s="1186"/>
      <c r="D21" s="1186"/>
      <c r="E21" s="1179"/>
      <c r="F21" s="1185" t="s">
        <v>734</v>
      </c>
      <c r="G21" s="13">
        <f t="shared" si="2"/>
        <v>1</v>
      </c>
      <c r="H21" s="224" t="str">
        <f t="shared" ref="H21:I21" si="3">IF(OR(C21=0,C21="SCORE"),"",C21)</f>
        <v/>
      </c>
      <c r="I21" s="13" t="str">
        <f t="shared" si="3"/>
        <v/>
      </c>
      <c r="J21" s="13" t="str">
        <f t="shared" si="4"/>
        <v/>
      </c>
      <c r="K21" s="13" t="str">
        <f t="shared" si="5"/>
        <v>N/A</v>
      </c>
    </row>
    <row r="22" ht="15.75" customHeight="1">
      <c r="A22" s="1185"/>
      <c r="B22" s="1180" t="s">
        <v>722</v>
      </c>
      <c r="C22" s="1186">
        <v>211.0</v>
      </c>
      <c r="D22" s="1186">
        <v>165.94</v>
      </c>
      <c r="E22" s="1179" t="s">
        <v>723</v>
      </c>
      <c r="F22" s="1185"/>
      <c r="G22" s="13" t="str">
        <f t="shared" si="2"/>
        <v>DECOUPES</v>
      </c>
      <c r="H22" s="1187">
        <f t="shared" ref="H22:I22" si="6">IF(OR(C22=0,C22="SCORE"),"",C22)</f>
        <v>211</v>
      </c>
      <c r="I22" s="1188">
        <f t="shared" si="6"/>
        <v>165.94</v>
      </c>
      <c r="J22" s="13" t="str">
        <f t="shared" si="4"/>
        <v>SAVAGES</v>
      </c>
      <c r="K22" s="13" t="str">
        <f t="shared" si="5"/>
        <v>Game</v>
      </c>
    </row>
    <row r="23" ht="15.75" hidden="1" customHeight="1">
      <c r="A23" s="1189" t="s">
        <v>735</v>
      </c>
      <c r="B23" s="1180"/>
      <c r="C23" s="1186"/>
      <c r="D23" s="1186"/>
      <c r="E23" s="1179"/>
      <c r="F23" s="1185" t="s">
        <v>736</v>
      </c>
      <c r="G23" s="13">
        <f t="shared" si="2"/>
        <v>1</v>
      </c>
      <c r="H23" s="224" t="str">
        <f t="shared" ref="H23:I23" si="7">IF(OR(C23=0,C23="SCORE"),"",C23)</f>
        <v/>
      </c>
      <c r="I23" s="13" t="str">
        <f t="shared" si="7"/>
        <v/>
      </c>
      <c r="J23" s="13" t="str">
        <f t="shared" si="4"/>
        <v/>
      </c>
      <c r="K23" s="13" t="str">
        <f t="shared" si="5"/>
        <v>N/A</v>
      </c>
    </row>
    <row r="24" ht="15.75" customHeight="1">
      <c r="A24" s="1185"/>
      <c r="B24" s="1179" t="s">
        <v>726</v>
      </c>
      <c r="C24" s="1186">
        <v>239.89</v>
      </c>
      <c r="D24" s="1186">
        <v>159.8</v>
      </c>
      <c r="E24" s="1179" t="s">
        <v>727</v>
      </c>
      <c r="F24" s="1185"/>
      <c r="G24" s="13" t="str">
        <f t="shared" si="2"/>
        <v>POPEYES</v>
      </c>
      <c r="H24" s="1187">
        <f t="shared" ref="H24:I24" si="8">IF(OR(C24=0,C24="SCORE"),"",C24)</f>
        <v>239.89</v>
      </c>
      <c r="I24" s="1188">
        <f t="shared" si="8"/>
        <v>159.8</v>
      </c>
      <c r="J24" s="13" t="str">
        <f t="shared" si="4"/>
        <v>GREEN</v>
      </c>
      <c r="K24" s="13" t="str">
        <f t="shared" si="5"/>
        <v>Game</v>
      </c>
    </row>
    <row r="25" ht="15.75" hidden="1" customHeight="1">
      <c r="A25" s="1185" t="s">
        <v>737</v>
      </c>
      <c r="B25" s="1179"/>
      <c r="C25" s="1186"/>
      <c r="D25" s="1186"/>
      <c r="E25" s="1179"/>
      <c r="F25" s="1185" t="s">
        <v>738</v>
      </c>
      <c r="G25" s="13">
        <f t="shared" si="2"/>
        <v>1</v>
      </c>
      <c r="H25" s="224" t="str">
        <f t="shared" ref="H25:I25" si="9">IF(OR(C25=0,C25="SCORE"),"",C25)</f>
        <v/>
      </c>
      <c r="I25" s="13" t="str">
        <f t="shared" si="9"/>
        <v/>
      </c>
      <c r="J25" s="13" t="str">
        <f t="shared" si="4"/>
        <v/>
      </c>
      <c r="K25" s="13" t="str">
        <f t="shared" si="5"/>
        <v>N/A</v>
      </c>
    </row>
    <row r="26" ht="15.75" customHeight="1">
      <c r="A26" s="1185"/>
      <c r="B26" s="1179" t="s">
        <v>724</v>
      </c>
      <c r="C26" s="1186">
        <v>242.87</v>
      </c>
      <c r="D26" s="1186">
        <v>192.64</v>
      </c>
      <c r="E26" s="1179" t="s">
        <v>721</v>
      </c>
      <c r="F26" s="1185"/>
      <c r="G26" s="13" t="str">
        <f t="shared" si="2"/>
        <v>METAMOOKDAWGS</v>
      </c>
      <c r="H26" s="1187">
        <f t="shared" ref="H26:I26" si="10">IF(OR(C26=0,C26="SCORE"),"",C26)</f>
        <v>242.87</v>
      </c>
      <c r="I26" s="1188">
        <f t="shared" si="10"/>
        <v>192.64</v>
      </c>
      <c r="J26" s="13" t="str">
        <f t="shared" si="4"/>
        <v>MUTTS</v>
      </c>
      <c r="K26" s="13" t="str">
        <f t="shared" si="5"/>
        <v>Game</v>
      </c>
    </row>
    <row r="27" ht="15.75" hidden="1" customHeight="1">
      <c r="A27" s="1185" t="s">
        <v>739</v>
      </c>
      <c r="B27" s="1179"/>
      <c r="C27" s="1186"/>
      <c r="D27" s="1186"/>
      <c r="E27" s="1179"/>
      <c r="F27" s="1185" t="s">
        <v>740</v>
      </c>
      <c r="G27" s="13">
        <f t="shared" si="2"/>
        <v>1</v>
      </c>
      <c r="H27" s="224" t="str">
        <f t="shared" ref="H27:I27" si="11">IF(OR(C27=0,C27="SCORE"),"",C27)</f>
        <v/>
      </c>
      <c r="I27" s="13" t="str">
        <f t="shared" si="11"/>
        <v/>
      </c>
      <c r="J27" s="13" t="str">
        <f t="shared" si="4"/>
        <v/>
      </c>
      <c r="K27" s="13" t="str">
        <f t="shared" si="5"/>
        <v>N/A</v>
      </c>
    </row>
    <row r="28" ht="15.75" hidden="1" customHeight="1">
      <c r="A28" s="1181" t="s">
        <v>741</v>
      </c>
      <c r="G28" s="13">
        <f t="shared" si="2"/>
        <v>1</v>
      </c>
      <c r="H28" s="224" t="str">
        <f t="shared" ref="H28:I28" si="12">IF(OR(C28=0,C28="SCORE"),"",C28)</f>
        <v/>
      </c>
      <c r="I28" s="13" t="str">
        <f t="shared" si="12"/>
        <v/>
      </c>
      <c r="J28" s="13" t="str">
        <f t="shared" si="4"/>
        <v/>
      </c>
      <c r="K28" s="13" t="str">
        <f t="shared" si="5"/>
        <v>N/A</v>
      </c>
    </row>
    <row r="29" ht="15.75" hidden="1" customHeight="1">
      <c r="A29" s="1182" t="s">
        <v>731</v>
      </c>
      <c r="B29" s="1183"/>
      <c r="C29" s="1182" t="s">
        <v>510</v>
      </c>
      <c r="D29" s="1182" t="s">
        <v>510</v>
      </c>
      <c r="E29" s="1183"/>
      <c r="F29" s="1182" t="s">
        <v>732</v>
      </c>
      <c r="G29" s="13">
        <f t="shared" si="2"/>
        <v>1</v>
      </c>
      <c r="H29" s="224" t="str">
        <f t="shared" ref="H29:I29" si="13">IF(OR(C29=0,C29="SCORE"),"",C29)</f>
        <v/>
      </c>
      <c r="I29" s="13" t="str">
        <f t="shared" si="13"/>
        <v/>
      </c>
      <c r="J29" s="13" t="str">
        <f t="shared" si="4"/>
        <v/>
      </c>
      <c r="K29" s="13" t="str">
        <f t="shared" si="5"/>
        <v>N/A</v>
      </c>
    </row>
    <row r="30" ht="15.75" customHeight="1">
      <c r="A30" s="1185"/>
      <c r="B30" s="1179" t="s">
        <v>729</v>
      </c>
      <c r="C30" s="1186">
        <v>243.75</v>
      </c>
      <c r="D30" s="1186">
        <v>255.68</v>
      </c>
      <c r="E30" s="1180" t="s">
        <v>722</v>
      </c>
      <c r="F30" s="1185"/>
      <c r="G30" s="13" t="str">
        <f t="shared" si="2"/>
        <v>GIRLS</v>
      </c>
      <c r="H30" s="1187">
        <f t="shared" ref="H30:I30" si="14">IF(OR(C30=0,C30="SCORE"),"",C30)</f>
        <v>243.75</v>
      </c>
      <c r="I30" s="1188">
        <f t="shared" si="14"/>
        <v>255.68</v>
      </c>
      <c r="J30" s="13" t="str">
        <f t="shared" si="4"/>
        <v>DECOUPES</v>
      </c>
      <c r="K30" s="13" t="str">
        <f t="shared" si="5"/>
        <v>Game</v>
      </c>
    </row>
    <row r="31" ht="15.75" hidden="1" customHeight="1">
      <c r="A31" s="1185" t="s">
        <v>744</v>
      </c>
      <c r="B31" s="1179"/>
      <c r="C31" s="1186"/>
      <c r="D31" s="1186"/>
      <c r="E31" s="1180"/>
      <c r="F31" s="1189" t="s">
        <v>745</v>
      </c>
      <c r="G31" s="13">
        <f t="shared" si="2"/>
        <v>1</v>
      </c>
      <c r="H31" s="224" t="str">
        <f t="shared" ref="H31:I31" si="15">IF(OR(C31=0,C31="SCORE"),"",C31)</f>
        <v/>
      </c>
      <c r="I31" s="13" t="str">
        <f t="shared" si="15"/>
        <v/>
      </c>
      <c r="J31" s="13" t="str">
        <f t="shared" si="4"/>
        <v/>
      </c>
      <c r="K31" s="13" t="str">
        <f t="shared" si="5"/>
        <v>N/A</v>
      </c>
    </row>
    <row r="32" ht="15.75" customHeight="1">
      <c r="A32" s="1185"/>
      <c r="B32" s="1179" t="s">
        <v>727</v>
      </c>
      <c r="C32" s="1186">
        <v>191.46</v>
      </c>
      <c r="D32" s="1186">
        <v>254.53</v>
      </c>
      <c r="E32" s="1179" t="s">
        <v>721</v>
      </c>
      <c r="F32" s="1185"/>
      <c r="G32" s="13" t="str">
        <f t="shared" si="2"/>
        <v>GREEN</v>
      </c>
      <c r="H32" s="1187">
        <f t="shared" ref="H32:I32" si="16">IF(OR(C32=0,C32="SCORE"),"",C32)</f>
        <v>191.46</v>
      </c>
      <c r="I32" s="1188">
        <f t="shared" si="16"/>
        <v>254.53</v>
      </c>
      <c r="J32" s="13" t="str">
        <f t="shared" si="4"/>
        <v>MUTTS</v>
      </c>
      <c r="K32" s="13" t="str">
        <f t="shared" si="5"/>
        <v>Game</v>
      </c>
    </row>
    <row r="33" ht="15.75" hidden="1" customHeight="1">
      <c r="A33" s="1185" t="s">
        <v>747</v>
      </c>
      <c r="B33" s="1179"/>
      <c r="C33" s="1186"/>
      <c r="D33" s="1186"/>
      <c r="E33" s="1179"/>
      <c r="F33" s="1185" t="s">
        <v>748</v>
      </c>
      <c r="G33" s="13">
        <f t="shared" si="2"/>
        <v>1</v>
      </c>
      <c r="H33" s="224" t="str">
        <f t="shared" ref="H33:I33" si="17">IF(OR(C33=0,C33="SCORE"),"",C33)</f>
        <v/>
      </c>
      <c r="I33" s="13" t="str">
        <f t="shared" si="17"/>
        <v/>
      </c>
      <c r="J33" s="13" t="str">
        <f t="shared" si="4"/>
        <v/>
      </c>
      <c r="K33" s="13" t="str">
        <f t="shared" si="5"/>
        <v>N/A</v>
      </c>
    </row>
    <row r="34" ht="15.75" customHeight="1">
      <c r="A34" s="1185"/>
      <c r="B34" s="1179" t="s">
        <v>724</v>
      </c>
      <c r="C34" s="1186">
        <v>196.12</v>
      </c>
      <c r="D34" s="1186">
        <v>177.65</v>
      </c>
      <c r="E34" s="1179" t="s">
        <v>723</v>
      </c>
      <c r="F34" s="1185"/>
      <c r="G34" s="13" t="str">
        <f t="shared" si="2"/>
        <v>METAMOOKDAWGS</v>
      </c>
      <c r="H34" s="1187">
        <f t="shared" ref="H34:I34" si="18">IF(OR(C34=0,C34="SCORE"),"",C34)</f>
        <v>196.12</v>
      </c>
      <c r="I34" s="1188">
        <f t="shared" si="18"/>
        <v>177.65</v>
      </c>
      <c r="J34" s="13" t="str">
        <f t="shared" si="4"/>
        <v>SAVAGES</v>
      </c>
      <c r="K34" s="13" t="str">
        <f t="shared" si="5"/>
        <v>Game</v>
      </c>
    </row>
    <row r="35" ht="15.75" hidden="1" customHeight="1">
      <c r="A35" s="1185" t="s">
        <v>751</v>
      </c>
      <c r="B35" s="1179"/>
      <c r="C35" s="1186"/>
      <c r="D35" s="1186"/>
      <c r="E35" s="1179"/>
      <c r="F35" s="1185" t="s">
        <v>752</v>
      </c>
      <c r="G35" s="13">
        <f t="shared" si="2"/>
        <v>1</v>
      </c>
      <c r="H35" s="224" t="str">
        <f t="shared" ref="H35:I35" si="19">IF(OR(C35=0,C35="SCORE"),"",C35)</f>
        <v/>
      </c>
      <c r="I35" s="13" t="str">
        <f t="shared" si="19"/>
        <v/>
      </c>
      <c r="J35" s="13" t="str">
        <f t="shared" si="4"/>
        <v/>
      </c>
      <c r="K35" s="13" t="str">
        <f t="shared" si="5"/>
        <v>N/A</v>
      </c>
    </row>
    <row r="36" ht="15.75" customHeight="1">
      <c r="A36" s="1185"/>
      <c r="B36" s="1179" t="s">
        <v>725</v>
      </c>
      <c r="C36" s="1186">
        <v>165.43</v>
      </c>
      <c r="D36" s="1186">
        <v>216.83</v>
      </c>
      <c r="E36" s="1179" t="s">
        <v>726</v>
      </c>
      <c r="F36" s="1185"/>
      <c r="G36" s="13" t="str">
        <f t="shared" si="2"/>
        <v>YARDIES</v>
      </c>
      <c r="H36" s="1187">
        <f t="shared" ref="H36:I36" si="20">IF(OR(C36=0,C36="SCORE"),"",C36)</f>
        <v>165.43</v>
      </c>
      <c r="I36" s="1188">
        <f t="shared" si="20"/>
        <v>216.83</v>
      </c>
      <c r="J36" s="13" t="str">
        <f t="shared" si="4"/>
        <v>POPEYES</v>
      </c>
      <c r="K36" s="13" t="str">
        <f t="shared" si="5"/>
        <v>Game</v>
      </c>
    </row>
    <row r="37" ht="15.75" hidden="1" customHeight="1">
      <c r="A37" s="1185" t="s">
        <v>755</v>
      </c>
      <c r="B37" s="1179"/>
      <c r="C37" s="1186"/>
      <c r="D37" s="1186"/>
      <c r="E37" s="1179"/>
      <c r="F37" s="1185" t="s">
        <v>756</v>
      </c>
      <c r="G37" s="13">
        <f t="shared" si="2"/>
        <v>1</v>
      </c>
      <c r="H37" s="224" t="str">
        <f t="shared" ref="H37:I37" si="21">IF(OR(C37=0,C37="SCORE"),"",C37)</f>
        <v/>
      </c>
      <c r="I37" s="13" t="str">
        <f t="shared" si="21"/>
        <v/>
      </c>
      <c r="J37" s="13" t="str">
        <f t="shared" si="4"/>
        <v/>
      </c>
      <c r="K37" s="13" t="str">
        <f t="shared" si="5"/>
        <v>N/A</v>
      </c>
    </row>
    <row r="38" ht="15.75" hidden="1" customHeight="1">
      <c r="A38" s="1181" t="s">
        <v>757</v>
      </c>
      <c r="G38" s="13">
        <f t="shared" si="2"/>
        <v>1</v>
      </c>
      <c r="H38" s="224" t="str">
        <f t="shared" ref="H38:I38" si="22">IF(OR(C38=0,C38="SCORE"),"",C38)</f>
        <v/>
      </c>
      <c r="I38" s="13" t="str">
        <f t="shared" si="22"/>
        <v/>
      </c>
      <c r="J38" s="13" t="str">
        <f t="shared" si="4"/>
        <v/>
      </c>
      <c r="K38" s="13" t="str">
        <f t="shared" si="5"/>
        <v>N/A</v>
      </c>
    </row>
    <row r="39" ht="15.75" hidden="1" customHeight="1">
      <c r="A39" s="1182" t="s">
        <v>731</v>
      </c>
      <c r="B39" s="1183"/>
      <c r="C39" s="1182" t="s">
        <v>510</v>
      </c>
      <c r="D39" s="1182" t="s">
        <v>510</v>
      </c>
      <c r="E39" s="1183"/>
      <c r="F39" s="1182" t="s">
        <v>732</v>
      </c>
      <c r="G39" s="13">
        <f t="shared" si="2"/>
        <v>1</v>
      </c>
      <c r="H39" s="224" t="str">
        <f t="shared" ref="H39:I39" si="23">IF(OR(C39=0,C39="SCORE"),"",C39)</f>
        <v/>
      </c>
      <c r="I39" s="13" t="str">
        <f t="shared" si="23"/>
        <v/>
      </c>
      <c r="J39" s="13" t="str">
        <f t="shared" si="4"/>
        <v/>
      </c>
      <c r="K39" s="13" t="str">
        <f t="shared" si="5"/>
        <v>N/A</v>
      </c>
    </row>
    <row r="40" ht="15.75" customHeight="1">
      <c r="A40" s="1185"/>
      <c r="B40" s="1179" t="s">
        <v>723</v>
      </c>
      <c r="C40" s="1186">
        <v>261.18</v>
      </c>
      <c r="D40" s="1186">
        <v>191.2</v>
      </c>
      <c r="E40" s="1179" t="s">
        <v>727</v>
      </c>
      <c r="F40" s="1185"/>
      <c r="G40" s="13" t="str">
        <f t="shared" si="2"/>
        <v>SAVAGES</v>
      </c>
      <c r="H40" s="1187">
        <f t="shared" ref="H40:I40" si="24">IF(OR(C40=0,C40="SCORE"),"",C40)</f>
        <v>261.18</v>
      </c>
      <c r="I40" s="1188">
        <f t="shared" si="24"/>
        <v>191.2</v>
      </c>
      <c r="J40" s="13" t="str">
        <f t="shared" si="4"/>
        <v>GREEN</v>
      </c>
      <c r="K40" s="13" t="str">
        <f t="shared" si="5"/>
        <v>Game</v>
      </c>
    </row>
    <row r="41" ht="15.75" hidden="1" customHeight="1">
      <c r="A41" s="1185" t="s">
        <v>761</v>
      </c>
      <c r="B41" s="1179"/>
      <c r="C41" s="1186"/>
      <c r="D41" s="1186"/>
      <c r="E41" s="1179"/>
      <c r="F41" s="1185" t="s">
        <v>762</v>
      </c>
      <c r="G41" s="13">
        <f t="shared" si="2"/>
        <v>1</v>
      </c>
      <c r="H41" s="224" t="str">
        <f t="shared" ref="H41:I41" si="25">IF(OR(C41=0,C41="SCORE"),"",C41)</f>
        <v/>
      </c>
      <c r="I41" s="13" t="str">
        <f t="shared" si="25"/>
        <v/>
      </c>
      <c r="J41" s="13" t="str">
        <f t="shared" si="4"/>
        <v/>
      </c>
      <c r="K41" s="13" t="str">
        <f t="shared" si="5"/>
        <v>N/A</v>
      </c>
    </row>
    <row r="42" ht="15.75" customHeight="1">
      <c r="A42" s="1185"/>
      <c r="B42" s="1179" t="s">
        <v>729</v>
      </c>
      <c r="C42" s="1186">
        <v>255.21</v>
      </c>
      <c r="D42" s="1186">
        <v>255.48</v>
      </c>
      <c r="E42" s="1179" t="s">
        <v>721</v>
      </c>
      <c r="F42" s="1185"/>
      <c r="G42" s="13" t="str">
        <f t="shared" si="2"/>
        <v>GIRLS</v>
      </c>
      <c r="H42" s="1187">
        <f t="shared" ref="H42:I42" si="26">IF(OR(C42=0,C42="SCORE"),"",C42)</f>
        <v>255.21</v>
      </c>
      <c r="I42" s="1188">
        <f t="shared" si="26"/>
        <v>255.48</v>
      </c>
      <c r="J42" s="13" t="str">
        <f t="shared" si="4"/>
        <v>MUTTS</v>
      </c>
      <c r="K42" s="13" t="str">
        <f t="shared" si="5"/>
        <v>Game</v>
      </c>
    </row>
    <row r="43" ht="15.75" hidden="1" customHeight="1">
      <c r="A43" s="1185" t="s">
        <v>766</v>
      </c>
      <c r="B43" s="1179"/>
      <c r="C43" s="1186"/>
      <c r="D43" s="1186"/>
      <c r="E43" s="1179"/>
      <c r="F43" s="1185" t="s">
        <v>767</v>
      </c>
      <c r="G43" s="13">
        <f t="shared" si="2"/>
        <v>1</v>
      </c>
      <c r="H43" s="224" t="str">
        <f t="shared" ref="H43:I43" si="27">IF(OR(C43=0,C43="SCORE"),"",C43)</f>
        <v/>
      </c>
      <c r="I43" s="13" t="str">
        <f t="shared" si="27"/>
        <v/>
      </c>
      <c r="J43" s="13" t="str">
        <f t="shared" si="4"/>
        <v/>
      </c>
      <c r="K43" s="13" t="str">
        <f t="shared" si="5"/>
        <v>N/A</v>
      </c>
    </row>
    <row r="44" ht="15.75" customHeight="1">
      <c r="A44" s="1185"/>
      <c r="B44" s="1180" t="s">
        <v>722</v>
      </c>
      <c r="C44" s="1186">
        <v>161.63</v>
      </c>
      <c r="D44" s="1186">
        <v>189.53</v>
      </c>
      <c r="E44" s="1179" t="s">
        <v>726</v>
      </c>
      <c r="F44" s="1185"/>
      <c r="G44" s="13" t="str">
        <f t="shared" si="2"/>
        <v>DECOUPES</v>
      </c>
      <c r="H44" s="1187">
        <f t="shared" ref="H44:I44" si="28">IF(OR(C44=0,C44="SCORE"),"",C44)</f>
        <v>161.63</v>
      </c>
      <c r="I44" s="1188">
        <f t="shared" si="28"/>
        <v>189.53</v>
      </c>
      <c r="J44" s="13" t="str">
        <f t="shared" si="4"/>
        <v>POPEYES</v>
      </c>
      <c r="K44" s="13" t="str">
        <f t="shared" si="5"/>
        <v>Game</v>
      </c>
    </row>
    <row r="45" ht="15.75" hidden="1" customHeight="1">
      <c r="A45" s="1189" t="s">
        <v>769</v>
      </c>
      <c r="B45" s="1180"/>
      <c r="C45" s="1186"/>
      <c r="D45" s="1186"/>
      <c r="E45" s="1179"/>
      <c r="F45" s="1185" t="s">
        <v>770</v>
      </c>
      <c r="G45" s="13">
        <f t="shared" si="2"/>
        <v>1</v>
      </c>
      <c r="H45" s="224" t="str">
        <f t="shared" ref="H45:I45" si="29">IF(OR(C45=0,C45="SCORE"),"",C45)</f>
        <v/>
      </c>
      <c r="I45" s="13" t="str">
        <f t="shared" si="29"/>
        <v/>
      </c>
      <c r="J45" s="13" t="str">
        <f t="shared" si="4"/>
        <v/>
      </c>
      <c r="K45" s="13" t="str">
        <f t="shared" si="5"/>
        <v>N/A</v>
      </c>
    </row>
    <row r="46" ht="15.75" customHeight="1">
      <c r="A46" s="1185"/>
      <c r="B46" s="1179" t="s">
        <v>725</v>
      </c>
      <c r="C46" s="1186">
        <v>206.88</v>
      </c>
      <c r="D46" s="1186">
        <v>234.85</v>
      </c>
      <c r="E46" s="1179" t="s">
        <v>724</v>
      </c>
      <c r="F46" s="1185"/>
      <c r="G46" s="13" t="str">
        <f t="shared" si="2"/>
        <v>YARDIES</v>
      </c>
      <c r="H46" s="1187">
        <f t="shared" ref="H46:I46" si="30">IF(OR(C46=0,C46="SCORE"),"",C46)</f>
        <v>206.88</v>
      </c>
      <c r="I46" s="1188">
        <f t="shared" si="30"/>
        <v>234.85</v>
      </c>
      <c r="J46" s="13" t="str">
        <f t="shared" si="4"/>
        <v>METAMOOKDAWGS</v>
      </c>
      <c r="K46" s="13" t="str">
        <f t="shared" si="5"/>
        <v>Game</v>
      </c>
    </row>
    <row r="47" ht="15.75" hidden="1" customHeight="1">
      <c r="A47" s="1185" t="s">
        <v>773</v>
      </c>
      <c r="B47" s="1179"/>
      <c r="C47" s="1186"/>
      <c r="D47" s="1186"/>
      <c r="E47" s="1179"/>
      <c r="F47" s="1185" t="s">
        <v>774</v>
      </c>
      <c r="G47" s="13">
        <f t="shared" si="2"/>
        <v>1</v>
      </c>
      <c r="H47" s="224" t="str">
        <f t="shared" ref="H47:I47" si="31">IF(OR(C47=0,C47="SCORE"),"",C47)</f>
        <v/>
      </c>
      <c r="I47" s="13" t="str">
        <f t="shared" si="31"/>
        <v/>
      </c>
      <c r="J47" s="13" t="str">
        <f t="shared" si="4"/>
        <v/>
      </c>
      <c r="K47" s="13" t="str">
        <f t="shared" si="5"/>
        <v>N/A</v>
      </c>
    </row>
    <row r="48" ht="15.75" hidden="1" customHeight="1">
      <c r="A48" s="1181" t="s">
        <v>775</v>
      </c>
      <c r="G48" s="13">
        <f t="shared" si="2"/>
        <v>1</v>
      </c>
      <c r="H48" s="224" t="str">
        <f t="shared" ref="H48:I48" si="32">IF(OR(C48=0,C48="SCORE"),"",C48)</f>
        <v/>
      </c>
      <c r="I48" s="13" t="str">
        <f t="shared" si="32"/>
        <v/>
      </c>
      <c r="J48" s="13" t="str">
        <f t="shared" si="4"/>
        <v/>
      </c>
      <c r="K48" s="13" t="str">
        <f t="shared" si="5"/>
        <v>N/A</v>
      </c>
    </row>
    <row r="49" ht="15.75" hidden="1" customHeight="1">
      <c r="A49" s="1182" t="s">
        <v>731</v>
      </c>
      <c r="B49" s="1183"/>
      <c r="C49" s="1182" t="s">
        <v>510</v>
      </c>
      <c r="D49" s="1182" t="s">
        <v>510</v>
      </c>
      <c r="E49" s="1183"/>
      <c r="F49" s="1182" t="s">
        <v>732</v>
      </c>
      <c r="G49" s="13">
        <f t="shared" si="2"/>
        <v>1</v>
      </c>
      <c r="H49" s="224" t="str">
        <f t="shared" ref="H49:I49" si="33">IF(OR(C49=0,C49="SCORE"),"",C49)</f>
        <v/>
      </c>
      <c r="I49" s="13" t="str">
        <f t="shared" si="33"/>
        <v/>
      </c>
      <c r="J49" s="13" t="str">
        <f t="shared" si="4"/>
        <v/>
      </c>
      <c r="K49" s="13" t="str">
        <f t="shared" si="5"/>
        <v>N/A</v>
      </c>
    </row>
    <row r="50" ht="15.75" customHeight="1">
      <c r="A50" s="1185"/>
      <c r="B50" s="1179" t="s">
        <v>724</v>
      </c>
      <c r="C50" s="1186">
        <v>259.79</v>
      </c>
      <c r="D50" s="1186">
        <v>209.47</v>
      </c>
      <c r="E50" s="1180" t="s">
        <v>722</v>
      </c>
      <c r="F50" s="1185"/>
      <c r="G50" s="13" t="str">
        <f t="shared" si="2"/>
        <v>METAMOOKDAWGS</v>
      </c>
      <c r="H50" s="1187">
        <f t="shared" ref="H50:I50" si="34">IF(OR(C50=0,C50="SCORE"),"",C50)</f>
        <v>259.79</v>
      </c>
      <c r="I50" s="1188">
        <f t="shared" si="34"/>
        <v>209.47</v>
      </c>
      <c r="J50" s="13" t="str">
        <f t="shared" si="4"/>
        <v>DECOUPES</v>
      </c>
      <c r="K50" s="13" t="str">
        <f t="shared" si="5"/>
        <v>Game</v>
      </c>
    </row>
    <row r="51" ht="15.75" hidden="1" customHeight="1">
      <c r="A51" s="1185" t="s">
        <v>778</v>
      </c>
      <c r="B51" s="1179"/>
      <c r="C51" s="1186"/>
      <c r="D51" s="1186"/>
      <c r="E51" s="1180"/>
      <c r="F51" s="1189" t="s">
        <v>779</v>
      </c>
      <c r="G51" s="13">
        <f t="shared" si="2"/>
        <v>1</v>
      </c>
      <c r="H51" s="224" t="str">
        <f t="shared" ref="H51:I51" si="35">IF(OR(C51=0,C51="SCORE"),"",C51)</f>
        <v/>
      </c>
      <c r="I51" s="13" t="str">
        <f t="shared" si="35"/>
        <v/>
      </c>
      <c r="J51" s="13" t="str">
        <f t="shared" si="4"/>
        <v/>
      </c>
      <c r="K51" s="13" t="str">
        <f t="shared" si="5"/>
        <v>N/A</v>
      </c>
    </row>
    <row r="52" ht="15.75" customHeight="1">
      <c r="A52" s="1185"/>
      <c r="B52" s="1179" t="s">
        <v>721</v>
      </c>
      <c r="C52" s="1186">
        <v>188.08</v>
      </c>
      <c r="D52" s="1186">
        <v>174.25</v>
      </c>
      <c r="E52" s="1179" t="s">
        <v>726</v>
      </c>
      <c r="F52" s="1185"/>
      <c r="G52" s="13" t="str">
        <f t="shared" si="2"/>
        <v>MUTTS</v>
      </c>
      <c r="H52" s="1187">
        <f t="shared" ref="H52:I52" si="36">IF(OR(C52=0,C52="SCORE"),"",C52)</f>
        <v>188.08</v>
      </c>
      <c r="I52" s="1188">
        <f t="shared" si="36"/>
        <v>174.25</v>
      </c>
      <c r="J52" s="13" t="str">
        <f t="shared" si="4"/>
        <v>POPEYES</v>
      </c>
      <c r="K52" s="13" t="str">
        <f t="shared" si="5"/>
        <v>Game</v>
      </c>
    </row>
    <row r="53" ht="15.75" hidden="1" customHeight="1">
      <c r="A53" s="1185" t="s">
        <v>782</v>
      </c>
      <c r="B53" s="1179"/>
      <c r="C53" s="1186"/>
      <c r="D53" s="1186"/>
      <c r="E53" s="1179"/>
      <c r="F53" s="1185" t="s">
        <v>783</v>
      </c>
      <c r="G53" s="13">
        <f t="shared" si="2"/>
        <v>1</v>
      </c>
      <c r="H53" s="224" t="str">
        <f t="shared" ref="H53:I53" si="37">IF(OR(C53=0,C53="SCORE"),"",C53)</f>
        <v/>
      </c>
      <c r="I53" s="13" t="str">
        <f t="shared" si="37"/>
        <v/>
      </c>
      <c r="J53" s="13" t="str">
        <f t="shared" si="4"/>
        <v/>
      </c>
      <c r="K53" s="13" t="str">
        <f t="shared" si="5"/>
        <v>N/A</v>
      </c>
    </row>
    <row r="54" ht="15.75" customHeight="1">
      <c r="A54" s="1185"/>
      <c r="B54" s="1179" t="s">
        <v>725</v>
      </c>
      <c r="C54" s="1186">
        <v>190.74</v>
      </c>
      <c r="D54" s="1186">
        <v>258.21</v>
      </c>
      <c r="E54" s="1179" t="s">
        <v>727</v>
      </c>
      <c r="F54" s="1185"/>
      <c r="G54" s="13" t="str">
        <f t="shared" si="2"/>
        <v>YARDIES</v>
      </c>
      <c r="H54" s="1187">
        <f t="shared" ref="H54:I54" si="38">IF(OR(C54=0,C54="SCORE"),"",C54)</f>
        <v>190.74</v>
      </c>
      <c r="I54" s="1188">
        <f t="shared" si="38"/>
        <v>258.21</v>
      </c>
      <c r="J54" s="13" t="str">
        <f t="shared" si="4"/>
        <v>GREEN</v>
      </c>
      <c r="K54" s="13" t="str">
        <f t="shared" si="5"/>
        <v>Game</v>
      </c>
    </row>
    <row r="55" ht="15.75" hidden="1" customHeight="1">
      <c r="A55" s="1185" t="s">
        <v>787</v>
      </c>
      <c r="B55" s="1179"/>
      <c r="C55" s="1186"/>
      <c r="D55" s="1186"/>
      <c r="E55" s="1179"/>
      <c r="F55" s="1185" t="s">
        <v>788</v>
      </c>
      <c r="G55" s="13">
        <f t="shared" si="2"/>
        <v>1</v>
      </c>
      <c r="H55" s="224" t="str">
        <f t="shared" ref="H55:I55" si="39">IF(OR(C55=0,C55="SCORE"),"",C55)</f>
        <v/>
      </c>
      <c r="I55" s="13" t="str">
        <f t="shared" si="39"/>
        <v/>
      </c>
      <c r="J55" s="13" t="str">
        <f t="shared" si="4"/>
        <v/>
      </c>
      <c r="K55" s="13" t="str">
        <f t="shared" si="5"/>
        <v>N/A</v>
      </c>
    </row>
    <row r="56" ht="15.75" customHeight="1">
      <c r="A56" s="1185"/>
      <c r="B56" s="1179" t="s">
        <v>723</v>
      </c>
      <c r="C56" s="1186">
        <v>196.93</v>
      </c>
      <c r="D56" s="1186">
        <v>196.82</v>
      </c>
      <c r="E56" s="1179" t="s">
        <v>729</v>
      </c>
      <c r="F56" s="1185"/>
      <c r="G56" s="13" t="str">
        <f t="shared" si="2"/>
        <v>SAVAGES</v>
      </c>
      <c r="H56" s="1187">
        <f t="shared" ref="H56:I56" si="40">IF(OR(C56=0,C56="SCORE"),"",C56)</f>
        <v>196.93</v>
      </c>
      <c r="I56" s="1188">
        <f t="shared" si="40"/>
        <v>196.82</v>
      </c>
      <c r="J56" s="13" t="str">
        <f t="shared" si="4"/>
        <v>GIRLS</v>
      </c>
      <c r="K56" s="13" t="str">
        <f t="shared" si="5"/>
        <v>Game</v>
      </c>
    </row>
    <row r="57" ht="15.75" hidden="1" customHeight="1">
      <c r="A57" s="1185" t="s">
        <v>790</v>
      </c>
      <c r="B57" s="1179"/>
      <c r="C57" s="1186"/>
      <c r="D57" s="1186"/>
      <c r="E57" s="1179"/>
      <c r="F57" s="1185" t="s">
        <v>791</v>
      </c>
      <c r="G57" s="13">
        <f t="shared" si="2"/>
        <v>1</v>
      </c>
      <c r="H57" s="224" t="str">
        <f t="shared" ref="H57:I57" si="41">IF(OR(C57=0,C57="SCORE"),"",C57)</f>
        <v/>
      </c>
      <c r="I57" s="13" t="str">
        <f t="shared" si="41"/>
        <v/>
      </c>
      <c r="J57" s="13" t="str">
        <f t="shared" si="4"/>
        <v/>
      </c>
      <c r="K57" s="13" t="str">
        <f t="shared" si="5"/>
        <v>N/A</v>
      </c>
    </row>
    <row r="58" ht="15.75" hidden="1" customHeight="1">
      <c r="A58" s="1181" t="s">
        <v>792</v>
      </c>
      <c r="G58" s="13">
        <f t="shared" si="2"/>
        <v>1</v>
      </c>
      <c r="H58" s="224" t="str">
        <f t="shared" ref="H58:I58" si="42">IF(OR(C58=0,C58="SCORE"),"",C58)</f>
        <v/>
      </c>
      <c r="I58" s="13" t="str">
        <f t="shared" si="42"/>
        <v/>
      </c>
      <c r="J58" s="13" t="str">
        <f t="shared" si="4"/>
        <v/>
      </c>
      <c r="K58" s="13" t="str">
        <f t="shared" si="5"/>
        <v>N/A</v>
      </c>
    </row>
    <row r="59" ht="15.75" hidden="1" customHeight="1">
      <c r="A59" s="1182" t="s">
        <v>731</v>
      </c>
      <c r="B59" s="1183"/>
      <c r="C59" s="1182" t="s">
        <v>510</v>
      </c>
      <c r="D59" s="1182" t="s">
        <v>510</v>
      </c>
      <c r="E59" s="1183"/>
      <c r="F59" s="1182" t="s">
        <v>732</v>
      </c>
      <c r="G59" s="13">
        <f t="shared" si="2"/>
        <v>1</v>
      </c>
      <c r="H59" s="224" t="str">
        <f t="shared" ref="H59:I59" si="43">IF(OR(C59=0,C59="SCORE"),"",C59)</f>
        <v/>
      </c>
      <c r="I59" s="13" t="str">
        <f t="shared" si="43"/>
        <v/>
      </c>
      <c r="J59" s="13" t="str">
        <f t="shared" si="4"/>
        <v/>
      </c>
      <c r="K59" s="13" t="str">
        <f t="shared" si="5"/>
        <v>N/A</v>
      </c>
    </row>
    <row r="60" ht="15.75" customHeight="1">
      <c r="A60" s="1185"/>
      <c r="B60" s="1179" t="s">
        <v>726</v>
      </c>
      <c r="C60" s="1186">
        <v>176.04</v>
      </c>
      <c r="D60" s="1186">
        <v>153.99</v>
      </c>
      <c r="E60" s="1179" t="s">
        <v>723</v>
      </c>
      <c r="F60" s="1185"/>
      <c r="G60" s="13" t="str">
        <f t="shared" si="2"/>
        <v>POPEYES</v>
      </c>
      <c r="H60" s="1187">
        <f t="shared" ref="H60:I60" si="44">IF(OR(C60=0,C60="SCORE"),"",C60)</f>
        <v>176.04</v>
      </c>
      <c r="I60" s="1188">
        <f t="shared" si="44"/>
        <v>153.99</v>
      </c>
      <c r="J60" s="13" t="str">
        <f t="shared" si="4"/>
        <v>SAVAGES</v>
      </c>
      <c r="K60" s="13" t="str">
        <f t="shared" si="5"/>
        <v>Game</v>
      </c>
    </row>
    <row r="61" ht="15.75" hidden="1" customHeight="1">
      <c r="A61" s="1185" t="s">
        <v>796</v>
      </c>
      <c r="B61" s="1179"/>
      <c r="C61" s="1186"/>
      <c r="D61" s="1186"/>
      <c r="E61" s="1179"/>
      <c r="F61" s="1185" t="s">
        <v>797</v>
      </c>
      <c r="G61" s="13">
        <f t="shared" si="2"/>
        <v>1</v>
      </c>
      <c r="H61" s="224" t="str">
        <f t="shared" ref="H61:I61" si="45">IF(OR(C61=0,C61="SCORE"),"",C61)</f>
        <v/>
      </c>
      <c r="I61" s="13" t="str">
        <f t="shared" si="45"/>
        <v/>
      </c>
      <c r="J61" s="13" t="str">
        <f t="shared" si="4"/>
        <v/>
      </c>
      <c r="K61" s="13" t="str">
        <f t="shared" si="5"/>
        <v>N/A</v>
      </c>
    </row>
    <row r="62" ht="15.75" customHeight="1">
      <c r="A62" s="1185"/>
      <c r="B62" s="1179" t="s">
        <v>727</v>
      </c>
      <c r="C62" s="1186">
        <v>178.72</v>
      </c>
      <c r="D62" s="1186">
        <v>234.68</v>
      </c>
      <c r="E62" s="1180" t="s">
        <v>722</v>
      </c>
      <c r="F62" s="1185"/>
      <c r="G62" s="13" t="str">
        <f t="shared" si="2"/>
        <v>GREEN</v>
      </c>
      <c r="H62" s="1187">
        <f t="shared" ref="H62:I62" si="46">IF(OR(C62=0,C62="SCORE"),"",C62)</f>
        <v>178.72</v>
      </c>
      <c r="I62" s="1188">
        <f t="shared" si="46"/>
        <v>234.68</v>
      </c>
      <c r="J62" s="13" t="str">
        <f t="shared" si="4"/>
        <v>DECOUPES</v>
      </c>
      <c r="K62" s="13" t="str">
        <f t="shared" si="5"/>
        <v>Game</v>
      </c>
    </row>
    <row r="63" ht="15.75" hidden="1" customHeight="1">
      <c r="A63" s="1185" t="s">
        <v>800</v>
      </c>
      <c r="B63" s="1179"/>
      <c r="C63" s="1186"/>
      <c r="D63" s="1186"/>
      <c r="E63" s="1180"/>
      <c r="F63" s="1189" t="s">
        <v>802</v>
      </c>
      <c r="G63" s="13">
        <f t="shared" si="2"/>
        <v>1</v>
      </c>
      <c r="H63" s="224" t="str">
        <f t="shared" ref="H63:I63" si="47">IF(OR(C63=0,C63="SCORE"),"",C63)</f>
        <v/>
      </c>
      <c r="I63" s="13" t="str">
        <f t="shared" si="47"/>
        <v/>
      </c>
      <c r="J63" s="13" t="str">
        <f t="shared" si="4"/>
        <v/>
      </c>
      <c r="K63" s="13" t="str">
        <f t="shared" si="5"/>
        <v>N/A</v>
      </c>
    </row>
    <row r="64" ht="15.75" customHeight="1">
      <c r="A64" s="1185"/>
      <c r="B64" s="1179" t="s">
        <v>721</v>
      </c>
      <c r="C64" s="1186">
        <v>236.28</v>
      </c>
      <c r="D64" s="1186">
        <v>169.64</v>
      </c>
      <c r="E64" s="1179" t="s">
        <v>725</v>
      </c>
      <c r="F64" s="1185"/>
      <c r="G64" s="13" t="str">
        <f t="shared" si="2"/>
        <v>MUTTS</v>
      </c>
      <c r="H64" s="1187">
        <f t="shared" ref="H64:I64" si="48">IF(OR(C64=0,C64="SCORE"),"",C64)</f>
        <v>236.28</v>
      </c>
      <c r="I64" s="1188">
        <f t="shared" si="48"/>
        <v>169.64</v>
      </c>
      <c r="J64" s="13" t="str">
        <f t="shared" si="4"/>
        <v>YARDIES</v>
      </c>
      <c r="K64" s="13" t="str">
        <f t="shared" si="5"/>
        <v>Game</v>
      </c>
    </row>
    <row r="65" ht="15.75" hidden="1" customHeight="1">
      <c r="A65" s="1185" t="s">
        <v>804</v>
      </c>
      <c r="B65" s="1179"/>
      <c r="C65" s="1186"/>
      <c r="D65" s="1186"/>
      <c r="E65" s="1179"/>
      <c r="F65" s="1185" t="s">
        <v>805</v>
      </c>
      <c r="G65" s="13">
        <f t="shared" si="2"/>
        <v>1</v>
      </c>
      <c r="H65" s="224" t="str">
        <f t="shared" ref="H65:I65" si="49">IF(OR(C65=0,C65="SCORE"),"",C65)</f>
        <v/>
      </c>
      <c r="I65" s="13" t="str">
        <f t="shared" si="49"/>
        <v/>
      </c>
      <c r="J65" s="13" t="str">
        <f t="shared" si="4"/>
        <v/>
      </c>
      <c r="K65" s="13" t="str">
        <f t="shared" si="5"/>
        <v>N/A</v>
      </c>
    </row>
    <row r="66" ht="15.75" customHeight="1">
      <c r="A66" s="1185"/>
      <c r="B66" s="1179" t="s">
        <v>724</v>
      </c>
      <c r="C66" s="1186">
        <v>227.34</v>
      </c>
      <c r="D66" s="1186">
        <v>150.05</v>
      </c>
      <c r="E66" s="1179" t="s">
        <v>729</v>
      </c>
      <c r="F66" s="1185"/>
      <c r="G66" s="13" t="str">
        <f t="shared" si="2"/>
        <v>METAMOOKDAWGS</v>
      </c>
      <c r="H66" s="1187">
        <f t="shared" ref="H66:I66" si="50">IF(OR(C66=0,C66="SCORE"),"",C66)</f>
        <v>227.34</v>
      </c>
      <c r="I66" s="1188">
        <f t="shared" si="50"/>
        <v>150.05</v>
      </c>
      <c r="J66" s="13" t="str">
        <f t="shared" si="4"/>
        <v>GIRLS</v>
      </c>
      <c r="K66" s="13" t="str">
        <f t="shared" si="5"/>
        <v>Game</v>
      </c>
    </row>
    <row r="67" ht="15.75" hidden="1" customHeight="1">
      <c r="A67" s="1185" t="s">
        <v>808</v>
      </c>
      <c r="B67" s="1179"/>
      <c r="C67" s="1186"/>
      <c r="D67" s="1186"/>
      <c r="E67" s="1179"/>
      <c r="F67" s="1185" t="s">
        <v>811</v>
      </c>
      <c r="G67" s="13">
        <f t="shared" si="2"/>
        <v>1</v>
      </c>
      <c r="H67" s="224" t="str">
        <f t="shared" ref="H67:I67" si="51">IF(OR(C67=0,C67="SCORE"),"",C67)</f>
        <v/>
      </c>
      <c r="I67" s="13" t="str">
        <f t="shared" si="51"/>
        <v/>
      </c>
      <c r="J67" s="13" t="str">
        <f t="shared" si="4"/>
        <v/>
      </c>
      <c r="K67" s="13" t="str">
        <f t="shared" si="5"/>
        <v>N/A</v>
      </c>
    </row>
    <row r="68" ht="15.75" hidden="1" customHeight="1">
      <c r="A68" s="1181" t="s">
        <v>812</v>
      </c>
      <c r="G68" s="13">
        <f t="shared" si="2"/>
        <v>1</v>
      </c>
      <c r="H68" s="224" t="str">
        <f t="shared" ref="H68:I68" si="52">IF(OR(C68=0,C68="SCORE"),"",C68)</f>
        <v/>
      </c>
      <c r="I68" s="13" t="str">
        <f t="shared" si="52"/>
        <v/>
      </c>
      <c r="J68" s="13" t="str">
        <f t="shared" si="4"/>
        <v/>
      </c>
      <c r="K68" s="13" t="str">
        <f t="shared" si="5"/>
        <v>N/A</v>
      </c>
    </row>
    <row r="69" ht="15.75" hidden="1" customHeight="1">
      <c r="A69" s="1182" t="s">
        <v>731</v>
      </c>
      <c r="B69" s="1183"/>
      <c r="C69" s="1182" t="s">
        <v>510</v>
      </c>
      <c r="D69" s="1182" t="s">
        <v>510</v>
      </c>
      <c r="E69" s="1183"/>
      <c r="F69" s="1182" t="s">
        <v>732</v>
      </c>
      <c r="G69" s="13">
        <f t="shared" si="2"/>
        <v>1</v>
      </c>
      <c r="H69" s="224" t="str">
        <f t="shared" ref="H69:I69" si="53">IF(OR(C69=0,C69="SCORE"),"",C69)</f>
        <v/>
      </c>
      <c r="I69" s="13" t="str">
        <f t="shared" si="53"/>
        <v/>
      </c>
      <c r="J69" s="13" t="str">
        <f t="shared" si="4"/>
        <v/>
      </c>
      <c r="K69" s="13" t="str">
        <f t="shared" si="5"/>
        <v>N/A</v>
      </c>
    </row>
    <row r="70" ht="15.75" customHeight="1">
      <c r="A70" s="1185"/>
      <c r="B70" s="1179" t="s">
        <v>723</v>
      </c>
      <c r="C70" s="1186">
        <v>251.35</v>
      </c>
      <c r="D70" s="1186">
        <v>174.55</v>
      </c>
      <c r="E70" s="1180" t="s">
        <v>722</v>
      </c>
      <c r="F70" s="1185"/>
      <c r="G70" s="13" t="str">
        <f t="shared" si="2"/>
        <v>SAVAGES</v>
      </c>
      <c r="H70" s="1187">
        <f t="shared" ref="H70:I70" si="54">IF(OR(C70=0,C70="SCORE"),"",C70)</f>
        <v>251.35</v>
      </c>
      <c r="I70" s="1188">
        <f t="shared" si="54"/>
        <v>174.55</v>
      </c>
      <c r="J70" s="13" t="str">
        <f t="shared" si="4"/>
        <v>DECOUPES</v>
      </c>
      <c r="K70" s="13" t="str">
        <f t="shared" si="5"/>
        <v>Game</v>
      </c>
    </row>
    <row r="71" ht="15.75" hidden="1" customHeight="1">
      <c r="A71" s="1185" t="s">
        <v>815</v>
      </c>
      <c r="B71" s="1179"/>
      <c r="C71" s="1186"/>
      <c r="D71" s="1186"/>
      <c r="E71" s="1180"/>
      <c r="F71" s="1189" t="s">
        <v>816</v>
      </c>
      <c r="G71" s="13">
        <f t="shared" si="2"/>
        <v>1</v>
      </c>
      <c r="H71" s="224" t="str">
        <f t="shared" ref="H71:I71" si="55">IF(OR(C71=0,C71="SCORE"),"",C71)</f>
        <v/>
      </c>
      <c r="I71" s="13" t="str">
        <f t="shared" si="55"/>
        <v/>
      </c>
      <c r="J71" s="13" t="str">
        <f t="shared" si="4"/>
        <v/>
      </c>
      <c r="K71" s="13" t="str">
        <f t="shared" si="5"/>
        <v>N/A</v>
      </c>
    </row>
    <row r="72" ht="15.75" customHeight="1">
      <c r="A72" s="1185"/>
      <c r="B72" s="1179" t="s">
        <v>729</v>
      </c>
      <c r="C72" s="1186">
        <v>171.19</v>
      </c>
      <c r="D72" s="1186">
        <v>246.3</v>
      </c>
      <c r="E72" s="1179" t="s">
        <v>721</v>
      </c>
      <c r="F72" s="1185"/>
      <c r="G72" s="13" t="str">
        <f t="shared" si="2"/>
        <v>GIRLS</v>
      </c>
      <c r="H72" s="1187">
        <f t="shared" ref="H72:I72" si="56">IF(OR(C72=0,C72="SCORE"),"",C72)</f>
        <v>171.19</v>
      </c>
      <c r="I72" s="1188">
        <f t="shared" si="56"/>
        <v>246.3</v>
      </c>
      <c r="J72" s="13" t="str">
        <f t="shared" si="4"/>
        <v>MUTTS</v>
      </c>
      <c r="K72" s="13" t="str">
        <f t="shared" si="5"/>
        <v>Game</v>
      </c>
    </row>
    <row r="73" ht="15.75" hidden="1" customHeight="1">
      <c r="A73" s="1185" t="s">
        <v>820</v>
      </c>
      <c r="B73" s="1179"/>
      <c r="C73" s="1186"/>
      <c r="D73" s="1186"/>
      <c r="E73" s="1179"/>
      <c r="F73" s="1185" t="s">
        <v>821</v>
      </c>
      <c r="G73" s="13">
        <f t="shared" si="2"/>
        <v>1</v>
      </c>
      <c r="H73" s="224" t="str">
        <f t="shared" ref="H73:I73" si="57">IF(OR(C73=0,C73="SCORE"),"",C73)</f>
        <v/>
      </c>
      <c r="I73" s="13" t="str">
        <f t="shared" si="57"/>
        <v/>
      </c>
      <c r="J73" s="13" t="str">
        <f t="shared" si="4"/>
        <v/>
      </c>
      <c r="K73" s="13" t="str">
        <f t="shared" si="5"/>
        <v>N/A</v>
      </c>
    </row>
    <row r="74" ht="15.75" customHeight="1">
      <c r="A74" s="1185"/>
      <c r="B74" s="1179" t="s">
        <v>725</v>
      </c>
      <c r="C74" s="1186">
        <v>174.68</v>
      </c>
      <c r="D74" s="1186">
        <v>180.64</v>
      </c>
      <c r="E74" s="1179" t="s">
        <v>724</v>
      </c>
      <c r="F74" s="1185"/>
      <c r="G74" s="13" t="str">
        <f t="shared" si="2"/>
        <v>YARDIES</v>
      </c>
      <c r="H74" s="1187">
        <f t="shared" ref="H74:I74" si="58">IF(OR(C74=0,C74="SCORE"),"",C74)</f>
        <v>174.68</v>
      </c>
      <c r="I74" s="1188">
        <f t="shared" si="58"/>
        <v>180.64</v>
      </c>
      <c r="J74" s="13" t="str">
        <f t="shared" si="4"/>
        <v>METAMOOKDAWGS</v>
      </c>
      <c r="K74" s="13" t="str">
        <f t="shared" si="5"/>
        <v>Game</v>
      </c>
    </row>
    <row r="75" ht="15.75" hidden="1" customHeight="1">
      <c r="A75" s="1185" t="s">
        <v>824</v>
      </c>
      <c r="B75" s="1179"/>
      <c r="C75" s="1186"/>
      <c r="D75" s="1186"/>
      <c r="E75" s="1179"/>
      <c r="F75" s="1185" t="s">
        <v>825</v>
      </c>
      <c r="G75" s="13">
        <f t="shared" si="2"/>
        <v>1</v>
      </c>
      <c r="H75" s="224" t="str">
        <f t="shared" ref="H75:I75" si="59">IF(OR(C75=0,C75="SCORE"),"",C75)</f>
        <v/>
      </c>
      <c r="I75" s="13" t="str">
        <f t="shared" si="59"/>
        <v/>
      </c>
      <c r="J75" s="13" t="str">
        <f t="shared" si="4"/>
        <v/>
      </c>
      <c r="K75" s="13" t="str">
        <f t="shared" si="5"/>
        <v>N/A</v>
      </c>
    </row>
    <row r="76" ht="15.75" customHeight="1">
      <c r="A76" s="1185"/>
      <c r="B76" s="1179" t="s">
        <v>727</v>
      </c>
      <c r="C76" s="1186">
        <v>131.39</v>
      </c>
      <c r="D76" s="1186">
        <v>163.61</v>
      </c>
      <c r="E76" s="1179" t="s">
        <v>726</v>
      </c>
      <c r="F76" s="1185"/>
      <c r="G76" s="13" t="str">
        <f t="shared" si="2"/>
        <v>GREEN</v>
      </c>
      <c r="H76" s="1187">
        <f t="shared" ref="H76:I76" si="60">IF(OR(C76=0,C76="SCORE"),"",C76)</f>
        <v>131.39</v>
      </c>
      <c r="I76" s="1188">
        <f t="shared" si="60"/>
        <v>163.61</v>
      </c>
      <c r="J76" s="13" t="str">
        <f t="shared" si="4"/>
        <v>POPEYES</v>
      </c>
      <c r="K76" s="13" t="str">
        <f t="shared" si="5"/>
        <v>Game</v>
      </c>
    </row>
    <row r="77" ht="15.75" hidden="1" customHeight="1">
      <c r="A77" s="1185" t="s">
        <v>828</v>
      </c>
      <c r="B77" s="1179"/>
      <c r="C77" s="1186"/>
      <c r="D77" s="1186"/>
      <c r="E77" s="1179"/>
      <c r="F77" s="1185" t="s">
        <v>829</v>
      </c>
      <c r="G77" s="13">
        <f t="shared" si="2"/>
        <v>1</v>
      </c>
      <c r="H77" s="224" t="str">
        <f t="shared" ref="H77:I77" si="61">IF(OR(C77=0,C77="SCORE"),"",C77)</f>
        <v/>
      </c>
      <c r="I77" s="13" t="str">
        <f t="shared" si="61"/>
        <v/>
      </c>
      <c r="J77" s="13" t="str">
        <f t="shared" si="4"/>
        <v/>
      </c>
      <c r="K77" s="13" t="str">
        <f t="shared" si="5"/>
        <v>N/A</v>
      </c>
    </row>
    <row r="78" ht="15.75" hidden="1" customHeight="1">
      <c r="A78" s="1181" t="s">
        <v>830</v>
      </c>
      <c r="G78" s="13">
        <f t="shared" si="2"/>
        <v>1</v>
      </c>
      <c r="H78" s="224" t="str">
        <f t="shared" ref="H78:I78" si="62">IF(OR(C78=0,C78="SCORE"),"",C78)</f>
        <v/>
      </c>
      <c r="I78" s="13" t="str">
        <f t="shared" si="62"/>
        <v/>
      </c>
      <c r="J78" s="13" t="str">
        <f t="shared" si="4"/>
        <v/>
      </c>
      <c r="K78" s="13" t="str">
        <f t="shared" si="5"/>
        <v>N/A</v>
      </c>
    </row>
    <row r="79" ht="15.75" hidden="1" customHeight="1">
      <c r="A79" s="1182" t="s">
        <v>731</v>
      </c>
      <c r="B79" s="1183"/>
      <c r="C79" s="1182" t="s">
        <v>510</v>
      </c>
      <c r="D79" s="1182" t="s">
        <v>510</v>
      </c>
      <c r="E79" s="1183"/>
      <c r="F79" s="1182" t="s">
        <v>732</v>
      </c>
      <c r="G79" s="13">
        <f t="shared" si="2"/>
        <v>1</v>
      </c>
      <c r="H79" s="224" t="str">
        <f t="shared" ref="H79:I79" si="63">IF(OR(C79=0,C79="SCORE"),"",C79)</f>
        <v/>
      </c>
      <c r="I79" s="13" t="str">
        <f t="shared" si="63"/>
        <v/>
      </c>
      <c r="J79" s="13" t="str">
        <f t="shared" si="4"/>
        <v/>
      </c>
      <c r="K79" s="13" t="str">
        <f t="shared" si="5"/>
        <v>N/A</v>
      </c>
    </row>
    <row r="80" ht="15.75" customHeight="1">
      <c r="A80" s="1185"/>
      <c r="B80" s="1180" t="s">
        <v>722</v>
      </c>
      <c r="C80" s="1186">
        <v>203.49</v>
      </c>
      <c r="D80" s="1186">
        <v>160.8</v>
      </c>
      <c r="E80" s="1179" t="s">
        <v>721</v>
      </c>
      <c r="F80" s="1185"/>
      <c r="G80" s="13" t="str">
        <f t="shared" si="2"/>
        <v>DECOUPES</v>
      </c>
      <c r="H80" s="1187">
        <f t="shared" ref="H80:I80" si="64">IF(OR(C80=0,C80="SCORE"),"",C80)</f>
        <v>203.49</v>
      </c>
      <c r="I80" s="1188">
        <f t="shared" si="64"/>
        <v>160.8</v>
      </c>
      <c r="J80" s="13" t="str">
        <f t="shared" si="4"/>
        <v>MUTTS</v>
      </c>
      <c r="K80" s="13" t="str">
        <f t="shared" si="5"/>
        <v>Game</v>
      </c>
    </row>
    <row r="81" ht="15.75" hidden="1" customHeight="1">
      <c r="A81" s="1189" t="s">
        <v>833</v>
      </c>
      <c r="B81" s="1180"/>
      <c r="C81" s="1186"/>
      <c r="D81" s="1186"/>
      <c r="E81" s="1179"/>
      <c r="F81" s="1185" t="s">
        <v>834</v>
      </c>
      <c r="G81" s="13">
        <f t="shared" si="2"/>
        <v>1</v>
      </c>
      <c r="H81" s="224" t="str">
        <f t="shared" ref="H81:I81" si="65">IF(OR(C81=0,C81="SCORE"),"",C81)</f>
        <v/>
      </c>
      <c r="I81" s="13" t="str">
        <f t="shared" si="65"/>
        <v/>
      </c>
      <c r="J81" s="13" t="str">
        <f t="shared" si="4"/>
        <v/>
      </c>
      <c r="K81" s="13" t="str">
        <f t="shared" si="5"/>
        <v>N/A</v>
      </c>
    </row>
    <row r="82" ht="15.75" customHeight="1">
      <c r="A82" s="1185"/>
      <c r="B82" s="1179" t="s">
        <v>726</v>
      </c>
      <c r="C82" s="1186">
        <v>228.44</v>
      </c>
      <c r="D82" s="1186">
        <v>190.76</v>
      </c>
      <c r="E82" s="1179" t="s">
        <v>724</v>
      </c>
      <c r="F82" s="1185"/>
      <c r="G82" s="13" t="str">
        <f t="shared" si="2"/>
        <v>POPEYES</v>
      </c>
      <c r="H82" s="1187">
        <f t="shared" ref="H82:I82" si="66">IF(OR(C82=0,C82="SCORE"),"",C82)</f>
        <v>228.44</v>
      </c>
      <c r="I82" s="1188">
        <f t="shared" si="66"/>
        <v>190.76</v>
      </c>
      <c r="J82" s="13" t="str">
        <f t="shared" si="4"/>
        <v>METAMOOKDAWGS</v>
      </c>
      <c r="K82" s="13" t="str">
        <f t="shared" si="5"/>
        <v>Game</v>
      </c>
    </row>
    <row r="83" ht="15.75" hidden="1" customHeight="1">
      <c r="A83" s="1185" t="s">
        <v>837</v>
      </c>
      <c r="B83" s="1179"/>
      <c r="C83" s="1186"/>
      <c r="D83" s="1186"/>
      <c r="E83" s="1179"/>
      <c r="F83" s="1185" t="s">
        <v>838</v>
      </c>
      <c r="G83" s="13">
        <f t="shared" si="2"/>
        <v>1</v>
      </c>
      <c r="H83" s="224" t="str">
        <f t="shared" ref="H83:I83" si="67">IF(OR(C83=0,C83="SCORE"),"",C83)</f>
        <v/>
      </c>
      <c r="I83" s="13" t="str">
        <f t="shared" si="67"/>
        <v/>
      </c>
      <c r="J83" s="13" t="str">
        <f t="shared" si="4"/>
        <v/>
      </c>
      <c r="K83" s="13" t="str">
        <f t="shared" si="5"/>
        <v>N/A</v>
      </c>
    </row>
    <row r="84" ht="15.75" customHeight="1">
      <c r="A84" s="1185"/>
      <c r="B84" s="1179" t="s">
        <v>723</v>
      </c>
      <c r="C84" s="1186">
        <v>201.82</v>
      </c>
      <c r="D84" s="1186">
        <v>261.91</v>
      </c>
      <c r="E84" s="1179" t="s">
        <v>725</v>
      </c>
      <c r="F84" s="1185"/>
      <c r="G84" s="13" t="str">
        <f t="shared" si="2"/>
        <v>SAVAGES</v>
      </c>
      <c r="H84" s="1187">
        <f t="shared" ref="H84:I84" si="68">IF(OR(C84=0,C84="SCORE"),"",C84)</f>
        <v>201.82</v>
      </c>
      <c r="I84" s="1188">
        <f t="shared" si="68"/>
        <v>261.91</v>
      </c>
      <c r="J84" s="13" t="str">
        <f t="shared" si="4"/>
        <v>YARDIES</v>
      </c>
      <c r="K84" s="13" t="str">
        <f t="shared" si="5"/>
        <v>Game</v>
      </c>
    </row>
    <row r="85" ht="15.75" hidden="1" customHeight="1">
      <c r="A85" s="1185" t="s">
        <v>841</v>
      </c>
      <c r="B85" s="1179"/>
      <c r="C85" s="1186"/>
      <c r="D85" s="1186"/>
      <c r="E85" s="1179"/>
      <c r="F85" s="1185" t="s">
        <v>842</v>
      </c>
      <c r="G85" s="13">
        <f t="shared" si="2"/>
        <v>1</v>
      </c>
      <c r="H85" s="224" t="str">
        <f t="shared" ref="H85:I85" si="69">IF(OR(C85=0,C85="SCORE"),"",C85)</f>
        <v/>
      </c>
      <c r="I85" s="13" t="str">
        <f t="shared" si="69"/>
        <v/>
      </c>
      <c r="J85" s="13" t="str">
        <f t="shared" si="4"/>
        <v/>
      </c>
      <c r="K85" s="13" t="str">
        <f t="shared" si="5"/>
        <v>N/A</v>
      </c>
    </row>
    <row r="86" ht="15.75" customHeight="1">
      <c r="A86" s="1185"/>
      <c r="B86" s="1179" t="s">
        <v>729</v>
      </c>
      <c r="C86" s="1186">
        <v>175.37</v>
      </c>
      <c r="D86" s="1186">
        <v>171.37</v>
      </c>
      <c r="E86" s="1179" t="s">
        <v>727</v>
      </c>
      <c r="F86" s="1185"/>
      <c r="G86" s="13" t="str">
        <f t="shared" si="2"/>
        <v>GIRLS</v>
      </c>
      <c r="H86" s="1187">
        <f t="shared" ref="H86:I86" si="70">IF(OR(C86=0,C86="SCORE"),"",C86)</f>
        <v>175.37</v>
      </c>
      <c r="I86" s="1188">
        <f t="shared" si="70"/>
        <v>171.37</v>
      </c>
      <c r="J86" s="13" t="str">
        <f t="shared" si="4"/>
        <v>GREEN</v>
      </c>
      <c r="K86" s="13" t="str">
        <f t="shared" si="5"/>
        <v>Game</v>
      </c>
    </row>
    <row r="87" ht="15.75" hidden="1" customHeight="1">
      <c r="A87" s="1185" t="s">
        <v>845</v>
      </c>
      <c r="B87" s="1179"/>
      <c r="C87" s="1186"/>
      <c r="D87" s="1186"/>
      <c r="E87" s="1179"/>
      <c r="F87" s="1185" t="s">
        <v>846</v>
      </c>
      <c r="G87" s="13">
        <f t="shared" si="2"/>
        <v>1</v>
      </c>
      <c r="H87" s="224" t="str">
        <f t="shared" ref="H87:I87" si="71">IF(OR(C87=0,C87="SCORE"),"",C87)</f>
        <v/>
      </c>
      <c r="I87" s="13" t="str">
        <f t="shared" si="71"/>
        <v/>
      </c>
      <c r="J87" s="13" t="str">
        <f t="shared" si="4"/>
        <v/>
      </c>
      <c r="K87" s="13" t="str">
        <f t="shared" si="5"/>
        <v>N/A</v>
      </c>
    </row>
    <row r="88" ht="15.75" hidden="1" customHeight="1">
      <c r="A88" s="1181" t="s">
        <v>848</v>
      </c>
      <c r="G88" s="13">
        <f t="shared" si="2"/>
        <v>1</v>
      </c>
      <c r="H88" s="224" t="str">
        <f t="shared" ref="H88:I88" si="72">IF(OR(C88=0,C88="SCORE"),"",C88)</f>
        <v/>
      </c>
      <c r="I88" s="13" t="str">
        <f t="shared" si="72"/>
        <v/>
      </c>
      <c r="J88" s="13" t="str">
        <f t="shared" si="4"/>
        <v/>
      </c>
      <c r="K88" s="13" t="str">
        <f t="shared" si="5"/>
        <v>N/A</v>
      </c>
    </row>
    <row r="89" ht="15.75" hidden="1" customHeight="1">
      <c r="A89" s="1182" t="s">
        <v>731</v>
      </c>
      <c r="B89" s="1183"/>
      <c r="C89" s="1182" t="s">
        <v>510</v>
      </c>
      <c r="D89" s="1182" t="s">
        <v>510</v>
      </c>
      <c r="E89" s="1183"/>
      <c r="F89" s="1182" t="s">
        <v>732</v>
      </c>
      <c r="G89" s="13">
        <f t="shared" si="2"/>
        <v>1</v>
      </c>
      <c r="H89" s="224" t="str">
        <f t="shared" ref="H89:I89" si="73">IF(OR(C89=0,C89="SCORE"),"",C89)</f>
        <v/>
      </c>
      <c r="I89" s="13" t="str">
        <f t="shared" si="73"/>
        <v/>
      </c>
      <c r="J89" s="13" t="str">
        <f t="shared" si="4"/>
        <v/>
      </c>
      <c r="K89" s="13" t="str">
        <f t="shared" si="5"/>
        <v>N/A</v>
      </c>
    </row>
    <row r="90" ht="15.75" customHeight="1">
      <c r="A90" s="1185"/>
      <c r="B90" s="1179" t="s">
        <v>729</v>
      </c>
      <c r="C90" s="1186">
        <v>195.69</v>
      </c>
      <c r="D90" s="1186">
        <v>160.76</v>
      </c>
      <c r="E90" s="1179" t="s">
        <v>725</v>
      </c>
      <c r="F90" s="1185"/>
      <c r="G90" s="13" t="str">
        <f t="shared" si="2"/>
        <v>GIRLS</v>
      </c>
      <c r="H90" s="1187">
        <f t="shared" ref="H90:I90" si="74">IF(OR(C90=0,C90="SCORE"),"",C90)</f>
        <v>195.69</v>
      </c>
      <c r="I90" s="1188">
        <f t="shared" si="74"/>
        <v>160.76</v>
      </c>
      <c r="J90" s="13" t="str">
        <f t="shared" si="4"/>
        <v>YARDIES</v>
      </c>
      <c r="K90" s="13" t="str">
        <f t="shared" si="5"/>
        <v>Game</v>
      </c>
    </row>
    <row r="91" ht="15.75" hidden="1" customHeight="1">
      <c r="A91" s="1185" t="s">
        <v>853</v>
      </c>
      <c r="B91" s="1179"/>
      <c r="C91" s="1186"/>
      <c r="D91" s="1186"/>
      <c r="E91" s="1179"/>
      <c r="F91" s="1185" t="s">
        <v>854</v>
      </c>
      <c r="G91" s="13">
        <f t="shared" si="2"/>
        <v>1</v>
      </c>
      <c r="H91" s="224" t="str">
        <f t="shared" ref="H91:I91" si="75">IF(OR(C91=0,C91="SCORE"),"",C91)</f>
        <v/>
      </c>
      <c r="I91" s="13" t="str">
        <f t="shared" si="75"/>
        <v/>
      </c>
      <c r="J91" s="13" t="str">
        <f t="shared" si="4"/>
        <v/>
      </c>
      <c r="K91" s="13" t="str">
        <f t="shared" si="5"/>
        <v>N/A</v>
      </c>
    </row>
    <row r="92" ht="15.75" customHeight="1">
      <c r="A92" s="1185"/>
      <c r="B92" s="1179" t="s">
        <v>726</v>
      </c>
      <c r="C92" s="1186">
        <v>190.08</v>
      </c>
      <c r="D92" s="1186">
        <v>148.14</v>
      </c>
      <c r="E92" s="1179" t="s">
        <v>723</v>
      </c>
      <c r="F92" s="1185"/>
      <c r="G92" s="13" t="str">
        <f t="shared" si="2"/>
        <v>POPEYES</v>
      </c>
      <c r="H92" s="1187">
        <f t="shared" ref="H92:I92" si="76">IF(OR(C92=0,C92="SCORE"),"",C92)</f>
        <v>190.08</v>
      </c>
      <c r="I92" s="1188">
        <f t="shared" si="76"/>
        <v>148.14</v>
      </c>
      <c r="J92" s="13" t="str">
        <f t="shared" si="4"/>
        <v>SAVAGES</v>
      </c>
      <c r="K92" s="13" t="str">
        <f t="shared" si="5"/>
        <v>Game</v>
      </c>
    </row>
    <row r="93" ht="15.75" hidden="1" customHeight="1">
      <c r="A93" s="1185" t="s">
        <v>855</v>
      </c>
      <c r="B93" s="1179"/>
      <c r="C93" s="1186"/>
      <c r="D93" s="1186"/>
      <c r="E93" s="1179"/>
      <c r="F93" s="1185" t="s">
        <v>856</v>
      </c>
      <c r="G93" s="13">
        <f t="shared" si="2"/>
        <v>1</v>
      </c>
      <c r="H93" s="224" t="str">
        <f t="shared" ref="H93:I93" si="77">IF(OR(C93=0,C93="SCORE"),"",C93)</f>
        <v/>
      </c>
      <c r="I93" s="13" t="str">
        <f t="shared" si="77"/>
        <v/>
      </c>
      <c r="J93" s="13" t="str">
        <f t="shared" si="4"/>
        <v/>
      </c>
      <c r="K93" s="13" t="str">
        <f t="shared" si="5"/>
        <v>N/A</v>
      </c>
    </row>
    <row r="94" ht="15.75" customHeight="1">
      <c r="A94" s="1185"/>
      <c r="B94" s="1179" t="s">
        <v>727</v>
      </c>
      <c r="C94" s="1186">
        <v>195.18</v>
      </c>
      <c r="D94" s="1186">
        <v>199.73</v>
      </c>
      <c r="E94" s="1180" t="s">
        <v>722</v>
      </c>
      <c r="F94" s="1185"/>
      <c r="G94" s="13" t="str">
        <f t="shared" si="2"/>
        <v>GREEN</v>
      </c>
      <c r="H94" s="1187">
        <f t="shared" ref="H94:I94" si="78">IF(OR(C94=0,C94="SCORE"),"",C94)</f>
        <v>195.18</v>
      </c>
      <c r="I94" s="1188">
        <f t="shared" si="78"/>
        <v>199.73</v>
      </c>
      <c r="J94" s="13" t="str">
        <f t="shared" si="4"/>
        <v>DECOUPES</v>
      </c>
      <c r="K94" s="13" t="str">
        <f t="shared" si="5"/>
        <v>Game</v>
      </c>
    </row>
    <row r="95" ht="15.75" hidden="1" customHeight="1">
      <c r="A95" s="1185" t="s">
        <v>859</v>
      </c>
      <c r="B95" s="1179"/>
      <c r="C95" s="1186"/>
      <c r="D95" s="1186"/>
      <c r="E95" s="1180"/>
      <c r="F95" s="1189" t="s">
        <v>860</v>
      </c>
      <c r="G95" s="13">
        <f t="shared" si="2"/>
        <v>1</v>
      </c>
      <c r="H95" s="224" t="str">
        <f t="shared" ref="H95:I95" si="79">IF(OR(C95=0,C95="SCORE"),"",C95)</f>
        <v/>
      </c>
      <c r="I95" s="13" t="str">
        <f t="shared" si="79"/>
        <v/>
      </c>
      <c r="J95" s="13" t="str">
        <f t="shared" si="4"/>
        <v/>
      </c>
      <c r="K95" s="13" t="str">
        <f t="shared" si="5"/>
        <v>N/A</v>
      </c>
    </row>
    <row r="96" ht="15.75" customHeight="1">
      <c r="A96" s="1185"/>
      <c r="B96" s="1179" t="s">
        <v>721</v>
      </c>
      <c r="C96" s="1186">
        <v>184.15</v>
      </c>
      <c r="D96" s="1186">
        <v>244.95</v>
      </c>
      <c r="E96" s="1179" t="s">
        <v>724</v>
      </c>
      <c r="F96" s="1185"/>
      <c r="G96" s="13" t="str">
        <f t="shared" si="2"/>
        <v>MUTTS</v>
      </c>
      <c r="H96" s="1187">
        <f t="shared" ref="H96:I96" si="80">IF(OR(C96=0,C96="SCORE"),"",C96)</f>
        <v>184.15</v>
      </c>
      <c r="I96" s="1188">
        <f t="shared" si="80"/>
        <v>244.95</v>
      </c>
      <c r="J96" s="13" t="str">
        <f t="shared" si="4"/>
        <v>METAMOOKDAWGS</v>
      </c>
      <c r="K96" s="13" t="str">
        <f t="shared" si="5"/>
        <v>Game</v>
      </c>
    </row>
    <row r="97" ht="15.75" hidden="1" customHeight="1">
      <c r="A97" s="1185" t="s">
        <v>863</v>
      </c>
      <c r="B97" s="1179"/>
      <c r="C97" s="1186"/>
      <c r="D97" s="1186"/>
      <c r="E97" s="1179"/>
      <c r="F97" s="1185" t="s">
        <v>864</v>
      </c>
      <c r="G97" s="13">
        <f t="shared" si="2"/>
        <v>1</v>
      </c>
      <c r="H97" s="224" t="str">
        <f t="shared" ref="H97:I97" si="81">IF(OR(C97=0,C97="SCORE"),"",C97)</f>
        <v/>
      </c>
      <c r="I97" s="13" t="str">
        <f t="shared" si="81"/>
        <v/>
      </c>
      <c r="J97" s="13" t="str">
        <f t="shared" si="4"/>
        <v/>
      </c>
      <c r="K97" s="13" t="str">
        <f t="shared" si="5"/>
        <v>N/A</v>
      </c>
    </row>
    <row r="98" ht="15.75" hidden="1" customHeight="1">
      <c r="A98" s="1181" t="s">
        <v>865</v>
      </c>
      <c r="G98" s="13">
        <f t="shared" si="2"/>
        <v>1</v>
      </c>
      <c r="H98" s="224" t="str">
        <f t="shared" ref="H98:I98" si="82">IF(OR(C98=0,C98="SCORE"),"",C98)</f>
        <v/>
      </c>
      <c r="I98" s="13" t="str">
        <f t="shared" si="82"/>
        <v/>
      </c>
      <c r="J98" s="13" t="str">
        <f t="shared" si="4"/>
        <v/>
      </c>
      <c r="K98" s="13" t="str">
        <f t="shared" si="5"/>
        <v>N/A</v>
      </c>
    </row>
    <row r="99" ht="15.75" hidden="1" customHeight="1">
      <c r="A99" s="1182" t="s">
        <v>731</v>
      </c>
      <c r="B99" s="1183"/>
      <c r="C99" s="1182" t="s">
        <v>510</v>
      </c>
      <c r="D99" s="1182" t="s">
        <v>510</v>
      </c>
      <c r="E99" s="1183"/>
      <c r="F99" s="1182" t="s">
        <v>732</v>
      </c>
      <c r="G99" s="13">
        <f t="shared" si="2"/>
        <v>1</v>
      </c>
      <c r="H99" s="224" t="str">
        <f t="shared" ref="H99:I99" si="83">IF(OR(C99=0,C99="SCORE"),"",C99)</f>
        <v/>
      </c>
      <c r="I99" s="13" t="str">
        <f t="shared" si="83"/>
        <v/>
      </c>
      <c r="J99" s="13" t="str">
        <f t="shared" si="4"/>
        <v/>
      </c>
      <c r="K99" s="13" t="str">
        <f t="shared" si="5"/>
        <v>N/A</v>
      </c>
    </row>
    <row r="100" ht="15.75" customHeight="1">
      <c r="A100" s="1185"/>
      <c r="B100" s="1179" t="s">
        <v>723</v>
      </c>
      <c r="C100" s="1186">
        <v>170.18</v>
      </c>
      <c r="D100" s="1186">
        <v>159.9</v>
      </c>
      <c r="E100" s="1179" t="s">
        <v>727</v>
      </c>
      <c r="F100" s="1185"/>
      <c r="G100" s="13" t="str">
        <f t="shared" si="2"/>
        <v>SAVAGES</v>
      </c>
      <c r="H100" s="1187">
        <f t="shared" ref="H100:I100" si="84">IF(OR(C100=0,C100="SCORE"),"",C100)</f>
        <v>170.18</v>
      </c>
      <c r="I100" s="1188">
        <f t="shared" si="84"/>
        <v>159.9</v>
      </c>
      <c r="J100" s="13" t="str">
        <f t="shared" si="4"/>
        <v>GREEN</v>
      </c>
      <c r="K100" s="13" t="str">
        <f t="shared" si="5"/>
        <v>Game</v>
      </c>
    </row>
    <row r="101" ht="15.75" hidden="1" customHeight="1">
      <c r="A101" s="1185" t="s">
        <v>870</v>
      </c>
      <c r="B101" s="1179"/>
      <c r="C101" s="1186"/>
      <c r="D101" s="1186"/>
      <c r="E101" s="1179"/>
      <c r="F101" s="1185" t="s">
        <v>871</v>
      </c>
      <c r="G101" s="13">
        <f t="shared" si="2"/>
        <v>1</v>
      </c>
      <c r="H101" s="224" t="str">
        <f t="shared" ref="H101:I101" si="85">IF(OR(C101=0,C101="SCORE"),"",C101)</f>
        <v/>
      </c>
      <c r="I101" s="13" t="str">
        <f t="shared" si="85"/>
        <v/>
      </c>
      <c r="J101" s="13" t="str">
        <f t="shared" si="4"/>
        <v/>
      </c>
      <c r="K101" s="13" t="str">
        <f t="shared" si="5"/>
        <v>N/A</v>
      </c>
    </row>
    <row r="102" ht="15.75" customHeight="1">
      <c r="A102" s="1185"/>
      <c r="B102" s="1180" t="s">
        <v>722</v>
      </c>
      <c r="C102" s="1186">
        <v>194.66</v>
      </c>
      <c r="D102" s="1186">
        <v>189.4</v>
      </c>
      <c r="E102" s="1179" t="s">
        <v>726</v>
      </c>
      <c r="F102" s="1185"/>
      <c r="G102" s="13" t="str">
        <f t="shared" si="2"/>
        <v>DECOUPES</v>
      </c>
      <c r="H102" s="1187">
        <f t="shared" ref="H102:I102" si="86">IF(OR(C102=0,C102="SCORE"),"",C102)</f>
        <v>194.66</v>
      </c>
      <c r="I102" s="1188">
        <f t="shared" si="86"/>
        <v>189.4</v>
      </c>
      <c r="J102" s="13" t="str">
        <f t="shared" si="4"/>
        <v>POPEYES</v>
      </c>
      <c r="K102" s="13" t="str">
        <f t="shared" si="5"/>
        <v>Game</v>
      </c>
    </row>
    <row r="103" ht="15.75" hidden="1" customHeight="1">
      <c r="A103" s="1189" t="s">
        <v>874</v>
      </c>
      <c r="B103" s="1180"/>
      <c r="C103" s="1186"/>
      <c r="D103" s="1186"/>
      <c r="E103" s="1179"/>
      <c r="F103" s="1185" t="s">
        <v>875</v>
      </c>
      <c r="G103" s="13">
        <f t="shared" si="2"/>
        <v>1</v>
      </c>
      <c r="H103" s="224" t="str">
        <f t="shared" ref="H103:I103" si="87">IF(OR(C103=0,C103="SCORE"),"",C103)</f>
        <v/>
      </c>
      <c r="I103" s="13" t="str">
        <f t="shared" si="87"/>
        <v/>
      </c>
      <c r="J103" s="13" t="str">
        <f t="shared" si="4"/>
        <v/>
      </c>
      <c r="K103" s="13" t="str">
        <f t="shared" si="5"/>
        <v>N/A</v>
      </c>
    </row>
    <row r="104" ht="15.75" customHeight="1">
      <c r="A104" s="1185"/>
      <c r="B104" s="1179" t="s">
        <v>721</v>
      </c>
      <c r="C104" s="1186">
        <v>204.5</v>
      </c>
      <c r="D104" s="1186">
        <v>152.15</v>
      </c>
      <c r="E104" s="1179" t="s">
        <v>725</v>
      </c>
      <c r="F104" s="1185"/>
      <c r="G104" s="13" t="str">
        <f t="shared" si="2"/>
        <v>MUTTS</v>
      </c>
      <c r="H104" s="1187">
        <f t="shared" ref="H104:I104" si="88">IF(OR(C104=0,C104="SCORE"),"",C104)</f>
        <v>204.5</v>
      </c>
      <c r="I104" s="1188">
        <f t="shared" si="88"/>
        <v>152.15</v>
      </c>
      <c r="J104" s="13" t="str">
        <f t="shared" si="4"/>
        <v>YARDIES</v>
      </c>
      <c r="K104" s="13" t="str">
        <f t="shared" si="5"/>
        <v>Game</v>
      </c>
    </row>
    <row r="105" ht="15.75" hidden="1" customHeight="1">
      <c r="A105" s="1185" t="s">
        <v>876</v>
      </c>
      <c r="B105" s="1179"/>
      <c r="C105" s="1186"/>
      <c r="D105" s="1186"/>
      <c r="E105" s="1179"/>
      <c r="F105" s="1185" t="s">
        <v>877</v>
      </c>
      <c r="G105" s="13">
        <f t="shared" si="2"/>
        <v>1</v>
      </c>
      <c r="H105" s="224" t="str">
        <f t="shared" ref="H105:I105" si="89">IF(OR(C105=0,C105="SCORE"),"",C105)</f>
        <v/>
      </c>
      <c r="I105" s="13" t="str">
        <f t="shared" si="89"/>
        <v/>
      </c>
      <c r="J105" s="13" t="str">
        <f t="shared" si="4"/>
        <v/>
      </c>
      <c r="K105" s="13" t="str">
        <f t="shared" si="5"/>
        <v>N/A</v>
      </c>
    </row>
    <row r="106" ht="15.75" customHeight="1">
      <c r="A106" s="1185"/>
      <c r="B106" s="1179" t="s">
        <v>724</v>
      </c>
      <c r="C106" s="1186">
        <v>143.2</v>
      </c>
      <c r="D106" s="1186">
        <v>180.47</v>
      </c>
      <c r="E106" s="1179" t="s">
        <v>729</v>
      </c>
      <c r="F106" s="1185"/>
      <c r="G106" s="13" t="str">
        <f t="shared" si="2"/>
        <v>METAMOOKDAWGS</v>
      </c>
      <c r="H106" s="1187">
        <f t="shared" ref="H106:I106" si="90">IF(OR(C106=0,C106="SCORE"),"",C106)</f>
        <v>143.2</v>
      </c>
      <c r="I106" s="1188">
        <f t="shared" si="90"/>
        <v>180.47</v>
      </c>
      <c r="J106" s="13" t="str">
        <f t="shared" si="4"/>
        <v>GIRLS</v>
      </c>
      <c r="K106" s="13" t="str">
        <f t="shared" si="5"/>
        <v>Game</v>
      </c>
    </row>
    <row r="107" ht="15.75" hidden="1" customHeight="1">
      <c r="A107" s="1185" t="s">
        <v>880</v>
      </c>
      <c r="B107" s="1179"/>
      <c r="C107" s="1186"/>
      <c r="D107" s="1186"/>
      <c r="E107" s="1179"/>
      <c r="F107" s="1185" t="s">
        <v>881</v>
      </c>
      <c r="G107" s="13">
        <f t="shared" si="2"/>
        <v>1</v>
      </c>
      <c r="H107" s="224" t="str">
        <f t="shared" ref="H107:I107" si="91">IF(OR(C107=0,C107="SCORE"),"",C107)</f>
        <v/>
      </c>
      <c r="I107" s="13" t="str">
        <f t="shared" si="91"/>
        <v/>
      </c>
      <c r="J107" s="13" t="str">
        <f t="shared" si="4"/>
        <v/>
      </c>
      <c r="K107" s="13" t="str">
        <f t="shared" si="5"/>
        <v>N/A</v>
      </c>
    </row>
    <row r="108" ht="15.75" hidden="1" customHeight="1">
      <c r="A108" s="1181" t="s">
        <v>882</v>
      </c>
      <c r="G108" s="13">
        <f t="shared" si="2"/>
        <v>1</v>
      </c>
      <c r="H108" s="224" t="str">
        <f t="shared" ref="H108:I108" si="92">IF(OR(C108=0,C108="SCORE"),"",C108)</f>
        <v/>
      </c>
      <c r="I108" s="13" t="str">
        <f t="shared" si="92"/>
        <v/>
      </c>
      <c r="J108" s="13" t="str">
        <f t="shared" si="4"/>
        <v/>
      </c>
      <c r="K108" s="13" t="str">
        <f t="shared" si="5"/>
        <v>N/A</v>
      </c>
    </row>
    <row r="109" ht="15.75" hidden="1" customHeight="1">
      <c r="A109" s="1182" t="s">
        <v>731</v>
      </c>
      <c r="B109" s="1183"/>
      <c r="C109" s="1182" t="s">
        <v>510</v>
      </c>
      <c r="D109" s="1182" t="s">
        <v>510</v>
      </c>
      <c r="E109" s="1183"/>
      <c r="F109" s="1182" t="s">
        <v>732</v>
      </c>
      <c r="G109" s="13">
        <f t="shared" si="2"/>
        <v>1</v>
      </c>
      <c r="H109" s="224" t="str">
        <f t="shared" ref="H109:I109" si="93">IF(OR(C109=0,C109="SCORE"),"",C109)</f>
        <v/>
      </c>
      <c r="I109" s="13" t="str">
        <f t="shared" si="93"/>
        <v/>
      </c>
      <c r="J109" s="13" t="str">
        <f t="shared" si="4"/>
        <v/>
      </c>
      <c r="K109" s="13" t="str">
        <f t="shared" si="5"/>
        <v>N/A</v>
      </c>
    </row>
    <row r="110" ht="15.75" customHeight="1">
      <c r="A110" s="1185"/>
      <c r="B110" s="1179" t="s">
        <v>723</v>
      </c>
      <c r="C110" s="1186">
        <v>190.6</v>
      </c>
      <c r="D110" s="1186">
        <v>257.95</v>
      </c>
      <c r="E110" s="1179" t="s">
        <v>721</v>
      </c>
      <c r="F110" s="1185"/>
      <c r="G110" s="13" t="str">
        <f t="shared" si="2"/>
        <v>SAVAGES</v>
      </c>
      <c r="H110" s="1187">
        <f t="shared" ref="H110:I110" si="94">IF(OR(C110=0,C110="SCORE"),"",C110)</f>
        <v>190.6</v>
      </c>
      <c r="I110" s="1188">
        <f t="shared" si="94"/>
        <v>257.95</v>
      </c>
      <c r="J110" s="13" t="str">
        <f t="shared" si="4"/>
        <v>MUTTS</v>
      </c>
      <c r="K110" s="13" t="str">
        <f t="shared" si="5"/>
        <v>Game</v>
      </c>
    </row>
    <row r="111" ht="15.75" hidden="1" customHeight="1">
      <c r="A111" s="1185" t="s">
        <v>886</v>
      </c>
      <c r="B111" s="1179"/>
      <c r="C111" s="1186"/>
      <c r="D111" s="1186"/>
      <c r="E111" s="1179"/>
      <c r="F111" s="1185" t="s">
        <v>887</v>
      </c>
      <c r="G111" s="13">
        <f t="shared" si="2"/>
        <v>1</v>
      </c>
      <c r="H111" s="224" t="str">
        <f t="shared" ref="H111:I111" si="95">IF(OR(C111=0,C111="SCORE"),"",C111)</f>
        <v/>
      </c>
      <c r="I111" s="13" t="str">
        <f t="shared" si="95"/>
        <v/>
      </c>
      <c r="J111" s="13" t="str">
        <f t="shared" si="4"/>
        <v/>
      </c>
      <c r="K111" s="13" t="str">
        <f t="shared" si="5"/>
        <v>N/A</v>
      </c>
    </row>
    <row r="112" ht="15.75" customHeight="1">
      <c r="A112" s="1185"/>
      <c r="B112" s="1179" t="s">
        <v>724</v>
      </c>
      <c r="C112" s="1186">
        <v>162.27</v>
      </c>
      <c r="D112" s="1186">
        <v>157.95</v>
      </c>
      <c r="E112" s="1179" t="s">
        <v>727</v>
      </c>
      <c r="F112" s="1185"/>
      <c r="G112" s="13" t="str">
        <f t="shared" si="2"/>
        <v>METAMOOKDAWGS</v>
      </c>
      <c r="H112" s="1187">
        <f t="shared" ref="H112:I112" si="96">IF(OR(C112=0,C112="SCORE"),"",C112)</f>
        <v>162.27</v>
      </c>
      <c r="I112" s="1188">
        <f t="shared" si="96"/>
        <v>157.95</v>
      </c>
      <c r="J112" s="13" t="str">
        <f t="shared" si="4"/>
        <v>GREEN</v>
      </c>
      <c r="K112" s="13" t="str">
        <f t="shared" si="5"/>
        <v>Game</v>
      </c>
    </row>
    <row r="113" ht="15.75" hidden="1" customHeight="1">
      <c r="A113" s="1185" t="s">
        <v>889</v>
      </c>
      <c r="B113" s="1179"/>
      <c r="C113" s="1186"/>
      <c r="D113" s="1186"/>
      <c r="E113" s="1179"/>
      <c r="F113" s="1185" t="s">
        <v>890</v>
      </c>
      <c r="G113" s="13">
        <f t="shared" si="2"/>
        <v>1</v>
      </c>
      <c r="H113" s="224" t="str">
        <f t="shared" ref="H113:I113" si="97">IF(OR(C113=0,C113="SCORE"),"",C113)</f>
        <v/>
      </c>
      <c r="I113" s="13" t="str">
        <f t="shared" si="97"/>
        <v/>
      </c>
      <c r="J113" s="13" t="str">
        <f t="shared" si="4"/>
        <v/>
      </c>
      <c r="K113" s="13" t="str">
        <f t="shared" si="5"/>
        <v>N/A</v>
      </c>
    </row>
    <row r="114" ht="15.75" customHeight="1">
      <c r="A114" s="1185"/>
      <c r="B114" s="1179" t="s">
        <v>726</v>
      </c>
      <c r="C114" s="1186">
        <v>211.66</v>
      </c>
      <c r="D114" s="1186">
        <v>209.92</v>
      </c>
      <c r="E114" s="1179" t="s">
        <v>729</v>
      </c>
      <c r="F114" s="1185"/>
      <c r="G114" s="13" t="str">
        <f t="shared" si="2"/>
        <v>POPEYES</v>
      </c>
      <c r="H114" s="1187">
        <f t="shared" ref="H114:I114" si="98">IF(OR(C114=0,C114="SCORE"),"",C114)</f>
        <v>211.66</v>
      </c>
      <c r="I114" s="1188">
        <f t="shared" si="98"/>
        <v>209.92</v>
      </c>
      <c r="J114" s="13" t="str">
        <f t="shared" si="4"/>
        <v>GIRLS</v>
      </c>
      <c r="K114" s="13" t="str">
        <f t="shared" si="5"/>
        <v>Game</v>
      </c>
    </row>
    <row r="115" ht="15.75" hidden="1" customHeight="1">
      <c r="A115" s="1185" t="s">
        <v>893</v>
      </c>
      <c r="B115" s="1179"/>
      <c r="C115" s="1186"/>
      <c r="D115" s="1186"/>
      <c r="E115" s="1179"/>
      <c r="F115" s="1185" t="s">
        <v>895</v>
      </c>
      <c r="G115" s="13">
        <f t="shared" si="2"/>
        <v>1</v>
      </c>
      <c r="H115" s="224" t="str">
        <f t="shared" ref="H115:I115" si="99">IF(OR(C115=0,C115="SCORE"),"",C115)</f>
        <v/>
      </c>
      <c r="I115" s="13" t="str">
        <f t="shared" si="99"/>
        <v/>
      </c>
      <c r="J115" s="13" t="str">
        <f t="shared" si="4"/>
        <v/>
      </c>
      <c r="K115" s="13" t="str">
        <f t="shared" si="5"/>
        <v>N/A</v>
      </c>
    </row>
    <row r="116" ht="15.75" customHeight="1">
      <c r="A116" s="1185"/>
      <c r="B116" s="1180" t="s">
        <v>722</v>
      </c>
      <c r="C116" s="1186">
        <v>134.69</v>
      </c>
      <c r="D116" s="1186">
        <v>201.64</v>
      </c>
      <c r="E116" s="1179" t="s">
        <v>725</v>
      </c>
      <c r="F116" s="1185"/>
      <c r="G116" s="13" t="str">
        <f t="shared" si="2"/>
        <v>DECOUPES</v>
      </c>
      <c r="H116" s="1187">
        <f t="shared" ref="H116:I116" si="100">IF(OR(C116=0,C116="SCORE"),"",C116)</f>
        <v>134.69</v>
      </c>
      <c r="I116" s="1188">
        <f t="shared" si="100"/>
        <v>201.64</v>
      </c>
      <c r="J116" s="13" t="str">
        <f t="shared" si="4"/>
        <v>YARDIES</v>
      </c>
      <c r="K116" s="13" t="str">
        <f t="shared" si="5"/>
        <v>Game</v>
      </c>
    </row>
    <row r="117" ht="15.75" hidden="1" customHeight="1">
      <c r="A117" s="1189" t="s">
        <v>898</v>
      </c>
      <c r="B117" s="1180"/>
      <c r="C117" s="1186"/>
      <c r="D117" s="1186"/>
      <c r="E117" s="1179"/>
      <c r="F117" s="1185" t="s">
        <v>899</v>
      </c>
      <c r="G117" s="13">
        <f t="shared" si="2"/>
        <v>1</v>
      </c>
      <c r="H117" s="224" t="str">
        <f t="shared" ref="H117:I117" si="101">IF(OR(C117=0,C117="SCORE"),"",C117)</f>
        <v/>
      </c>
      <c r="I117" s="13" t="str">
        <f t="shared" si="101"/>
        <v/>
      </c>
      <c r="J117" s="13" t="str">
        <f t="shared" si="4"/>
        <v/>
      </c>
      <c r="K117" s="13" t="str">
        <f t="shared" si="5"/>
        <v>N/A</v>
      </c>
    </row>
    <row r="118" ht="15.75" hidden="1" customHeight="1">
      <c r="A118" s="1181" t="s">
        <v>900</v>
      </c>
      <c r="G118" s="13">
        <f t="shared" si="2"/>
        <v>1</v>
      </c>
      <c r="H118" s="224" t="str">
        <f t="shared" ref="H118:I118" si="102">IF(OR(C118=0,C118="SCORE"),"",C118)</f>
        <v/>
      </c>
      <c r="I118" s="13" t="str">
        <f t="shared" si="102"/>
        <v/>
      </c>
      <c r="J118" s="13" t="str">
        <f t="shared" si="4"/>
        <v/>
      </c>
      <c r="K118" s="13" t="str">
        <f t="shared" si="5"/>
        <v>N/A</v>
      </c>
    </row>
    <row r="119" ht="15.75" hidden="1" customHeight="1">
      <c r="A119" s="1182" t="s">
        <v>731</v>
      </c>
      <c r="B119" s="1183"/>
      <c r="C119" s="1182" t="s">
        <v>510</v>
      </c>
      <c r="D119" s="1182" t="s">
        <v>510</v>
      </c>
      <c r="E119" s="1183"/>
      <c r="F119" s="1182" t="s">
        <v>732</v>
      </c>
      <c r="G119" s="13">
        <f t="shared" si="2"/>
        <v>1</v>
      </c>
      <c r="H119" s="224" t="str">
        <f t="shared" ref="H119:I119" si="103">IF(OR(C119=0,C119="SCORE"),"",C119)</f>
        <v/>
      </c>
      <c r="I119" s="13" t="str">
        <f t="shared" si="103"/>
        <v/>
      </c>
      <c r="J119" s="13" t="str">
        <f t="shared" si="4"/>
        <v/>
      </c>
      <c r="K119" s="13" t="str">
        <f t="shared" si="5"/>
        <v>N/A</v>
      </c>
    </row>
    <row r="120" ht="15.75" customHeight="1">
      <c r="A120" s="1185"/>
      <c r="B120" s="1179" t="s">
        <v>723</v>
      </c>
      <c r="C120" s="1186">
        <v>176.1</v>
      </c>
      <c r="D120" s="1186">
        <v>182.21</v>
      </c>
      <c r="E120" s="1179" t="s">
        <v>726</v>
      </c>
      <c r="F120" s="1185"/>
      <c r="G120" s="13" t="str">
        <f t="shared" si="2"/>
        <v>SAVAGES</v>
      </c>
      <c r="H120" s="1187">
        <f t="shared" ref="H120:I120" si="104">IF(OR(C120=0,C120="SCORE"),"",C120)</f>
        <v>176.1</v>
      </c>
      <c r="I120" s="1188">
        <f t="shared" si="104"/>
        <v>182.21</v>
      </c>
      <c r="J120" s="13" t="str">
        <f t="shared" si="4"/>
        <v>POPEYES</v>
      </c>
      <c r="K120" s="13" t="str">
        <f t="shared" si="5"/>
        <v>Game</v>
      </c>
    </row>
    <row r="121" ht="15.75" hidden="1" customHeight="1">
      <c r="A121" s="1185" t="s">
        <v>903</v>
      </c>
      <c r="B121" s="1179"/>
      <c r="C121" s="1186"/>
      <c r="D121" s="1186"/>
      <c r="E121" s="1179"/>
      <c r="F121" s="1185" t="s">
        <v>904</v>
      </c>
      <c r="G121" s="13">
        <f t="shared" si="2"/>
        <v>1</v>
      </c>
      <c r="H121" s="224" t="str">
        <f t="shared" ref="H121:I121" si="105">IF(OR(C121=0,C121="SCORE"),"",C121)</f>
        <v/>
      </c>
      <c r="I121" s="13" t="str">
        <f t="shared" si="105"/>
        <v/>
      </c>
      <c r="J121" s="13" t="str">
        <f t="shared" si="4"/>
        <v/>
      </c>
      <c r="K121" s="13" t="str">
        <f t="shared" si="5"/>
        <v>N/A</v>
      </c>
    </row>
    <row r="122" ht="15.75" customHeight="1">
      <c r="A122" s="1185"/>
      <c r="B122" s="1180" t="s">
        <v>722</v>
      </c>
      <c r="C122" s="1186">
        <v>206.34</v>
      </c>
      <c r="D122" s="1186">
        <v>192.08</v>
      </c>
      <c r="E122" s="1179" t="s">
        <v>727</v>
      </c>
      <c r="F122" s="1185"/>
      <c r="G122" s="13" t="str">
        <f t="shared" si="2"/>
        <v>DECOUPES</v>
      </c>
      <c r="H122" s="1187">
        <f t="shared" ref="H122:I122" si="106">IF(OR(C122=0,C122="SCORE"),"",C122)</f>
        <v>206.34</v>
      </c>
      <c r="I122" s="1188">
        <f t="shared" si="106"/>
        <v>192.08</v>
      </c>
      <c r="J122" s="13" t="str">
        <f t="shared" si="4"/>
        <v>GREEN</v>
      </c>
      <c r="K122" s="13" t="str">
        <f t="shared" si="5"/>
        <v>Game</v>
      </c>
    </row>
    <row r="123" ht="15.75" hidden="1" customHeight="1">
      <c r="A123" s="1189" t="s">
        <v>907</v>
      </c>
      <c r="B123" s="1180"/>
      <c r="C123" s="1186"/>
      <c r="D123" s="1186"/>
      <c r="E123" s="1179"/>
      <c r="F123" s="1185" t="s">
        <v>908</v>
      </c>
      <c r="G123" s="13">
        <f t="shared" si="2"/>
        <v>1</v>
      </c>
      <c r="H123" s="224" t="str">
        <f t="shared" ref="H123:I123" si="107">IF(OR(C123=0,C123="SCORE"),"",C123)</f>
        <v/>
      </c>
      <c r="I123" s="13" t="str">
        <f t="shared" si="107"/>
        <v/>
      </c>
      <c r="J123" s="13" t="str">
        <f t="shared" si="4"/>
        <v/>
      </c>
      <c r="K123" s="13" t="str">
        <f t="shared" si="5"/>
        <v>N/A</v>
      </c>
    </row>
    <row r="124" ht="15.75" customHeight="1">
      <c r="A124" s="1185"/>
      <c r="B124" s="1179" t="s">
        <v>724</v>
      </c>
      <c r="C124" s="1186">
        <v>237.87</v>
      </c>
      <c r="D124" s="1186">
        <v>185.65</v>
      </c>
      <c r="E124" s="1179" t="s">
        <v>729</v>
      </c>
      <c r="F124" s="1185"/>
      <c r="G124" s="13" t="str">
        <f t="shared" si="2"/>
        <v>METAMOOKDAWGS</v>
      </c>
      <c r="H124" s="1187">
        <f t="shared" ref="H124:I124" si="108">IF(OR(C124=0,C124="SCORE"),"",C124)</f>
        <v>237.87</v>
      </c>
      <c r="I124" s="1188">
        <f t="shared" si="108"/>
        <v>185.65</v>
      </c>
      <c r="J124" s="13" t="str">
        <f t="shared" si="4"/>
        <v>GIRLS</v>
      </c>
      <c r="K124" s="13" t="str">
        <f t="shared" si="5"/>
        <v>Game</v>
      </c>
    </row>
    <row r="125" ht="15.75" hidden="1" customHeight="1">
      <c r="A125" s="1185" t="s">
        <v>911</v>
      </c>
      <c r="B125" s="1179"/>
      <c r="C125" s="1186"/>
      <c r="D125" s="1186"/>
      <c r="E125" s="1179"/>
      <c r="F125" s="1185" t="s">
        <v>912</v>
      </c>
      <c r="G125" s="13">
        <f t="shared" si="2"/>
        <v>1</v>
      </c>
      <c r="H125" s="224" t="str">
        <f t="shared" ref="H125:I125" si="109">IF(OR(C125=0,C125="SCORE"),"",C125)</f>
        <v/>
      </c>
      <c r="I125" s="13" t="str">
        <f t="shared" si="109"/>
        <v/>
      </c>
      <c r="J125" s="13" t="str">
        <f t="shared" si="4"/>
        <v/>
      </c>
      <c r="K125" s="13" t="str">
        <f t="shared" si="5"/>
        <v>N/A</v>
      </c>
    </row>
    <row r="126" ht="15.75" customHeight="1">
      <c r="A126" s="1185"/>
      <c r="B126" s="1179" t="s">
        <v>721</v>
      </c>
      <c r="C126" s="1186">
        <v>180.73</v>
      </c>
      <c r="D126" s="1186">
        <v>182.44</v>
      </c>
      <c r="E126" s="1179" t="s">
        <v>725</v>
      </c>
      <c r="F126" s="1185"/>
      <c r="G126" s="13" t="str">
        <f t="shared" si="2"/>
        <v>MUTTS</v>
      </c>
      <c r="H126" s="1187">
        <f t="shared" ref="H126:I126" si="110">IF(OR(C126=0,C126="SCORE"),"",C126)</f>
        <v>180.73</v>
      </c>
      <c r="I126" s="1188">
        <f t="shared" si="110"/>
        <v>182.44</v>
      </c>
      <c r="J126" s="13" t="str">
        <f t="shared" si="4"/>
        <v>YARDIES</v>
      </c>
      <c r="K126" s="13" t="str">
        <f t="shared" si="5"/>
        <v>Game</v>
      </c>
    </row>
    <row r="127" ht="15.75" hidden="1" customHeight="1">
      <c r="A127" s="1185" t="s">
        <v>914</v>
      </c>
      <c r="B127" s="1179"/>
      <c r="C127" s="1186"/>
      <c r="D127" s="1186"/>
      <c r="E127" s="1179"/>
      <c r="F127" s="1185" t="s">
        <v>915</v>
      </c>
      <c r="G127" s="13">
        <f t="shared" si="2"/>
        <v>1</v>
      </c>
      <c r="H127" s="224" t="str">
        <f t="shared" ref="H127:I127" si="111">IF(OR(C127=0,C127="SCORE"),"",C127)</f>
        <v/>
      </c>
      <c r="I127" s="13" t="str">
        <f t="shared" si="111"/>
        <v/>
      </c>
      <c r="J127" s="13" t="str">
        <f t="shared" si="4"/>
        <v/>
      </c>
      <c r="K127" s="13" t="str">
        <f t="shared" si="5"/>
        <v>N/A</v>
      </c>
    </row>
    <row r="128" ht="15.75" hidden="1" customHeight="1">
      <c r="A128" s="1181" t="s">
        <v>917</v>
      </c>
      <c r="G128" s="13">
        <f t="shared" si="2"/>
        <v>1</v>
      </c>
      <c r="H128" s="224" t="str">
        <f t="shared" ref="H128:I128" si="112">IF(OR(C128=0,C128="SCORE"),"",C128)</f>
        <v/>
      </c>
      <c r="I128" s="13" t="str">
        <f t="shared" si="112"/>
        <v/>
      </c>
      <c r="J128" s="13" t="str">
        <f t="shared" si="4"/>
        <v/>
      </c>
      <c r="K128" s="13" t="str">
        <f t="shared" si="5"/>
        <v>N/A</v>
      </c>
    </row>
    <row r="129" ht="15.75" hidden="1" customHeight="1">
      <c r="A129" s="1182" t="s">
        <v>731</v>
      </c>
      <c r="B129" s="1183"/>
      <c r="C129" s="1182" t="s">
        <v>510</v>
      </c>
      <c r="D129" s="1182" t="s">
        <v>510</v>
      </c>
      <c r="E129" s="1183"/>
      <c r="F129" s="1182" t="s">
        <v>732</v>
      </c>
      <c r="G129" s="13">
        <f t="shared" si="2"/>
        <v>1</v>
      </c>
      <c r="H129" s="224" t="str">
        <f t="shared" ref="H129:I129" si="113">IF(OR(C129=0,C129="SCORE"),"",C129)</f>
        <v/>
      </c>
      <c r="I129" s="13" t="str">
        <f t="shared" si="113"/>
        <v/>
      </c>
      <c r="J129" s="13" t="str">
        <f t="shared" si="4"/>
        <v/>
      </c>
      <c r="K129" s="13" t="str">
        <f t="shared" si="5"/>
        <v>N/A</v>
      </c>
    </row>
    <row r="130" ht="15.75" customHeight="1">
      <c r="A130" s="1185"/>
      <c r="B130" s="1179" t="s">
        <v>727</v>
      </c>
      <c r="C130" s="1186">
        <v>232.05</v>
      </c>
      <c r="D130" s="1186">
        <v>233.2</v>
      </c>
      <c r="E130" s="1179" t="s">
        <v>723</v>
      </c>
      <c r="F130" s="1185"/>
      <c r="G130" s="13" t="str">
        <f t="shared" si="2"/>
        <v>GREEN</v>
      </c>
      <c r="H130" s="1187">
        <f t="shared" ref="H130:I130" si="114">IF(OR(C130=0,C130="SCORE"),"",C130)</f>
        <v>232.05</v>
      </c>
      <c r="I130" s="1188">
        <f t="shared" si="114"/>
        <v>233.2</v>
      </c>
      <c r="J130" s="13" t="str">
        <f t="shared" si="4"/>
        <v>SAVAGES</v>
      </c>
      <c r="K130" s="13" t="str">
        <f t="shared" si="5"/>
        <v>Game</v>
      </c>
    </row>
    <row r="131" ht="15.75" hidden="1" customHeight="1">
      <c r="A131" s="1185" t="s">
        <v>919</v>
      </c>
      <c r="B131" s="1179"/>
      <c r="C131" s="1186"/>
      <c r="D131" s="1186"/>
      <c r="E131" s="1179"/>
      <c r="F131" s="1185" t="s">
        <v>920</v>
      </c>
      <c r="G131" s="13">
        <f t="shared" si="2"/>
        <v>1</v>
      </c>
      <c r="H131" s="224" t="str">
        <f t="shared" ref="H131:I131" si="115">IF(OR(C131=0,C131="SCORE"),"",C131)</f>
        <v/>
      </c>
      <c r="I131" s="13" t="str">
        <f t="shared" si="115"/>
        <v/>
      </c>
      <c r="J131" s="13" t="str">
        <f t="shared" si="4"/>
        <v/>
      </c>
      <c r="K131" s="13" t="str">
        <f t="shared" si="5"/>
        <v>N/A</v>
      </c>
    </row>
    <row r="132" ht="15.75" customHeight="1">
      <c r="A132" s="1185"/>
      <c r="B132" s="1179" t="s">
        <v>729</v>
      </c>
      <c r="C132" s="1186">
        <v>170.31</v>
      </c>
      <c r="D132" s="1186">
        <v>189.23</v>
      </c>
      <c r="E132" s="1179" t="s">
        <v>721</v>
      </c>
      <c r="F132" s="1185"/>
      <c r="G132" s="13" t="str">
        <f t="shared" si="2"/>
        <v>GIRLS</v>
      </c>
      <c r="H132" s="1187">
        <f t="shared" ref="H132:I132" si="116">IF(OR(C132=0,C132="SCORE"),"",C132)</f>
        <v>170.31</v>
      </c>
      <c r="I132" s="1188">
        <f t="shared" si="116"/>
        <v>189.23</v>
      </c>
      <c r="J132" s="13" t="str">
        <f t="shared" si="4"/>
        <v>MUTTS</v>
      </c>
      <c r="K132" s="13" t="str">
        <f t="shared" si="5"/>
        <v>Game</v>
      </c>
    </row>
    <row r="133" ht="15.75" hidden="1" customHeight="1">
      <c r="A133" s="1185" t="s">
        <v>922</v>
      </c>
      <c r="B133" s="1179"/>
      <c r="C133" s="1186"/>
      <c r="D133" s="1186"/>
      <c r="E133" s="1179"/>
      <c r="F133" s="1185" t="s">
        <v>923</v>
      </c>
      <c r="G133" s="13">
        <f t="shared" si="2"/>
        <v>1</v>
      </c>
      <c r="H133" s="224" t="str">
        <f t="shared" ref="H133:I133" si="117">IF(OR(C133=0,C133="SCORE"),"",C133)</f>
        <v/>
      </c>
      <c r="I133" s="13" t="str">
        <f t="shared" si="117"/>
        <v/>
      </c>
      <c r="J133" s="13" t="str">
        <f t="shared" si="4"/>
        <v/>
      </c>
      <c r="K133" s="13" t="str">
        <f t="shared" si="5"/>
        <v>N/A</v>
      </c>
    </row>
    <row r="134" ht="15.75" customHeight="1">
      <c r="A134" s="1185"/>
      <c r="B134" s="1179" t="s">
        <v>725</v>
      </c>
      <c r="C134" s="1186">
        <v>206.09</v>
      </c>
      <c r="D134" s="1186">
        <v>162.96</v>
      </c>
      <c r="E134" s="1179" t="s">
        <v>724</v>
      </c>
      <c r="F134" s="1185"/>
      <c r="G134" s="13" t="str">
        <f t="shared" si="2"/>
        <v>YARDIES</v>
      </c>
      <c r="H134" s="1187">
        <f t="shared" ref="H134:I134" si="118">IF(OR(C134=0,C134="SCORE"),"",C134)</f>
        <v>206.09</v>
      </c>
      <c r="I134" s="1188">
        <f t="shared" si="118"/>
        <v>162.96</v>
      </c>
      <c r="J134" s="13" t="str">
        <f t="shared" si="4"/>
        <v>METAMOOKDAWGS</v>
      </c>
      <c r="K134" s="13" t="str">
        <f t="shared" si="5"/>
        <v>Game</v>
      </c>
    </row>
    <row r="135" ht="15.75" hidden="1" customHeight="1">
      <c r="A135" s="1185" t="s">
        <v>924</v>
      </c>
      <c r="B135" s="1179"/>
      <c r="C135" s="1186"/>
      <c r="D135" s="1186"/>
      <c r="E135" s="1179"/>
      <c r="F135" s="1185" t="s">
        <v>925</v>
      </c>
      <c r="G135" s="13">
        <f t="shared" si="2"/>
        <v>1</v>
      </c>
      <c r="H135" s="224" t="str">
        <f t="shared" ref="H135:I135" si="119">IF(OR(C135=0,C135="SCORE"),"",C135)</f>
        <v/>
      </c>
      <c r="I135" s="13" t="str">
        <f t="shared" si="119"/>
        <v/>
      </c>
      <c r="J135" s="13" t="str">
        <f t="shared" si="4"/>
        <v/>
      </c>
      <c r="K135" s="13" t="str">
        <f t="shared" si="5"/>
        <v>N/A</v>
      </c>
    </row>
    <row r="136" ht="15.75" customHeight="1">
      <c r="A136" s="1185"/>
      <c r="B136" s="1180" t="s">
        <v>722</v>
      </c>
      <c r="C136" s="1186">
        <v>185.42</v>
      </c>
      <c r="D136" s="1186">
        <v>194.96</v>
      </c>
      <c r="E136" s="1179" t="s">
        <v>726</v>
      </c>
      <c r="F136" s="1185"/>
      <c r="G136" s="13" t="str">
        <f t="shared" si="2"/>
        <v>DECOUPES</v>
      </c>
      <c r="H136" s="1187">
        <f t="shared" ref="H136:I136" si="120">IF(OR(C136=0,C136="SCORE"),"",C136)</f>
        <v>185.42</v>
      </c>
      <c r="I136" s="1188">
        <f t="shared" si="120"/>
        <v>194.96</v>
      </c>
      <c r="J136" s="13" t="str">
        <f t="shared" si="4"/>
        <v>POPEYES</v>
      </c>
      <c r="K136" s="13" t="str">
        <f t="shared" si="5"/>
        <v>Game</v>
      </c>
    </row>
    <row r="137" ht="15.75" hidden="1" customHeight="1">
      <c r="A137" s="1189" t="s">
        <v>928</v>
      </c>
      <c r="B137" s="1180"/>
      <c r="C137" s="1186"/>
      <c r="D137" s="1186"/>
      <c r="E137" s="1179"/>
      <c r="F137" s="1185" t="s">
        <v>929</v>
      </c>
      <c r="G137" s="13">
        <f t="shared" si="2"/>
        <v>1</v>
      </c>
      <c r="H137" s="224" t="str">
        <f t="shared" ref="H137:I137" si="121">IF(OR(C137=0,C137="SCORE"),"",C137)</f>
        <v/>
      </c>
      <c r="I137" s="13" t="str">
        <f t="shared" si="121"/>
        <v/>
      </c>
      <c r="J137" s="13" t="str">
        <f t="shared" si="4"/>
        <v/>
      </c>
      <c r="K137" s="13" t="str">
        <f t="shared" si="5"/>
        <v>N/A</v>
      </c>
    </row>
    <row r="138" ht="15.75" hidden="1" customHeight="1">
      <c r="A138" s="1181" t="s">
        <v>930</v>
      </c>
      <c r="G138" s="13">
        <f t="shared" si="2"/>
        <v>1</v>
      </c>
      <c r="H138" s="224" t="str">
        <f t="shared" ref="H138:I138" si="122">IF(OR(C138=0,C138="SCORE"),"",C138)</f>
        <v/>
      </c>
      <c r="I138" s="13" t="str">
        <f t="shared" si="122"/>
        <v/>
      </c>
      <c r="J138" s="13" t="str">
        <f t="shared" si="4"/>
        <v/>
      </c>
      <c r="K138" s="13" t="str">
        <f t="shared" si="5"/>
        <v>N/A</v>
      </c>
    </row>
    <row r="139" ht="15.75" hidden="1" customHeight="1">
      <c r="A139" s="1182" t="s">
        <v>731</v>
      </c>
      <c r="B139" s="1183"/>
      <c r="C139" s="1182" t="s">
        <v>510</v>
      </c>
      <c r="D139" s="1182" t="s">
        <v>510</v>
      </c>
      <c r="E139" s="1183"/>
      <c r="F139" s="1182" t="s">
        <v>732</v>
      </c>
      <c r="G139" s="13">
        <f t="shared" si="2"/>
        <v>1</v>
      </c>
      <c r="H139" s="224" t="str">
        <f t="shared" ref="H139:I139" si="123">IF(OR(C139=0,C139="SCORE"),"",C139)</f>
        <v/>
      </c>
      <c r="I139" s="13" t="str">
        <f t="shared" si="123"/>
        <v/>
      </c>
      <c r="J139" s="13" t="str">
        <f t="shared" si="4"/>
        <v/>
      </c>
      <c r="K139" s="13" t="str">
        <f t="shared" si="5"/>
        <v>N/A</v>
      </c>
    </row>
    <row r="140" ht="15.75" customHeight="1">
      <c r="A140" s="1185"/>
      <c r="B140" s="1179" t="s">
        <v>725</v>
      </c>
      <c r="C140" s="1186">
        <v>174.93</v>
      </c>
      <c r="D140" s="1186">
        <v>208.64</v>
      </c>
      <c r="E140" s="1179" t="s">
        <v>729</v>
      </c>
      <c r="F140" s="1185"/>
      <c r="G140" s="13" t="str">
        <f t="shared" si="2"/>
        <v>YARDIES</v>
      </c>
      <c r="H140" s="1187">
        <f t="shared" ref="H140:I140" si="124">IF(OR(C140=0,C140="SCORE"),"",C140)</f>
        <v>174.93</v>
      </c>
      <c r="I140" s="1188">
        <f t="shared" si="124"/>
        <v>208.64</v>
      </c>
      <c r="J140" s="13" t="str">
        <f t="shared" si="4"/>
        <v>GIRLS</v>
      </c>
      <c r="K140" s="13" t="str">
        <f t="shared" si="5"/>
        <v>Game</v>
      </c>
    </row>
    <row r="141" ht="15.75" hidden="1" customHeight="1">
      <c r="A141" s="1185" t="s">
        <v>933</v>
      </c>
      <c r="B141" s="1179"/>
      <c r="C141" s="1186"/>
      <c r="D141" s="1186"/>
      <c r="E141" s="1179"/>
      <c r="F141" s="1185" t="s">
        <v>934</v>
      </c>
      <c r="G141" s="13">
        <f t="shared" si="2"/>
        <v>1</v>
      </c>
      <c r="H141" s="224" t="str">
        <f t="shared" ref="H141:I141" si="125">IF(OR(C141=0,C141="SCORE"),"",C141)</f>
        <v/>
      </c>
      <c r="I141" s="13" t="str">
        <f t="shared" si="125"/>
        <v/>
      </c>
      <c r="J141" s="13" t="str">
        <f t="shared" si="4"/>
        <v/>
      </c>
      <c r="K141" s="13" t="str">
        <f t="shared" si="5"/>
        <v>N/A</v>
      </c>
    </row>
    <row r="142" ht="15.75" customHeight="1">
      <c r="A142" s="1185"/>
      <c r="B142" s="1180" t="s">
        <v>722</v>
      </c>
      <c r="C142" s="1186">
        <v>239.86</v>
      </c>
      <c r="D142" s="1186">
        <v>168.9</v>
      </c>
      <c r="E142" s="1179" t="s">
        <v>723</v>
      </c>
      <c r="F142" s="1185"/>
      <c r="G142" s="13" t="str">
        <f t="shared" si="2"/>
        <v>DECOUPES</v>
      </c>
      <c r="H142" s="1187">
        <f t="shared" ref="H142:I142" si="126">IF(OR(C142=0,C142="SCORE"),"",C142)</f>
        <v>239.86</v>
      </c>
      <c r="I142" s="1188">
        <f t="shared" si="126"/>
        <v>168.9</v>
      </c>
      <c r="J142" s="13" t="str">
        <f t="shared" si="4"/>
        <v>SAVAGES</v>
      </c>
      <c r="K142" s="13" t="str">
        <f t="shared" si="5"/>
        <v>Game</v>
      </c>
    </row>
    <row r="143" ht="15.75" hidden="1" customHeight="1">
      <c r="A143" s="1189" t="s">
        <v>937</v>
      </c>
      <c r="B143" s="1180"/>
      <c r="C143" s="1186"/>
      <c r="D143" s="1186"/>
      <c r="E143" s="1179"/>
      <c r="F143" s="1185" t="s">
        <v>938</v>
      </c>
      <c r="G143" s="13">
        <f t="shared" si="2"/>
        <v>1</v>
      </c>
      <c r="H143" s="224" t="str">
        <f t="shared" ref="H143:I143" si="127">IF(OR(C143=0,C143="SCORE"),"",C143)</f>
        <v/>
      </c>
      <c r="I143" s="13" t="str">
        <f t="shared" si="127"/>
        <v/>
      </c>
      <c r="J143" s="13" t="str">
        <f t="shared" si="4"/>
        <v/>
      </c>
      <c r="K143" s="13" t="str">
        <f t="shared" si="5"/>
        <v>N/A</v>
      </c>
    </row>
    <row r="144" ht="15.75" customHeight="1">
      <c r="A144" s="1185"/>
      <c r="B144" s="1179" t="s">
        <v>724</v>
      </c>
      <c r="C144" s="1186">
        <v>190.89</v>
      </c>
      <c r="D144" s="1186">
        <v>164.51</v>
      </c>
      <c r="E144" s="1179" t="s">
        <v>721</v>
      </c>
      <c r="F144" s="1185"/>
      <c r="G144" s="13" t="str">
        <f t="shared" si="2"/>
        <v>METAMOOKDAWGS</v>
      </c>
      <c r="H144" s="1187">
        <f t="shared" ref="H144:I144" si="128">IF(OR(C144=0,C144="SCORE"),"",C144)</f>
        <v>190.89</v>
      </c>
      <c r="I144" s="1188">
        <f t="shared" si="128"/>
        <v>164.51</v>
      </c>
      <c r="J144" s="13" t="str">
        <f t="shared" si="4"/>
        <v>MUTTS</v>
      </c>
      <c r="K144" s="13" t="str">
        <f t="shared" si="5"/>
        <v>Game</v>
      </c>
    </row>
    <row r="145" ht="15.75" hidden="1" customHeight="1">
      <c r="A145" s="1185" t="s">
        <v>939</v>
      </c>
      <c r="B145" s="1179"/>
      <c r="C145" s="1186"/>
      <c r="D145" s="1186"/>
      <c r="E145" s="1179"/>
      <c r="F145" s="1185" t="s">
        <v>940</v>
      </c>
      <c r="G145" s="13">
        <f t="shared" si="2"/>
        <v>1</v>
      </c>
      <c r="H145" s="224" t="str">
        <f t="shared" ref="H145:I145" si="129">IF(OR(C145=0,C145="SCORE"),"",C145)</f>
        <v/>
      </c>
      <c r="I145" s="13" t="str">
        <f t="shared" si="129"/>
        <v/>
      </c>
      <c r="J145" s="13" t="str">
        <f t="shared" si="4"/>
        <v/>
      </c>
      <c r="K145" s="13" t="str">
        <f t="shared" si="5"/>
        <v>N/A</v>
      </c>
    </row>
    <row r="146" ht="15.75" customHeight="1">
      <c r="A146" s="1216"/>
      <c r="B146" s="1217" t="s">
        <v>727</v>
      </c>
      <c r="C146" s="1218">
        <v>184.24</v>
      </c>
      <c r="D146" s="1218">
        <v>196.83</v>
      </c>
      <c r="E146" s="1217" t="s">
        <v>726</v>
      </c>
      <c r="F146" s="1216"/>
      <c r="G146" s="288" t="str">
        <f t="shared" si="2"/>
        <v>GREEN</v>
      </c>
      <c r="H146" s="1219">
        <f t="shared" ref="H146:I146" si="130">IF(OR(C146=0,C146="SCORE"),"",C146)</f>
        <v>184.24</v>
      </c>
      <c r="I146" s="1220">
        <f t="shared" si="130"/>
        <v>196.83</v>
      </c>
      <c r="J146" s="288" t="str">
        <f t="shared" si="4"/>
        <v>POPEYES</v>
      </c>
      <c r="K146" s="288" t="str">
        <f t="shared" si="5"/>
        <v>Game</v>
      </c>
      <c r="L146" s="288"/>
      <c r="M146" s="288"/>
      <c r="N146" s="288"/>
      <c r="O146" s="288"/>
      <c r="P146" s="288"/>
      <c r="Q146" s="288"/>
      <c r="R146" s="288"/>
      <c r="S146" s="288"/>
      <c r="T146" s="288"/>
      <c r="U146" s="288"/>
      <c r="V146" s="288"/>
      <c r="W146" s="288"/>
      <c r="X146" s="288"/>
      <c r="Y146" s="288"/>
      <c r="Z146" s="288"/>
    </row>
    <row r="147" ht="15.75" hidden="1" customHeight="1">
      <c r="A147" s="1185" t="s">
        <v>944</v>
      </c>
      <c r="B147" s="1179"/>
      <c r="C147" s="1186"/>
      <c r="D147" s="1186"/>
      <c r="E147" s="1179"/>
      <c r="F147" s="1185" t="s">
        <v>945</v>
      </c>
      <c r="G147" s="13">
        <f t="shared" si="2"/>
        <v>1</v>
      </c>
      <c r="H147" s="224" t="str">
        <f t="shared" ref="H147:I147" si="131">IF(OR(C147=0,C147="SCORE"),"",C147)</f>
        <v/>
      </c>
      <c r="I147" s="13" t="str">
        <f t="shared" si="131"/>
        <v/>
      </c>
      <c r="J147" s="13" t="str">
        <f t="shared" si="4"/>
        <v/>
      </c>
      <c r="K147" s="13" t="str">
        <f t="shared" si="5"/>
        <v>N/A</v>
      </c>
    </row>
    <row r="148" ht="15.75" hidden="1" customHeight="1">
      <c r="A148" s="1221"/>
      <c r="B148" s="1222"/>
      <c r="C148" s="1223"/>
      <c r="D148" s="1223"/>
      <c r="E148" s="1222"/>
      <c r="F148" s="1221"/>
      <c r="G148" s="13">
        <f t="shared" si="2"/>
        <v>1</v>
      </c>
      <c r="H148" s="224" t="str">
        <f t="shared" ref="H148:I148" si="132">IF(OR(C148=0,C148="SCORE"),"",C148)</f>
        <v/>
      </c>
      <c r="I148" s="13" t="str">
        <f t="shared" si="132"/>
        <v/>
      </c>
      <c r="J148" s="13" t="str">
        <f t="shared" si="4"/>
        <v/>
      </c>
      <c r="K148" s="13" t="str">
        <f t="shared" si="5"/>
        <v>N/A</v>
      </c>
      <c r="L148" s="201"/>
      <c r="M148" s="201"/>
      <c r="N148" s="201"/>
      <c r="O148" s="201"/>
      <c r="P148" s="201"/>
      <c r="Q148" s="201"/>
      <c r="R148" s="201"/>
      <c r="S148" s="201"/>
      <c r="T148" s="201"/>
      <c r="U148" s="201"/>
      <c r="V148" s="201"/>
      <c r="W148" s="201"/>
      <c r="X148" s="201"/>
      <c r="Y148" s="201"/>
      <c r="Z148" s="201"/>
    </row>
    <row r="149" ht="15.75" hidden="1" customHeight="1">
      <c r="A149" s="1181" t="s">
        <v>947</v>
      </c>
      <c r="G149" s="13">
        <f t="shared" si="2"/>
        <v>1</v>
      </c>
      <c r="H149" s="224" t="str">
        <f t="shared" ref="H149:I149" si="133">IF(OR(C149=0,C149="SCORE"),"",C149)</f>
        <v/>
      </c>
      <c r="I149" s="13" t="str">
        <f t="shared" si="133"/>
        <v/>
      </c>
      <c r="J149" s="13" t="str">
        <f t="shared" si="4"/>
        <v/>
      </c>
      <c r="K149" s="13" t="str">
        <f t="shared" si="5"/>
        <v>N/A</v>
      </c>
    </row>
    <row r="150" ht="15.75" hidden="1" customHeight="1">
      <c r="A150" s="1182" t="s">
        <v>731</v>
      </c>
      <c r="B150" s="1183"/>
      <c r="C150" s="1182" t="s">
        <v>510</v>
      </c>
      <c r="D150" s="1182" t="s">
        <v>510</v>
      </c>
      <c r="E150" s="1183"/>
      <c r="F150" s="1182" t="s">
        <v>732</v>
      </c>
      <c r="G150" s="13">
        <f t="shared" si="2"/>
        <v>1</v>
      </c>
      <c r="H150" s="224" t="str">
        <f t="shared" ref="H150:I150" si="134">IF(OR(C150=0,C150="SCORE"),"",C150)</f>
        <v/>
      </c>
      <c r="I150" s="13" t="str">
        <f t="shared" si="134"/>
        <v/>
      </c>
      <c r="J150" s="13" t="str">
        <f t="shared" si="4"/>
        <v/>
      </c>
      <c r="K150" s="13" t="str">
        <f t="shared" si="5"/>
        <v>N/A</v>
      </c>
    </row>
    <row r="151" ht="15.75" customHeight="1">
      <c r="A151" s="1185"/>
      <c r="B151" s="1179" t="s">
        <v>723</v>
      </c>
      <c r="C151" s="1186">
        <v>256.1</v>
      </c>
      <c r="D151" s="1186">
        <v>245.37</v>
      </c>
      <c r="E151" s="1180" t="s">
        <v>722</v>
      </c>
      <c r="F151" s="1185"/>
      <c r="G151" s="13" t="str">
        <f t="shared" si="2"/>
        <v>SAVAGES</v>
      </c>
      <c r="H151" s="1187">
        <f t="shared" ref="H151:I151" si="135">IF(OR(C151=0,C151="SCORE"),"",C151)</f>
        <v>256.1</v>
      </c>
      <c r="I151" s="1188">
        <f t="shared" si="135"/>
        <v>245.37</v>
      </c>
      <c r="J151" s="13" t="str">
        <f t="shared" si="4"/>
        <v>DECOUPES</v>
      </c>
      <c r="K151" s="13" t="str">
        <f t="shared" si="5"/>
        <v>Game</v>
      </c>
    </row>
    <row r="152" ht="15.75" hidden="1" customHeight="1">
      <c r="A152" s="1185" t="s">
        <v>949</v>
      </c>
      <c r="B152" s="1179"/>
      <c r="C152" s="1186"/>
      <c r="D152" s="1186"/>
      <c r="E152" s="1180"/>
      <c r="F152" s="1189" t="s">
        <v>950</v>
      </c>
      <c r="G152" s="13">
        <f t="shared" si="2"/>
        <v>1</v>
      </c>
      <c r="H152" s="224" t="str">
        <f t="shared" ref="H152:I152" si="136">IF(OR(C152=0,C152="SCORE"),"",C152)</f>
        <v/>
      </c>
      <c r="I152" s="13" t="str">
        <f t="shared" si="136"/>
        <v/>
      </c>
      <c r="J152" s="13" t="str">
        <f t="shared" si="4"/>
        <v/>
      </c>
      <c r="K152" s="13" t="str">
        <f t="shared" si="5"/>
        <v>N/A</v>
      </c>
    </row>
    <row r="153" ht="15.75" customHeight="1">
      <c r="A153" s="1185"/>
      <c r="B153" s="1179" t="s">
        <v>729</v>
      </c>
      <c r="C153" s="1186">
        <v>165.86</v>
      </c>
      <c r="D153" s="1186">
        <v>232.42</v>
      </c>
      <c r="E153" s="1179" t="s">
        <v>721</v>
      </c>
      <c r="F153" s="1185"/>
      <c r="G153" s="13" t="str">
        <f t="shared" si="2"/>
        <v>GIRLS</v>
      </c>
      <c r="H153" s="1187">
        <f t="shared" ref="H153:I153" si="137">IF(OR(C153=0,C153="SCORE"),"",C153)</f>
        <v>165.86</v>
      </c>
      <c r="I153" s="1188">
        <f t="shared" si="137"/>
        <v>232.42</v>
      </c>
      <c r="J153" s="13" t="str">
        <f t="shared" si="4"/>
        <v>MUTTS</v>
      </c>
      <c r="K153" s="13" t="str">
        <f t="shared" si="5"/>
        <v>Game</v>
      </c>
    </row>
    <row r="154" ht="15.75" hidden="1" customHeight="1">
      <c r="A154" s="1185" t="s">
        <v>952</v>
      </c>
      <c r="B154" s="1179"/>
      <c r="C154" s="1186"/>
      <c r="D154" s="1186"/>
      <c r="E154" s="1179"/>
      <c r="F154" s="1185" t="s">
        <v>953</v>
      </c>
      <c r="G154" s="13">
        <f t="shared" si="2"/>
        <v>1</v>
      </c>
      <c r="H154" s="224" t="str">
        <f t="shared" ref="H154:I154" si="138">IF(OR(C154=0,C154="SCORE"),"",C154)</f>
        <v/>
      </c>
      <c r="I154" s="13" t="str">
        <f t="shared" si="138"/>
        <v/>
      </c>
      <c r="J154" s="13" t="str">
        <f t="shared" si="4"/>
        <v/>
      </c>
      <c r="K154" s="13" t="str">
        <f t="shared" si="5"/>
        <v>N/A</v>
      </c>
    </row>
    <row r="155" ht="15.75" customHeight="1">
      <c r="A155" s="1185"/>
      <c r="B155" s="1179" t="s">
        <v>727</v>
      </c>
      <c r="C155" s="1186">
        <v>178.75</v>
      </c>
      <c r="D155" s="1186">
        <v>114.94</v>
      </c>
      <c r="E155" s="1179" t="s">
        <v>725</v>
      </c>
      <c r="F155" s="1185"/>
      <c r="G155" s="13" t="str">
        <f t="shared" si="2"/>
        <v>GREEN</v>
      </c>
      <c r="H155" s="1187">
        <f t="shared" ref="H155:I155" si="139">IF(OR(C155=0,C155="SCORE"),"",C155)</f>
        <v>178.75</v>
      </c>
      <c r="I155" s="1188">
        <f t="shared" si="139"/>
        <v>114.94</v>
      </c>
      <c r="J155" s="13" t="str">
        <f t="shared" si="4"/>
        <v>YARDIES</v>
      </c>
      <c r="K155" s="13" t="str">
        <f t="shared" si="5"/>
        <v>Game</v>
      </c>
    </row>
    <row r="156" ht="15.75" hidden="1" customHeight="1">
      <c r="A156" s="1185" t="s">
        <v>957</v>
      </c>
      <c r="B156" s="1179"/>
      <c r="C156" s="1186"/>
      <c r="D156" s="1186"/>
      <c r="E156" s="1179"/>
      <c r="F156" s="1185" t="s">
        <v>958</v>
      </c>
      <c r="G156" s="13">
        <f t="shared" si="2"/>
        <v>1</v>
      </c>
      <c r="H156" s="224" t="str">
        <f t="shared" ref="H156:I156" si="140">IF(OR(C156=0,C156="SCORE"),"",C156)</f>
        <v/>
      </c>
      <c r="I156" s="13" t="str">
        <f t="shared" si="140"/>
        <v/>
      </c>
      <c r="J156" s="13" t="str">
        <f t="shared" si="4"/>
        <v/>
      </c>
      <c r="K156" s="13" t="str">
        <f t="shared" si="5"/>
        <v>N/A</v>
      </c>
    </row>
    <row r="157" ht="15.75" hidden="1" customHeight="1">
      <c r="A157" s="1208" t="s">
        <v>850</v>
      </c>
      <c r="G157" s="13">
        <f t="shared" si="2"/>
        <v>1</v>
      </c>
      <c r="H157" s="224" t="str">
        <f t="shared" ref="H157:I157" si="141">IF(OR(C157=0,C157="SCORE"),"",C157)</f>
        <v/>
      </c>
      <c r="I157" s="13" t="str">
        <f t="shared" si="141"/>
        <v/>
      </c>
      <c r="J157" s="13" t="str">
        <f t="shared" si="4"/>
        <v/>
      </c>
      <c r="K157" s="13" t="str">
        <f t="shared" si="5"/>
        <v>N/A</v>
      </c>
    </row>
    <row r="158" ht="15.75" hidden="1" customHeight="1">
      <c r="A158" s="1209"/>
      <c r="G158" s="13">
        <f t="shared" si="2"/>
        <v>1</v>
      </c>
      <c r="H158" s="224" t="str">
        <f t="shared" ref="H158:I158" si="142">IF(OR(C158=0,C158="SCORE"),"",C158)</f>
        <v/>
      </c>
      <c r="I158" s="13" t="str">
        <f t="shared" si="142"/>
        <v/>
      </c>
      <c r="J158" s="13" t="str">
        <f t="shared" si="4"/>
        <v/>
      </c>
      <c r="K158" s="13" t="str">
        <f t="shared" si="5"/>
        <v>N/A</v>
      </c>
    </row>
    <row r="159" ht="15.75" hidden="1" customHeight="1">
      <c r="A159" s="1208" t="s">
        <v>959</v>
      </c>
      <c r="G159" s="13">
        <f t="shared" si="2"/>
        <v>1</v>
      </c>
      <c r="H159" s="224" t="str">
        <f t="shared" ref="H159:I159" si="143">IF(OR(C159=0,C159="SCORE"),"",C159)</f>
        <v/>
      </c>
      <c r="I159" s="13" t="str">
        <f t="shared" si="143"/>
        <v/>
      </c>
      <c r="J159" s="13" t="str">
        <f t="shared" si="4"/>
        <v/>
      </c>
      <c r="K159" s="13" t="str">
        <f t="shared" si="5"/>
        <v>N/A</v>
      </c>
    </row>
    <row r="160" ht="15.75" hidden="1" customHeight="1">
      <c r="A160" s="1209"/>
      <c r="G160" s="13">
        <f t="shared" si="2"/>
        <v>1</v>
      </c>
      <c r="H160" s="224" t="str">
        <f t="shared" ref="H160:I160" si="144">IF(OR(C160=0,C160="SCORE"),"",C160)</f>
        <v/>
      </c>
      <c r="I160" s="13" t="str">
        <f t="shared" si="144"/>
        <v/>
      </c>
      <c r="J160" s="13" t="str">
        <f t="shared" si="4"/>
        <v/>
      </c>
      <c r="K160" s="13" t="str">
        <f t="shared" si="5"/>
        <v>N/A</v>
      </c>
    </row>
    <row r="161" ht="15.75" hidden="1" customHeight="1">
      <c r="A161" s="1208" t="s">
        <v>961</v>
      </c>
      <c r="G161" s="13">
        <f t="shared" si="2"/>
        <v>1</v>
      </c>
      <c r="H161" s="224" t="str">
        <f t="shared" ref="H161:I161" si="145">IF(OR(C161=0,C161="SCORE"),"",C161)</f>
        <v/>
      </c>
      <c r="I161" s="13" t="str">
        <f t="shared" si="145"/>
        <v/>
      </c>
      <c r="J161" s="13" t="str">
        <f t="shared" si="4"/>
        <v/>
      </c>
      <c r="K161" s="13" t="str">
        <f t="shared" si="5"/>
        <v>N/A</v>
      </c>
    </row>
    <row r="162" ht="15.75" hidden="1" customHeight="1">
      <c r="A162" s="1181" t="s">
        <v>963</v>
      </c>
      <c r="G162" s="13">
        <f t="shared" si="2"/>
        <v>1</v>
      </c>
      <c r="H162" s="224" t="str">
        <f t="shared" ref="H162:I162" si="146">IF(OR(C162=0,C162="SCORE"),"",C162)</f>
        <v/>
      </c>
      <c r="I162" s="13" t="str">
        <f t="shared" si="146"/>
        <v/>
      </c>
      <c r="J162" s="13" t="str">
        <f t="shared" si="4"/>
        <v/>
      </c>
      <c r="K162" s="13" t="str">
        <f t="shared" si="5"/>
        <v>N/A</v>
      </c>
    </row>
    <row r="163" ht="15.75" hidden="1" customHeight="1">
      <c r="A163" s="1182" t="s">
        <v>731</v>
      </c>
      <c r="B163" s="1183"/>
      <c r="C163" s="1182" t="s">
        <v>510</v>
      </c>
      <c r="D163" s="1182" t="s">
        <v>510</v>
      </c>
      <c r="E163" s="1183"/>
      <c r="F163" s="1182" t="s">
        <v>732</v>
      </c>
      <c r="G163" s="13">
        <f t="shared" si="2"/>
        <v>1</v>
      </c>
      <c r="H163" s="224" t="str">
        <f t="shared" ref="H163:I163" si="147">IF(OR(C163=0,C163="SCORE"),"",C163)</f>
        <v/>
      </c>
      <c r="I163" s="13" t="str">
        <f t="shared" si="147"/>
        <v/>
      </c>
      <c r="J163" s="13" t="str">
        <f t="shared" si="4"/>
        <v/>
      </c>
      <c r="K163" s="13" t="str">
        <f t="shared" si="5"/>
        <v>N/A</v>
      </c>
    </row>
    <row r="164" ht="15.75" customHeight="1">
      <c r="A164" s="1185"/>
      <c r="B164" s="1179" t="s">
        <v>723</v>
      </c>
      <c r="C164" s="1186">
        <v>146.54</v>
      </c>
      <c r="D164" s="1186">
        <v>281.5</v>
      </c>
      <c r="E164" s="1179" t="s">
        <v>726</v>
      </c>
      <c r="F164" s="1185"/>
      <c r="G164" s="13" t="str">
        <f t="shared" si="2"/>
        <v>SAVAGES</v>
      </c>
      <c r="H164" s="1187">
        <f t="shared" ref="H164:I164" si="148">IF(OR(C164=0,C164="SCORE"),"",C164)</f>
        <v>146.54</v>
      </c>
      <c r="I164" s="1188">
        <f t="shared" si="148"/>
        <v>281.5</v>
      </c>
      <c r="J164" s="13" t="str">
        <f t="shared" si="4"/>
        <v>POPEYES</v>
      </c>
      <c r="K164" s="13" t="str">
        <f t="shared" si="5"/>
        <v>Game</v>
      </c>
    </row>
    <row r="165" ht="15.75" hidden="1" customHeight="1">
      <c r="A165" s="1185" t="s">
        <v>966</v>
      </c>
      <c r="B165" s="1179"/>
      <c r="C165" s="1186"/>
      <c r="D165" s="1186"/>
      <c r="E165" s="1179"/>
      <c r="F165" s="1185" t="s">
        <v>967</v>
      </c>
      <c r="G165" s="13">
        <f t="shared" si="2"/>
        <v>1</v>
      </c>
      <c r="H165" s="224" t="str">
        <f t="shared" ref="H165:I165" si="149">IF(OR(C165=0,C165="SCORE"),"",C165)</f>
        <v/>
      </c>
      <c r="I165" s="13" t="str">
        <f t="shared" si="149"/>
        <v/>
      </c>
      <c r="J165" s="13" t="str">
        <f t="shared" si="4"/>
        <v/>
      </c>
      <c r="K165" s="13" t="str">
        <f t="shared" si="5"/>
        <v>N/A</v>
      </c>
    </row>
    <row r="166" ht="15.75" customHeight="1">
      <c r="A166" s="1185"/>
      <c r="B166" s="1179" t="s">
        <v>721</v>
      </c>
      <c r="C166" s="1186">
        <v>217.99</v>
      </c>
      <c r="D166" s="1186">
        <v>219.13</v>
      </c>
      <c r="E166" s="1179" t="s">
        <v>724</v>
      </c>
      <c r="F166" s="1185"/>
      <c r="G166" s="13" t="str">
        <f t="shared" si="2"/>
        <v>MUTTS</v>
      </c>
      <c r="H166" s="1187">
        <f t="shared" ref="H166:I166" si="150">IF(OR(C166=0,C166="SCORE"),"",C166)</f>
        <v>217.99</v>
      </c>
      <c r="I166" s="1188">
        <f t="shared" si="150"/>
        <v>219.13</v>
      </c>
      <c r="J166" s="13" t="str">
        <f t="shared" si="4"/>
        <v>METAMOOKDAWGS</v>
      </c>
      <c r="K166" s="13" t="str">
        <f t="shared" si="5"/>
        <v>Game</v>
      </c>
    </row>
    <row r="167" ht="15.75" hidden="1" customHeight="1">
      <c r="A167" s="1185" t="s">
        <v>969</v>
      </c>
      <c r="B167" s="1179"/>
      <c r="C167" s="1186"/>
      <c r="D167" s="1186"/>
      <c r="E167" s="1179"/>
      <c r="F167" s="1185" t="s">
        <v>970</v>
      </c>
      <c r="G167" s="13">
        <f t="shared" si="2"/>
        <v>1</v>
      </c>
      <c r="H167" s="224" t="str">
        <f t="shared" ref="H167:I167" si="151">IF(OR(C167=0,C167="SCORE"),"",C167)</f>
        <v/>
      </c>
      <c r="I167" s="13" t="str">
        <f t="shared" si="151"/>
        <v/>
      </c>
      <c r="J167" s="13" t="str">
        <f t="shared" si="4"/>
        <v/>
      </c>
      <c r="K167" s="13" t="str">
        <f t="shared" si="5"/>
        <v>N/A</v>
      </c>
    </row>
    <row r="168" ht="15.75" customHeight="1">
      <c r="A168" s="1185"/>
      <c r="B168" s="1179" t="s">
        <v>729</v>
      </c>
      <c r="C168" s="1186">
        <v>159.62</v>
      </c>
      <c r="D168" s="1186">
        <v>229.02</v>
      </c>
      <c r="E168" s="1180" t="s">
        <v>722</v>
      </c>
      <c r="F168" s="1185"/>
      <c r="G168" s="13" t="str">
        <f t="shared" si="2"/>
        <v>GIRLS</v>
      </c>
      <c r="H168" s="1187">
        <f t="shared" ref="H168:I168" si="152">IF(OR(C168=0,C168="SCORE"),"",C168)</f>
        <v>159.62</v>
      </c>
      <c r="I168" s="1188">
        <f t="shared" si="152"/>
        <v>229.02</v>
      </c>
      <c r="J168" s="13" t="str">
        <f t="shared" si="4"/>
        <v>DECOUPES</v>
      </c>
      <c r="K168" s="13" t="str">
        <f t="shared" si="5"/>
        <v>Game</v>
      </c>
    </row>
    <row r="169" ht="15.75" hidden="1" customHeight="1">
      <c r="A169" s="1185" t="s">
        <v>972</v>
      </c>
      <c r="B169" s="1179"/>
      <c r="C169" s="1186"/>
      <c r="D169" s="1186"/>
      <c r="E169" s="1180"/>
      <c r="F169" s="1189" t="s">
        <v>973</v>
      </c>
      <c r="G169" s="13">
        <f t="shared" si="2"/>
        <v>1</v>
      </c>
      <c r="H169" s="224" t="str">
        <f t="shared" ref="H169:I169" si="153">IF(OR(C169=0,C169="SCORE"),"",C169)</f>
        <v/>
      </c>
      <c r="I169" s="13" t="str">
        <f t="shared" si="153"/>
        <v/>
      </c>
      <c r="J169" s="13" t="str">
        <f t="shared" si="4"/>
        <v/>
      </c>
      <c r="K169" s="13" t="str">
        <f t="shared" si="5"/>
        <v>N/A</v>
      </c>
    </row>
    <row r="170" ht="15.75" customHeight="1">
      <c r="A170" s="1185"/>
      <c r="B170" s="1179" t="s">
        <v>727</v>
      </c>
      <c r="C170" s="1186">
        <v>181.82</v>
      </c>
      <c r="D170" s="1186">
        <v>229.69</v>
      </c>
      <c r="E170" s="1179" t="s">
        <v>725</v>
      </c>
      <c r="F170" s="1185"/>
      <c r="G170" s="13" t="str">
        <f t="shared" si="2"/>
        <v>GREEN</v>
      </c>
      <c r="H170" s="1187">
        <f t="shared" ref="H170:I170" si="154">IF(OR(C170=0,C170="SCORE"),"",C170)</f>
        <v>181.82</v>
      </c>
      <c r="I170" s="1188">
        <f t="shared" si="154"/>
        <v>229.69</v>
      </c>
      <c r="J170" s="13" t="str">
        <f t="shared" si="4"/>
        <v>YARDIES</v>
      </c>
      <c r="K170" s="13" t="str">
        <f t="shared" si="5"/>
        <v>Game</v>
      </c>
    </row>
    <row r="171" ht="15.75" hidden="1" customHeight="1">
      <c r="A171" s="1185" t="s">
        <v>985</v>
      </c>
      <c r="B171" s="1179"/>
      <c r="C171" s="1186"/>
      <c r="D171" s="1186"/>
      <c r="E171" s="1179"/>
      <c r="F171" s="1185" t="s">
        <v>986</v>
      </c>
      <c r="G171" s="13">
        <f t="shared" si="2"/>
        <v>1</v>
      </c>
      <c r="H171" s="224" t="str">
        <f t="shared" ref="H171:I171" si="155">IF(OR(C171=0,C171="SCORE"),"",C171)</f>
        <v/>
      </c>
      <c r="I171" s="13" t="str">
        <f t="shared" si="155"/>
        <v/>
      </c>
      <c r="J171" s="13" t="str">
        <f t="shared" si="4"/>
        <v/>
      </c>
      <c r="K171" s="13" t="str">
        <f t="shared" si="5"/>
        <v>N/A</v>
      </c>
    </row>
    <row r="172" ht="15.75" hidden="1" customHeight="1">
      <c r="A172" s="1181" t="s">
        <v>988</v>
      </c>
      <c r="G172" s="13">
        <f t="shared" si="2"/>
        <v>1</v>
      </c>
      <c r="H172" s="224" t="str">
        <f t="shared" ref="H172:I172" si="156">IF(OR(C172=0,C172="SCORE"),"",C172)</f>
        <v/>
      </c>
      <c r="I172" s="13" t="str">
        <f t="shared" si="156"/>
        <v/>
      </c>
      <c r="J172" s="13" t="str">
        <f t="shared" si="4"/>
        <v/>
      </c>
      <c r="K172" s="13" t="str">
        <f t="shared" si="5"/>
        <v>N/A</v>
      </c>
    </row>
    <row r="173" ht="15.75" hidden="1" customHeight="1">
      <c r="A173" s="1182" t="s">
        <v>731</v>
      </c>
      <c r="B173" s="1183"/>
      <c r="C173" s="1182" t="s">
        <v>510</v>
      </c>
      <c r="D173" s="1182" t="s">
        <v>510</v>
      </c>
      <c r="E173" s="1183"/>
      <c r="F173" s="1182" t="s">
        <v>732</v>
      </c>
      <c r="G173" s="13">
        <f t="shared" si="2"/>
        <v>1</v>
      </c>
      <c r="H173" s="224" t="str">
        <f t="shared" ref="H173:I173" si="157">IF(OR(C173=0,C173="SCORE"),"",C173)</f>
        <v/>
      </c>
      <c r="I173" s="13" t="str">
        <f t="shared" si="157"/>
        <v/>
      </c>
      <c r="J173" s="13" t="str">
        <f t="shared" si="4"/>
        <v/>
      </c>
      <c r="K173" s="13" t="str">
        <f t="shared" si="5"/>
        <v>N/A</v>
      </c>
    </row>
    <row r="174" ht="15.75" customHeight="1">
      <c r="A174" s="1185"/>
      <c r="B174" s="1179" t="s">
        <v>724</v>
      </c>
      <c r="C174" s="1186">
        <v>194.8</v>
      </c>
      <c r="D174" s="1186">
        <v>211.33</v>
      </c>
      <c r="E174" s="1179" t="s">
        <v>726</v>
      </c>
      <c r="F174" s="1185"/>
      <c r="G174" s="13" t="str">
        <f t="shared" si="2"/>
        <v>METAMOOKDAWGS</v>
      </c>
      <c r="H174" s="1187">
        <f t="shared" ref="H174:I174" si="158">IF(OR(C174=0,C174="SCORE"),"",C174)</f>
        <v>194.8</v>
      </c>
      <c r="I174" s="1188">
        <f t="shared" si="158"/>
        <v>211.33</v>
      </c>
      <c r="J174" s="13" t="str">
        <f t="shared" si="4"/>
        <v>POPEYES</v>
      </c>
      <c r="K174" s="13" t="str">
        <f t="shared" si="5"/>
        <v>Game</v>
      </c>
    </row>
    <row r="175" ht="15.75" hidden="1" customHeight="1">
      <c r="A175" s="1185" t="s">
        <v>990</v>
      </c>
      <c r="B175" s="1179"/>
      <c r="C175" s="1186"/>
      <c r="D175" s="1186"/>
      <c r="E175" s="1179"/>
      <c r="F175" s="1185" t="s">
        <v>991</v>
      </c>
      <c r="G175" s="13">
        <f t="shared" si="2"/>
        <v>1</v>
      </c>
      <c r="H175" s="224" t="str">
        <f t="shared" ref="H175:I175" si="159">IF(OR(C175=0,C175="SCORE"),"",C175)</f>
        <v/>
      </c>
      <c r="I175" s="13" t="str">
        <f t="shared" si="159"/>
        <v/>
      </c>
      <c r="J175" s="13" t="str">
        <f t="shared" si="4"/>
        <v/>
      </c>
      <c r="K175" s="13" t="str">
        <f t="shared" si="5"/>
        <v>N/A</v>
      </c>
    </row>
    <row r="176" ht="15.75" customHeight="1">
      <c r="A176" s="1185"/>
      <c r="B176" s="1179" t="s">
        <v>723</v>
      </c>
      <c r="C176" s="1186">
        <v>128.44</v>
      </c>
      <c r="D176" s="1186">
        <v>242.12</v>
      </c>
      <c r="E176" s="1179" t="s">
        <v>721</v>
      </c>
      <c r="F176" s="1185"/>
      <c r="G176" s="13" t="str">
        <f t="shared" si="2"/>
        <v>SAVAGES</v>
      </c>
      <c r="H176" s="1187">
        <f t="shared" ref="H176:I176" si="160">IF(OR(C176=0,C176="SCORE"),"",C176)</f>
        <v>128.44</v>
      </c>
      <c r="I176" s="1188">
        <f t="shared" si="160"/>
        <v>242.12</v>
      </c>
      <c r="J176" s="13" t="str">
        <f t="shared" si="4"/>
        <v>MUTTS</v>
      </c>
      <c r="K176" s="13" t="str">
        <f t="shared" si="5"/>
        <v>Game</v>
      </c>
    </row>
    <row r="177" ht="15.75" hidden="1" customHeight="1">
      <c r="A177" s="1185" t="s">
        <v>995</v>
      </c>
      <c r="B177" s="1179"/>
      <c r="C177" s="1186"/>
      <c r="D177" s="1186"/>
      <c r="E177" s="1179"/>
      <c r="F177" s="1185" t="s">
        <v>997</v>
      </c>
      <c r="G177" s="13">
        <f t="shared" si="2"/>
        <v>1</v>
      </c>
      <c r="H177" s="224" t="str">
        <f t="shared" ref="H177:I177" si="161">IF(OR(C177=0,C177="SCORE"),"",C177)</f>
        <v/>
      </c>
      <c r="I177" s="13" t="str">
        <f t="shared" si="161"/>
        <v/>
      </c>
      <c r="J177" s="13" t="str">
        <f t="shared" si="4"/>
        <v/>
      </c>
      <c r="K177" s="13" t="str">
        <f t="shared" si="5"/>
        <v>N/A</v>
      </c>
    </row>
    <row r="178" ht="15.75" customHeight="1">
      <c r="A178" s="1185"/>
      <c r="B178" s="1179" t="s">
        <v>729</v>
      </c>
      <c r="C178" s="1186">
        <v>230.1</v>
      </c>
      <c r="D178" s="1186">
        <v>188.22</v>
      </c>
      <c r="E178" s="1180" t="s">
        <v>722</v>
      </c>
      <c r="F178" s="1185"/>
      <c r="G178" s="13" t="str">
        <f t="shared" si="2"/>
        <v>GIRLS</v>
      </c>
      <c r="H178" s="1187">
        <f t="shared" ref="H178:I178" si="162">IF(OR(C178=0,C178="SCORE"),"",C178)</f>
        <v>230.1</v>
      </c>
      <c r="I178" s="1188">
        <f t="shared" si="162"/>
        <v>188.22</v>
      </c>
      <c r="J178" s="13" t="str">
        <f t="shared" si="4"/>
        <v>DECOUPES</v>
      </c>
      <c r="K178" s="13" t="str">
        <f t="shared" si="5"/>
        <v>Game</v>
      </c>
    </row>
    <row r="179" ht="15.75" hidden="1" customHeight="1">
      <c r="A179" s="1185" t="s">
        <v>999</v>
      </c>
      <c r="B179" s="1179"/>
      <c r="C179" s="1186"/>
      <c r="D179" s="1186"/>
      <c r="E179" s="1180"/>
      <c r="F179" s="1189" t="s">
        <v>1000</v>
      </c>
      <c r="G179" s="13">
        <f t="shared" si="2"/>
        <v>1</v>
      </c>
      <c r="H179" s="224" t="str">
        <f t="shared" ref="H179:I179" si="163">IF(OR(C179=0,C179="SCORE"),"",C179)</f>
        <v/>
      </c>
      <c r="I179" s="13" t="str">
        <f t="shared" si="163"/>
        <v/>
      </c>
      <c r="J179" s="13" t="str">
        <f t="shared" si="4"/>
        <v/>
      </c>
      <c r="K179" s="13" t="str">
        <f t="shared" si="5"/>
        <v>N/A</v>
      </c>
    </row>
    <row r="180" ht="15.75" customHeight="1">
      <c r="A180" s="1185"/>
      <c r="B180" s="1179" t="s">
        <v>727</v>
      </c>
      <c r="C180" s="1186">
        <v>170.97</v>
      </c>
      <c r="D180" s="1186">
        <v>167.35</v>
      </c>
      <c r="E180" s="1179" t="s">
        <v>725</v>
      </c>
      <c r="F180" s="1185"/>
      <c r="G180" s="13" t="str">
        <f t="shared" si="2"/>
        <v>GREEN</v>
      </c>
      <c r="H180" s="1187">
        <f t="shared" ref="H180:I180" si="164">IF(OR(C180=0,C180="SCORE"),"",C180)</f>
        <v>170.97</v>
      </c>
      <c r="I180" s="1188">
        <f t="shared" si="164"/>
        <v>167.35</v>
      </c>
      <c r="J180" s="13" t="str">
        <f t="shared" si="4"/>
        <v>YARDIES</v>
      </c>
      <c r="K180" s="13" t="str">
        <f t="shared" si="5"/>
        <v>Game</v>
      </c>
    </row>
    <row r="181" ht="15.75" hidden="1" customHeight="1">
      <c r="A181" s="1185" t="s">
        <v>1002</v>
      </c>
      <c r="B181" s="1179"/>
      <c r="C181" s="1186"/>
      <c r="D181" s="1186"/>
      <c r="E181" s="1179"/>
      <c r="F181" s="1185" t="s">
        <v>1004</v>
      </c>
      <c r="G181" s="13">
        <f t="shared" si="2"/>
        <v>1</v>
      </c>
      <c r="H181" s="224" t="str">
        <f t="shared" ref="H181:I181" si="165">IF(OR(C181=0,C181="SCORE"),"",C181)</f>
        <v/>
      </c>
      <c r="I181" s="13" t="str">
        <f t="shared" si="165"/>
        <v/>
      </c>
      <c r="J181" s="13" t="str">
        <f t="shared" si="4"/>
        <v/>
      </c>
      <c r="K181" s="13" t="str">
        <f t="shared" si="5"/>
        <v>N/A</v>
      </c>
    </row>
    <row r="182" ht="15.75" hidden="1" customHeight="1">
      <c r="G182" s="13">
        <f t="shared" ref="G182:G197" si="167">IFERROR(VLOOKUP(B182, $A$2:$B$9, 2, FALSE),1)</f>
        <v>1</v>
      </c>
      <c r="H182" s="224" t="str">
        <f t="shared" ref="H182:I182" si="166">IF(OR(C182=0,C182="SCORE"),"",C182)</f>
        <v/>
      </c>
      <c r="I182" s="13" t="str">
        <f t="shared" si="166"/>
        <v/>
      </c>
      <c r="J182" s="13" t="str">
        <f t="shared" ref="J182:J197" si="169">IFERROR(VLOOKUP(E182, $A$2:$B$9, 2, FALSE),"")</f>
        <v/>
      </c>
      <c r="K182" s="13" t="str">
        <f t="shared" si="5"/>
        <v>N/A</v>
      </c>
    </row>
    <row r="183" ht="15.75" hidden="1" customHeight="1">
      <c r="G183" s="13">
        <f t="shared" si="167"/>
        <v>1</v>
      </c>
      <c r="H183" s="224" t="str">
        <f t="shared" ref="H183:I183" si="168">IF(OR(C183=0,C183="SCORE"),"",C183)</f>
        <v/>
      </c>
      <c r="I183" s="13" t="str">
        <f t="shared" si="168"/>
        <v/>
      </c>
      <c r="J183" s="13" t="str">
        <f t="shared" si="169"/>
        <v/>
      </c>
      <c r="K183" s="13" t="str">
        <f t="shared" si="5"/>
        <v>N/A</v>
      </c>
    </row>
    <row r="184" ht="15.75" hidden="1" customHeight="1">
      <c r="G184" s="13">
        <f t="shared" si="167"/>
        <v>1</v>
      </c>
      <c r="H184" s="224" t="str">
        <f t="shared" ref="H184:I184" si="170">IF(OR(C184=0,C184="SCORE"),"",C184)</f>
        <v/>
      </c>
      <c r="I184" s="13" t="str">
        <f t="shared" si="170"/>
        <v/>
      </c>
      <c r="J184" s="13" t="str">
        <f t="shared" si="169"/>
        <v/>
      </c>
      <c r="K184" s="13" t="str">
        <f t="shared" si="5"/>
        <v>N/A</v>
      </c>
    </row>
    <row r="185" ht="15.75" hidden="1" customHeight="1">
      <c r="G185" s="13">
        <f t="shared" si="167"/>
        <v>1</v>
      </c>
      <c r="H185" s="224" t="str">
        <f t="shared" ref="H185:I185" si="171">IF(OR(C185=0,C185="SCORE"),"",C185)</f>
        <v/>
      </c>
      <c r="I185" s="13" t="str">
        <f t="shared" si="171"/>
        <v/>
      </c>
      <c r="J185" s="13" t="str">
        <f t="shared" si="169"/>
        <v/>
      </c>
      <c r="K185" s="13" t="str">
        <f t="shared" si="5"/>
        <v>N/A</v>
      </c>
    </row>
    <row r="186" ht="15.75" hidden="1" customHeight="1">
      <c r="G186" s="13">
        <f t="shared" si="167"/>
        <v>1</v>
      </c>
      <c r="H186" s="224" t="str">
        <f t="shared" ref="H186:I186" si="172">IF(OR(C186=0,C186="SCORE"),"",C186)</f>
        <v/>
      </c>
      <c r="I186" s="13" t="str">
        <f t="shared" si="172"/>
        <v/>
      </c>
      <c r="J186" s="13" t="str">
        <f t="shared" si="169"/>
        <v/>
      </c>
      <c r="K186" s="13" t="str">
        <f t="shared" si="5"/>
        <v>N/A</v>
      </c>
    </row>
    <row r="187" ht="15.75" hidden="1" customHeight="1">
      <c r="G187" s="13">
        <f t="shared" si="167"/>
        <v>1</v>
      </c>
      <c r="H187" s="224" t="str">
        <f t="shared" ref="H187:I187" si="173">IF(OR(C187=0,C187="SCORE"),"",C187)</f>
        <v/>
      </c>
      <c r="I187" s="13" t="str">
        <f t="shared" si="173"/>
        <v/>
      </c>
      <c r="J187" s="13" t="str">
        <f t="shared" si="169"/>
        <v/>
      </c>
      <c r="K187" s="13" t="str">
        <f t="shared" si="5"/>
        <v>N/A</v>
      </c>
    </row>
    <row r="188" ht="15.75" hidden="1" customHeight="1">
      <c r="G188" s="13">
        <f t="shared" si="167"/>
        <v>1</v>
      </c>
      <c r="H188" s="224" t="str">
        <f t="shared" ref="H188:I188" si="174">IF(OR(C188=0,C188="SCORE"),"",C188)</f>
        <v/>
      </c>
      <c r="I188" s="13" t="str">
        <f t="shared" si="174"/>
        <v/>
      </c>
      <c r="J188" s="13" t="str">
        <f t="shared" si="169"/>
        <v/>
      </c>
      <c r="K188" s="13" t="str">
        <f t="shared" si="5"/>
        <v>N/A</v>
      </c>
    </row>
    <row r="189" ht="15.75" hidden="1" customHeight="1">
      <c r="G189" s="13">
        <f t="shared" si="167"/>
        <v>1</v>
      </c>
      <c r="H189" s="224" t="str">
        <f t="shared" ref="H189:I189" si="175">IF(OR(C189=0,C189="SCORE"),"",C189)</f>
        <v/>
      </c>
      <c r="I189" s="13" t="str">
        <f t="shared" si="175"/>
        <v/>
      </c>
      <c r="J189" s="13" t="str">
        <f t="shared" si="169"/>
        <v/>
      </c>
      <c r="K189" s="13" t="str">
        <f t="shared" si="5"/>
        <v>N/A</v>
      </c>
    </row>
    <row r="190" ht="15.75" hidden="1" customHeight="1">
      <c r="G190" s="13">
        <f t="shared" si="167"/>
        <v>1</v>
      </c>
      <c r="H190" s="224" t="str">
        <f t="shared" ref="H190:I190" si="176">IF(OR(C190=0,C190="SCORE"),"",C190)</f>
        <v/>
      </c>
      <c r="I190" s="13" t="str">
        <f t="shared" si="176"/>
        <v/>
      </c>
      <c r="J190" s="13" t="str">
        <f t="shared" si="169"/>
        <v/>
      </c>
      <c r="K190" s="13" t="str">
        <f t="shared" si="5"/>
        <v>N/A</v>
      </c>
    </row>
    <row r="191" ht="15.75" hidden="1" customHeight="1">
      <c r="G191" s="13">
        <f t="shared" si="167"/>
        <v>1</v>
      </c>
      <c r="H191" s="224" t="str">
        <f t="shared" ref="H191:I191" si="177">IF(OR(C191=0,C191="SCORE"),"",C191)</f>
        <v/>
      </c>
      <c r="I191" s="13" t="str">
        <f t="shared" si="177"/>
        <v/>
      </c>
      <c r="J191" s="13" t="str">
        <f t="shared" si="169"/>
        <v/>
      </c>
      <c r="K191" s="13" t="str">
        <f t="shared" si="5"/>
        <v>N/A</v>
      </c>
    </row>
    <row r="192" ht="15.75" hidden="1" customHeight="1">
      <c r="G192" s="13">
        <f t="shared" si="167"/>
        <v>1</v>
      </c>
      <c r="H192" s="224" t="str">
        <f t="shared" ref="H192:I192" si="178">IF(OR(C192=0,C192="SCORE"),"",C192)</f>
        <v/>
      </c>
      <c r="I192" s="13" t="str">
        <f t="shared" si="178"/>
        <v/>
      </c>
      <c r="J192" s="13" t="str">
        <f t="shared" si="169"/>
        <v/>
      </c>
      <c r="K192" s="13" t="str">
        <f t="shared" si="5"/>
        <v>N/A</v>
      </c>
    </row>
    <row r="193" ht="15.75" hidden="1" customHeight="1">
      <c r="G193" s="13">
        <f t="shared" si="167"/>
        <v>1</v>
      </c>
      <c r="H193" s="224" t="str">
        <f t="shared" ref="H193:I193" si="179">IF(OR(C193=0,C193="SCORE"),"",C193)</f>
        <v/>
      </c>
      <c r="I193" s="13" t="str">
        <f t="shared" si="179"/>
        <v/>
      </c>
      <c r="J193" s="13" t="str">
        <f t="shared" si="169"/>
        <v/>
      </c>
      <c r="K193" s="13" t="str">
        <f t="shared" si="5"/>
        <v>N/A</v>
      </c>
    </row>
    <row r="194" ht="15.75" hidden="1" customHeight="1">
      <c r="G194" s="13">
        <f t="shared" si="167"/>
        <v>1</v>
      </c>
      <c r="H194" s="224" t="str">
        <f t="shared" ref="H194:I194" si="180">IF(OR(C194=0,C194="SCORE"),"",C194)</f>
        <v/>
      </c>
      <c r="I194" s="13" t="str">
        <f t="shared" si="180"/>
        <v/>
      </c>
      <c r="J194" s="13" t="str">
        <f t="shared" si="169"/>
        <v/>
      </c>
      <c r="K194" s="13" t="str">
        <f t="shared" si="5"/>
        <v>N/A</v>
      </c>
    </row>
    <row r="195" ht="15.75" hidden="1" customHeight="1">
      <c r="G195" s="13">
        <f t="shared" si="167"/>
        <v>1</v>
      </c>
      <c r="H195" s="224" t="str">
        <f t="shared" ref="H195:I195" si="181">IF(OR(C195=0,C195="SCORE"),"",C195)</f>
        <v/>
      </c>
      <c r="I195" s="13" t="str">
        <f t="shared" si="181"/>
        <v/>
      </c>
      <c r="J195" s="13" t="str">
        <f t="shared" si="169"/>
        <v/>
      </c>
      <c r="K195" s="13" t="str">
        <f t="shared" si="5"/>
        <v>N/A</v>
      </c>
    </row>
    <row r="196" ht="15.75" hidden="1" customHeight="1">
      <c r="G196" s="13">
        <f t="shared" si="167"/>
        <v>1</v>
      </c>
      <c r="H196" s="224" t="str">
        <f t="shared" ref="H196:I196" si="182">IF(OR(C196=0,C196="SCORE"),"",C196)</f>
        <v/>
      </c>
      <c r="I196" s="13" t="str">
        <f t="shared" si="182"/>
        <v/>
      </c>
      <c r="J196" s="13" t="str">
        <f t="shared" si="169"/>
        <v/>
      </c>
      <c r="K196" s="13" t="str">
        <f t="shared" si="5"/>
        <v>N/A</v>
      </c>
    </row>
    <row r="197" ht="15.75" hidden="1" customHeight="1">
      <c r="G197" s="13">
        <f t="shared" si="167"/>
        <v>1</v>
      </c>
      <c r="H197" s="224" t="str">
        <f t="shared" ref="H197:I197" si="183">IF(OR(C197=0,C197="SCORE"),"",C197)</f>
        <v/>
      </c>
      <c r="I197" s="13" t="str">
        <f t="shared" si="183"/>
        <v/>
      </c>
      <c r="J197" s="13" t="str">
        <f t="shared" si="169"/>
        <v/>
      </c>
      <c r="K197" s="13" t="str">
        <f t="shared" si="5"/>
        <v>N/A</v>
      </c>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20:$K$197">
    <filterColumn colId="4">
      <filters>
        <filter val="Game"/>
      </filters>
    </filterColumn>
  </autoFilter>
  <dataValidations>
    <dataValidation type="list" allowBlank="1" showInputMessage="1" showErrorMessage="1" prompt="Select a Team Name" sqref="B1:B8">
      <formula1>'League History'!$A$3:$A$14</formula1>
    </dataValidation>
  </dataValidations>
  <hyperlinks>
    <hyperlink r:id="rId1" ref="C20"/>
    <hyperlink r:id="rId2" ref="D20"/>
    <hyperlink r:id="rId3" ref="C22"/>
    <hyperlink r:id="rId4" ref="D22"/>
    <hyperlink r:id="rId5" ref="C24"/>
    <hyperlink r:id="rId6" ref="D24"/>
    <hyperlink r:id="rId7" ref="C26"/>
    <hyperlink r:id="rId8" ref="D26"/>
    <hyperlink r:id="rId9" ref="C30"/>
    <hyperlink r:id="rId10" ref="D30"/>
    <hyperlink r:id="rId11" ref="C32"/>
    <hyperlink r:id="rId12" ref="D32"/>
    <hyperlink r:id="rId13" ref="C34"/>
    <hyperlink r:id="rId14" ref="D34"/>
    <hyperlink r:id="rId15" ref="C36"/>
    <hyperlink r:id="rId16" ref="D36"/>
    <hyperlink r:id="rId17" ref="C40"/>
    <hyperlink r:id="rId18" ref="D40"/>
    <hyperlink r:id="rId19" ref="C42"/>
    <hyperlink r:id="rId20" ref="D42"/>
    <hyperlink r:id="rId21" ref="C44"/>
    <hyperlink r:id="rId22" ref="D44"/>
    <hyperlink r:id="rId23" ref="C46"/>
    <hyperlink r:id="rId24" ref="D46"/>
    <hyperlink r:id="rId25" ref="C50"/>
    <hyperlink r:id="rId26" ref="D50"/>
    <hyperlink r:id="rId27" ref="C52"/>
    <hyperlink r:id="rId28" ref="D52"/>
    <hyperlink r:id="rId29" ref="C54"/>
    <hyperlink r:id="rId30" ref="D54"/>
    <hyperlink r:id="rId31" ref="C56"/>
    <hyperlink r:id="rId32" ref="D56"/>
    <hyperlink r:id="rId33" ref="C60"/>
    <hyperlink r:id="rId34" ref="D60"/>
    <hyperlink r:id="rId35" ref="C62"/>
    <hyperlink r:id="rId36" ref="D62"/>
    <hyperlink r:id="rId37" ref="C64"/>
    <hyperlink r:id="rId38" ref="D64"/>
    <hyperlink r:id="rId39" ref="C66"/>
    <hyperlink r:id="rId40" ref="D66"/>
    <hyperlink r:id="rId41" ref="C70"/>
    <hyperlink r:id="rId42" ref="D70"/>
    <hyperlink r:id="rId43" ref="C72"/>
    <hyperlink r:id="rId44" ref="D72"/>
    <hyperlink r:id="rId45" ref="C74"/>
    <hyperlink r:id="rId46" ref="D74"/>
    <hyperlink r:id="rId47" ref="C76"/>
    <hyperlink r:id="rId48" ref="D76"/>
    <hyperlink r:id="rId49" ref="C80"/>
    <hyperlink r:id="rId50" ref="D80"/>
    <hyperlink r:id="rId51" ref="C82"/>
    <hyperlink r:id="rId52" ref="D82"/>
    <hyperlink r:id="rId53" ref="C84"/>
    <hyperlink r:id="rId54" ref="D84"/>
    <hyperlink r:id="rId55" ref="C86"/>
    <hyperlink r:id="rId56" ref="D86"/>
    <hyperlink r:id="rId57" ref="C90"/>
    <hyperlink r:id="rId58" ref="D90"/>
    <hyperlink r:id="rId59" ref="C92"/>
    <hyperlink r:id="rId60" ref="D92"/>
    <hyperlink r:id="rId61" ref="C94"/>
    <hyperlink r:id="rId62" ref="D94"/>
    <hyperlink r:id="rId63" ref="C96"/>
    <hyperlink r:id="rId64" ref="D96"/>
    <hyperlink r:id="rId65" ref="C100"/>
    <hyperlink r:id="rId66" ref="D100"/>
    <hyperlink r:id="rId67" ref="C102"/>
    <hyperlink r:id="rId68" ref="D102"/>
    <hyperlink r:id="rId69" ref="C104"/>
    <hyperlink r:id="rId70" ref="D104"/>
    <hyperlink r:id="rId71" ref="C106"/>
    <hyperlink r:id="rId72" ref="D106"/>
    <hyperlink r:id="rId73" ref="C110"/>
    <hyperlink r:id="rId74" ref="D110"/>
    <hyperlink r:id="rId75" ref="C112"/>
    <hyperlink r:id="rId76" ref="D112"/>
    <hyperlink r:id="rId77" ref="C114"/>
    <hyperlink r:id="rId78" ref="D114"/>
    <hyperlink r:id="rId79" ref="C116"/>
    <hyperlink r:id="rId80" ref="D116"/>
    <hyperlink r:id="rId81" ref="C120"/>
    <hyperlink r:id="rId82" ref="D120"/>
    <hyperlink r:id="rId83" ref="C122"/>
    <hyperlink r:id="rId84" ref="D122"/>
    <hyperlink r:id="rId85" ref="C124"/>
    <hyperlink r:id="rId86" ref="D124"/>
    <hyperlink r:id="rId87" ref="C126"/>
    <hyperlink r:id="rId88" ref="D126"/>
    <hyperlink r:id="rId89" ref="C130"/>
    <hyperlink r:id="rId90" ref="D130"/>
    <hyperlink r:id="rId91" ref="C132"/>
    <hyperlink r:id="rId92" ref="D132"/>
    <hyperlink r:id="rId93" ref="C134"/>
    <hyperlink r:id="rId94" ref="D134"/>
    <hyperlink r:id="rId95" ref="C136"/>
    <hyperlink r:id="rId96" ref="D136"/>
    <hyperlink r:id="rId97" ref="C140"/>
    <hyperlink r:id="rId98" ref="D140"/>
    <hyperlink r:id="rId99" ref="C142"/>
    <hyperlink r:id="rId100" ref="D142"/>
    <hyperlink r:id="rId101" ref="C144"/>
    <hyperlink r:id="rId102" ref="D144"/>
    <hyperlink r:id="rId103" ref="C146"/>
    <hyperlink r:id="rId104" ref="D146"/>
    <hyperlink r:id="rId105" ref="C151"/>
    <hyperlink r:id="rId106" ref="D151"/>
    <hyperlink r:id="rId107" ref="C153"/>
    <hyperlink r:id="rId108" ref="D153"/>
    <hyperlink r:id="rId109" ref="C155"/>
    <hyperlink r:id="rId110" ref="D155"/>
    <hyperlink r:id="rId111" ref="C164"/>
    <hyperlink r:id="rId112" ref="D164"/>
    <hyperlink r:id="rId113" ref="C166"/>
    <hyperlink r:id="rId114" ref="D166"/>
    <hyperlink r:id="rId115" ref="C168"/>
    <hyperlink r:id="rId116" ref="D168"/>
    <hyperlink r:id="rId117" ref="C170"/>
    <hyperlink r:id="rId118" ref="D170"/>
    <hyperlink r:id="rId119" ref="C174"/>
    <hyperlink r:id="rId120" ref="D174"/>
    <hyperlink r:id="rId121" ref="C176"/>
    <hyperlink r:id="rId122" ref="D176"/>
    <hyperlink r:id="rId123" ref="C178"/>
    <hyperlink r:id="rId124" ref="D178"/>
    <hyperlink r:id="rId125" ref="C180"/>
    <hyperlink r:id="rId126" ref="D180"/>
  </hyperlinks>
  <printOptions/>
  <pageMargins bottom="0.75" footer="0.0" header="0.0" left="0.7" right="0.7" top="0.75"/>
  <pageSetup orientation="landscape"/>
  <drawing r:id="rId12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8.0"/>
    <col customWidth="1" min="3" max="4" width="7.11"/>
    <col customWidth="1" min="5" max="5" width="16.33"/>
    <col customWidth="1" min="6" max="6" width="32.78"/>
    <col customWidth="1" min="7" max="7" width="8.44"/>
    <col customWidth="1" min="8" max="26" width="10.56"/>
  </cols>
  <sheetData>
    <row r="1" ht="15.75" customHeight="1">
      <c r="A1" s="1179" t="s">
        <v>721</v>
      </c>
      <c r="B1" s="13" t="s">
        <v>538</v>
      </c>
    </row>
    <row r="2" ht="15.75" customHeight="1">
      <c r="A2" s="1180" t="s">
        <v>722</v>
      </c>
      <c r="B2" s="13" t="s">
        <v>493</v>
      </c>
    </row>
    <row r="3" ht="15.75" customHeight="1">
      <c r="A3" s="1179" t="s">
        <v>723</v>
      </c>
      <c r="B3" s="13" t="s">
        <v>497</v>
      </c>
    </row>
    <row r="4" ht="15.75" customHeight="1">
      <c r="A4" s="1179" t="s">
        <v>724</v>
      </c>
      <c r="B4" s="13" t="s">
        <v>578</v>
      </c>
    </row>
    <row r="5" ht="15.75" customHeight="1">
      <c r="A5" s="1179" t="s">
        <v>725</v>
      </c>
      <c r="B5" s="13" t="s">
        <v>537</v>
      </c>
    </row>
    <row r="6" ht="15.75" customHeight="1">
      <c r="A6" s="1179" t="s">
        <v>726</v>
      </c>
      <c r="B6" s="13" t="s">
        <v>494</v>
      </c>
    </row>
    <row r="7" ht="15.75" customHeight="1">
      <c r="A7" s="1179" t="s">
        <v>727</v>
      </c>
      <c r="B7" s="13" t="s">
        <v>495</v>
      </c>
    </row>
    <row r="8" ht="15.75" customHeight="1">
      <c r="A8" s="1179" t="s">
        <v>728</v>
      </c>
      <c r="B8" s="13" t="s">
        <v>672</v>
      </c>
    </row>
    <row r="9" ht="15.75" customHeight="1">
      <c r="A9" s="1179" t="s">
        <v>729</v>
      </c>
      <c r="B9" s="13" t="s">
        <v>673</v>
      </c>
    </row>
    <row r="10" ht="15.75" customHeight="1">
      <c r="A10" s="1179" t="s">
        <v>743</v>
      </c>
      <c r="B10" s="13" t="s">
        <v>536</v>
      </c>
    </row>
    <row r="11" ht="15.75" customHeight="1"/>
    <row r="12" ht="15.75" customHeight="1"/>
    <row r="13" ht="15.75" customHeight="1"/>
    <row r="14" ht="15.75" customHeight="1"/>
    <row r="15" ht="15.75" customHeight="1"/>
    <row r="16" ht="15.75" customHeight="1"/>
    <row r="17" ht="15.75" customHeight="1"/>
    <row r="18" ht="15.75" customHeight="1">
      <c r="A18" s="1181" t="s">
        <v>746</v>
      </c>
    </row>
    <row r="19" ht="15.75" customHeight="1">
      <c r="A19" s="1182" t="s">
        <v>731</v>
      </c>
      <c r="B19" s="1183"/>
      <c r="C19" s="1182" t="s">
        <v>510</v>
      </c>
      <c r="D19" s="1182" t="s">
        <v>510</v>
      </c>
      <c r="E19" s="1183"/>
      <c r="F19" s="1182" t="s">
        <v>732</v>
      </c>
    </row>
    <row r="20" ht="15.75" customHeight="1">
      <c r="A20" s="1185"/>
      <c r="B20" s="1179" t="s">
        <v>726</v>
      </c>
      <c r="C20" s="1186">
        <v>152.54</v>
      </c>
      <c r="D20" s="1186">
        <v>133.43</v>
      </c>
      <c r="E20" s="1179" t="s">
        <v>724</v>
      </c>
      <c r="F20" s="1185"/>
      <c r="G20" s="13" t="str">
        <f t="shared" ref="G20:G229" si="2">IFERROR(VLOOKUP(B20, $A$1:$B$10, 2, FALSE),1)</f>
        <v>POPEYES</v>
      </c>
      <c r="H20" s="1187">
        <f t="shared" ref="H20:I20" si="1">IF(OR(C20=0,C20="SCORE"),"",C20)</f>
        <v>152.54</v>
      </c>
      <c r="I20" s="1188">
        <f t="shared" si="1"/>
        <v>133.43</v>
      </c>
      <c r="J20" s="13" t="str">
        <f t="shared" ref="J20:J229" si="4">IFERROR(VLOOKUP(E20, $A$1:$B$10, 2, FALSE),"")</f>
        <v>METAMOOKDAWGS</v>
      </c>
      <c r="K20" s="13" t="str">
        <f t="shared" ref="K20:K229" si="5">IF(G20&lt;&gt;1, "Game", "N/A")</f>
        <v>Game</v>
      </c>
    </row>
    <row r="21" ht="15.75" hidden="1" customHeight="1">
      <c r="A21" s="1185" t="s">
        <v>749</v>
      </c>
      <c r="B21" s="1179"/>
      <c r="C21" s="1186"/>
      <c r="D21" s="1186"/>
      <c r="E21" s="1179"/>
      <c r="F21" s="1185" t="s">
        <v>750</v>
      </c>
      <c r="G21" s="13">
        <f t="shared" si="2"/>
        <v>1</v>
      </c>
      <c r="H21" s="224" t="str">
        <f t="shared" ref="H21:I21" si="3">IF(OR(C21=0,C21="SCORE"),"",C21)</f>
        <v/>
      </c>
      <c r="I21" s="13" t="str">
        <f t="shared" si="3"/>
        <v/>
      </c>
      <c r="J21" s="13" t="str">
        <f t="shared" si="4"/>
        <v/>
      </c>
      <c r="K21" s="13" t="str">
        <f t="shared" si="5"/>
        <v>N/A</v>
      </c>
    </row>
    <row r="22" ht="15.75" customHeight="1">
      <c r="A22" s="1185"/>
      <c r="B22" s="1179" t="s">
        <v>723</v>
      </c>
      <c r="C22" s="1186">
        <v>115.34</v>
      </c>
      <c r="D22" s="1186">
        <v>190.11</v>
      </c>
      <c r="E22" s="1179" t="s">
        <v>743</v>
      </c>
      <c r="F22" s="1185"/>
      <c r="G22" s="13" t="str">
        <f t="shared" si="2"/>
        <v>SAVAGES</v>
      </c>
      <c r="H22" s="1187">
        <f t="shared" ref="H22:I22" si="6">IF(OR(C22=0,C22="SCORE"),"",C22)</f>
        <v>115.34</v>
      </c>
      <c r="I22" s="1188">
        <f t="shared" si="6"/>
        <v>190.11</v>
      </c>
      <c r="J22" s="13" t="str">
        <f t="shared" si="4"/>
        <v>CHAMPS</v>
      </c>
      <c r="K22" s="13" t="str">
        <f t="shared" si="5"/>
        <v>Game</v>
      </c>
    </row>
    <row r="23" ht="15.75" hidden="1" customHeight="1">
      <c r="A23" s="1185" t="s">
        <v>753</v>
      </c>
      <c r="B23" s="1179"/>
      <c r="C23" s="1186"/>
      <c r="D23" s="1186"/>
      <c r="E23" s="1179"/>
      <c r="F23" s="1185" t="s">
        <v>754</v>
      </c>
      <c r="G23" s="13">
        <f t="shared" si="2"/>
        <v>1</v>
      </c>
      <c r="H23" s="224" t="str">
        <f t="shared" ref="H23:I23" si="7">IF(OR(C23=0,C23="SCORE"),"",C23)</f>
        <v/>
      </c>
      <c r="I23" s="13" t="str">
        <f t="shared" si="7"/>
        <v/>
      </c>
      <c r="J23" s="13" t="str">
        <f t="shared" si="4"/>
        <v/>
      </c>
      <c r="K23" s="13" t="str">
        <f t="shared" si="5"/>
        <v>N/A</v>
      </c>
    </row>
    <row r="24" ht="15.75" customHeight="1">
      <c r="A24" s="1185"/>
      <c r="B24" s="1180" t="s">
        <v>722</v>
      </c>
      <c r="C24" s="1186">
        <v>180.36</v>
      </c>
      <c r="D24" s="1186">
        <v>120.62</v>
      </c>
      <c r="E24" s="1179" t="s">
        <v>727</v>
      </c>
      <c r="F24" s="1185"/>
      <c r="G24" s="13" t="str">
        <f t="shared" si="2"/>
        <v>DECOUPES</v>
      </c>
      <c r="H24" s="1187">
        <f t="shared" ref="H24:I24" si="8">IF(OR(C24=0,C24="SCORE"),"",C24)</f>
        <v>180.36</v>
      </c>
      <c r="I24" s="1188">
        <f t="shared" si="8"/>
        <v>120.62</v>
      </c>
      <c r="J24" s="13" t="str">
        <f t="shared" si="4"/>
        <v>GREEN</v>
      </c>
      <c r="K24" s="13" t="str">
        <f t="shared" si="5"/>
        <v>Game</v>
      </c>
    </row>
    <row r="25" ht="15.75" hidden="1" customHeight="1">
      <c r="A25" s="1189" t="s">
        <v>758</v>
      </c>
      <c r="B25" s="1180"/>
      <c r="C25" s="1186"/>
      <c r="D25" s="1186"/>
      <c r="E25" s="1179"/>
      <c r="F25" s="1185" t="s">
        <v>759</v>
      </c>
      <c r="G25" s="13">
        <f t="shared" si="2"/>
        <v>1</v>
      </c>
      <c r="H25" s="224" t="str">
        <f t="shared" ref="H25:I25" si="9">IF(OR(C25=0,C25="SCORE"),"",C25)</f>
        <v/>
      </c>
      <c r="I25" s="13" t="str">
        <f t="shared" si="9"/>
        <v/>
      </c>
      <c r="J25" s="13" t="str">
        <f t="shared" si="4"/>
        <v/>
      </c>
      <c r="K25" s="13" t="str">
        <f t="shared" si="5"/>
        <v>N/A</v>
      </c>
    </row>
    <row r="26" ht="15.75" customHeight="1">
      <c r="A26" s="1185"/>
      <c r="B26" s="1179" t="s">
        <v>721</v>
      </c>
      <c r="C26" s="1186">
        <v>130.62</v>
      </c>
      <c r="D26" s="1186">
        <v>145.09</v>
      </c>
      <c r="E26" s="1179" t="s">
        <v>728</v>
      </c>
      <c r="F26" s="1189" t="s">
        <v>760</v>
      </c>
      <c r="G26" s="13" t="str">
        <f t="shared" si="2"/>
        <v>MUTTS</v>
      </c>
      <c r="H26" s="1187">
        <f t="shared" ref="H26:I26" si="10">IF(OR(C26=0,C26="SCORE"),"",C26)</f>
        <v>130.62</v>
      </c>
      <c r="I26" s="1188">
        <f t="shared" si="10"/>
        <v>145.09</v>
      </c>
      <c r="J26" s="13" t="str">
        <f t="shared" si="4"/>
        <v>DEEZ NUTS</v>
      </c>
      <c r="K26" s="13" t="str">
        <f t="shared" si="5"/>
        <v>Game</v>
      </c>
    </row>
    <row r="27" ht="15.75" hidden="1" customHeight="1">
      <c r="A27" s="1185" t="s">
        <v>763</v>
      </c>
      <c r="B27" s="1179"/>
      <c r="C27" s="1186"/>
      <c r="D27" s="1186"/>
      <c r="E27" s="1180"/>
      <c r="F27" s="1189"/>
      <c r="G27" s="13">
        <f t="shared" si="2"/>
        <v>1</v>
      </c>
      <c r="H27" s="224" t="str">
        <f t="shared" ref="H27:I27" si="11">IF(OR(C27=0,C27="SCORE"),"",C27)</f>
        <v/>
      </c>
      <c r="I27" s="13" t="str">
        <f t="shared" si="11"/>
        <v/>
      </c>
      <c r="J27" s="13" t="str">
        <f t="shared" si="4"/>
        <v/>
      </c>
      <c r="K27" s="13" t="str">
        <f t="shared" si="5"/>
        <v>N/A</v>
      </c>
    </row>
    <row r="28" ht="15.75" customHeight="1">
      <c r="A28" s="1185"/>
      <c r="B28" s="1179" t="s">
        <v>725</v>
      </c>
      <c r="C28" s="1186">
        <v>115.22</v>
      </c>
      <c r="D28" s="1186">
        <v>226.72</v>
      </c>
      <c r="E28" s="1179" t="s">
        <v>729</v>
      </c>
      <c r="F28" s="1185" t="s">
        <v>764</v>
      </c>
      <c r="G28" s="13" t="str">
        <f t="shared" si="2"/>
        <v>YARDIES</v>
      </c>
      <c r="H28" s="1187">
        <f t="shared" ref="H28:I28" si="12">IF(OR(C28=0,C28="SCORE"),"",C28)</f>
        <v>115.22</v>
      </c>
      <c r="I28" s="1188">
        <f t="shared" si="12"/>
        <v>226.72</v>
      </c>
      <c r="J28" s="13" t="str">
        <f t="shared" si="4"/>
        <v>GIRLS</v>
      </c>
      <c r="K28" s="13" t="str">
        <f t="shared" si="5"/>
        <v>Game</v>
      </c>
    </row>
    <row r="29" ht="15.75" hidden="1" customHeight="1">
      <c r="A29" s="1185" t="s">
        <v>768</v>
      </c>
      <c r="B29" s="1179"/>
      <c r="C29" s="1186"/>
      <c r="D29" s="1186"/>
      <c r="E29" s="1179"/>
      <c r="F29" s="1185"/>
      <c r="G29" s="13">
        <f t="shared" si="2"/>
        <v>1</v>
      </c>
      <c r="H29" s="224" t="str">
        <f t="shared" ref="H29:I29" si="13">IF(OR(C29=0,C29="SCORE"),"",C29)</f>
        <v/>
      </c>
      <c r="I29" s="13" t="str">
        <f t="shared" si="13"/>
        <v/>
      </c>
      <c r="J29" s="13" t="str">
        <f t="shared" si="4"/>
        <v/>
      </c>
      <c r="K29" s="13" t="str">
        <f t="shared" si="5"/>
        <v>N/A</v>
      </c>
    </row>
    <row r="30" ht="15.75" hidden="1" customHeight="1">
      <c r="A30" s="1181" t="s">
        <v>741</v>
      </c>
      <c r="G30" s="13">
        <f t="shared" si="2"/>
        <v>1</v>
      </c>
      <c r="H30" s="224" t="str">
        <f t="shared" ref="H30:I30" si="14">IF(OR(C30=0,C30="SCORE"),"",C30)</f>
        <v/>
      </c>
      <c r="I30" s="13" t="str">
        <f t="shared" si="14"/>
        <v/>
      </c>
      <c r="J30" s="13" t="str">
        <f t="shared" si="4"/>
        <v/>
      </c>
      <c r="K30" s="13" t="str">
        <f t="shared" si="5"/>
        <v>N/A</v>
      </c>
    </row>
    <row r="31" ht="15.75" hidden="1" customHeight="1">
      <c r="A31" s="1182" t="s">
        <v>731</v>
      </c>
      <c r="B31" s="1183"/>
      <c r="C31" s="1182" t="s">
        <v>510</v>
      </c>
      <c r="D31" s="1182" t="s">
        <v>510</v>
      </c>
      <c r="E31" s="1183"/>
      <c r="F31" s="1182" t="s">
        <v>732</v>
      </c>
      <c r="G31" s="13">
        <f t="shared" si="2"/>
        <v>1</v>
      </c>
      <c r="H31" s="224" t="str">
        <f t="shared" ref="H31:I31" si="15">IF(OR(C31=0,C31="SCORE"),"",C31)</f>
        <v/>
      </c>
      <c r="I31" s="13" t="str">
        <f t="shared" si="15"/>
        <v/>
      </c>
      <c r="J31" s="13" t="str">
        <f t="shared" si="4"/>
        <v/>
      </c>
      <c r="K31" s="13" t="str">
        <f t="shared" si="5"/>
        <v>N/A</v>
      </c>
    </row>
    <row r="32" ht="15.75" customHeight="1">
      <c r="A32" s="1185"/>
      <c r="B32" s="1179" t="s">
        <v>726</v>
      </c>
      <c r="C32" s="1186">
        <v>181.66</v>
      </c>
      <c r="D32" s="1186">
        <v>224.32</v>
      </c>
      <c r="E32" s="1180" t="s">
        <v>722</v>
      </c>
      <c r="F32" s="1185"/>
      <c r="G32" s="13" t="str">
        <f t="shared" si="2"/>
        <v>POPEYES</v>
      </c>
      <c r="H32" s="1187">
        <f t="shared" ref="H32:I32" si="16">IF(OR(C32=0,C32="SCORE"),"",C32)</f>
        <v>181.66</v>
      </c>
      <c r="I32" s="1188">
        <f t="shared" si="16"/>
        <v>224.32</v>
      </c>
      <c r="J32" s="13" t="str">
        <f t="shared" si="4"/>
        <v>DECOUPES</v>
      </c>
      <c r="K32" s="13" t="str">
        <f t="shared" si="5"/>
        <v>Game</v>
      </c>
    </row>
    <row r="33" ht="15.75" hidden="1" customHeight="1">
      <c r="A33" s="1185" t="s">
        <v>771</v>
      </c>
      <c r="B33" s="1179"/>
      <c r="C33" s="1186"/>
      <c r="D33" s="1186"/>
      <c r="E33" s="1180"/>
      <c r="F33" s="1189" t="s">
        <v>772</v>
      </c>
      <c r="G33" s="13">
        <f t="shared" si="2"/>
        <v>1</v>
      </c>
      <c r="H33" s="224" t="str">
        <f t="shared" ref="H33:I33" si="17">IF(OR(C33=0,C33="SCORE"),"",C33)</f>
        <v/>
      </c>
      <c r="I33" s="13" t="str">
        <f t="shared" si="17"/>
        <v/>
      </c>
      <c r="J33" s="13" t="str">
        <f t="shared" si="4"/>
        <v/>
      </c>
      <c r="K33" s="13" t="str">
        <f t="shared" si="5"/>
        <v>N/A</v>
      </c>
    </row>
    <row r="34" ht="15.75" customHeight="1">
      <c r="A34" s="1185"/>
      <c r="B34" s="1179" t="s">
        <v>723</v>
      </c>
      <c r="C34" s="1186">
        <v>116.61</v>
      </c>
      <c r="D34" s="1186">
        <v>164.59</v>
      </c>
      <c r="E34" s="1179" t="s">
        <v>721</v>
      </c>
      <c r="F34" s="1185"/>
      <c r="G34" s="13" t="str">
        <f t="shared" si="2"/>
        <v>SAVAGES</v>
      </c>
      <c r="H34" s="1187">
        <f t="shared" ref="H34:I34" si="18">IF(OR(C34=0,C34="SCORE"),"",C34)</f>
        <v>116.61</v>
      </c>
      <c r="I34" s="1188">
        <f t="shared" si="18"/>
        <v>164.59</v>
      </c>
      <c r="J34" s="13" t="str">
        <f t="shared" si="4"/>
        <v>MUTTS</v>
      </c>
      <c r="K34" s="13" t="str">
        <f t="shared" si="5"/>
        <v>Game</v>
      </c>
    </row>
    <row r="35" ht="15.75" hidden="1" customHeight="1">
      <c r="A35" s="1185" t="s">
        <v>776</v>
      </c>
      <c r="B35" s="1179"/>
      <c r="C35" s="1186"/>
      <c r="D35" s="1186"/>
      <c r="E35" s="1179"/>
      <c r="F35" s="1185" t="s">
        <v>777</v>
      </c>
      <c r="G35" s="13">
        <f t="shared" si="2"/>
        <v>1</v>
      </c>
      <c r="H35" s="224" t="str">
        <f t="shared" ref="H35:I35" si="19">IF(OR(C35=0,C35="SCORE"),"",C35)</f>
        <v/>
      </c>
      <c r="I35" s="13" t="str">
        <f t="shared" si="19"/>
        <v/>
      </c>
      <c r="J35" s="13" t="str">
        <f t="shared" si="4"/>
        <v/>
      </c>
      <c r="K35" s="13" t="str">
        <f t="shared" si="5"/>
        <v>N/A</v>
      </c>
    </row>
    <row r="36" ht="15.75" customHeight="1">
      <c r="A36" s="1185"/>
      <c r="B36" s="1179" t="s">
        <v>727</v>
      </c>
      <c r="C36" s="1186">
        <v>175.2</v>
      </c>
      <c r="D36" s="1186">
        <v>191.55</v>
      </c>
      <c r="E36" s="1179" t="s">
        <v>743</v>
      </c>
      <c r="F36" s="1185"/>
      <c r="G36" s="13" t="str">
        <f t="shared" si="2"/>
        <v>GREEN</v>
      </c>
      <c r="H36" s="1187">
        <f t="shared" ref="H36:I36" si="20">IF(OR(C36=0,C36="SCORE"),"",C36)</f>
        <v>175.2</v>
      </c>
      <c r="I36" s="1188">
        <f t="shared" si="20"/>
        <v>191.55</v>
      </c>
      <c r="J36" s="13" t="str">
        <f t="shared" si="4"/>
        <v>CHAMPS</v>
      </c>
      <c r="K36" s="13" t="str">
        <f t="shared" si="5"/>
        <v>Game</v>
      </c>
    </row>
    <row r="37" ht="15.75" hidden="1" customHeight="1">
      <c r="A37" s="1185" t="s">
        <v>780</v>
      </c>
      <c r="B37" s="1179"/>
      <c r="C37" s="1186"/>
      <c r="D37" s="1186"/>
      <c r="E37" s="1179"/>
      <c r="F37" s="1185" t="s">
        <v>781</v>
      </c>
      <c r="G37" s="13">
        <f t="shared" si="2"/>
        <v>1</v>
      </c>
      <c r="H37" s="224" t="str">
        <f t="shared" ref="H37:I37" si="21">IF(OR(C37=0,C37="SCORE"),"",C37)</f>
        <v/>
      </c>
      <c r="I37" s="13" t="str">
        <f t="shared" si="21"/>
        <v/>
      </c>
      <c r="J37" s="13" t="str">
        <f t="shared" si="4"/>
        <v/>
      </c>
      <c r="K37" s="13" t="str">
        <f t="shared" si="5"/>
        <v>N/A</v>
      </c>
    </row>
    <row r="38" ht="15.75" customHeight="1">
      <c r="A38" s="1185"/>
      <c r="B38" s="1179" t="s">
        <v>724</v>
      </c>
      <c r="C38" s="1186">
        <v>175.81</v>
      </c>
      <c r="D38" s="1186">
        <v>185.61</v>
      </c>
      <c r="E38" s="1179" t="s">
        <v>725</v>
      </c>
      <c r="F38" s="1185"/>
      <c r="G38" s="13" t="str">
        <f t="shared" si="2"/>
        <v>METAMOOKDAWGS</v>
      </c>
      <c r="H38" s="1187">
        <f t="shared" ref="H38:I38" si="22">IF(OR(C38=0,C38="SCORE"),"",C38)</f>
        <v>175.81</v>
      </c>
      <c r="I38" s="1188">
        <f t="shared" si="22"/>
        <v>185.61</v>
      </c>
      <c r="J38" s="13" t="str">
        <f t="shared" si="4"/>
        <v>YARDIES</v>
      </c>
      <c r="K38" s="13" t="str">
        <f t="shared" si="5"/>
        <v>Game</v>
      </c>
    </row>
    <row r="39" ht="15.75" hidden="1" customHeight="1">
      <c r="A39" s="1185" t="s">
        <v>784</v>
      </c>
      <c r="B39" s="1179"/>
      <c r="C39" s="1186"/>
      <c r="D39" s="1186"/>
      <c r="E39" s="1179"/>
      <c r="F39" s="1185" t="s">
        <v>785</v>
      </c>
      <c r="G39" s="13">
        <f t="shared" si="2"/>
        <v>1</v>
      </c>
      <c r="H39" s="224" t="str">
        <f t="shared" ref="H39:I39" si="23">IF(OR(C39=0,C39="SCORE"),"",C39)</f>
        <v/>
      </c>
      <c r="I39" s="13" t="str">
        <f t="shared" si="23"/>
        <v/>
      </c>
      <c r="J39" s="13" t="str">
        <f t="shared" si="4"/>
        <v/>
      </c>
      <c r="K39" s="13" t="str">
        <f t="shared" si="5"/>
        <v>N/A</v>
      </c>
    </row>
    <row r="40" ht="15.75" customHeight="1">
      <c r="A40" s="1185" t="s">
        <v>786</v>
      </c>
      <c r="B40" s="1179" t="s">
        <v>729</v>
      </c>
      <c r="C40" s="1186">
        <v>148.98</v>
      </c>
      <c r="D40" s="1186">
        <v>155.71</v>
      </c>
      <c r="E40" s="1179" t="s">
        <v>728</v>
      </c>
      <c r="F40" s="1189" t="s">
        <v>789</v>
      </c>
      <c r="G40" s="13" t="str">
        <f t="shared" si="2"/>
        <v>GIRLS</v>
      </c>
      <c r="H40" s="1187">
        <f t="shared" ref="H40:I40" si="24">IF(OR(C40=0,C40="SCORE"),"",C40)</f>
        <v>148.98</v>
      </c>
      <c r="I40" s="1188">
        <f t="shared" si="24"/>
        <v>155.71</v>
      </c>
      <c r="J40" s="13" t="str">
        <f t="shared" si="4"/>
        <v>DEEZ NUTS</v>
      </c>
      <c r="K40" s="13" t="str">
        <f t="shared" si="5"/>
        <v>Game</v>
      </c>
    </row>
    <row r="41" ht="15.75" hidden="1" customHeight="1">
      <c r="A41" s="1181" t="s">
        <v>757</v>
      </c>
      <c r="G41" s="13">
        <f t="shared" si="2"/>
        <v>1</v>
      </c>
      <c r="H41" s="224" t="str">
        <f t="shared" ref="H41:I41" si="25">IF(OR(C41=0,C41="SCORE"),"",C41)</f>
        <v/>
      </c>
      <c r="I41" s="13" t="str">
        <f t="shared" si="25"/>
        <v/>
      </c>
      <c r="J41" s="13" t="str">
        <f t="shared" si="4"/>
        <v/>
      </c>
      <c r="K41" s="13" t="str">
        <f t="shared" si="5"/>
        <v>N/A</v>
      </c>
    </row>
    <row r="42" ht="15.75" hidden="1" customHeight="1">
      <c r="A42" s="1182" t="s">
        <v>731</v>
      </c>
      <c r="B42" s="1183"/>
      <c r="C42" s="1182" t="s">
        <v>510</v>
      </c>
      <c r="D42" s="1182" t="s">
        <v>510</v>
      </c>
      <c r="E42" s="1183"/>
      <c r="F42" s="1182" t="s">
        <v>732</v>
      </c>
      <c r="G42" s="13">
        <f t="shared" si="2"/>
        <v>1</v>
      </c>
      <c r="H42" s="224" t="str">
        <f t="shared" ref="H42:I42" si="26">IF(OR(C42=0,C42="SCORE"),"",C42)</f>
        <v/>
      </c>
      <c r="I42" s="13" t="str">
        <f t="shared" si="26"/>
        <v/>
      </c>
      <c r="J42" s="13" t="str">
        <f t="shared" si="4"/>
        <v/>
      </c>
      <c r="K42" s="13" t="str">
        <f t="shared" si="5"/>
        <v>N/A</v>
      </c>
    </row>
    <row r="43" ht="15.75" customHeight="1">
      <c r="A43" s="1185"/>
      <c r="B43" s="1179" t="s">
        <v>726</v>
      </c>
      <c r="C43" s="1186">
        <v>220.6</v>
      </c>
      <c r="D43" s="1186">
        <v>136.64</v>
      </c>
      <c r="E43" s="1179" t="s">
        <v>725</v>
      </c>
      <c r="F43" s="1185"/>
      <c r="G43" s="13" t="str">
        <f t="shared" si="2"/>
        <v>POPEYES</v>
      </c>
      <c r="H43" s="1187">
        <f t="shared" ref="H43:I43" si="27">IF(OR(C43=0,C43="SCORE"),"",C43)</f>
        <v>220.6</v>
      </c>
      <c r="I43" s="1188">
        <f t="shared" si="27"/>
        <v>136.64</v>
      </c>
      <c r="J43" s="13" t="str">
        <f t="shared" si="4"/>
        <v>YARDIES</v>
      </c>
      <c r="K43" s="13" t="str">
        <f t="shared" si="5"/>
        <v>Game</v>
      </c>
    </row>
    <row r="44" ht="15.75" hidden="1" customHeight="1">
      <c r="A44" s="1185" t="s">
        <v>794</v>
      </c>
      <c r="B44" s="1179"/>
      <c r="C44" s="1186"/>
      <c r="D44" s="1186"/>
      <c r="E44" s="1179"/>
      <c r="F44" s="1185" t="s">
        <v>795</v>
      </c>
      <c r="G44" s="13">
        <f t="shared" si="2"/>
        <v>1</v>
      </c>
      <c r="H44" s="224" t="str">
        <f t="shared" ref="H44:I44" si="28">IF(OR(C44=0,C44="SCORE"),"",C44)</f>
        <v/>
      </c>
      <c r="I44" s="13" t="str">
        <f t="shared" si="28"/>
        <v/>
      </c>
      <c r="J44" s="13" t="str">
        <f t="shared" si="4"/>
        <v/>
      </c>
      <c r="K44" s="13" t="str">
        <f t="shared" si="5"/>
        <v>N/A</v>
      </c>
    </row>
    <row r="45" ht="15.75" customHeight="1">
      <c r="A45" s="1185"/>
      <c r="B45" s="1179" t="s">
        <v>723</v>
      </c>
      <c r="C45" s="1186">
        <v>143.75</v>
      </c>
      <c r="D45" s="1186">
        <v>150.06</v>
      </c>
      <c r="E45" s="1179" t="s">
        <v>729</v>
      </c>
      <c r="F45" s="1185" t="s">
        <v>798</v>
      </c>
      <c r="G45" s="13" t="str">
        <f t="shared" si="2"/>
        <v>SAVAGES</v>
      </c>
      <c r="H45" s="1187">
        <f t="shared" ref="H45:I45" si="29">IF(OR(C45=0,C45="SCORE"),"",C45)</f>
        <v>143.75</v>
      </c>
      <c r="I45" s="1188">
        <f t="shared" si="29"/>
        <v>150.06</v>
      </c>
      <c r="J45" s="13" t="str">
        <f t="shared" si="4"/>
        <v>GIRLS</v>
      </c>
      <c r="K45" s="13" t="str">
        <f t="shared" si="5"/>
        <v>Game</v>
      </c>
    </row>
    <row r="46" ht="15.75" hidden="1" customHeight="1">
      <c r="A46" s="1185" t="s">
        <v>799</v>
      </c>
      <c r="B46" s="1179"/>
      <c r="C46" s="1186"/>
      <c r="D46" s="1186"/>
      <c r="E46" s="1179"/>
      <c r="F46" s="1185"/>
      <c r="G46" s="13">
        <f t="shared" si="2"/>
        <v>1</v>
      </c>
      <c r="H46" s="224" t="str">
        <f t="shared" ref="H46:I46" si="30">IF(OR(C46=0,C46="SCORE"),"",C46)</f>
        <v/>
      </c>
      <c r="I46" s="13" t="str">
        <f t="shared" si="30"/>
        <v/>
      </c>
      <c r="J46" s="13" t="str">
        <f t="shared" si="4"/>
        <v/>
      </c>
      <c r="K46" s="13" t="str">
        <f t="shared" si="5"/>
        <v>N/A</v>
      </c>
    </row>
    <row r="47" ht="15.75" customHeight="1">
      <c r="A47" s="1185"/>
      <c r="B47" s="1180" t="s">
        <v>722</v>
      </c>
      <c r="C47" s="1186">
        <v>167.58</v>
      </c>
      <c r="D47" s="1186">
        <v>150.76</v>
      </c>
      <c r="E47" s="1179" t="s">
        <v>728</v>
      </c>
      <c r="F47" s="1189" t="s">
        <v>801</v>
      </c>
      <c r="G47" s="13" t="str">
        <f t="shared" si="2"/>
        <v>DECOUPES</v>
      </c>
      <c r="H47" s="1187">
        <f t="shared" ref="H47:I47" si="31">IF(OR(C47=0,C47="SCORE"),"",C47)</f>
        <v>167.58</v>
      </c>
      <c r="I47" s="1188">
        <f t="shared" si="31"/>
        <v>150.76</v>
      </c>
      <c r="J47" s="13" t="str">
        <f t="shared" si="4"/>
        <v>DEEZ NUTS</v>
      </c>
      <c r="K47" s="13" t="str">
        <f t="shared" si="5"/>
        <v>Game</v>
      </c>
    </row>
    <row r="48" ht="15.75" hidden="1" customHeight="1">
      <c r="A48" s="1189" t="s">
        <v>803</v>
      </c>
      <c r="B48" s="1180"/>
      <c r="C48" s="1186"/>
      <c r="D48" s="1186"/>
      <c r="E48" s="1180"/>
      <c r="F48" s="1189"/>
      <c r="G48" s="13">
        <f t="shared" si="2"/>
        <v>1</v>
      </c>
      <c r="H48" s="224" t="str">
        <f t="shared" ref="H48:I48" si="32">IF(OR(C48=0,C48="SCORE"),"",C48)</f>
        <v/>
      </c>
      <c r="I48" s="13" t="str">
        <f t="shared" si="32"/>
        <v/>
      </c>
      <c r="J48" s="13" t="str">
        <f t="shared" si="4"/>
        <v/>
      </c>
      <c r="K48" s="13" t="str">
        <f t="shared" si="5"/>
        <v>N/A</v>
      </c>
    </row>
    <row r="49" ht="15.75" customHeight="1">
      <c r="A49" s="1185"/>
      <c r="B49" s="1179" t="s">
        <v>727</v>
      </c>
      <c r="C49" s="1186">
        <v>189.44</v>
      </c>
      <c r="D49" s="1186">
        <v>152.94</v>
      </c>
      <c r="E49" s="1179" t="s">
        <v>724</v>
      </c>
      <c r="F49" s="1185"/>
      <c r="G49" s="13" t="str">
        <f t="shared" si="2"/>
        <v>GREEN</v>
      </c>
      <c r="H49" s="1187">
        <f t="shared" ref="H49:I49" si="33">IF(OR(C49=0,C49="SCORE"),"",C49)</f>
        <v>189.44</v>
      </c>
      <c r="I49" s="1188">
        <f t="shared" si="33"/>
        <v>152.94</v>
      </c>
      <c r="J49" s="13" t="str">
        <f t="shared" si="4"/>
        <v>METAMOOKDAWGS</v>
      </c>
      <c r="K49" s="13" t="str">
        <f t="shared" si="5"/>
        <v>Game</v>
      </c>
    </row>
    <row r="50" ht="15.75" hidden="1" customHeight="1">
      <c r="A50" s="1185" t="s">
        <v>806</v>
      </c>
      <c r="B50" s="1179"/>
      <c r="C50" s="1186"/>
      <c r="D50" s="1186"/>
      <c r="E50" s="1179"/>
      <c r="F50" s="1185" t="s">
        <v>807</v>
      </c>
      <c r="G50" s="13">
        <f t="shared" si="2"/>
        <v>1</v>
      </c>
      <c r="H50" s="224" t="str">
        <f t="shared" ref="H50:I50" si="34">IF(OR(C50=0,C50="SCORE"),"",C50)</f>
        <v/>
      </c>
      <c r="I50" s="13" t="str">
        <f t="shared" si="34"/>
        <v/>
      </c>
      <c r="J50" s="13" t="str">
        <f t="shared" si="4"/>
        <v/>
      </c>
      <c r="K50" s="13" t="str">
        <f t="shared" si="5"/>
        <v>N/A</v>
      </c>
    </row>
    <row r="51" ht="15.75" customHeight="1">
      <c r="A51" s="1185"/>
      <c r="B51" s="1179" t="s">
        <v>743</v>
      </c>
      <c r="C51" s="1186">
        <v>164.89</v>
      </c>
      <c r="D51" s="1186">
        <v>166.28</v>
      </c>
      <c r="E51" s="1179" t="s">
        <v>721</v>
      </c>
      <c r="F51" s="1185"/>
      <c r="G51" s="13" t="str">
        <f t="shared" si="2"/>
        <v>CHAMPS</v>
      </c>
      <c r="H51" s="1187">
        <f t="shared" ref="H51:I51" si="35">IF(OR(C51=0,C51="SCORE"),"",C51)</f>
        <v>164.89</v>
      </c>
      <c r="I51" s="1188">
        <f t="shared" si="35"/>
        <v>166.28</v>
      </c>
      <c r="J51" s="13" t="str">
        <f t="shared" si="4"/>
        <v>MUTTS</v>
      </c>
      <c r="K51" s="13" t="str">
        <f t="shared" si="5"/>
        <v>Game</v>
      </c>
    </row>
    <row r="52" ht="15.75" hidden="1" customHeight="1">
      <c r="A52" s="1185" t="s">
        <v>809</v>
      </c>
      <c r="B52" s="1179"/>
      <c r="C52" s="1186"/>
      <c r="D52" s="1186"/>
      <c r="E52" s="1179"/>
      <c r="F52" s="1185" t="s">
        <v>810</v>
      </c>
      <c r="G52" s="13">
        <f t="shared" si="2"/>
        <v>1</v>
      </c>
      <c r="H52" s="224" t="str">
        <f t="shared" ref="H52:I52" si="36">IF(OR(C52=0,C52="SCORE"),"",C52)</f>
        <v/>
      </c>
      <c r="I52" s="13" t="str">
        <f t="shared" si="36"/>
        <v/>
      </c>
      <c r="J52" s="13" t="str">
        <f t="shared" si="4"/>
        <v/>
      </c>
      <c r="K52" s="13" t="str">
        <f t="shared" si="5"/>
        <v>N/A</v>
      </c>
    </row>
    <row r="53" ht="15.75" hidden="1" customHeight="1">
      <c r="A53" s="1181" t="s">
        <v>775</v>
      </c>
      <c r="G53" s="13">
        <f t="shared" si="2"/>
        <v>1</v>
      </c>
      <c r="H53" s="224" t="str">
        <f t="shared" ref="H53:I53" si="37">IF(OR(C53=0,C53="SCORE"),"",C53)</f>
        <v/>
      </c>
      <c r="I53" s="13" t="str">
        <f t="shared" si="37"/>
        <v/>
      </c>
      <c r="J53" s="13" t="str">
        <f t="shared" si="4"/>
        <v/>
      </c>
      <c r="K53" s="13" t="str">
        <f t="shared" si="5"/>
        <v>N/A</v>
      </c>
    </row>
    <row r="54" ht="15.75" hidden="1" customHeight="1">
      <c r="A54" s="1182" t="s">
        <v>731</v>
      </c>
      <c r="B54" s="1183"/>
      <c r="C54" s="1182" t="s">
        <v>510</v>
      </c>
      <c r="D54" s="1182" t="s">
        <v>510</v>
      </c>
      <c r="E54" s="1183"/>
      <c r="F54" s="1182" t="s">
        <v>732</v>
      </c>
      <c r="G54" s="13">
        <f t="shared" si="2"/>
        <v>1</v>
      </c>
      <c r="H54" s="224" t="str">
        <f t="shared" ref="H54:I54" si="38">IF(OR(C54=0,C54="SCORE"),"",C54)</f>
        <v/>
      </c>
      <c r="I54" s="13" t="str">
        <f t="shared" si="38"/>
        <v/>
      </c>
      <c r="J54" s="13" t="str">
        <f t="shared" si="4"/>
        <v/>
      </c>
      <c r="K54" s="13" t="str">
        <f t="shared" si="5"/>
        <v>N/A</v>
      </c>
    </row>
    <row r="55" ht="15.75" customHeight="1">
      <c r="A55" s="1185"/>
      <c r="B55" s="1179" t="s">
        <v>726</v>
      </c>
      <c r="C55" s="1186">
        <v>220.4</v>
      </c>
      <c r="D55" s="1186">
        <v>146.18</v>
      </c>
      <c r="E55" s="1179" t="s">
        <v>729</v>
      </c>
      <c r="F55" s="1185" t="s">
        <v>813</v>
      </c>
      <c r="G55" s="13" t="str">
        <f t="shared" si="2"/>
        <v>POPEYES</v>
      </c>
      <c r="H55" s="1187">
        <f t="shared" ref="H55:I55" si="39">IF(OR(C55=0,C55="SCORE"),"",C55)</f>
        <v>220.4</v>
      </c>
      <c r="I55" s="1188">
        <f t="shared" si="39"/>
        <v>146.18</v>
      </c>
      <c r="J55" s="13" t="str">
        <f t="shared" si="4"/>
        <v>GIRLS</v>
      </c>
      <c r="K55" s="13" t="str">
        <f t="shared" si="5"/>
        <v>Game</v>
      </c>
    </row>
    <row r="56" ht="15.75" hidden="1" customHeight="1">
      <c r="A56" s="1185" t="s">
        <v>814</v>
      </c>
      <c r="B56" s="1179"/>
      <c r="C56" s="1186"/>
      <c r="D56" s="1186"/>
      <c r="E56" s="1179"/>
      <c r="F56" s="1185"/>
      <c r="G56" s="13">
        <f t="shared" si="2"/>
        <v>1</v>
      </c>
      <c r="H56" s="224" t="str">
        <f t="shared" ref="H56:I56" si="40">IF(OR(C56=0,C56="SCORE"),"",C56)</f>
        <v/>
      </c>
      <c r="I56" s="13" t="str">
        <f t="shared" si="40"/>
        <v/>
      </c>
      <c r="J56" s="13" t="str">
        <f t="shared" si="4"/>
        <v/>
      </c>
      <c r="K56" s="13" t="str">
        <f t="shared" si="5"/>
        <v>N/A</v>
      </c>
    </row>
    <row r="57" ht="15.75" customHeight="1">
      <c r="A57" s="1185"/>
      <c r="B57" s="1179" t="s">
        <v>723</v>
      </c>
      <c r="C57" s="1186">
        <v>142.42</v>
      </c>
      <c r="D57" s="1186">
        <v>147.98</v>
      </c>
      <c r="E57" s="1179" t="s">
        <v>728</v>
      </c>
      <c r="F57" s="1189" t="s">
        <v>818</v>
      </c>
      <c r="G57" s="13" t="str">
        <f t="shared" si="2"/>
        <v>SAVAGES</v>
      </c>
      <c r="H57" s="1187">
        <f t="shared" ref="H57:I57" si="41">IF(OR(C57=0,C57="SCORE"),"",C57)</f>
        <v>142.42</v>
      </c>
      <c r="I57" s="1188">
        <f t="shared" si="41"/>
        <v>147.98</v>
      </c>
      <c r="J57" s="13" t="str">
        <f t="shared" si="4"/>
        <v>DEEZ NUTS</v>
      </c>
      <c r="K57" s="13" t="str">
        <f t="shared" si="5"/>
        <v>Game</v>
      </c>
    </row>
    <row r="58" ht="15.75" hidden="1" customHeight="1">
      <c r="A58" s="1185" t="s">
        <v>819</v>
      </c>
      <c r="B58" s="1179"/>
      <c r="C58" s="1186"/>
      <c r="D58" s="1186"/>
      <c r="E58" s="1180"/>
      <c r="F58" s="1189"/>
      <c r="G58" s="13">
        <f t="shared" si="2"/>
        <v>1</v>
      </c>
      <c r="H58" s="224" t="str">
        <f t="shared" ref="H58:I58" si="42">IF(OR(C58=0,C58="SCORE"),"",C58)</f>
        <v/>
      </c>
      <c r="I58" s="13" t="str">
        <f t="shared" si="42"/>
        <v/>
      </c>
      <c r="J58" s="13" t="str">
        <f t="shared" si="4"/>
        <v/>
      </c>
      <c r="K58" s="13" t="str">
        <f t="shared" si="5"/>
        <v>N/A</v>
      </c>
    </row>
    <row r="59" ht="15.75" customHeight="1">
      <c r="A59" s="1185"/>
      <c r="B59" s="1180" t="s">
        <v>722</v>
      </c>
      <c r="C59" s="1186">
        <v>142.62</v>
      </c>
      <c r="D59" s="1186">
        <v>126.93</v>
      </c>
      <c r="E59" s="1179" t="s">
        <v>724</v>
      </c>
      <c r="F59" s="1185"/>
      <c r="G59" s="13" t="str">
        <f t="shared" si="2"/>
        <v>DECOUPES</v>
      </c>
      <c r="H59" s="1187">
        <f t="shared" ref="H59:I59" si="43">IF(OR(C59=0,C59="SCORE"),"",C59)</f>
        <v>142.62</v>
      </c>
      <c r="I59" s="1188">
        <f t="shared" si="43"/>
        <v>126.93</v>
      </c>
      <c r="J59" s="13" t="str">
        <f t="shared" si="4"/>
        <v>METAMOOKDAWGS</v>
      </c>
      <c r="K59" s="13" t="str">
        <f t="shared" si="5"/>
        <v>Game</v>
      </c>
    </row>
    <row r="60" ht="15.75" hidden="1" customHeight="1">
      <c r="A60" s="1189" t="s">
        <v>822</v>
      </c>
      <c r="B60" s="1180"/>
      <c r="C60" s="1186"/>
      <c r="D60" s="1186"/>
      <c r="E60" s="1179"/>
      <c r="F60" s="1185" t="s">
        <v>823</v>
      </c>
      <c r="G60" s="13">
        <f t="shared" si="2"/>
        <v>1</v>
      </c>
      <c r="H60" s="224" t="str">
        <f t="shared" ref="H60:I60" si="44">IF(OR(C60=0,C60="SCORE"),"",C60)</f>
        <v/>
      </c>
      <c r="I60" s="13" t="str">
        <f t="shared" si="44"/>
        <v/>
      </c>
      <c r="J60" s="13" t="str">
        <f t="shared" si="4"/>
        <v/>
      </c>
      <c r="K60" s="13" t="str">
        <f t="shared" si="5"/>
        <v>N/A</v>
      </c>
    </row>
    <row r="61" ht="15.75" customHeight="1">
      <c r="A61" s="1185"/>
      <c r="B61" s="1179" t="s">
        <v>727</v>
      </c>
      <c r="C61" s="1186">
        <v>136.69</v>
      </c>
      <c r="D61" s="1186">
        <v>153.14</v>
      </c>
      <c r="E61" s="1179" t="s">
        <v>721</v>
      </c>
      <c r="F61" s="1185"/>
      <c r="G61" s="13" t="str">
        <f t="shared" si="2"/>
        <v>GREEN</v>
      </c>
      <c r="H61" s="1187">
        <f t="shared" ref="H61:I61" si="45">IF(OR(C61=0,C61="SCORE"),"",C61)</f>
        <v>136.69</v>
      </c>
      <c r="I61" s="1188">
        <f t="shared" si="45"/>
        <v>153.14</v>
      </c>
      <c r="J61" s="13" t="str">
        <f t="shared" si="4"/>
        <v>MUTTS</v>
      </c>
      <c r="K61" s="13" t="str">
        <f t="shared" si="5"/>
        <v>Game</v>
      </c>
    </row>
    <row r="62" ht="15.75" hidden="1" customHeight="1">
      <c r="A62" s="1185" t="s">
        <v>826</v>
      </c>
      <c r="B62" s="1179"/>
      <c r="C62" s="1186"/>
      <c r="D62" s="1186"/>
      <c r="E62" s="1179"/>
      <c r="F62" s="1185" t="s">
        <v>827</v>
      </c>
      <c r="G62" s="13">
        <f t="shared" si="2"/>
        <v>1</v>
      </c>
      <c r="H62" s="224" t="str">
        <f t="shared" ref="H62:I62" si="46">IF(OR(C62=0,C62="SCORE"),"",C62)</f>
        <v/>
      </c>
      <c r="I62" s="13" t="str">
        <f t="shared" si="46"/>
        <v/>
      </c>
      <c r="J62" s="13" t="str">
        <f t="shared" si="4"/>
        <v/>
      </c>
      <c r="K62" s="13" t="str">
        <f t="shared" si="5"/>
        <v>N/A</v>
      </c>
    </row>
    <row r="63" ht="15.75" customHeight="1">
      <c r="A63" s="1185"/>
      <c r="B63" s="1179" t="s">
        <v>743</v>
      </c>
      <c r="C63" s="1186">
        <v>139.24</v>
      </c>
      <c r="D63" s="1186">
        <v>166.28</v>
      </c>
      <c r="E63" s="1179" t="s">
        <v>725</v>
      </c>
      <c r="F63" s="1185"/>
      <c r="G63" s="13" t="str">
        <f t="shared" si="2"/>
        <v>CHAMPS</v>
      </c>
      <c r="H63" s="1187">
        <f t="shared" ref="H63:I63" si="47">IF(OR(C63=0,C63="SCORE"),"",C63)</f>
        <v>139.24</v>
      </c>
      <c r="I63" s="1188">
        <f t="shared" si="47"/>
        <v>166.28</v>
      </c>
      <c r="J63" s="13" t="str">
        <f t="shared" si="4"/>
        <v>YARDIES</v>
      </c>
      <c r="K63" s="13" t="str">
        <f t="shared" si="5"/>
        <v>Game</v>
      </c>
    </row>
    <row r="64" ht="15.75" hidden="1" customHeight="1">
      <c r="A64" s="1185" t="s">
        <v>831</v>
      </c>
      <c r="B64" s="1179"/>
      <c r="C64" s="1186"/>
      <c r="D64" s="1186"/>
      <c r="E64" s="1179"/>
      <c r="F64" s="1185" t="s">
        <v>832</v>
      </c>
      <c r="G64" s="13">
        <f t="shared" si="2"/>
        <v>1</v>
      </c>
      <c r="H64" s="224" t="str">
        <f t="shared" ref="H64:I64" si="48">IF(OR(C64=0,C64="SCORE"),"",C64)</f>
        <v/>
      </c>
      <c r="I64" s="13" t="str">
        <f t="shared" si="48"/>
        <v/>
      </c>
      <c r="J64" s="13" t="str">
        <f t="shared" si="4"/>
        <v/>
      </c>
      <c r="K64" s="13" t="str">
        <f t="shared" si="5"/>
        <v>N/A</v>
      </c>
    </row>
    <row r="65" ht="15.75" hidden="1" customHeight="1">
      <c r="A65" s="1181" t="s">
        <v>792</v>
      </c>
      <c r="G65" s="13">
        <f t="shared" si="2"/>
        <v>1</v>
      </c>
      <c r="H65" s="224" t="str">
        <f t="shared" ref="H65:I65" si="49">IF(OR(C65=0,C65="SCORE"),"",C65)</f>
        <v/>
      </c>
      <c r="I65" s="13" t="str">
        <f t="shared" si="49"/>
        <v/>
      </c>
      <c r="J65" s="13" t="str">
        <f t="shared" si="4"/>
        <v/>
      </c>
      <c r="K65" s="13" t="str">
        <f t="shared" si="5"/>
        <v>N/A</v>
      </c>
    </row>
    <row r="66" ht="15.75" hidden="1" customHeight="1">
      <c r="A66" s="1182" t="s">
        <v>731</v>
      </c>
      <c r="B66" s="1183"/>
      <c r="C66" s="1182" t="s">
        <v>510</v>
      </c>
      <c r="D66" s="1182" t="s">
        <v>510</v>
      </c>
      <c r="E66" s="1183"/>
      <c r="F66" s="1182" t="s">
        <v>732</v>
      </c>
      <c r="G66" s="13">
        <f t="shared" si="2"/>
        <v>1</v>
      </c>
      <c r="H66" s="224" t="str">
        <f t="shared" ref="H66:I66" si="50">IF(OR(C66=0,C66="SCORE"),"",C66)</f>
        <v/>
      </c>
      <c r="I66" s="13" t="str">
        <f t="shared" si="50"/>
        <v/>
      </c>
      <c r="J66" s="13" t="str">
        <f t="shared" si="4"/>
        <v/>
      </c>
      <c r="K66" s="13" t="str">
        <f t="shared" si="5"/>
        <v>N/A</v>
      </c>
    </row>
    <row r="67" ht="15.75" customHeight="1">
      <c r="A67" s="1185"/>
      <c r="B67" s="1179" t="s">
        <v>726</v>
      </c>
      <c r="C67" s="1186">
        <v>218.29</v>
      </c>
      <c r="D67" s="1186">
        <v>168.27</v>
      </c>
      <c r="E67" s="1179" t="s">
        <v>723</v>
      </c>
      <c r="F67" s="1185"/>
      <c r="G67" s="13" t="str">
        <f t="shared" si="2"/>
        <v>POPEYES</v>
      </c>
      <c r="H67" s="1187">
        <f t="shared" ref="H67:I67" si="51">IF(OR(C67=0,C67="SCORE"),"",C67)</f>
        <v>218.29</v>
      </c>
      <c r="I67" s="1188">
        <f t="shared" si="51"/>
        <v>168.27</v>
      </c>
      <c r="J67" s="13" t="str">
        <f t="shared" si="4"/>
        <v>SAVAGES</v>
      </c>
      <c r="K67" s="13" t="str">
        <f t="shared" si="5"/>
        <v>Game</v>
      </c>
    </row>
    <row r="68" ht="15.75" hidden="1" customHeight="1">
      <c r="A68" s="1185" t="s">
        <v>835</v>
      </c>
      <c r="B68" s="1179"/>
      <c r="C68" s="1186"/>
      <c r="D68" s="1186"/>
      <c r="E68" s="1179"/>
      <c r="F68" s="1185" t="s">
        <v>836</v>
      </c>
      <c r="G68" s="13">
        <f t="shared" si="2"/>
        <v>1</v>
      </c>
      <c r="H68" s="224" t="str">
        <f t="shared" ref="H68:I68" si="52">IF(OR(C68=0,C68="SCORE"),"",C68)</f>
        <v/>
      </c>
      <c r="I68" s="13" t="str">
        <f t="shared" si="52"/>
        <v/>
      </c>
      <c r="J68" s="13" t="str">
        <f t="shared" si="4"/>
        <v/>
      </c>
      <c r="K68" s="13" t="str">
        <f t="shared" si="5"/>
        <v>N/A</v>
      </c>
    </row>
    <row r="69" ht="15.75" customHeight="1">
      <c r="A69" s="1185"/>
      <c r="B69" s="1180" t="s">
        <v>722</v>
      </c>
      <c r="C69" s="1186">
        <v>196.96</v>
      </c>
      <c r="D69" s="1186">
        <v>120.21</v>
      </c>
      <c r="E69" s="1179" t="s">
        <v>743</v>
      </c>
      <c r="F69" s="1185"/>
      <c r="G69" s="13" t="str">
        <f t="shared" si="2"/>
        <v>DECOUPES</v>
      </c>
      <c r="H69" s="1187">
        <f t="shared" ref="H69:I69" si="53">IF(OR(C69=0,C69="SCORE"),"",C69)</f>
        <v>196.96</v>
      </c>
      <c r="I69" s="1188">
        <f t="shared" si="53"/>
        <v>120.21</v>
      </c>
      <c r="J69" s="13" t="str">
        <f t="shared" si="4"/>
        <v>CHAMPS</v>
      </c>
      <c r="K69" s="13" t="str">
        <f t="shared" si="5"/>
        <v>Game</v>
      </c>
    </row>
    <row r="70" ht="15.75" hidden="1" customHeight="1">
      <c r="A70" s="1189" t="s">
        <v>839</v>
      </c>
      <c r="B70" s="1180"/>
      <c r="C70" s="1186"/>
      <c r="D70" s="1186"/>
      <c r="E70" s="1179"/>
      <c r="F70" s="1185" t="s">
        <v>840</v>
      </c>
      <c r="G70" s="13">
        <f t="shared" si="2"/>
        <v>1</v>
      </c>
      <c r="H70" s="224" t="str">
        <f t="shared" ref="H70:I70" si="54">IF(OR(C70=0,C70="SCORE"),"",C70)</f>
        <v/>
      </c>
      <c r="I70" s="13" t="str">
        <f t="shared" si="54"/>
        <v/>
      </c>
      <c r="J70" s="13" t="str">
        <f t="shared" si="4"/>
        <v/>
      </c>
      <c r="K70" s="13" t="str">
        <f t="shared" si="5"/>
        <v>N/A</v>
      </c>
    </row>
    <row r="71" ht="15.75" customHeight="1">
      <c r="A71" s="1185"/>
      <c r="B71" s="1179" t="s">
        <v>724</v>
      </c>
      <c r="C71" s="1186">
        <v>196.8</v>
      </c>
      <c r="D71" s="1186">
        <v>223.53</v>
      </c>
      <c r="E71" s="1179" t="s">
        <v>721</v>
      </c>
      <c r="F71" s="1185"/>
      <c r="G71" s="13" t="str">
        <f t="shared" si="2"/>
        <v>METAMOOKDAWGS</v>
      </c>
      <c r="H71" s="1187">
        <f t="shared" ref="H71:I71" si="55">IF(OR(C71=0,C71="SCORE"),"",C71)</f>
        <v>196.8</v>
      </c>
      <c r="I71" s="1188">
        <f t="shared" si="55"/>
        <v>223.53</v>
      </c>
      <c r="J71" s="13" t="str">
        <f t="shared" si="4"/>
        <v>MUTTS</v>
      </c>
      <c r="K71" s="13" t="str">
        <f t="shared" si="5"/>
        <v>Game</v>
      </c>
    </row>
    <row r="72" ht="15.75" hidden="1" customHeight="1">
      <c r="A72" s="1185" t="s">
        <v>843</v>
      </c>
      <c r="B72" s="1179"/>
      <c r="C72" s="1186"/>
      <c r="D72" s="1186"/>
      <c r="E72" s="1179"/>
      <c r="F72" s="1185" t="s">
        <v>844</v>
      </c>
      <c r="G72" s="13">
        <f t="shared" si="2"/>
        <v>1</v>
      </c>
      <c r="H72" s="224" t="str">
        <f t="shared" ref="H72:I72" si="56">IF(OR(C72=0,C72="SCORE"),"",C72)</f>
        <v/>
      </c>
      <c r="I72" s="13" t="str">
        <f t="shared" si="56"/>
        <v/>
      </c>
      <c r="J72" s="13" t="str">
        <f t="shared" si="4"/>
        <v/>
      </c>
      <c r="K72" s="13" t="str">
        <f t="shared" si="5"/>
        <v>N/A</v>
      </c>
    </row>
    <row r="73" ht="15.75" customHeight="1">
      <c r="A73" s="1185"/>
      <c r="B73" s="1179" t="s">
        <v>725</v>
      </c>
      <c r="C73" s="1186">
        <v>166.11</v>
      </c>
      <c r="D73" s="1186">
        <v>130.79</v>
      </c>
      <c r="E73" s="1179" t="s">
        <v>728</v>
      </c>
      <c r="F73" s="1189" t="s">
        <v>847</v>
      </c>
      <c r="G73" s="13" t="str">
        <f t="shared" si="2"/>
        <v>YARDIES</v>
      </c>
      <c r="H73" s="1187">
        <f t="shared" ref="H73:I73" si="57">IF(OR(C73=0,C73="SCORE"),"",C73)</f>
        <v>166.11</v>
      </c>
      <c r="I73" s="1188">
        <f t="shared" si="57"/>
        <v>130.79</v>
      </c>
      <c r="J73" s="13" t="str">
        <f t="shared" si="4"/>
        <v>DEEZ NUTS</v>
      </c>
      <c r="K73" s="13" t="str">
        <f t="shared" si="5"/>
        <v>Game</v>
      </c>
    </row>
    <row r="74" ht="15.75" hidden="1" customHeight="1">
      <c r="A74" s="1185" t="s">
        <v>849</v>
      </c>
      <c r="B74" s="1179"/>
      <c r="C74" s="1186"/>
      <c r="D74" s="1186"/>
      <c r="E74" s="1180"/>
      <c r="F74" s="1189"/>
      <c r="G74" s="13">
        <f t="shared" si="2"/>
        <v>1</v>
      </c>
      <c r="H74" s="224" t="str">
        <f t="shared" ref="H74:I74" si="58">IF(OR(C74=0,C74="SCORE"),"",C74)</f>
        <v/>
      </c>
      <c r="I74" s="13" t="str">
        <f t="shared" si="58"/>
        <v/>
      </c>
      <c r="J74" s="13" t="str">
        <f t="shared" si="4"/>
        <v/>
      </c>
      <c r="K74" s="13" t="str">
        <f t="shared" si="5"/>
        <v>N/A</v>
      </c>
    </row>
    <row r="75" ht="15.75" hidden="1" customHeight="1">
      <c r="A75" s="1208" t="s">
        <v>850</v>
      </c>
      <c r="G75" s="13">
        <f t="shared" si="2"/>
        <v>1</v>
      </c>
      <c r="H75" s="224" t="str">
        <f t="shared" ref="H75:I75" si="59">IF(OR(C75=0,C75="SCORE"),"",C75)</f>
        <v/>
      </c>
      <c r="I75" s="13" t="str">
        <f t="shared" si="59"/>
        <v/>
      </c>
      <c r="J75" s="13" t="str">
        <f t="shared" si="4"/>
        <v/>
      </c>
      <c r="K75" s="13" t="str">
        <f t="shared" si="5"/>
        <v>N/A</v>
      </c>
    </row>
    <row r="76" ht="15.75" hidden="1" customHeight="1">
      <c r="A76" s="1209"/>
      <c r="G76" s="13">
        <f t="shared" si="2"/>
        <v>1</v>
      </c>
      <c r="H76" s="224" t="str">
        <f t="shared" ref="H76:I76" si="60">IF(OR(C76=0,C76="SCORE"),"",C76)</f>
        <v/>
      </c>
      <c r="I76" s="13" t="str">
        <f t="shared" si="60"/>
        <v/>
      </c>
      <c r="J76" s="13" t="str">
        <f t="shared" si="4"/>
        <v/>
      </c>
      <c r="K76" s="13" t="str">
        <f t="shared" si="5"/>
        <v>N/A</v>
      </c>
    </row>
    <row r="77" ht="15.75" hidden="1" customHeight="1">
      <c r="A77" s="1208" t="s">
        <v>851</v>
      </c>
      <c r="G77" s="13">
        <f t="shared" si="2"/>
        <v>1</v>
      </c>
      <c r="H77" s="224" t="str">
        <f t="shared" ref="H77:I77" si="61">IF(OR(C77=0,C77="SCORE"),"",C77)</f>
        <v/>
      </c>
      <c r="I77" s="13" t="str">
        <f t="shared" si="61"/>
        <v/>
      </c>
      <c r="J77" s="13" t="str">
        <f t="shared" si="4"/>
        <v/>
      </c>
      <c r="K77" s="13" t="str">
        <f t="shared" si="5"/>
        <v>N/A</v>
      </c>
    </row>
    <row r="78" ht="15.75" hidden="1" customHeight="1">
      <c r="A78" s="1208" t="s">
        <v>852</v>
      </c>
      <c r="G78" s="13">
        <f t="shared" si="2"/>
        <v>1</v>
      </c>
      <c r="H78" s="224" t="str">
        <f t="shared" ref="H78:I78" si="62">IF(OR(C78=0,C78="SCORE"),"",C78)</f>
        <v/>
      </c>
      <c r="I78" s="13" t="str">
        <f t="shared" si="62"/>
        <v/>
      </c>
      <c r="J78" s="13" t="str">
        <f t="shared" si="4"/>
        <v/>
      </c>
      <c r="K78" s="13" t="str">
        <f t="shared" si="5"/>
        <v>N/A</v>
      </c>
    </row>
    <row r="79" ht="15.75" hidden="1" customHeight="1">
      <c r="A79" s="1181" t="s">
        <v>812</v>
      </c>
      <c r="G79" s="13">
        <f t="shared" si="2"/>
        <v>1</v>
      </c>
      <c r="H79" s="224" t="str">
        <f t="shared" ref="H79:I79" si="63">IF(OR(C79=0,C79="SCORE"),"",C79)</f>
        <v/>
      </c>
      <c r="I79" s="13" t="str">
        <f t="shared" si="63"/>
        <v/>
      </c>
      <c r="J79" s="13" t="str">
        <f t="shared" si="4"/>
        <v/>
      </c>
      <c r="K79" s="13" t="str">
        <f t="shared" si="5"/>
        <v>N/A</v>
      </c>
    </row>
    <row r="80" ht="15.75" hidden="1" customHeight="1">
      <c r="A80" s="1182" t="s">
        <v>731</v>
      </c>
      <c r="B80" s="1183"/>
      <c r="C80" s="1182" t="s">
        <v>510</v>
      </c>
      <c r="D80" s="1182" t="s">
        <v>510</v>
      </c>
      <c r="E80" s="1183"/>
      <c r="F80" s="1182" t="s">
        <v>732</v>
      </c>
      <c r="G80" s="13">
        <f t="shared" si="2"/>
        <v>1</v>
      </c>
      <c r="H80" s="224" t="str">
        <f t="shared" ref="H80:I80" si="64">IF(OR(C80=0,C80="SCORE"),"",C80)</f>
        <v/>
      </c>
      <c r="I80" s="13" t="str">
        <f t="shared" si="64"/>
        <v/>
      </c>
      <c r="J80" s="13" t="str">
        <f t="shared" si="4"/>
        <v/>
      </c>
      <c r="K80" s="13" t="str">
        <f t="shared" si="5"/>
        <v>N/A</v>
      </c>
    </row>
    <row r="81" ht="15.75" customHeight="1">
      <c r="A81" s="1185"/>
      <c r="B81" s="1179" t="s">
        <v>726</v>
      </c>
      <c r="C81" s="1186">
        <v>124.73</v>
      </c>
      <c r="D81" s="1186">
        <v>252.52</v>
      </c>
      <c r="E81" s="1180" t="s">
        <v>722</v>
      </c>
      <c r="F81" s="1185"/>
      <c r="G81" s="13" t="str">
        <f t="shared" si="2"/>
        <v>POPEYES</v>
      </c>
      <c r="H81" s="1187">
        <f t="shared" ref="H81:I81" si="65">IF(OR(C81=0,C81="SCORE"),"",C81)</f>
        <v>124.73</v>
      </c>
      <c r="I81" s="1188">
        <f t="shared" si="65"/>
        <v>252.52</v>
      </c>
      <c r="J81" s="13" t="str">
        <f t="shared" si="4"/>
        <v>DECOUPES</v>
      </c>
      <c r="K81" s="13" t="str">
        <f t="shared" si="5"/>
        <v>Game</v>
      </c>
    </row>
    <row r="82" ht="15.75" hidden="1" customHeight="1">
      <c r="A82" s="1185" t="s">
        <v>857</v>
      </c>
      <c r="B82" s="1179"/>
      <c r="C82" s="1186"/>
      <c r="D82" s="1186"/>
      <c r="E82" s="1180"/>
      <c r="F82" s="1189" t="s">
        <v>858</v>
      </c>
      <c r="G82" s="13">
        <f t="shared" si="2"/>
        <v>1</v>
      </c>
      <c r="H82" s="224" t="str">
        <f t="shared" ref="H82:I82" si="66">IF(OR(C82=0,C82="SCORE"),"",C82)</f>
        <v/>
      </c>
      <c r="I82" s="13" t="str">
        <f t="shared" si="66"/>
        <v/>
      </c>
      <c r="J82" s="13" t="str">
        <f t="shared" si="4"/>
        <v/>
      </c>
      <c r="K82" s="13" t="str">
        <f t="shared" si="5"/>
        <v>N/A</v>
      </c>
    </row>
    <row r="83" ht="15.75" customHeight="1">
      <c r="A83" s="1185"/>
      <c r="B83" s="1179" t="s">
        <v>727</v>
      </c>
      <c r="C83" s="1186">
        <v>135.28</v>
      </c>
      <c r="D83" s="1186">
        <v>171.44</v>
      </c>
      <c r="E83" s="1179" t="s">
        <v>743</v>
      </c>
      <c r="F83" s="1185"/>
      <c r="G83" s="13" t="str">
        <f t="shared" si="2"/>
        <v>GREEN</v>
      </c>
      <c r="H83" s="1187">
        <f t="shared" ref="H83:I83" si="67">IF(OR(C83=0,C83="SCORE"),"",C83)</f>
        <v>135.28</v>
      </c>
      <c r="I83" s="1188">
        <f t="shared" si="67"/>
        <v>171.44</v>
      </c>
      <c r="J83" s="13" t="str">
        <f t="shared" si="4"/>
        <v>CHAMPS</v>
      </c>
      <c r="K83" s="13" t="str">
        <f t="shared" si="5"/>
        <v>Game</v>
      </c>
    </row>
    <row r="84" ht="15.75" hidden="1" customHeight="1">
      <c r="A84" s="1185" t="s">
        <v>861</v>
      </c>
      <c r="B84" s="1179"/>
      <c r="C84" s="1186"/>
      <c r="D84" s="1186"/>
      <c r="E84" s="1179"/>
      <c r="F84" s="1185" t="s">
        <v>862</v>
      </c>
      <c r="G84" s="13">
        <f t="shared" si="2"/>
        <v>1</v>
      </c>
      <c r="H84" s="224" t="str">
        <f t="shared" ref="H84:I84" si="68">IF(OR(C84=0,C84="SCORE"),"",C84)</f>
        <v/>
      </c>
      <c r="I84" s="13" t="str">
        <f t="shared" si="68"/>
        <v/>
      </c>
      <c r="J84" s="13" t="str">
        <f t="shared" si="4"/>
        <v/>
      </c>
      <c r="K84" s="13" t="str">
        <f t="shared" si="5"/>
        <v>N/A</v>
      </c>
    </row>
    <row r="85" ht="15.75" customHeight="1">
      <c r="A85" s="1185"/>
      <c r="B85" s="1179" t="s">
        <v>724</v>
      </c>
      <c r="C85" s="1186">
        <v>155.8</v>
      </c>
      <c r="D85" s="1186">
        <v>195.9</v>
      </c>
      <c r="E85" s="1179" t="s">
        <v>725</v>
      </c>
      <c r="F85" s="1185"/>
      <c r="G85" s="13" t="str">
        <f t="shared" si="2"/>
        <v>METAMOOKDAWGS</v>
      </c>
      <c r="H85" s="1187">
        <f t="shared" ref="H85:I85" si="69">IF(OR(C85=0,C85="SCORE"),"",C85)</f>
        <v>155.8</v>
      </c>
      <c r="I85" s="1188">
        <f t="shared" si="69"/>
        <v>195.9</v>
      </c>
      <c r="J85" s="13" t="str">
        <f t="shared" si="4"/>
        <v>YARDIES</v>
      </c>
      <c r="K85" s="13" t="str">
        <f t="shared" si="5"/>
        <v>Game</v>
      </c>
    </row>
    <row r="86" ht="15.75" hidden="1" customHeight="1">
      <c r="A86" s="1185" t="s">
        <v>866</v>
      </c>
      <c r="B86" s="1179"/>
      <c r="C86" s="1186"/>
      <c r="D86" s="1186"/>
      <c r="E86" s="1179"/>
      <c r="F86" s="1185" t="s">
        <v>867</v>
      </c>
      <c r="G86" s="13">
        <f t="shared" si="2"/>
        <v>1</v>
      </c>
      <c r="H86" s="224" t="str">
        <f t="shared" ref="H86:I86" si="70">IF(OR(C86=0,C86="SCORE"),"",C86)</f>
        <v/>
      </c>
      <c r="I86" s="13" t="str">
        <f t="shared" si="70"/>
        <v/>
      </c>
      <c r="J86" s="13" t="str">
        <f t="shared" si="4"/>
        <v/>
      </c>
      <c r="K86" s="13" t="str">
        <f t="shared" si="5"/>
        <v>N/A</v>
      </c>
    </row>
    <row r="87" ht="15.75" customHeight="1">
      <c r="A87" s="1185" t="s">
        <v>868</v>
      </c>
      <c r="B87" s="1179" t="s">
        <v>729</v>
      </c>
      <c r="C87" s="1186">
        <v>175.38</v>
      </c>
      <c r="D87" s="1186">
        <v>158.61</v>
      </c>
      <c r="E87" s="1179" t="s">
        <v>728</v>
      </c>
      <c r="F87" s="1189" t="s">
        <v>869</v>
      </c>
      <c r="G87" s="13" t="str">
        <f t="shared" si="2"/>
        <v>GIRLS</v>
      </c>
      <c r="H87" s="1187">
        <f t="shared" ref="H87:I87" si="71">IF(OR(C87=0,C87="SCORE"),"",C87)</f>
        <v>175.38</v>
      </c>
      <c r="I87" s="1188">
        <f t="shared" si="71"/>
        <v>158.61</v>
      </c>
      <c r="J87" s="13" t="str">
        <f t="shared" si="4"/>
        <v>DEEZ NUTS</v>
      </c>
      <c r="K87" s="13" t="str">
        <f t="shared" si="5"/>
        <v>Game</v>
      </c>
    </row>
    <row r="88" ht="15.75" hidden="1" customHeight="1">
      <c r="A88" s="1208" t="s">
        <v>850</v>
      </c>
      <c r="G88" s="13">
        <f t="shared" si="2"/>
        <v>1</v>
      </c>
      <c r="H88" s="224" t="str">
        <f t="shared" ref="H88:I88" si="72">IF(OR(C88=0,C88="SCORE"),"",C88)</f>
        <v/>
      </c>
      <c r="I88" s="13" t="str">
        <f t="shared" si="72"/>
        <v/>
      </c>
      <c r="J88" s="13" t="str">
        <f t="shared" si="4"/>
        <v/>
      </c>
      <c r="K88" s="13" t="str">
        <f t="shared" si="5"/>
        <v>N/A</v>
      </c>
    </row>
    <row r="89" ht="15.75" hidden="1" customHeight="1">
      <c r="A89" s="1209"/>
      <c r="G89" s="13">
        <f t="shared" si="2"/>
        <v>1</v>
      </c>
      <c r="H89" s="224" t="str">
        <f t="shared" ref="H89:I89" si="73">IF(OR(C89=0,C89="SCORE"),"",C89)</f>
        <v/>
      </c>
      <c r="I89" s="13" t="str">
        <f t="shared" si="73"/>
        <v/>
      </c>
      <c r="J89" s="13" t="str">
        <f t="shared" si="4"/>
        <v/>
      </c>
      <c r="K89" s="13" t="str">
        <f t="shared" si="5"/>
        <v>N/A</v>
      </c>
    </row>
    <row r="90" ht="15.75" hidden="1" customHeight="1">
      <c r="A90" s="1208" t="s">
        <v>872</v>
      </c>
      <c r="G90" s="13">
        <f t="shared" si="2"/>
        <v>1</v>
      </c>
      <c r="H90" s="224" t="str">
        <f t="shared" ref="H90:I90" si="74">IF(OR(C90=0,C90="SCORE"),"",C90)</f>
        <v/>
      </c>
      <c r="I90" s="13" t="str">
        <f t="shared" si="74"/>
        <v/>
      </c>
      <c r="J90" s="13" t="str">
        <f t="shared" si="4"/>
        <v/>
      </c>
      <c r="K90" s="13" t="str">
        <f t="shared" si="5"/>
        <v>N/A</v>
      </c>
    </row>
    <row r="91" ht="15.75" hidden="1" customHeight="1">
      <c r="A91" s="1209"/>
      <c r="G91" s="13">
        <f t="shared" si="2"/>
        <v>1</v>
      </c>
      <c r="H91" s="224" t="str">
        <f t="shared" ref="H91:I91" si="75">IF(OR(C91=0,C91="SCORE"),"",C91)</f>
        <v/>
      </c>
      <c r="I91" s="13" t="str">
        <f t="shared" si="75"/>
        <v/>
      </c>
      <c r="J91" s="13" t="str">
        <f t="shared" si="4"/>
        <v/>
      </c>
      <c r="K91" s="13" t="str">
        <f t="shared" si="5"/>
        <v>N/A</v>
      </c>
    </row>
    <row r="92" ht="15.75" hidden="1" customHeight="1">
      <c r="A92" s="1208" t="s">
        <v>873</v>
      </c>
      <c r="G92" s="13">
        <f t="shared" si="2"/>
        <v>1</v>
      </c>
      <c r="H92" s="224" t="str">
        <f t="shared" ref="H92:I92" si="76">IF(OR(C92=0,C92="SCORE"),"",C92)</f>
        <v/>
      </c>
      <c r="I92" s="13" t="str">
        <f t="shared" si="76"/>
        <v/>
      </c>
      <c r="J92" s="13" t="str">
        <f t="shared" si="4"/>
        <v/>
      </c>
      <c r="K92" s="13" t="str">
        <f t="shared" si="5"/>
        <v>N/A</v>
      </c>
    </row>
    <row r="93" ht="15.75" hidden="1" customHeight="1">
      <c r="A93" s="1181" t="s">
        <v>830</v>
      </c>
      <c r="G93" s="13">
        <f t="shared" si="2"/>
        <v>1</v>
      </c>
      <c r="H93" s="224" t="str">
        <f t="shared" ref="H93:I93" si="77">IF(OR(C93=0,C93="SCORE"),"",C93)</f>
        <v/>
      </c>
      <c r="I93" s="13" t="str">
        <f t="shared" si="77"/>
        <v/>
      </c>
      <c r="J93" s="13" t="str">
        <f t="shared" si="4"/>
        <v/>
      </c>
      <c r="K93" s="13" t="str">
        <f t="shared" si="5"/>
        <v>N/A</v>
      </c>
    </row>
    <row r="94" ht="15.75" hidden="1" customHeight="1">
      <c r="A94" s="1182" t="s">
        <v>731</v>
      </c>
      <c r="B94" s="1183"/>
      <c r="C94" s="1182" t="s">
        <v>510</v>
      </c>
      <c r="D94" s="1182" t="s">
        <v>510</v>
      </c>
      <c r="E94" s="1183"/>
      <c r="F94" s="1182" t="s">
        <v>732</v>
      </c>
      <c r="G94" s="13">
        <f t="shared" si="2"/>
        <v>1</v>
      </c>
      <c r="H94" s="224" t="str">
        <f t="shared" ref="H94:I94" si="78">IF(OR(C94=0,C94="SCORE"),"",C94)</f>
        <v/>
      </c>
      <c r="I94" s="13" t="str">
        <f t="shared" si="78"/>
        <v/>
      </c>
      <c r="J94" s="13" t="str">
        <f t="shared" si="4"/>
        <v/>
      </c>
      <c r="K94" s="13" t="str">
        <f t="shared" si="5"/>
        <v>N/A</v>
      </c>
    </row>
    <row r="95" ht="15.75" customHeight="1">
      <c r="A95" s="1185"/>
      <c r="B95" s="1179" t="s">
        <v>726</v>
      </c>
      <c r="C95" s="1186">
        <v>133.29</v>
      </c>
      <c r="D95" s="1186">
        <v>187.71</v>
      </c>
      <c r="E95" s="1179" t="s">
        <v>727</v>
      </c>
      <c r="F95" s="1185"/>
      <c r="G95" s="13" t="str">
        <f t="shared" si="2"/>
        <v>POPEYES</v>
      </c>
      <c r="H95" s="1187">
        <f t="shared" ref="H95:I95" si="79">IF(OR(C95=0,C95="SCORE"),"",C95)</f>
        <v>133.29</v>
      </c>
      <c r="I95" s="1188">
        <f t="shared" si="79"/>
        <v>187.71</v>
      </c>
      <c r="J95" s="13" t="str">
        <f t="shared" si="4"/>
        <v>GREEN</v>
      </c>
      <c r="K95" s="13" t="str">
        <f t="shared" si="5"/>
        <v>Game</v>
      </c>
    </row>
    <row r="96" ht="15.75" hidden="1" customHeight="1">
      <c r="A96" s="1185" t="s">
        <v>878</v>
      </c>
      <c r="B96" s="1179"/>
      <c r="C96" s="1186"/>
      <c r="D96" s="1186"/>
      <c r="E96" s="1179"/>
      <c r="F96" s="1185" t="s">
        <v>879</v>
      </c>
      <c r="G96" s="13">
        <f t="shared" si="2"/>
        <v>1</v>
      </c>
      <c r="H96" s="224" t="str">
        <f t="shared" ref="H96:I96" si="80">IF(OR(C96=0,C96="SCORE"),"",C96)</f>
        <v/>
      </c>
      <c r="I96" s="13" t="str">
        <f t="shared" si="80"/>
        <v/>
      </c>
      <c r="J96" s="13" t="str">
        <f t="shared" si="4"/>
        <v/>
      </c>
      <c r="K96" s="13" t="str">
        <f t="shared" si="5"/>
        <v>N/A</v>
      </c>
    </row>
    <row r="97" ht="15.75" customHeight="1">
      <c r="A97" s="1185"/>
      <c r="B97" s="1179" t="s">
        <v>723</v>
      </c>
      <c r="C97" s="1186">
        <v>187.92</v>
      </c>
      <c r="D97" s="1186">
        <v>148.76</v>
      </c>
      <c r="E97" s="1180" t="s">
        <v>722</v>
      </c>
      <c r="F97" s="1185"/>
      <c r="G97" s="13" t="str">
        <f t="shared" si="2"/>
        <v>SAVAGES</v>
      </c>
      <c r="H97" s="1187">
        <f t="shared" ref="H97:I97" si="81">IF(OR(C97=0,C97="SCORE"),"",C97)</f>
        <v>187.92</v>
      </c>
      <c r="I97" s="1188">
        <f t="shared" si="81"/>
        <v>148.76</v>
      </c>
      <c r="J97" s="13" t="str">
        <f t="shared" si="4"/>
        <v>DECOUPES</v>
      </c>
      <c r="K97" s="13" t="str">
        <f t="shared" si="5"/>
        <v>Game</v>
      </c>
    </row>
    <row r="98" ht="15.75" hidden="1" customHeight="1">
      <c r="A98" s="1185" t="s">
        <v>883</v>
      </c>
      <c r="B98" s="1179"/>
      <c r="C98" s="1186"/>
      <c r="D98" s="1186"/>
      <c r="E98" s="1180"/>
      <c r="F98" s="1189" t="s">
        <v>884</v>
      </c>
      <c r="G98" s="13">
        <f t="shared" si="2"/>
        <v>1</v>
      </c>
      <c r="H98" s="224" t="str">
        <f t="shared" ref="H98:I98" si="82">IF(OR(C98=0,C98="SCORE"),"",C98)</f>
        <v/>
      </c>
      <c r="I98" s="13" t="str">
        <f t="shared" si="82"/>
        <v/>
      </c>
      <c r="J98" s="13" t="str">
        <f t="shared" si="4"/>
        <v/>
      </c>
      <c r="K98" s="13" t="str">
        <f t="shared" si="5"/>
        <v>N/A</v>
      </c>
    </row>
    <row r="99" ht="15.75" customHeight="1">
      <c r="A99" s="1185"/>
      <c r="B99" s="1179" t="s">
        <v>724</v>
      </c>
      <c r="C99" s="1186">
        <v>216.28</v>
      </c>
      <c r="D99" s="1186">
        <v>195.86</v>
      </c>
      <c r="E99" s="1179" t="s">
        <v>729</v>
      </c>
      <c r="F99" s="1185" t="s">
        <v>885</v>
      </c>
      <c r="G99" s="13" t="str">
        <f t="shared" si="2"/>
        <v>METAMOOKDAWGS</v>
      </c>
      <c r="H99" s="1187">
        <f t="shared" ref="H99:I99" si="83">IF(OR(C99=0,C99="SCORE"),"",C99)</f>
        <v>216.28</v>
      </c>
      <c r="I99" s="1188">
        <f t="shared" si="83"/>
        <v>195.86</v>
      </c>
      <c r="J99" s="13" t="str">
        <f t="shared" si="4"/>
        <v>GIRLS</v>
      </c>
      <c r="K99" s="13" t="str">
        <f t="shared" si="5"/>
        <v>Game</v>
      </c>
    </row>
    <row r="100" ht="15.75" hidden="1" customHeight="1">
      <c r="A100" s="1185" t="s">
        <v>888</v>
      </c>
      <c r="B100" s="1179"/>
      <c r="C100" s="1186"/>
      <c r="D100" s="1186"/>
      <c r="E100" s="1179"/>
      <c r="F100" s="1185"/>
      <c r="G100" s="13">
        <f t="shared" si="2"/>
        <v>1</v>
      </c>
      <c r="H100" s="224" t="str">
        <f t="shared" ref="H100:I100" si="84">IF(OR(C100=0,C100="SCORE"),"",C100)</f>
        <v/>
      </c>
      <c r="I100" s="13" t="str">
        <f t="shared" si="84"/>
        <v/>
      </c>
      <c r="J100" s="13" t="str">
        <f t="shared" si="4"/>
        <v/>
      </c>
      <c r="K100" s="13" t="str">
        <f t="shared" si="5"/>
        <v>N/A</v>
      </c>
    </row>
    <row r="101" ht="15.75" customHeight="1">
      <c r="A101" s="1185"/>
      <c r="B101" s="1179" t="s">
        <v>721</v>
      </c>
      <c r="C101" s="1186">
        <v>163.84</v>
      </c>
      <c r="D101" s="1186">
        <v>163.82</v>
      </c>
      <c r="E101" s="1179" t="s">
        <v>725</v>
      </c>
      <c r="F101" s="1185"/>
      <c r="G101" s="13" t="str">
        <f t="shared" si="2"/>
        <v>MUTTS</v>
      </c>
      <c r="H101" s="1187">
        <f t="shared" ref="H101:I101" si="85">IF(OR(C101=0,C101="SCORE"),"",C101)</f>
        <v>163.84</v>
      </c>
      <c r="I101" s="1188">
        <f t="shared" si="85"/>
        <v>163.82</v>
      </c>
      <c r="J101" s="13" t="str">
        <f t="shared" si="4"/>
        <v>YARDIES</v>
      </c>
      <c r="K101" s="13" t="str">
        <f t="shared" si="5"/>
        <v>Game</v>
      </c>
    </row>
    <row r="102" ht="15.75" hidden="1" customHeight="1">
      <c r="A102" s="1185" t="s">
        <v>891</v>
      </c>
      <c r="B102" s="1179"/>
      <c r="C102" s="1186"/>
      <c r="D102" s="1186"/>
      <c r="E102" s="1179"/>
      <c r="F102" s="1185" t="s">
        <v>892</v>
      </c>
      <c r="G102" s="13">
        <f t="shared" si="2"/>
        <v>1</v>
      </c>
      <c r="H102" s="224" t="str">
        <f t="shared" ref="H102:I102" si="86">IF(OR(C102=0,C102="SCORE"),"",C102)</f>
        <v/>
      </c>
      <c r="I102" s="13" t="str">
        <f t="shared" si="86"/>
        <v/>
      </c>
      <c r="J102" s="13" t="str">
        <f t="shared" si="4"/>
        <v/>
      </c>
      <c r="K102" s="13" t="str">
        <f t="shared" si="5"/>
        <v>N/A</v>
      </c>
    </row>
    <row r="103" ht="15.75" hidden="1" customHeight="1">
      <c r="A103" s="1208" t="s">
        <v>850</v>
      </c>
      <c r="G103" s="13">
        <f t="shared" si="2"/>
        <v>1</v>
      </c>
      <c r="H103" s="224" t="str">
        <f t="shared" ref="H103:I103" si="87">IF(OR(C103=0,C103="SCORE"),"",C103)</f>
        <v/>
      </c>
      <c r="I103" s="13" t="str">
        <f t="shared" si="87"/>
        <v/>
      </c>
      <c r="J103" s="13" t="str">
        <f t="shared" si="4"/>
        <v/>
      </c>
      <c r="K103" s="13" t="str">
        <f t="shared" si="5"/>
        <v>N/A</v>
      </c>
    </row>
    <row r="104" ht="15.75" hidden="1" customHeight="1">
      <c r="A104" s="1208" t="s">
        <v>894</v>
      </c>
      <c r="G104" s="13">
        <f t="shared" si="2"/>
        <v>1</v>
      </c>
      <c r="H104" s="224" t="str">
        <f t="shared" ref="H104:I104" si="88">IF(OR(C104=0,C104="SCORE"),"",C104)</f>
        <v/>
      </c>
      <c r="I104" s="13" t="str">
        <f t="shared" si="88"/>
        <v/>
      </c>
      <c r="J104" s="13" t="str">
        <f t="shared" si="4"/>
        <v/>
      </c>
      <c r="K104" s="13" t="str">
        <f t="shared" si="5"/>
        <v>N/A</v>
      </c>
    </row>
    <row r="105" ht="15.75" hidden="1" customHeight="1">
      <c r="A105" s="1209"/>
      <c r="G105" s="13">
        <f t="shared" si="2"/>
        <v>1</v>
      </c>
      <c r="H105" s="224" t="str">
        <f t="shared" ref="H105:I105" si="89">IF(OR(C105=0,C105="SCORE"),"",C105)</f>
        <v/>
      </c>
      <c r="I105" s="13" t="str">
        <f t="shared" si="89"/>
        <v/>
      </c>
      <c r="J105" s="13" t="str">
        <f t="shared" si="4"/>
        <v/>
      </c>
      <c r="K105" s="13" t="str">
        <f t="shared" si="5"/>
        <v>N/A</v>
      </c>
    </row>
    <row r="106" ht="15.75" hidden="1" customHeight="1">
      <c r="A106" s="1208" t="s">
        <v>897</v>
      </c>
      <c r="G106" s="13">
        <f t="shared" si="2"/>
        <v>1</v>
      </c>
      <c r="H106" s="224" t="str">
        <f t="shared" ref="H106:I106" si="90">IF(OR(C106=0,C106="SCORE"),"",C106)</f>
        <v/>
      </c>
      <c r="I106" s="13" t="str">
        <f t="shared" si="90"/>
        <v/>
      </c>
      <c r="J106" s="13" t="str">
        <f t="shared" si="4"/>
        <v/>
      </c>
      <c r="K106" s="13" t="str">
        <f t="shared" si="5"/>
        <v>N/A</v>
      </c>
    </row>
    <row r="107" ht="15.75" hidden="1" customHeight="1">
      <c r="A107" s="1181" t="s">
        <v>848</v>
      </c>
      <c r="G107" s="13">
        <f t="shared" si="2"/>
        <v>1</v>
      </c>
      <c r="H107" s="224" t="str">
        <f t="shared" ref="H107:I107" si="91">IF(OR(C107=0,C107="SCORE"),"",C107)</f>
        <v/>
      </c>
      <c r="I107" s="13" t="str">
        <f t="shared" si="91"/>
        <v/>
      </c>
      <c r="J107" s="13" t="str">
        <f t="shared" si="4"/>
        <v/>
      </c>
      <c r="K107" s="13" t="str">
        <f t="shared" si="5"/>
        <v>N/A</v>
      </c>
    </row>
    <row r="108" ht="15.75" hidden="1" customHeight="1">
      <c r="A108" s="1182" t="s">
        <v>731</v>
      </c>
      <c r="B108" s="1183"/>
      <c r="C108" s="1182" t="s">
        <v>510</v>
      </c>
      <c r="D108" s="1182" t="s">
        <v>510</v>
      </c>
      <c r="E108" s="1183"/>
      <c r="F108" s="1182" t="s">
        <v>732</v>
      </c>
      <c r="G108" s="13">
        <f t="shared" si="2"/>
        <v>1</v>
      </c>
      <c r="H108" s="224" t="str">
        <f t="shared" ref="H108:I108" si="92">IF(OR(C108=0,C108="SCORE"),"",C108)</f>
        <v/>
      </c>
      <c r="I108" s="13" t="str">
        <f t="shared" si="92"/>
        <v/>
      </c>
      <c r="J108" s="13" t="str">
        <f t="shared" si="4"/>
        <v/>
      </c>
      <c r="K108" s="13" t="str">
        <f t="shared" si="5"/>
        <v>N/A</v>
      </c>
    </row>
    <row r="109" ht="15.75" customHeight="1">
      <c r="A109" s="1185"/>
      <c r="B109" s="1179" t="s">
        <v>726</v>
      </c>
      <c r="C109" s="1186">
        <v>144.17</v>
      </c>
      <c r="D109" s="1186">
        <v>127.92</v>
      </c>
      <c r="E109" s="1179" t="s">
        <v>743</v>
      </c>
      <c r="F109" s="1185"/>
      <c r="G109" s="13" t="str">
        <f t="shared" si="2"/>
        <v>POPEYES</v>
      </c>
      <c r="H109" s="1187">
        <f t="shared" ref="H109:I109" si="93">IF(OR(C109=0,C109="SCORE"),"",C109)</f>
        <v>144.17</v>
      </c>
      <c r="I109" s="1188">
        <f t="shared" si="93"/>
        <v>127.92</v>
      </c>
      <c r="J109" s="13" t="str">
        <f t="shared" si="4"/>
        <v>CHAMPS</v>
      </c>
      <c r="K109" s="13" t="str">
        <f t="shared" si="5"/>
        <v>Game</v>
      </c>
    </row>
    <row r="110" ht="15.75" hidden="1" customHeight="1">
      <c r="A110" s="1185" t="s">
        <v>901</v>
      </c>
      <c r="B110" s="1179"/>
      <c r="C110" s="1186"/>
      <c r="D110" s="1186"/>
      <c r="E110" s="1179"/>
      <c r="F110" s="1185" t="s">
        <v>902</v>
      </c>
      <c r="G110" s="13">
        <f t="shared" si="2"/>
        <v>1</v>
      </c>
      <c r="H110" s="224" t="str">
        <f t="shared" ref="H110:I110" si="94">IF(OR(C110=0,C110="SCORE"),"",C110)</f>
        <v/>
      </c>
      <c r="I110" s="13" t="str">
        <f t="shared" si="94"/>
        <v/>
      </c>
      <c r="J110" s="13" t="str">
        <f t="shared" si="4"/>
        <v/>
      </c>
      <c r="K110" s="13" t="str">
        <f t="shared" si="5"/>
        <v>N/A</v>
      </c>
    </row>
    <row r="111" ht="15.75" customHeight="1">
      <c r="A111" s="1185"/>
      <c r="B111" s="1179" t="s">
        <v>723</v>
      </c>
      <c r="C111" s="1186">
        <v>148.47</v>
      </c>
      <c r="D111" s="1186">
        <v>147.96</v>
      </c>
      <c r="E111" s="1179" t="s">
        <v>727</v>
      </c>
      <c r="F111" s="1185"/>
      <c r="G111" s="13" t="str">
        <f t="shared" si="2"/>
        <v>SAVAGES</v>
      </c>
      <c r="H111" s="1187">
        <f t="shared" ref="H111:I111" si="95">IF(OR(C111=0,C111="SCORE"),"",C111)</f>
        <v>148.47</v>
      </c>
      <c r="I111" s="1188">
        <f t="shared" si="95"/>
        <v>147.96</v>
      </c>
      <c r="J111" s="13" t="str">
        <f t="shared" si="4"/>
        <v>GREEN</v>
      </c>
      <c r="K111" s="13" t="str">
        <f t="shared" si="5"/>
        <v>Game</v>
      </c>
    </row>
    <row r="112" ht="15.75" hidden="1" customHeight="1">
      <c r="A112" s="1185" t="s">
        <v>905</v>
      </c>
      <c r="B112" s="1179"/>
      <c r="C112" s="1186"/>
      <c r="D112" s="1186"/>
      <c r="E112" s="1179"/>
      <c r="F112" s="1185" t="s">
        <v>906</v>
      </c>
      <c r="G112" s="13">
        <f t="shared" si="2"/>
        <v>1</v>
      </c>
      <c r="H112" s="224" t="str">
        <f t="shared" ref="H112:I112" si="96">IF(OR(C112=0,C112="SCORE"),"",C112)</f>
        <v/>
      </c>
      <c r="I112" s="13" t="str">
        <f t="shared" si="96"/>
        <v/>
      </c>
      <c r="J112" s="13" t="str">
        <f t="shared" si="4"/>
        <v/>
      </c>
      <c r="K112" s="13" t="str">
        <f t="shared" si="5"/>
        <v>N/A</v>
      </c>
    </row>
    <row r="113" ht="15.75" customHeight="1">
      <c r="A113" s="1185"/>
      <c r="B113" s="1179" t="s">
        <v>724</v>
      </c>
      <c r="C113" s="1186">
        <v>139.63</v>
      </c>
      <c r="D113" s="1186">
        <v>153.29</v>
      </c>
      <c r="E113" s="1179" t="s">
        <v>728</v>
      </c>
      <c r="F113" s="1189" t="s">
        <v>909</v>
      </c>
      <c r="G113" s="13" t="str">
        <f t="shared" si="2"/>
        <v>METAMOOKDAWGS</v>
      </c>
      <c r="H113" s="1187">
        <f t="shared" ref="H113:I113" si="97">IF(OR(C113=0,C113="SCORE"),"",C113)</f>
        <v>139.63</v>
      </c>
      <c r="I113" s="1188">
        <f t="shared" si="97"/>
        <v>153.29</v>
      </c>
      <c r="J113" s="13" t="str">
        <f t="shared" si="4"/>
        <v>DEEZ NUTS</v>
      </c>
      <c r="K113" s="13" t="str">
        <f t="shared" si="5"/>
        <v>Game</v>
      </c>
    </row>
    <row r="114" ht="15.75" hidden="1" customHeight="1">
      <c r="A114" s="1185" t="s">
        <v>910</v>
      </c>
      <c r="B114" s="1179"/>
      <c r="C114" s="1186"/>
      <c r="D114" s="1186"/>
      <c r="E114" s="1180"/>
      <c r="F114" s="1189"/>
      <c r="G114" s="13">
        <f t="shared" si="2"/>
        <v>1</v>
      </c>
      <c r="H114" s="224" t="str">
        <f t="shared" ref="H114:I114" si="98">IF(OR(C114=0,C114="SCORE"),"",C114)</f>
        <v/>
      </c>
      <c r="I114" s="13" t="str">
        <f t="shared" si="98"/>
        <v/>
      </c>
      <c r="J114" s="13" t="str">
        <f t="shared" si="4"/>
        <v/>
      </c>
      <c r="K114" s="13" t="str">
        <f t="shared" si="5"/>
        <v>N/A</v>
      </c>
    </row>
    <row r="115" ht="15.75" customHeight="1">
      <c r="A115" s="1185"/>
      <c r="B115" s="1179" t="s">
        <v>721</v>
      </c>
      <c r="C115" s="1186">
        <v>167.6</v>
      </c>
      <c r="D115" s="1186">
        <v>190.5</v>
      </c>
      <c r="E115" s="1179" t="s">
        <v>729</v>
      </c>
      <c r="F115" s="1185" t="s">
        <v>913</v>
      </c>
      <c r="G115" s="13" t="str">
        <f t="shared" si="2"/>
        <v>MUTTS</v>
      </c>
      <c r="H115" s="1187">
        <f t="shared" ref="H115:I115" si="99">IF(OR(C115=0,C115="SCORE"),"",C115)</f>
        <v>167.6</v>
      </c>
      <c r="I115" s="1188">
        <f t="shared" si="99"/>
        <v>190.5</v>
      </c>
      <c r="J115" s="13" t="str">
        <f t="shared" si="4"/>
        <v>GIRLS</v>
      </c>
      <c r="K115" s="13" t="str">
        <f t="shared" si="5"/>
        <v>Game</v>
      </c>
    </row>
    <row r="116" ht="15.75" hidden="1" customHeight="1">
      <c r="A116" s="1185" t="s">
        <v>916</v>
      </c>
      <c r="B116" s="1179"/>
      <c r="C116" s="1186"/>
      <c r="D116" s="1186"/>
      <c r="E116" s="1179"/>
      <c r="F116" s="1185"/>
      <c r="G116" s="13">
        <f t="shared" si="2"/>
        <v>1</v>
      </c>
      <c r="H116" s="224" t="str">
        <f t="shared" ref="H116:I116" si="100">IF(OR(C116=0,C116="SCORE"),"",C116)</f>
        <v/>
      </c>
      <c r="I116" s="13" t="str">
        <f t="shared" si="100"/>
        <v/>
      </c>
      <c r="J116" s="13" t="str">
        <f t="shared" si="4"/>
        <v/>
      </c>
      <c r="K116" s="13" t="str">
        <f t="shared" si="5"/>
        <v>N/A</v>
      </c>
    </row>
    <row r="117" ht="15.75" hidden="1" customHeight="1">
      <c r="A117" s="1208" t="s">
        <v>850</v>
      </c>
      <c r="G117" s="13">
        <f t="shared" si="2"/>
        <v>1</v>
      </c>
      <c r="H117" s="224" t="str">
        <f t="shared" ref="H117:I117" si="101">IF(OR(C117=0,C117="SCORE"),"",C117)</f>
        <v/>
      </c>
      <c r="I117" s="13" t="str">
        <f t="shared" si="101"/>
        <v/>
      </c>
      <c r="J117" s="13" t="str">
        <f t="shared" si="4"/>
        <v/>
      </c>
      <c r="K117" s="13" t="str">
        <f t="shared" si="5"/>
        <v>N/A</v>
      </c>
    </row>
    <row r="118" ht="15.75" hidden="1" customHeight="1">
      <c r="A118" s="1209"/>
      <c r="G118" s="13">
        <f t="shared" si="2"/>
        <v>1</v>
      </c>
      <c r="H118" s="224" t="str">
        <f t="shared" ref="H118:I118" si="102">IF(OR(C118=0,C118="SCORE"),"",C118)</f>
        <v/>
      </c>
      <c r="I118" s="13" t="str">
        <f t="shared" si="102"/>
        <v/>
      </c>
      <c r="J118" s="13" t="str">
        <f t="shared" si="4"/>
        <v/>
      </c>
      <c r="K118" s="13" t="str">
        <f t="shared" si="5"/>
        <v>N/A</v>
      </c>
    </row>
    <row r="119" ht="15.75" hidden="1" customHeight="1">
      <c r="A119" s="1208" t="s">
        <v>918</v>
      </c>
      <c r="G119" s="13">
        <f t="shared" si="2"/>
        <v>1</v>
      </c>
      <c r="H119" s="224" t="str">
        <f t="shared" ref="H119:I119" si="103">IF(OR(C119=0,C119="SCORE"),"",C119)</f>
        <v/>
      </c>
      <c r="I119" s="13" t="str">
        <f t="shared" si="103"/>
        <v/>
      </c>
      <c r="J119" s="13" t="str">
        <f t="shared" si="4"/>
        <v/>
      </c>
      <c r="K119" s="13" t="str">
        <f t="shared" si="5"/>
        <v>N/A</v>
      </c>
    </row>
    <row r="120" ht="15.75" hidden="1" customHeight="1">
      <c r="A120" s="1209"/>
      <c r="G120" s="13">
        <f t="shared" si="2"/>
        <v>1</v>
      </c>
      <c r="H120" s="224" t="str">
        <f t="shared" ref="H120:I120" si="104">IF(OR(C120=0,C120="SCORE"),"",C120)</f>
        <v/>
      </c>
      <c r="I120" s="13" t="str">
        <f t="shared" si="104"/>
        <v/>
      </c>
      <c r="J120" s="13" t="str">
        <f t="shared" si="4"/>
        <v/>
      </c>
      <c r="K120" s="13" t="str">
        <f t="shared" si="5"/>
        <v>N/A</v>
      </c>
    </row>
    <row r="121" ht="15.75" hidden="1" customHeight="1">
      <c r="A121" s="1208" t="s">
        <v>921</v>
      </c>
      <c r="G121" s="13">
        <f t="shared" si="2"/>
        <v>1</v>
      </c>
      <c r="H121" s="224" t="str">
        <f t="shared" ref="H121:I121" si="105">IF(OR(C121=0,C121="SCORE"),"",C121)</f>
        <v/>
      </c>
      <c r="I121" s="13" t="str">
        <f t="shared" si="105"/>
        <v/>
      </c>
      <c r="J121" s="13" t="str">
        <f t="shared" si="4"/>
        <v/>
      </c>
      <c r="K121" s="13" t="str">
        <f t="shared" si="5"/>
        <v>N/A</v>
      </c>
    </row>
    <row r="122" ht="15.75" hidden="1" customHeight="1">
      <c r="A122" s="1181" t="s">
        <v>865</v>
      </c>
      <c r="G122" s="13">
        <f t="shared" si="2"/>
        <v>1</v>
      </c>
      <c r="H122" s="224" t="str">
        <f t="shared" ref="H122:I122" si="106">IF(OR(C122=0,C122="SCORE"),"",C122)</f>
        <v/>
      </c>
      <c r="I122" s="13" t="str">
        <f t="shared" si="106"/>
        <v/>
      </c>
      <c r="J122" s="13" t="str">
        <f t="shared" si="4"/>
        <v/>
      </c>
      <c r="K122" s="13" t="str">
        <f t="shared" si="5"/>
        <v>N/A</v>
      </c>
    </row>
    <row r="123" ht="15.75" hidden="1" customHeight="1">
      <c r="A123" s="1182" t="s">
        <v>731</v>
      </c>
      <c r="B123" s="1183"/>
      <c r="C123" s="1182" t="s">
        <v>510</v>
      </c>
      <c r="D123" s="1182" t="s">
        <v>510</v>
      </c>
      <c r="E123" s="1183"/>
      <c r="F123" s="1182" t="s">
        <v>732</v>
      </c>
      <c r="G123" s="13">
        <f t="shared" si="2"/>
        <v>1</v>
      </c>
      <c r="H123" s="224" t="str">
        <f t="shared" ref="H123:I123" si="107">IF(OR(C123=0,C123="SCORE"),"",C123)</f>
        <v/>
      </c>
      <c r="I123" s="13" t="str">
        <f t="shared" si="107"/>
        <v/>
      </c>
      <c r="J123" s="13" t="str">
        <f t="shared" si="4"/>
        <v/>
      </c>
      <c r="K123" s="13" t="str">
        <f t="shared" si="5"/>
        <v>N/A</v>
      </c>
    </row>
    <row r="124" ht="15.75" customHeight="1">
      <c r="A124" s="1185"/>
      <c r="B124" s="1179" t="s">
        <v>723</v>
      </c>
      <c r="C124" s="1186">
        <v>159.11</v>
      </c>
      <c r="D124" s="1186">
        <v>150.33</v>
      </c>
      <c r="E124" s="1179" t="s">
        <v>743</v>
      </c>
      <c r="F124" s="1185"/>
      <c r="G124" s="13" t="str">
        <f t="shared" si="2"/>
        <v>SAVAGES</v>
      </c>
      <c r="H124" s="1187">
        <f t="shared" ref="H124:I124" si="108">IF(OR(C124=0,C124="SCORE"),"",C124)</f>
        <v>159.11</v>
      </c>
      <c r="I124" s="1188">
        <f t="shared" si="108"/>
        <v>150.33</v>
      </c>
      <c r="J124" s="13" t="str">
        <f t="shared" si="4"/>
        <v>CHAMPS</v>
      </c>
      <c r="K124" s="13" t="str">
        <f t="shared" si="5"/>
        <v>Game</v>
      </c>
    </row>
    <row r="125" ht="15.75" hidden="1" customHeight="1">
      <c r="A125" s="1185" t="s">
        <v>926</v>
      </c>
      <c r="B125" s="1179"/>
      <c r="C125" s="1186"/>
      <c r="D125" s="1186"/>
      <c r="E125" s="1179"/>
      <c r="F125" s="1185" t="s">
        <v>927</v>
      </c>
      <c r="G125" s="13">
        <f t="shared" si="2"/>
        <v>1</v>
      </c>
      <c r="H125" s="224" t="str">
        <f t="shared" ref="H125:I125" si="109">IF(OR(C125=0,C125="SCORE"),"",C125)</f>
        <v/>
      </c>
      <c r="I125" s="13" t="str">
        <f t="shared" si="109"/>
        <v/>
      </c>
      <c r="J125" s="13" t="str">
        <f t="shared" si="4"/>
        <v/>
      </c>
      <c r="K125" s="13" t="str">
        <f t="shared" si="5"/>
        <v>N/A</v>
      </c>
    </row>
    <row r="126" ht="15.75" customHeight="1">
      <c r="A126" s="1185"/>
      <c r="B126" s="1180" t="s">
        <v>722</v>
      </c>
      <c r="C126" s="1186">
        <v>138.52</v>
      </c>
      <c r="D126" s="1186">
        <v>141.34</v>
      </c>
      <c r="E126" s="1179" t="s">
        <v>727</v>
      </c>
      <c r="F126" s="1185"/>
      <c r="G126" s="13" t="str">
        <f t="shared" si="2"/>
        <v>DECOUPES</v>
      </c>
      <c r="H126" s="1187">
        <f t="shared" ref="H126:I126" si="110">IF(OR(C126=0,C126="SCORE"),"",C126)</f>
        <v>138.52</v>
      </c>
      <c r="I126" s="1188">
        <f t="shared" si="110"/>
        <v>141.34</v>
      </c>
      <c r="J126" s="13" t="str">
        <f t="shared" si="4"/>
        <v>GREEN</v>
      </c>
      <c r="K126" s="13" t="str">
        <f t="shared" si="5"/>
        <v>Game</v>
      </c>
    </row>
    <row r="127" ht="15.75" hidden="1" customHeight="1">
      <c r="A127" s="1189" t="s">
        <v>931</v>
      </c>
      <c r="B127" s="1180"/>
      <c r="C127" s="1186"/>
      <c r="D127" s="1186"/>
      <c r="E127" s="1179"/>
      <c r="F127" s="1185" t="s">
        <v>932</v>
      </c>
      <c r="G127" s="13">
        <f t="shared" si="2"/>
        <v>1</v>
      </c>
      <c r="H127" s="224" t="str">
        <f t="shared" ref="H127:I127" si="111">IF(OR(C127=0,C127="SCORE"),"",C127)</f>
        <v/>
      </c>
      <c r="I127" s="13" t="str">
        <f t="shared" si="111"/>
        <v/>
      </c>
      <c r="J127" s="13" t="str">
        <f t="shared" si="4"/>
        <v/>
      </c>
      <c r="K127" s="13" t="str">
        <f t="shared" si="5"/>
        <v>N/A</v>
      </c>
    </row>
    <row r="128" ht="15.75" customHeight="1">
      <c r="A128" s="1185"/>
      <c r="B128" s="1179" t="s">
        <v>721</v>
      </c>
      <c r="C128" s="1186">
        <v>156.22</v>
      </c>
      <c r="D128" s="1186">
        <v>105.74</v>
      </c>
      <c r="E128" s="1179" t="s">
        <v>728</v>
      </c>
      <c r="F128" s="1189" t="s">
        <v>935</v>
      </c>
      <c r="G128" s="13" t="str">
        <f t="shared" si="2"/>
        <v>MUTTS</v>
      </c>
      <c r="H128" s="1187">
        <f t="shared" ref="H128:I128" si="112">IF(OR(C128=0,C128="SCORE"),"",C128)</f>
        <v>156.22</v>
      </c>
      <c r="I128" s="1188">
        <f t="shared" si="112"/>
        <v>105.74</v>
      </c>
      <c r="J128" s="13" t="str">
        <f t="shared" si="4"/>
        <v>DEEZ NUTS</v>
      </c>
      <c r="K128" s="13" t="str">
        <f t="shared" si="5"/>
        <v>Game</v>
      </c>
    </row>
    <row r="129" ht="15.75" hidden="1" customHeight="1">
      <c r="A129" s="1185" t="s">
        <v>936</v>
      </c>
      <c r="B129" s="1179"/>
      <c r="C129" s="1186"/>
      <c r="D129" s="1186"/>
      <c r="E129" s="1180"/>
      <c r="F129" s="1189"/>
      <c r="G129" s="13">
        <f t="shared" si="2"/>
        <v>1</v>
      </c>
      <c r="H129" s="224" t="str">
        <f t="shared" ref="H129:I129" si="113">IF(OR(C129=0,C129="SCORE"),"",C129)</f>
        <v/>
      </c>
      <c r="I129" s="13" t="str">
        <f t="shared" si="113"/>
        <v/>
      </c>
      <c r="J129" s="13" t="str">
        <f t="shared" si="4"/>
        <v/>
      </c>
      <c r="K129" s="13" t="str">
        <f t="shared" si="5"/>
        <v>N/A</v>
      </c>
    </row>
    <row r="130" ht="15.75" customHeight="1">
      <c r="A130" s="1185"/>
      <c r="B130" s="1179" t="s">
        <v>725</v>
      </c>
      <c r="C130" s="1186">
        <v>109.18</v>
      </c>
      <c r="D130" s="1186">
        <v>195.49</v>
      </c>
      <c r="E130" s="1179" t="s">
        <v>729</v>
      </c>
      <c r="F130" s="1185" t="s">
        <v>941</v>
      </c>
      <c r="G130" s="13" t="str">
        <f t="shared" si="2"/>
        <v>YARDIES</v>
      </c>
      <c r="H130" s="1187">
        <f t="shared" ref="H130:I130" si="114">IF(OR(C130=0,C130="SCORE"),"",C130)</f>
        <v>109.18</v>
      </c>
      <c r="I130" s="1188">
        <f t="shared" si="114"/>
        <v>195.49</v>
      </c>
      <c r="J130" s="13" t="str">
        <f t="shared" si="4"/>
        <v>GIRLS</v>
      </c>
      <c r="K130" s="13" t="str">
        <f t="shared" si="5"/>
        <v>Game</v>
      </c>
    </row>
    <row r="131" ht="15.75" hidden="1" customHeight="1">
      <c r="A131" s="1185" t="s">
        <v>942</v>
      </c>
      <c r="B131" s="1179"/>
      <c r="C131" s="1186"/>
      <c r="D131" s="1186"/>
      <c r="E131" s="1179"/>
      <c r="F131" s="1185"/>
      <c r="G131" s="13">
        <f t="shared" si="2"/>
        <v>1</v>
      </c>
      <c r="H131" s="224" t="str">
        <f t="shared" ref="H131:I131" si="115">IF(OR(C131=0,C131="SCORE"),"",C131)</f>
        <v/>
      </c>
      <c r="I131" s="13" t="str">
        <f t="shared" si="115"/>
        <v/>
      </c>
      <c r="J131" s="13" t="str">
        <f t="shared" si="4"/>
        <v/>
      </c>
      <c r="K131" s="13" t="str">
        <f t="shared" si="5"/>
        <v>N/A</v>
      </c>
    </row>
    <row r="132" ht="15.75" hidden="1" customHeight="1">
      <c r="A132" s="1208" t="s">
        <v>850</v>
      </c>
      <c r="G132" s="13">
        <f t="shared" si="2"/>
        <v>1</v>
      </c>
      <c r="H132" s="224" t="str">
        <f t="shared" ref="H132:I132" si="116">IF(OR(C132=0,C132="SCORE"),"",C132)</f>
        <v/>
      </c>
      <c r="I132" s="13" t="str">
        <f t="shared" si="116"/>
        <v/>
      </c>
      <c r="J132" s="13" t="str">
        <f t="shared" si="4"/>
        <v/>
      </c>
      <c r="K132" s="13" t="str">
        <f t="shared" si="5"/>
        <v>N/A</v>
      </c>
    </row>
    <row r="133" ht="15.75" hidden="1" customHeight="1">
      <c r="A133" s="1209"/>
      <c r="G133" s="13">
        <f t="shared" si="2"/>
        <v>1</v>
      </c>
      <c r="H133" s="224" t="str">
        <f t="shared" ref="H133:I133" si="117">IF(OR(C133=0,C133="SCORE"),"",C133)</f>
        <v/>
      </c>
      <c r="I133" s="13" t="str">
        <f t="shared" si="117"/>
        <v/>
      </c>
      <c r="J133" s="13" t="str">
        <f t="shared" si="4"/>
        <v/>
      </c>
      <c r="K133" s="13" t="str">
        <f t="shared" si="5"/>
        <v>N/A</v>
      </c>
    </row>
    <row r="134" ht="15.75" hidden="1" customHeight="1">
      <c r="A134" s="1208" t="s">
        <v>943</v>
      </c>
      <c r="G134" s="13">
        <f t="shared" si="2"/>
        <v>1</v>
      </c>
      <c r="H134" s="224" t="str">
        <f t="shared" ref="H134:I134" si="118">IF(OR(C134=0,C134="SCORE"),"",C134)</f>
        <v/>
      </c>
      <c r="I134" s="13" t="str">
        <f t="shared" si="118"/>
        <v/>
      </c>
      <c r="J134" s="13" t="str">
        <f t="shared" si="4"/>
        <v/>
      </c>
      <c r="K134" s="13" t="str">
        <f t="shared" si="5"/>
        <v>N/A</v>
      </c>
    </row>
    <row r="135" ht="15.75" hidden="1" customHeight="1">
      <c r="A135" s="1209"/>
      <c r="G135" s="13">
        <f t="shared" si="2"/>
        <v>1</v>
      </c>
      <c r="H135" s="224" t="str">
        <f t="shared" ref="H135:I135" si="119">IF(OR(C135=0,C135="SCORE"),"",C135)</f>
        <v/>
      </c>
      <c r="I135" s="13" t="str">
        <f t="shared" si="119"/>
        <v/>
      </c>
      <c r="J135" s="13" t="str">
        <f t="shared" si="4"/>
        <v/>
      </c>
      <c r="K135" s="13" t="str">
        <f t="shared" si="5"/>
        <v>N/A</v>
      </c>
    </row>
    <row r="136" ht="15.75" hidden="1" customHeight="1">
      <c r="A136" s="1208" t="s">
        <v>946</v>
      </c>
      <c r="G136" s="13">
        <f t="shared" si="2"/>
        <v>1</v>
      </c>
      <c r="H136" s="224" t="str">
        <f t="shared" ref="H136:I136" si="120">IF(OR(C136=0,C136="SCORE"),"",C136)</f>
        <v/>
      </c>
      <c r="I136" s="13" t="str">
        <f t="shared" si="120"/>
        <v/>
      </c>
      <c r="J136" s="13" t="str">
        <f t="shared" si="4"/>
        <v/>
      </c>
      <c r="K136" s="13" t="str">
        <f t="shared" si="5"/>
        <v>N/A</v>
      </c>
    </row>
    <row r="137" ht="15.75" hidden="1" customHeight="1">
      <c r="A137" s="1181" t="s">
        <v>882</v>
      </c>
      <c r="G137" s="13">
        <f t="shared" si="2"/>
        <v>1</v>
      </c>
      <c r="H137" s="224" t="str">
        <f t="shared" ref="H137:I137" si="121">IF(OR(C137=0,C137="SCORE"),"",C137)</f>
        <v/>
      </c>
      <c r="I137" s="13" t="str">
        <f t="shared" si="121"/>
        <v/>
      </c>
      <c r="J137" s="13" t="str">
        <f t="shared" si="4"/>
        <v/>
      </c>
      <c r="K137" s="13" t="str">
        <f t="shared" si="5"/>
        <v>N/A</v>
      </c>
    </row>
    <row r="138" ht="15.75" hidden="1" customHeight="1">
      <c r="A138" s="1182" t="s">
        <v>731</v>
      </c>
      <c r="B138" s="1183"/>
      <c r="C138" s="1182" t="s">
        <v>510</v>
      </c>
      <c r="D138" s="1182" t="s">
        <v>510</v>
      </c>
      <c r="E138" s="1183"/>
      <c r="F138" s="1182" t="s">
        <v>732</v>
      </c>
      <c r="G138" s="13">
        <f t="shared" si="2"/>
        <v>1</v>
      </c>
      <c r="H138" s="224" t="str">
        <f t="shared" ref="H138:I138" si="122">IF(OR(C138=0,C138="SCORE"),"",C138)</f>
        <v/>
      </c>
      <c r="I138" s="13" t="str">
        <f t="shared" si="122"/>
        <v/>
      </c>
      <c r="J138" s="13" t="str">
        <f t="shared" si="4"/>
        <v/>
      </c>
      <c r="K138" s="13" t="str">
        <f t="shared" si="5"/>
        <v>N/A</v>
      </c>
    </row>
    <row r="139" ht="15.75" customHeight="1">
      <c r="A139" s="1185"/>
      <c r="B139" s="1179" t="s">
        <v>726</v>
      </c>
      <c r="C139" s="1186">
        <v>178.88</v>
      </c>
      <c r="D139" s="1186">
        <v>95.75</v>
      </c>
      <c r="E139" s="1179" t="s">
        <v>728</v>
      </c>
      <c r="F139" s="1189" t="s">
        <v>948</v>
      </c>
      <c r="G139" s="13" t="str">
        <f t="shared" si="2"/>
        <v>POPEYES</v>
      </c>
      <c r="H139" s="1187">
        <f t="shared" ref="H139:I139" si="123">IF(OR(C139=0,C139="SCORE"),"",C139)</f>
        <v>178.88</v>
      </c>
      <c r="I139" s="1188">
        <f t="shared" si="123"/>
        <v>95.75</v>
      </c>
      <c r="J139" s="13" t="str">
        <f t="shared" si="4"/>
        <v>DEEZ NUTS</v>
      </c>
      <c r="K139" s="13" t="str">
        <f t="shared" si="5"/>
        <v>Game</v>
      </c>
    </row>
    <row r="140" ht="15.75" hidden="1" customHeight="1">
      <c r="A140" s="1185" t="s">
        <v>951</v>
      </c>
      <c r="B140" s="1179"/>
      <c r="C140" s="1186"/>
      <c r="D140" s="1186"/>
      <c r="E140" s="1180"/>
      <c r="F140" s="1189"/>
      <c r="G140" s="13">
        <f t="shared" si="2"/>
        <v>1</v>
      </c>
      <c r="H140" s="224" t="str">
        <f t="shared" ref="H140:I140" si="124">IF(OR(C140=0,C140="SCORE"),"",C140)</f>
        <v/>
      </c>
      <c r="I140" s="13" t="str">
        <f t="shared" si="124"/>
        <v/>
      </c>
      <c r="J140" s="13" t="str">
        <f t="shared" si="4"/>
        <v/>
      </c>
      <c r="K140" s="13" t="str">
        <f t="shared" si="5"/>
        <v>N/A</v>
      </c>
    </row>
    <row r="141" ht="15.75" customHeight="1">
      <c r="A141" s="1185"/>
      <c r="B141" s="1179" t="s">
        <v>723</v>
      </c>
      <c r="C141" s="1186">
        <v>140.36</v>
      </c>
      <c r="D141" s="1186">
        <v>110.61</v>
      </c>
      <c r="E141" s="1179" t="s">
        <v>724</v>
      </c>
      <c r="F141" s="1185"/>
      <c r="G141" s="13" t="str">
        <f t="shared" si="2"/>
        <v>SAVAGES</v>
      </c>
      <c r="H141" s="1187">
        <f t="shared" ref="H141:I141" si="125">IF(OR(C141=0,C141="SCORE"),"",C141)</f>
        <v>140.36</v>
      </c>
      <c r="I141" s="1188">
        <f t="shared" si="125"/>
        <v>110.61</v>
      </c>
      <c r="J141" s="13" t="str">
        <f t="shared" si="4"/>
        <v>METAMOOKDAWGS</v>
      </c>
      <c r="K141" s="13" t="str">
        <f t="shared" si="5"/>
        <v>Game</v>
      </c>
    </row>
    <row r="142" ht="15.75" hidden="1" customHeight="1">
      <c r="A142" s="1185" t="s">
        <v>955</v>
      </c>
      <c r="B142" s="1179"/>
      <c r="C142" s="1186"/>
      <c r="D142" s="1186"/>
      <c r="E142" s="1179"/>
      <c r="F142" s="1185" t="s">
        <v>956</v>
      </c>
      <c r="G142" s="13">
        <f t="shared" si="2"/>
        <v>1</v>
      </c>
      <c r="H142" s="224" t="str">
        <f t="shared" ref="H142:I142" si="126">IF(OR(C142=0,C142="SCORE"),"",C142)</f>
        <v/>
      </c>
      <c r="I142" s="13" t="str">
        <f t="shared" si="126"/>
        <v/>
      </c>
      <c r="J142" s="13" t="str">
        <f t="shared" si="4"/>
        <v/>
      </c>
      <c r="K142" s="13" t="str">
        <f t="shared" si="5"/>
        <v>N/A</v>
      </c>
    </row>
    <row r="143" ht="15.75" customHeight="1">
      <c r="A143" s="1185"/>
      <c r="B143" s="1180" t="s">
        <v>722</v>
      </c>
      <c r="C143" s="1186">
        <v>143.09</v>
      </c>
      <c r="D143" s="1186">
        <v>106.34</v>
      </c>
      <c r="E143" s="1179" t="s">
        <v>721</v>
      </c>
      <c r="F143" s="1185"/>
      <c r="G143" s="13" t="str">
        <f t="shared" si="2"/>
        <v>DECOUPES</v>
      </c>
      <c r="H143" s="1187">
        <f t="shared" ref="H143:I143" si="127">IF(OR(C143=0,C143="SCORE"),"",C143)</f>
        <v>143.09</v>
      </c>
      <c r="I143" s="1188">
        <f t="shared" si="127"/>
        <v>106.34</v>
      </c>
      <c r="J143" s="13" t="str">
        <f t="shared" si="4"/>
        <v>MUTTS</v>
      </c>
      <c r="K143" s="13" t="str">
        <f t="shared" si="5"/>
        <v>Game</v>
      </c>
    </row>
    <row r="144" ht="15.75" hidden="1" customHeight="1">
      <c r="A144" s="1189" t="s">
        <v>960</v>
      </c>
      <c r="B144" s="1180"/>
      <c r="C144" s="1186"/>
      <c r="D144" s="1186"/>
      <c r="E144" s="1179"/>
      <c r="F144" s="1185" t="s">
        <v>962</v>
      </c>
      <c r="G144" s="13">
        <f t="shared" si="2"/>
        <v>1</v>
      </c>
      <c r="H144" s="224" t="str">
        <f t="shared" ref="H144:I144" si="128">IF(OR(C144=0,C144="SCORE"),"",C144)</f>
        <v/>
      </c>
      <c r="I144" s="13" t="str">
        <f t="shared" si="128"/>
        <v/>
      </c>
      <c r="J144" s="13" t="str">
        <f t="shared" si="4"/>
        <v/>
      </c>
      <c r="K144" s="13" t="str">
        <f t="shared" si="5"/>
        <v>N/A</v>
      </c>
    </row>
    <row r="145" ht="15.75" customHeight="1">
      <c r="A145" s="1185"/>
      <c r="B145" s="1179" t="s">
        <v>727</v>
      </c>
      <c r="C145" s="1186">
        <v>152.0</v>
      </c>
      <c r="D145" s="1186">
        <v>165.11</v>
      </c>
      <c r="E145" s="1179" t="s">
        <v>725</v>
      </c>
      <c r="F145" s="1185"/>
      <c r="G145" s="13" t="str">
        <f t="shared" si="2"/>
        <v>GREEN</v>
      </c>
      <c r="H145" s="1187">
        <f t="shared" ref="H145:I145" si="129">IF(OR(C145=0,C145="SCORE"),"",C145)</f>
        <v>152</v>
      </c>
      <c r="I145" s="1188">
        <f t="shared" si="129"/>
        <v>165.11</v>
      </c>
      <c r="J145" s="13" t="str">
        <f t="shared" si="4"/>
        <v>YARDIES</v>
      </c>
      <c r="K145" s="13" t="str">
        <f t="shared" si="5"/>
        <v>Game</v>
      </c>
    </row>
    <row r="146" ht="15.75" hidden="1" customHeight="1">
      <c r="A146" s="1185" t="s">
        <v>964</v>
      </c>
      <c r="B146" s="1179"/>
      <c r="C146" s="1186"/>
      <c r="D146" s="1186"/>
      <c r="E146" s="1179"/>
      <c r="F146" s="1185" t="s">
        <v>965</v>
      </c>
      <c r="G146" s="13">
        <f t="shared" si="2"/>
        <v>1</v>
      </c>
      <c r="H146" s="224" t="str">
        <f t="shared" ref="H146:I146" si="130">IF(OR(C146=0,C146="SCORE"),"",C146)</f>
        <v/>
      </c>
      <c r="I146" s="13" t="str">
        <f t="shared" si="130"/>
        <v/>
      </c>
      <c r="J146" s="13" t="str">
        <f t="shared" si="4"/>
        <v/>
      </c>
      <c r="K146" s="13" t="str">
        <f t="shared" si="5"/>
        <v>N/A</v>
      </c>
    </row>
    <row r="147" ht="15.75" customHeight="1">
      <c r="A147" s="1185"/>
      <c r="B147" s="1179" t="s">
        <v>743</v>
      </c>
      <c r="C147" s="1186">
        <v>224.74</v>
      </c>
      <c r="D147" s="1186">
        <v>129.89</v>
      </c>
      <c r="E147" s="1179" t="s">
        <v>729</v>
      </c>
      <c r="F147" s="1185" t="s">
        <v>968</v>
      </c>
      <c r="G147" s="13" t="str">
        <f t="shared" si="2"/>
        <v>CHAMPS</v>
      </c>
      <c r="H147" s="1187">
        <f t="shared" ref="H147:I147" si="131">IF(OR(C147=0,C147="SCORE"),"",C147)</f>
        <v>224.74</v>
      </c>
      <c r="I147" s="1188">
        <f t="shared" si="131"/>
        <v>129.89</v>
      </c>
      <c r="J147" s="13" t="str">
        <f t="shared" si="4"/>
        <v>GIRLS</v>
      </c>
      <c r="K147" s="13" t="str">
        <f t="shared" si="5"/>
        <v>Game</v>
      </c>
    </row>
    <row r="148" ht="15.75" hidden="1" customHeight="1">
      <c r="A148" s="1185" t="s">
        <v>971</v>
      </c>
      <c r="B148" s="1179"/>
      <c r="C148" s="1186"/>
      <c r="D148" s="1186"/>
      <c r="E148" s="1179"/>
      <c r="F148" s="1185"/>
      <c r="G148" s="13">
        <f t="shared" si="2"/>
        <v>1</v>
      </c>
      <c r="H148" s="224" t="str">
        <f t="shared" ref="H148:I148" si="132">IF(OR(C148=0,C148="SCORE"),"",C148)</f>
        <v/>
      </c>
      <c r="I148" s="13" t="str">
        <f t="shared" si="132"/>
        <v/>
      </c>
      <c r="J148" s="13" t="str">
        <f t="shared" si="4"/>
        <v/>
      </c>
      <c r="K148" s="13" t="str">
        <f t="shared" si="5"/>
        <v>N/A</v>
      </c>
    </row>
    <row r="149" ht="15.75" hidden="1" customHeight="1">
      <c r="A149" s="1181" t="s">
        <v>900</v>
      </c>
      <c r="G149" s="13">
        <f t="shared" si="2"/>
        <v>1</v>
      </c>
      <c r="H149" s="224" t="str">
        <f t="shared" ref="H149:I149" si="133">IF(OR(C149=0,C149="SCORE"),"",C149)</f>
        <v/>
      </c>
      <c r="I149" s="13" t="str">
        <f t="shared" si="133"/>
        <v/>
      </c>
      <c r="J149" s="13" t="str">
        <f t="shared" si="4"/>
        <v/>
      </c>
      <c r="K149" s="13" t="str">
        <f t="shared" si="5"/>
        <v>N/A</v>
      </c>
    </row>
    <row r="150" ht="15.75" hidden="1" customHeight="1">
      <c r="A150" s="1182" t="s">
        <v>731</v>
      </c>
      <c r="B150" s="1183"/>
      <c r="C150" s="1182" t="s">
        <v>510</v>
      </c>
      <c r="D150" s="1182" t="s">
        <v>510</v>
      </c>
      <c r="E150" s="1183"/>
      <c r="F150" s="1182" t="s">
        <v>732</v>
      </c>
      <c r="G150" s="13">
        <f t="shared" si="2"/>
        <v>1</v>
      </c>
      <c r="H150" s="224" t="str">
        <f t="shared" ref="H150:I150" si="134">IF(OR(C150=0,C150="SCORE"),"",C150)</f>
        <v/>
      </c>
      <c r="I150" s="13" t="str">
        <f t="shared" si="134"/>
        <v/>
      </c>
      <c r="J150" s="13" t="str">
        <f t="shared" si="4"/>
        <v/>
      </c>
      <c r="K150" s="13" t="str">
        <f t="shared" si="5"/>
        <v>N/A</v>
      </c>
    </row>
    <row r="151" ht="15.75" customHeight="1">
      <c r="A151" s="1185"/>
      <c r="B151" s="1179" t="s">
        <v>726</v>
      </c>
      <c r="C151" s="1186">
        <v>166.98</v>
      </c>
      <c r="D151" s="1186">
        <v>143.55</v>
      </c>
      <c r="E151" s="1179" t="s">
        <v>721</v>
      </c>
      <c r="F151" s="1185"/>
      <c r="G151" s="13" t="str">
        <f t="shared" si="2"/>
        <v>POPEYES</v>
      </c>
      <c r="H151" s="1187">
        <f t="shared" ref="H151:I151" si="135">IF(OR(C151=0,C151="SCORE"),"",C151)</f>
        <v>166.98</v>
      </c>
      <c r="I151" s="1188">
        <f t="shared" si="135"/>
        <v>143.55</v>
      </c>
      <c r="J151" s="13" t="str">
        <f t="shared" si="4"/>
        <v>MUTTS</v>
      </c>
      <c r="K151" s="13" t="str">
        <f t="shared" si="5"/>
        <v>Game</v>
      </c>
    </row>
    <row r="152" ht="15.75" hidden="1" customHeight="1">
      <c r="A152" s="1185" t="s">
        <v>987</v>
      </c>
      <c r="B152" s="1179"/>
      <c r="C152" s="1186"/>
      <c r="D152" s="1186"/>
      <c r="E152" s="1179"/>
      <c r="F152" s="1185" t="s">
        <v>989</v>
      </c>
      <c r="G152" s="13">
        <f t="shared" si="2"/>
        <v>1</v>
      </c>
      <c r="H152" s="224" t="str">
        <f t="shared" ref="H152:I152" si="136">IF(OR(C152=0,C152="SCORE"),"",C152)</f>
        <v/>
      </c>
      <c r="I152" s="13" t="str">
        <f t="shared" si="136"/>
        <v/>
      </c>
      <c r="J152" s="13" t="str">
        <f t="shared" si="4"/>
        <v/>
      </c>
      <c r="K152" s="13" t="str">
        <f t="shared" si="5"/>
        <v>N/A</v>
      </c>
    </row>
    <row r="153" ht="15.75" customHeight="1">
      <c r="A153" s="1185"/>
      <c r="B153" s="1179" t="s">
        <v>723</v>
      </c>
      <c r="C153" s="1186">
        <v>132.07</v>
      </c>
      <c r="D153" s="1186">
        <v>123.33</v>
      </c>
      <c r="E153" s="1179" t="s">
        <v>725</v>
      </c>
      <c r="F153" s="1185"/>
      <c r="G153" s="13" t="str">
        <f t="shared" si="2"/>
        <v>SAVAGES</v>
      </c>
      <c r="H153" s="1187">
        <f t="shared" ref="H153:I153" si="137">IF(OR(C153=0,C153="SCORE"),"",C153)</f>
        <v>132.07</v>
      </c>
      <c r="I153" s="1188">
        <f t="shared" si="137"/>
        <v>123.33</v>
      </c>
      <c r="J153" s="13" t="str">
        <f t="shared" si="4"/>
        <v>YARDIES</v>
      </c>
      <c r="K153" s="13" t="str">
        <f t="shared" si="5"/>
        <v>Game</v>
      </c>
    </row>
    <row r="154" ht="15.75" hidden="1" customHeight="1">
      <c r="A154" s="1185" t="s">
        <v>992</v>
      </c>
      <c r="B154" s="1179"/>
      <c r="C154" s="1186"/>
      <c r="D154" s="1186"/>
      <c r="E154" s="1179"/>
      <c r="F154" s="1185" t="s">
        <v>993</v>
      </c>
      <c r="G154" s="13">
        <f t="shared" si="2"/>
        <v>1</v>
      </c>
      <c r="H154" s="224" t="str">
        <f t="shared" ref="H154:I154" si="138">IF(OR(C154=0,C154="SCORE"),"",C154)</f>
        <v/>
      </c>
      <c r="I154" s="13" t="str">
        <f t="shared" si="138"/>
        <v/>
      </c>
      <c r="J154" s="13" t="str">
        <f t="shared" si="4"/>
        <v/>
      </c>
      <c r="K154" s="13" t="str">
        <f t="shared" si="5"/>
        <v>N/A</v>
      </c>
    </row>
    <row r="155" ht="15.75" customHeight="1">
      <c r="A155" s="1185"/>
      <c r="B155" s="1180" t="s">
        <v>722</v>
      </c>
      <c r="C155" s="1186">
        <v>127.18</v>
      </c>
      <c r="D155" s="1186">
        <v>193.71</v>
      </c>
      <c r="E155" s="1179" t="s">
        <v>729</v>
      </c>
      <c r="F155" s="1185" t="s">
        <v>994</v>
      </c>
      <c r="G155" s="13" t="str">
        <f t="shared" si="2"/>
        <v>DECOUPES</v>
      </c>
      <c r="H155" s="1187">
        <f t="shared" ref="H155:I155" si="139">IF(OR(C155=0,C155="SCORE"),"",C155)</f>
        <v>127.18</v>
      </c>
      <c r="I155" s="1188">
        <f t="shared" si="139"/>
        <v>193.71</v>
      </c>
      <c r="J155" s="13" t="str">
        <f t="shared" si="4"/>
        <v>GIRLS</v>
      </c>
      <c r="K155" s="13" t="str">
        <f t="shared" si="5"/>
        <v>Game</v>
      </c>
    </row>
    <row r="156" ht="15.75" hidden="1" customHeight="1">
      <c r="A156" s="1189" t="s">
        <v>996</v>
      </c>
      <c r="B156" s="1180"/>
      <c r="C156" s="1186"/>
      <c r="D156" s="1186"/>
      <c r="E156" s="1179"/>
      <c r="F156" s="1185"/>
      <c r="G156" s="13">
        <f t="shared" si="2"/>
        <v>1</v>
      </c>
      <c r="H156" s="224" t="str">
        <f t="shared" ref="H156:I156" si="140">IF(OR(C156=0,C156="SCORE"),"",C156)</f>
        <v/>
      </c>
      <c r="I156" s="13" t="str">
        <f t="shared" si="140"/>
        <v/>
      </c>
      <c r="J156" s="13" t="str">
        <f t="shared" si="4"/>
        <v/>
      </c>
      <c r="K156" s="13" t="str">
        <f t="shared" si="5"/>
        <v>N/A</v>
      </c>
    </row>
    <row r="157" ht="15.75" customHeight="1">
      <c r="A157" s="1185"/>
      <c r="B157" s="1179" t="s">
        <v>727</v>
      </c>
      <c r="C157" s="1186">
        <v>201.41</v>
      </c>
      <c r="D157" s="1186">
        <v>126.24</v>
      </c>
      <c r="E157" s="1179" t="s">
        <v>728</v>
      </c>
      <c r="F157" s="1189" t="s">
        <v>998</v>
      </c>
      <c r="G157" s="13" t="str">
        <f t="shared" si="2"/>
        <v>GREEN</v>
      </c>
      <c r="H157" s="1187">
        <f t="shared" ref="H157:I157" si="141">IF(OR(C157=0,C157="SCORE"),"",C157)</f>
        <v>201.41</v>
      </c>
      <c r="I157" s="1188">
        <f t="shared" si="141"/>
        <v>126.24</v>
      </c>
      <c r="J157" s="13" t="str">
        <f t="shared" si="4"/>
        <v>DEEZ NUTS</v>
      </c>
      <c r="K157" s="13" t="str">
        <f t="shared" si="5"/>
        <v>Game</v>
      </c>
    </row>
    <row r="158" ht="15.75" hidden="1" customHeight="1">
      <c r="A158" s="1185" t="s">
        <v>1001</v>
      </c>
      <c r="B158" s="1179"/>
      <c r="C158" s="1186"/>
      <c r="D158" s="1186"/>
      <c r="E158" s="1180"/>
      <c r="F158" s="1189"/>
      <c r="G158" s="13">
        <f t="shared" si="2"/>
        <v>1</v>
      </c>
      <c r="H158" s="224" t="str">
        <f t="shared" ref="H158:I158" si="142">IF(OR(C158=0,C158="SCORE"),"",C158)</f>
        <v/>
      </c>
      <c r="I158" s="13" t="str">
        <f t="shared" si="142"/>
        <v/>
      </c>
      <c r="J158" s="13" t="str">
        <f t="shared" si="4"/>
        <v/>
      </c>
      <c r="K158" s="13" t="str">
        <f t="shared" si="5"/>
        <v>N/A</v>
      </c>
    </row>
    <row r="159" ht="15.75" customHeight="1">
      <c r="A159" s="1185"/>
      <c r="B159" s="1179" t="s">
        <v>743</v>
      </c>
      <c r="C159" s="1186">
        <v>156.25</v>
      </c>
      <c r="D159" s="1186">
        <v>157.93</v>
      </c>
      <c r="E159" s="1179" t="s">
        <v>724</v>
      </c>
      <c r="F159" s="1185"/>
      <c r="G159" s="13" t="str">
        <f t="shared" si="2"/>
        <v>CHAMPS</v>
      </c>
      <c r="H159" s="1187">
        <f t="shared" ref="H159:I159" si="143">IF(OR(C159=0,C159="SCORE"),"",C159)</f>
        <v>156.25</v>
      </c>
      <c r="I159" s="1188">
        <f t="shared" si="143"/>
        <v>157.93</v>
      </c>
      <c r="J159" s="13" t="str">
        <f t="shared" si="4"/>
        <v>METAMOOKDAWGS</v>
      </c>
      <c r="K159" s="13" t="str">
        <f t="shared" si="5"/>
        <v>Game</v>
      </c>
    </row>
    <row r="160" ht="15.75" hidden="1" customHeight="1">
      <c r="A160" s="1185" t="s">
        <v>1003</v>
      </c>
      <c r="B160" s="1179"/>
      <c r="C160" s="1186"/>
      <c r="D160" s="1186"/>
      <c r="E160" s="1179"/>
      <c r="F160" s="1185" t="s">
        <v>1005</v>
      </c>
      <c r="G160" s="13">
        <f t="shared" si="2"/>
        <v>1</v>
      </c>
      <c r="H160" s="224" t="str">
        <f t="shared" ref="H160:I160" si="144">IF(OR(C160=0,C160="SCORE"),"",C160)</f>
        <v/>
      </c>
      <c r="I160" s="13" t="str">
        <f t="shared" si="144"/>
        <v/>
      </c>
      <c r="J160" s="13" t="str">
        <f t="shared" si="4"/>
        <v/>
      </c>
      <c r="K160" s="13" t="str">
        <f t="shared" si="5"/>
        <v>N/A</v>
      </c>
    </row>
    <row r="161" ht="15.75" hidden="1" customHeight="1">
      <c r="A161" s="1181" t="s">
        <v>917</v>
      </c>
      <c r="G161" s="13">
        <f t="shared" si="2"/>
        <v>1</v>
      </c>
      <c r="H161" s="224" t="str">
        <f t="shared" ref="H161:I161" si="145">IF(OR(C161=0,C161="SCORE"),"",C161)</f>
        <v/>
      </c>
      <c r="I161" s="13" t="str">
        <f t="shared" si="145"/>
        <v/>
      </c>
      <c r="J161" s="13" t="str">
        <f t="shared" si="4"/>
        <v/>
      </c>
      <c r="K161" s="13" t="str">
        <f t="shared" si="5"/>
        <v>N/A</v>
      </c>
    </row>
    <row r="162" ht="15.75" hidden="1" customHeight="1">
      <c r="A162" s="1182" t="s">
        <v>731</v>
      </c>
      <c r="B162" s="1183"/>
      <c r="C162" s="1182" t="s">
        <v>510</v>
      </c>
      <c r="D162" s="1182" t="s">
        <v>510</v>
      </c>
      <c r="E162" s="1183"/>
      <c r="F162" s="1182" t="s">
        <v>732</v>
      </c>
      <c r="G162" s="13">
        <f t="shared" si="2"/>
        <v>1</v>
      </c>
      <c r="H162" s="224" t="str">
        <f t="shared" ref="H162:I162" si="146">IF(OR(C162=0,C162="SCORE"),"",C162)</f>
        <v/>
      </c>
      <c r="I162" s="13" t="str">
        <f t="shared" si="146"/>
        <v/>
      </c>
      <c r="J162" s="13" t="str">
        <f t="shared" si="4"/>
        <v/>
      </c>
      <c r="K162" s="13" t="str">
        <f t="shared" si="5"/>
        <v>N/A</v>
      </c>
    </row>
    <row r="163" ht="15.75" customHeight="1">
      <c r="A163" s="1185"/>
      <c r="B163" s="1179" t="s">
        <v>726</v>
      </c>
      <c r="C163" s="1186">
        <v>141.84</v>
      </c>
      <c r="D163" s="1186">
        <v>93.38</v>
      </c>
      <c r="E163" s="1179" t="s">
        <v>743</v>
      </c>
      <c r="F163" s="1185"/>
      <c r="G163" s="13" t="str">
        <f t="shared" si="2"/>
        <v>POPEYES</v>
      </c>
      <c r="H163" s="1187">
        <f t="shared" ref="H163:I163" si="147">IF(OR(C163=0,C163="SCORE"),"",C163)</f>
        <v>141.84</v>
      </c>
      <c r="I163" s="1188">
        <f t="shared" si="147"/>
        <v>93.38</v>
      </c>
      <c r="J163" s="13" t="str">
        <f t="shared" si="4"/>
        <v>CHAMPS</v>
      </c>
      <c r="K163" s="13" t="str">
        <f t="shared" si="5"/>
        <v>Game</v>
      </c>
    </row>
    <row r="164" ht="15.75" hidden="1" customHeight="1">
      <c r="A164" s="1185" t="s">
        <v>1006</v>
      </c>
      <c r="B164" s="1179"/>
      <c r="C164" s="1186"/>
      <c r="D164" s="1186"/>
      <c r="E164" s="1179"/>
      <c r="F164" s="1185" t="s">
        <v>1007</v>
      </c>
      <c r="G164" s="13">
        <f t="shared" si="2"/>
        <v>1</v>
      </c>
      <c r="H164" s="224" t="str">
        <f t="shared" ref="H164:I164" si="148">IF(OR(C164=0,C164="SCORE"),"",C164)</f>
        <v/>
      </c>
      <c r="I164" s="13" t="str">
        <f t="shared" si="148"/>
        <v/>
      </c>
      <c r="J164" s="13" t="str">
        <f t="shared" si="4"/>
        <v/>
      </c>
      <c r="K164" s="13" t="str">
        <f t="shared" si="5"/>
        <v>N/A</v>
      </c>
    </row>
    <row r="165" ht="15.75" customHeight="1">
      <c r="A165" s="1185"/>
      <c r="B165" s="1179" t="s">
        <v>723</v>
      </c>
      <c r="C165" s="1186">
        <v>132.8</v>
      </c>
      <c r="D165" s="1186">
        <v>147.52</v>
      </c>
      <c r="E165" s="1179" t="s">
        <v>727</v>
      </c>
      <c r="F165" s="1185"/>
      <c r="G165" s="13" t="str">
        <f t="shared" si="2"/>
        <v>SAVAGES</v>
      </c>
      <c r="H165" s="1187">
        <f t="shared" ref="H165:I165" si="149">IF(OR(C165=0,C165="SCORE"),"",C165)</f>
        <v>132.8</v>
      </c>
      <c r="I165" s="1188">
        <f t="shared" si="149"/>
        <v>147.52</v>
      </c>
      <c r="J165" s="13" t="str">
        <f t="shared" si="4"/>
        <v>GREEN</v>
      </c>
      <c r="K165" s="13" t="str">
        <f t="shared" si="5"/>
        <v>Game</v>
      </c>
    </row>
    <row r="166" ht="15.75" hidden="1" customHeight="1">
      <c r="A166" s="1185" t="s">
        <v>1008</v>
      </c>
      <c r="B166" s="1179"/>
      <c r="C166" s="1186"/>
      <c r="D166" s="1186"/>
      <c r="E166" s="1179"/>
      <c r="F166" s="1185" t="s">
        <v>1009</v>
      </c>
      <c r="G166" s="13">
        <f t="shared" si="2"/>
        <v>1</v>
      </c>
      <c r="H166" s="224" t="str">
        <f t="shared" ref="H166:I166" si="150">IF(OR(C166=0,C166="SCORE"),"",C166)</f>
        <v/>
      </c>
      <c r="I166" s="13" t="str">
        <f t="shared" si="150"/>
        <v/>
      </c>
      <c r="J166" s="13" t="str">
        <f t="shared" si="4"/>
        <v/>
      </c>
      <c r="K166" s="13" t="str">
        <f t="shared" si="5"/>
        <v>N/A</v>
      </c>
    </row>
    <row r="167" ht="15.75" customHeight="1">
      <c r="A167" s="1185"/>
      <c r="B167" s="1180" t="s">
        <v>722</v>
      </c>
      <c r="C167" s="1186">
        <v>146.27</v>
      </c>
      <c r="D167" s="1186">
        <v>164.74</v>
      </c>
      <c r="E167" s="1179" t="s">
        <v>725</v>
      </c>
      <c r="F167" s="1185"/>
      <c r="G167" s="13" t="str">
        <f t="shared" si="2"/>
        <v>DECOUPES</v>
      </c>
      <c r="H167" s="1187">
        <f t="shared" ref="H167:I167" si="151">IF(OR(C167=0,C167="SCORE"),"",C167)</f>
        <v>146.27</v>
      </c>
      <c r="I167" s="1188">
        <f t="shared" si="151"/>
        <v>164.74</v>
      </c>
      <c r="J167" s="13" t="str">
        <f t="shared" si="4"/>
        <v>YARDIES</v>
      </c>
      <c r="K167" s="13" t="str">
        <f t="shared" si="5"/>
        <v>Game</v>
      </c>
    </row>
    <row r="168" ht="15.75" hidden="1" customHeight="1">
      <c r="A168" s="1189" t="s">
        <v>1010</v>
      </c>
      <c r="B168" s="1180"/>
      <c r="C168" s="1186"/>
      <c r="D168" s="1186"/>
      <c r="E168" s="1179"/>
      <c r="F168" s="1185" t="s">
        <v>1011</v>
      </c>
      <c r="G168" s="13">
        <f t="shared" si="2"/>
        <v>1</v>
      </c>
      <c r="H168" s="224" t="str">
        <f t="shared" ref="H168:I168" si="152">IF(OR(C168=0,C168="SCORE"),"",C168)</f>
        <v/>
      </c>
      <c r="I168" s="13" t="str">
        <f t="shared" si="152"/>
        <v/>
      </c>
      <c r="J168" s="13" t="str">
        <f t="shared" si="4"/>
        <v/>
      </c>
      <c r="K168" s="13" t="str">
        <f t="shared" si="5"/>
        <v>N/A</v>
      </c>
    </row>
    <row r="169" ht="15.75" customHeight="1">
      <c r="A169" s="1185"/>
      <c r="B169" s="1179" t="s">
        <v>724</v>
      </c>
      <c r="C169" s="1186">
        <v>186.04</v>
      </c>
      <c r="D169" s="1186">
        <v>128.66</v>
      </c>
      <c r="E169" s="1179" t="s">
        <v>728</v>
      </c>
      <c r="F169" s="1189" t="s">
        <v>1012</v>
      </c>
      <c r="G169" s="13" t="str">
        <f t="shared" si="2"/>
        <v>METAMOOKDAWGS</v>
      </c>
      <c r="H169" s="1187">
        <f t="shared" ref="H169:I169" si="153">IF(OR(C169=0,C169="SCORE"),"",C169)</f>
        <v>186.04</v>
      </c>
      <c r="I169" s="1188">
        <f t="shared" si="153"/>
        <v>128.66</v>
      </c>
      <c r="J169" s="13" t="str">
        <f t="shared" si="4"/>
        <v>DEEZ NUTS</v>
      </c>
      <c r="K169" s="13" t="str">
        <f t="shared" si="5"/>
        <v>Game</v>
      </c>
    </row>
    <row r="170" ht="15.75" hidden="1" customHeight="1">
      <c r="A170" s="1185" t="s">
        <v>1013</v>
      </c>
      <c r="B170" s="1179"/>
      <c r="C170" s="1186"/>
      <c r="D170" s="1186"/>
      <c r="E170" s="1180"/>
      <c r="F170" s="1189"/>
      <c r="G170" s="13">
        <f t="shared" si="2"/>
        <v>1</v>
      </c>
      <c r="H170" s="224" t="str">
        <f t="shared" ref="H170:I170" si="154">IF(OR(C170=0,C170="SCORE"),"",C170)</f>
        <v/>
      </c>
      <c r="I170" s="13" t="str">
        <f t="shared" si="154"/>
        <v/>
      </c>
      <c r="J170" s="13" t="str">
        <f t="shared" si="4"/>
        <v/>
      </c>
      <c r="K170" s="13" t="str">
        <f t="shared" si="5"/>
        <v>N/A</v>
      </c>
    </row>
    <row r="171" ht="15.75" customHeight="1">
      <c r="A171" s="1185"/>
      <c r="B171" s="1179" t="s">
        <v>721</v>
      </c>
      <c r="C171" s="1186">
        <v>140.41</v>
      </c>
      <c r="D171" s="1186">
        <v>186.93</v>
      </c>
      <c r="E171" s="1179" t="s">
        <v>729</v>
      </c>
      <c r="F171" s="1185" t="s">
        <v>1014</v>
      </c>
      <c r="G171" s="13" t="str">
        <f t="shared" si="2"/>
        <v>MUTTS</v>
      </c>
      <c r="H171" s="1187">
        <f t="shared" ref="H171:I171" si="155">IF(OR(C171=0,C171="SCORE"),"",C171)</f>
        <v>140.41</v>
      </c>
      <c r="I171" s="1188">
        <f t="shared" si="155"/>
        <v>186.93</v>
      </c>
      <c r="J171" s="13" t="str">
        <f t="shared" si="4"/>
        <v>GIRLS</v>
      </c>
      <c r="K171" s="13" t="str">
        <f t="shared" si="5"/>
        <v>Game</v>
      </c>
    </row>
    <row r="172" ht="15.75" hidden="1" customHeight="1">
      <c r="A172" s="1185" t="s">
        <v>1015</v>
      </c>
      <c r="B172" s="1179"/>
      <c r="C172" s="1186"/>
      <c r="D172" s="1186"/>
      <c r="E172" s="1179"/>
      <c r="F172" s="1185"/>
      <c r="G172" s="13">
        <f t="shared" si="2"/>
        <v>1</v>
      </c>
      <c r="H172" s="224" t="str">
        <f t="shared" ref="H172:I172" si="156">IF(OR(C172=0,C172="SCORE"),"",C172)</f>
        <v/>
      </c>
      <c r="I172" s="13" t="str">
        <f t="shared" si="156"/>
        <v/>
      </c>
      <c r="J172" s="13" t="str">
        <f t="shared" si="4"/>
        <v/>
      </c>
      <c r="K172" s="13" t="str">
        <f t="shared" si="5"/>
        <v>N/A</v>
      </c>
    </row>
    <row r="173" ht="15.75" hidden="1" customHeight="1">
      <c r="A173" s="1181" t="s">
        <v>930</v>
      </c>
      <c r="G173" s="13">
        <f t="shared" si="2"/>
        <v>1</v>
      </c>
      <c r="H173" s="224" t="str">
        <f t="shared" ref="H173:I173" si="157">IF(OR(C173=0,C173="SCORE"),"",C173)</f>
        <v/>
      </c>
      <c r="I173" s="13" t="str">
        <f t="shared" si="157"/>
        <v/>
      </c>
      <c r="J173" s="13" t="str">
        <f t="shared" si="4"/>
        <v/>
      </c>
      <c r="K173" s="13" t="str">
        <f t="shared" si="5"/>
        <v>N/A</v>
      </c>
    </row>
    <row r="174" ht="15.75" hidden="1" customHeight="1">
      <c r="A174" s="1182" t="s">
        <v>731</v>
      </c>
      <c r="B174" s="1183"/>
      <c r="C174" s="1182" t="s">
        <v>510</v>
      </c>
      <c r="D174" s="1182" t="s">
        <v>510</v>
      </c>
      <c r="E174" s="1183"/>
      <c r="F174" s="1182" t="s">
        <v>732</v>
      </c>
      <c r="G174" s="13">
        <f t="shared" si="2"/>
        <v>1</v>
      </c>
      <c r="H174" s="224" t="str">
        <f t="shared" ref="H174:I174" si="158">IF(OR(C174=0,C174="SCORE"),"",C174)</f>
        <v/>
      </c>
      <c r="I174" s="13" t="str">
        <f t="shared" si="158"/>
        <v/>
      </c>
      <c r="J174" s="13" t="str">
        <f t="shared" si="4"/>
        <v/>
      </c>
      <c r="K174" s="13" t="str">
        <f t="shared" si="5"/>
        <v>N/A</v>
      </c>
    </row>
    <row r="175" ht="15.75" customHeight="1">
      <c r="A175" s="1185"/>
      <c r="B175" s="1179" t="s">
        <v>726</v>
      </c>
      <c r="C175" s="1186">
        <v>121.37</v>
      </c>
      <c r="D175" s="1186">
        <v>178.04</v>
      </c>
      <c r="E175" s="1179" t="s">
        <v>723</v>
      </c>
      <c r="F175" s="1185"/>
      <c r="G175" s="13" t="str">
        <f t="shared" si="2"/>
        <v>POPEYES</v>
      </c>
      <c r="H175" s="1187">
        <f t="shared" ref="H175:I175" si="159">IF(OR(C175=0,C175="SCORE"),"",C175)</f>
        <v>121.37</v>
      </c>
      <c r="I175" s="1188">
        <f t="shared" si="159"/>
        <v>178.04</v>
      </c>
      <c r="J175" s="13" t="str">
        <f t="shared" si="4"/>
        <v>SAVAGES</v>
      </c>
      <c r="K175" s="13" t="str">
        <f t="shared" si="5"/>
        <v>Game</v>
      </c>
    </row>
    <row r="176" ht="15.75" hidden="1" customHeight="1">
      <c r="A176" s="1185" t="s">
        <v>1016</v>
      </c>
      <c r="B176" s="1179"/>
      <c r="C176" s="1186"/>
      <c r="D176" s="1186"/>
      <c r="E176" s="1179"/>
      <c r="F176" s="1185" t="s">
        <v>1017</v>
      </c>
      <c r="G176" s="13">
        <f t="shared" si="2"/>
        <v>1</v>
      </c>
      <c r="H176" s="224" t="str">
        <f t="shared" ref="H176:I176" si="160">IF(OR(C176=0,C176="SCORE"),"",C176)</f>
        <v/>
      </c>
      <c r="I176" s="13" t="str">
        <f t="shared" si="160"/>
        <v/>
      </c>
      <c r="J176" s="13" t="str">
        <f t="shared" si="4"/>
        <v/>
      </c>
      <c r="K176" s="13" t="str">
        <f t="shared" si="5"/>
        <v>N/A</v>
      </c>
    </row>
    <row r="177" ht="15.75" customHeight="1">
      <c r="A177" s="1185"/>
      <c r="B177" s="1180" t="s">
        <v>722</v>
      </c>
      <c r="C177" s="1186">
        <v>182.85</v>
      </c>
      <c r="D177" s="1186">
        <v>145.52</v>
      </c>
      <c r="E177" s="1179" t="s">
        <v>743</v>
      </c>
      <c r="F177" s="1185"/>
      <c r="G177" s="13" t="str">
        <f t="shared" si="2"/>
        <v>DECOUPES</v>
      </c>
      <c r="H177" s="1187">
        <f t="shared" ref="H177:I177" si="161">IF(OR(C177=0,C177="SCORE"),"",C177)</f>
        <v>182.85</v>
      </c>
      <c r="I177" s="1188">
        <f t="shared" si="161"/>
        <v>145.52</v>
      </c>
      <c r="J177" s="13" t="str">
        <f t="shared" si="4"/>
        <v>CHAMPS</v>
      </c>
      <c r="K177" s="13" t="str">
        <f t="shared" si="5"/>
        <v>Game</v>
      </c>
    </row>
    <row r="178" ht="15.75" hidden="1" customHeight="1">
      <c r="A178" s="1189" t="s">
        <v>1019</v>
      </c>
      <c r="B178" s="1180"/>
      <c r="C178" s="1186"/>
      <c r="D178" s="1186"/>
      <c r="E178" s="1179"/>
      <c r="F178" s="1185" t="s">
        <v>1020</v>
      </c>
      <c r="G178" s="13">
        <f t="shared" si="2"/>
        <v>1</v>
      </c>
      <c r="H178" s="224" t="str">
        <f t="shared" ref="H178:I178" si="162">IF(OR(C178=0,C178="SCORE"),"",C178)</f>
        <v/>
      </c>
      <c r="I178" s="13" t="str">
        <f t="shared" si="162"/>
        <v/>
      </c>
      <c r="J178" s="13" t="str">
        <f t="shared" si="4"/>
        <v/>
      </c>
      <c r="K178" s="13" t="str">
        <f t="shared" si="5"/>
        <v>N/A</v>
      </c>
    </row>
    <row r="179" ht="15.75" customHeight="1">
      <c r="A179" s="1185"/>
      <c r="B179" s="1179" t="s">
        <v>727</v>
      </c>
      <c r="C179" s="1186">
        <v>141.62</v>
      </c>
      <c r="D179" s="1186">
        <v>195.74</v>
      </c>
      <c r="E179" s="1179" t="s">
        <v>729</v>
      </c>
      <c r="F179" s="1185" t="s">
        <v>1021</v>
      </c>
      <c r="G179" s="13" t="str">
        <f t="shared" si="2"/>
        <v>GREEN</v>
      </c>
      <c r="H179" s="1187">
        <f t="shared" ref="H179:I179" si="163">IF(OR(C179=0,C179="SCORE"),"",C179)</f>
        <v>141.62</v>
      </c>
      <c r="I179" s="1188">
        <f t="shared" si="163"/>
        <v>195.74</v>
      </c>
      <c r="J179" s="13" t="str">
        <f t="shared" si="4"/>
        <v>GIRLS</v>
      </c>
      <c r="K179" s="13" t="str">
        <f t="shared" si="5"/>
        <v>Game</v>
      </c>
    </row>
    <row r="180" ht="15.75" hidden="1" customHeight="1">
      <c r="A180" s="1185" t="s">
        <v>1022</v>
      </c>
      <c r="B180" s="1179"/>
      <c r="C180" s="1186"/>
      <c r="D180" s="1186"/>
      <c r="E180" s="1179"/>
      <c r="F180" s="1185"/>
      <c r="G180" s="13">
        <f t="shared" si="2"/>
        <v>1</v>
      </c>
      <c r="H180" s="224" t="str">
        <f t="shared" ref="H180:I180" si="164">IF(OR(C180=0,C180="SCORE"),"",C180)</f>
        <v/>
      </c>
      <c r="I180" s="13" t="str">
        <f t="shared" si="164"/>
        <v/>
      </c>
      <c r="J180" s="13" t="str">
        <f t="shared" si="4"/>
        <v/>
      </c>
      <c r="K180" s="13" t="str">
        <f t="shared" si="5"/>
        <v>N/A</v>
      </c>
    </row>
    <row r="181" ht="15.75" customHeight="1">
      <c r="A181" s="1185"/>
      <c r="B181" s="1179" t="s">
        <v>724</v>
      </c>
      <c r="C181" s="1186">
        <v>154.66</v>
      </c>
      <c r="D181" s="1186">
        <v>199.66</v>
      </c>
      <c r="E181" s="1179" t="s">
        <v>721</v>
      </c>
      <c r="F181" s="1185"/>
      <c r="G181" s="13" t="str">
        <f t="shared" si="2"/>
        <v>METAMOOKDAWGS</v>
      </c>
      <c r="H181" s="1187">
        <f t="shared" ref="H181:I181" si="165">IF(OR(C181=0,C181="SCORE"),"",C181)</f>
        <v>154.66</v>
      </c>
      <c r="I181" s="1188">
        <f t="shared" si="165"/>
        <v>199.66</v>
      </c>
      <c r="J181" s="13" t="str">
        <f t="shared" si="4"/>
        <v>MUTTS</v>
      </c>
      <c r="K181" s="13" t="str">
        <f t="shared" si="5"/>
        <v>Game</v>
      </c>
    </row>
    <row r="182" ht="15.75" hidden="1" customHeight="1">
      <c r="A182" s="1185" t="s">
        <v>1024</v>
      </c>
      <c r="B182" s="1179"/>
      <c r="C182" s="1186"/>
      <c r="D182" s="1186"/>
      <c r="E182" s="1179"/>
      <c r="F182" s="1185" t="s">
        <v>1025</v>
      </c>
      <c r="G182" s="13">
        <f t="shared" si="2"/>
        <v>1</v>
      </c>
      <c r="H182" s="224" t="str">
        <f t="shared" ref="H182:I182" si="166">IF(OR(C182=0,C182="SCORE"),"",C182)</f>
        <v/>
      </c>
      <c r="I182" s="13" t="str">
        <f t="shared" si="166"/>
        <v/>
      </c>
      <c r="J182" s="13" t="str">
        <f t="shared" si="4"/>
        <v/>
      </c>
      <c r="K182" s="13" t="str">
        <f t="shared" si="5"/>
        <v>N/A</v>
      </c>
    </row>
    <row r="183" ht="15.75" customHeight="1">
      <c r="A183" s="1185"/>
      <c r="B183" s="1179" t="s">
        <v>725</v>
      </c>
      <c r="C183" s="1186">
        <v>152.6</v>
      </c>
      <c r="D183" s="1186">
        <v>108.74</v>
      </c>
      <c r="E183" s="1179" t="s">
        <v>728</v>
      </c>
      <c r="F183" s="1189" t="s">
        <v>1027</v>
      </c>
      <c r="G183" s="13" t="str">
        <f t="shared" si="2"/>
        <v>YARDIES</v>
      </c>
      <c r="H183" s="1187">
        <f t="shared" ref="H183:I183" si="167">IF(OR(C183=0,C183="SCORE"),"",C183)</f>
        <v>152.6</v>
      </c>
      <c r="I183" s="1188">
        <f t="shared" si="167"/>
        <v>108.74</v>
      </c>
      <c r="J183" s="13" t="str">
        <f t="shared" si="4"/>
        <v>DEEZ NUTS</v>
      </c>
      <c r="K183" s="13" t="str">
        <f t="shared" si="5"/>
        <v>Game</v>
      </c>
    </row>
    <row r="184" ht="15.75" hidden="1" customHeight="1">
      <c r="A184" s="1185" t="s">
        <v>1028</v>
      </c>
      <c r="B184" s="1179"/>
      <c r="C184" s="1186"/>
      <c r="D184" s="1186"/>
      <c r="E184" s="1180"/>
      <c r="F184" s="1189"/>
      <c r="G184" s="13">
        <f t="shared" si="2"/>
        <v>1</v>
      </c>
      <c r="H184" s="224" t="str">
        <f t="shared" ref="H184:I184" si="168">IF(OR(C184=0,C184="SCORE"),"",C184)</f>
        <v/>
      </c>
      <c r="I184" s="13" t="str">
        <f t="shared" si="168"/>
        <v/>
      </c>
      <c r="J184" s="13" t="str">
        <f t="shared" si="4"/>
        <v/>
      </c>
      <c r="K184" s="13" t="str">
        <f t="shared" si="5"/>
        <v>N/A</v>
      </c>
    </row>
    <row r="185" ht="15.75" hidden="1" customHeight="1">
      <c r="A185" s="1181" t="s">
        <v>1029</v>
      </c>
      <c r="G185" s="13">
        <f t="shared" si="2"/>
        <v>1</v>
      </c>
      <c r="H185" s="224" t="str">
        <f t="shared" ref="H185:I185" si="169">IF(OR(C185=0,C185="SCORE"),"",C185)</f>
        <v/>
      </c>
      <c r="I185" s="13" t="str">
        <f t="shared" si="169"/>
        <v/>
      </c>
      <c r="J185" s="13" t="str">
        <f t="shared" si="4"/>
        <v/>
      </c>
      <c r="K185" s="13" t="str">
        <f t="shared" si="5"/>
        <v>N/A</v>
      </c>
    </row>
    <row r="186" ht="15.75" hidden="1" customHeight="1">
      <c r="A186" s="1182" t="s">
        <v>731</v>
      </c>
      <c r="B186" s="1183"/>
      <c r="C186" s="1182" t="s">
        <v>510</v>
      </c>
      <c r="D186" s="1182" t="s">
        <v>510</v>
      </c>
      <c r="E186" s="1183"/>
      <c r="F186" s="1182" t="s">
        <v>732</v>
      </c>
      <c r="G186" s="13">
        <f t="shared" si="2"/>
        <v>1</v>
      </c>
      <c r="H186" s="224" t="str">
        <f t="shared" ref="H186:I186" si="170">IF(OR(C186=0,C186="SCORE"),"",C186)</f>
        <v/>
      </c>
      <c r="I186" s="13" t="str">
        <f t="shared" si="170"/>
        <v/>
      </c>
      <c r="J186" s="13" t="str">
        <f t="shared" si="4"/>
        <v/>
      </c>
      <c r="K186" s="13" t="str">
        <f t="shared" si="5"/>
        <v>N/A</v>
      </c>
    </row>
    <row r="187" ht="15.75" customHeight="1">
      <c r="A187" s="1185"/>
      <c r="B187" s="1179" t="s">
        <v>726</v>
      </c>
      <c r="C187" s="1186">
        <v>128.05</v>
      </c>
      <c r="D187" s="1186">
        <v>164.16</v>
      </c>
      <c r="E187" s="1179" t="s">
        <v>727</v>
      </c>
      <c r="F187" s="1185"/>
      <c r="G187" s="13" t="str">
        <f t="shared" si="2"/>
        <v>POPEYES</v>
      </c>
      <c r="H187" s="1187">
        <f t="shared" ref="H187:I187" si="171">IF(OR(C187=0,C187="SCORE"),"",C187)</f>
        <v>128.05</v>
      </c>
      <c r="I187" s="1188">
        <f t="shared" si="171"/>
        <v>164.16</v>
      </c>
      <c r="J187" s="13" t="str">
        <f t="shared" si="4"/>
        <v>GREEN</v>
      </c>
      <c r="K187" s="13" t="str">
        <f t="shared" si="5"/>
        <v>Game</v>
      </c>
    </row>
    <row r="188" ht="15.75" hidden="1" customHeight="1">
      <c r="A188" s="1185" t="s">
        <v>1034</v>
      </c>
      <c r="B188" s="1179"/>
      <c r="C188" s="1186"/>
      <c r="D188" s="1186"/>
      <c r="E188" s="1179"/>
      <c r="F188" s="1185" t="s">
        <v>1035</v>
      </c>
      <c r="G188" s="13">
        <f t="shared" si="2"/>
        <v>1</v>
      </c>
      <c r="H188" s="224" t="str">
        <f t="shared" ref="H188:I188" si="172">IF(OR(C188=0,C188="SCORE"),"",C188)</f>
        <v/>
      </c>
      <c r="I188" s="13" t="str">
        <f t="shared" si="172"/>
        <v/>
      </c>
      <c r="J188" s="13" t="str">
        <f t="shared" si="4"/>
        <v/>
      </c>
      <c r="K188" s="13" t="str">
        <f t="shared" si="5"/>
        <v>N/A</v>
      </c>
    </row>
    <row r="189" ht="15.75" customHeight="1">
      <c r="A189" s="1185"/>
      <c r="B189" s="1179" t="s">
        <v>723</v>
      </c>
      <c r="C189" s="1186">
        <v>204.61</v>
      </c>
      <c r="D189" s="1186">
        <v>181.53</v>
      </c>
      <c r="E189" s="1180" t="s">
        <v>722</v>
      </c>
      <c r="F189" s="1185"/>
      <c r="G189" s="13" t="str">
        <f t="shared" si="2"/>
        <v>SAVAGES</v>
      </c>
      <c r="H189" s="1187">
        <f t="shared" ref="H189:I189" si="173">IF(OR(C189=0,C189="SCORE"),"",C189)</f>
        <v>204.61</v>
      </c>
      <c r="I189" s="1188">
        <f t="shared" si="173"/>
        <v>181.53</v>
      </c>
      <c r="J189" s="13" t="str">
        <f t="shared" si="4"/>
        <v>DECOUPES</v>
      </c>
      <c r="K189" s="13" t="str">
        <f t="shared" si="5"/>
        <v>Game</v>
      </c>
    </row>
    <row r="190" ht="15.75" hidden="1" customHeight="1">
      <c r="A190" s="1185" t="s">
        <v>1038</v>
      </c>
      <c r="B190" s="1179"/>
      <c r="C190" s="1186"/>
      <c r="D190" s="1186"/>
      <c r="E190" s="1180"/>
      <c r="F190" s="1189" t="s">
        <v>1040</v>
      </c>
      <c r="G190" s="13">
        <f t="shared" si="2"/>
        <v>1</v>
      </c>
      <c r="H190" s="224" t="str">
        <f t="shared" ref="H190:I190" si="174">IF(OR(C190=0,C190="SCORE"),"",C190)</f>
        <v/>
      </c>
      <c r="I190" s="13" t="str">
        <f t="shared" si="174"/>
        <v/>
      </c>
      <c r="J190" s="13" t="str">
        <f t="shared" si="4"/>
        <v/>
      </c>
      <c r="K190" s="13" t="str">
        <f t="shared" si="5"/>
        <v>N/A</v>
      </c>
    </row>
    <row r="191" ht="15.75" customHeight="1">
      <c r="A191" s="1185"/>
      <c r="B191" s="1179" t="s">
        <v>743</v>
      </c>
      <c r="C191" s="1186">
        <v>173.06</v>
      </c>
      <c r="D191" s="1186">
        <v>164.42</v>
      </c>
      <c r="E191" s="1179" t="s">
        <v>728</v>
      </c>
      <c r="F191" s="1189" t="s">
        <v>1048</v>
      </c>
      <c r="G191" s="13" t="str">
        <f t="shared" si="2"/>
        <v>CHAMPS</v>
      </c>
      <c r="H191" s="1187">
        <f t="shared" ref="H191:I191" si="175">IF(OR(C191=0,C191="SCORE"),"",C191)</f>
        <v>173.06</v>
      </c>
      <c r="I191" s="1188">
        <f t="shared" si="175"/>
        <v>164.42</v>
      </c>
      <c r="J191" s="13" t="str">
        <f t="shared" si="4"/>
        <v>DEEZ NUTS</v>
      </c>
      <c r="K191" s="13" t="str">
        <f t="shared" si="5"/>
        <v>Game</v>
      </c>
    </row>
    <row r="192" ht="15.75" hidden="1" customHeight="1">
      <c r="A192" s="1185" t="s">
        <v>1049</v>
      </c>
      <c r="B192" s="1179"/>
      <c r="C192" s="1186"/>
      <c r="D192" s="1186"/>
      <c r="E192" s="1180"/>
      <c r="F192" s="1189"/>
      <c r="G192" s="13">
        <f t="shared" si="2"/>
        <v>1</v>
      </c>
      <c r="H192" s="224" t="str">
        <f t="shared" ref="H192:I192" si="176">IF(OR(C192=0,C192="SCORE"),"",C192)</f>
        <v/>
      </c>
      <c r="I192" s="13" t="str">
        <f t="shared" si="176"/>
        <v/>
      </c>
      <c r="J192" s="13" t="str">
        <f t="shared" si="4"/>
        <v/>
      </c>
      <c r="K192" s="13" t="str">
        <f t="shared" si="5"/>
        <v>N/A</v>
      </c>
    </row>
    <row r="193" ht="15.75" customHeight="1">
      <c r="A193" s="1185"/>
      <c r="B193" s="1179" t="s">
        <v>724</v>
      </c>
      <c r="C193" s="1186">
        <v>136.52</v>
      </c>
      <c r="D193" s="1186">
        <v>166.23</v>
      </c>
      <c r="E193" s="1179" t="s">
        <v>729</v>
      </c>
      <c r="F193" s="1185" t="s">
        <v>1050</v>
      </c>
      <c r="G193" s="13" t="str">
        <f t="shared" si="2"/>
        <v>METAMOOKDAWGS</v>
      </c>
      <c r="H193" s="1187">
        <f t="shared" ref="H193:I193" si="177">IF(OR(C193=0,C193="SCORE"),"",C193)</f>
        <v>136.52</v>
      </c>
      <c r="I193" s="1188">
        <f t="shared" si="177"/>
        <v>166.23</v>
      </c>
      <c r="J193" s="13" t="str">
        <f t="shared" si="4"/>
        <v>GIRLS</v>
      </c>
      <c r="K193" s="13" t="str">
        <f t="shared" si="5"/>
        <v>Game</v>
      </c>
    </row>
    <row r="194" ht="15.75" hidden="1" customHeight="1">
      <c r="A194" s="1185" t="s">
        <v>1051</v>
      </c>
      <c r="B194" s="1179"/>
      <c r="C194" s="1186"/>
      <c r="D194" s="1186"/>
      <c r="E194" s="1179"/>
      <c r="F194" s="1185"/>
      <c r="G194" s="13">
        <f t="shared" si="2"/>
        <v>1</v>
      </c>
      <c r="H194" s="224" t="str">
        <f t="shared" ref="H194:I194" si="178">IF(OR(C194=0,C194="SCORE"),"",C194)</f>
        <v/>
      </c>
      <c r="I194" s="13" t="str">
        <f t="shared" si="178"/>
        <v/>
      </c>
      <c r="J194" s="13" t="str">
        <f t="shared" si="4"/>
        <v/>
      </c>
      <c r="K194" s="13" t="str">
        <f t="shared" si="5"/>
        <v>N/A</v>
      </c>
    </row>
    <row r="195" ht="15.75" customHeight="1">
      <c r="A195" s="1216"/>
      <c r="B195" s="1217" t="s">
        <v>721</v>
      </c>
      <c r="C195" s="1218">
        <v>211.6</v>
      </c>
      <c r="D195" s="1218">
        <v>190.09</v>
      </c>
      <c r="E195" s="1217" t="s">
        <v>725</v>
      </c>
      <c r="F195" s="1216"/>
      <c r="G195" s="288" t="str">
        <f t="shared" si="2"/>
        <v>MUTTS</v>
      </c>
      <c r="H195" s="1219">
        <f t="shared" ref="H195:I195" si="179">IF(OR(C195=0,C195="SCORE"),"",C195)</f>
        <v>211.6</v>
      </c>
      <c r="I195" s="1220">
        <f t="shared" si="179"/>
        <v>190.09</v>
      </c>
      <c r="J195" s="288" t="str">
        <f t="shared" si="4"/>
        <v>YARDIES</v>
      </c>
      <c r="K195" s="288" t="str">
        <f t="shared" si="5"/>
        <v>Game</v>
      </c>
      <c r="L195" s="288"/>
      <c r="M195" s="288"/>
      <c r="N195" s="288"/>
      <c r="O195" s="288"/>
      <c r="P195" s="288"/>
      <c r="Q195" s="288"/>
      <c r="R195" s="288"/>
      <c r="S195" s="288"/>
      <c r="T195" s="288"/>
      <c r="U195" s="288"/>
      <c r="V195" s="288"/>
      <c r="W195" s="288"/>
      <c r="X195" s="288"/>
      <c r="Y195" s="288"/>
      <c r="Z195" s="288"/>
    </row>
    <row r="196" ht="15.75" hidden="1" customHeight="1">
      <c r="A196" s="1185" t="s">
        <v>1054</v>
      </c>
      <c r="B196" s="1179"/>
      <c r="C196" s="1186"/>
      <c r="D196" s="1186"/>
      <c r="E196" s="1179"/>
      <c r="F196" s="1185" t="s">
        <v>1055</v>
      </c>
      <c r="G196" s="13">
        <f t="shared" si="2"/>
        <v>1</v>
      </c>
      <c r="H196" s="224" t="str">
        <f t="shared" ref="H196:I196" si="180">IF(OR(C196=0,C196="SCORE"),"",C196)</f>
        <v/>
      </c>
      <c r="I196" s="13" t="str">
        <f t="shared" si="180"/>
        <v/>
      </c>
      <c r="J196" s="13" t="str">
        <f t="shared" si="4"/>
        <v/>
      </c>
      <c r="K196" s="13" t="str">
        <f t="shared" si="5"/>
        <v>N/A</v>
      </c>
    </row>
    <row r="197" ht="15.75" hidden="1" customHeight="1">
      <c r="A197" s="1181" t="s">
        <v>1056</v>
      </c>
      <c r="G197" s="13">
        <f t="shared" si="2"/>
        <v>1</v>
      </c>
      <c r="H197" s="224" t="str">
        <f t="shared" ref="H197:I197" si="181">IF(OR(C197=0,C197="SCORE"),"",C197)</f>
        <v/>
      </c>
      <c r="I197" s="13" t="str">
        <f t="shared" si="181"/>
        <v/>
      </c>
      <c r="J197" s="13" t="str">
        <f t="shared" si="4"/>
        <v/>
      </c>
      <c r="K197" s="13" t="str">
        <f t="shared" si="5"/>
        <v>N/A</v>
      </c>
    </row>
    <row r="198" ht="15.75" hidden="1" customHeight="1">
      <c r="A198" s="1182" t="s">
        <v>731</v>
      </c>
      <c r="B198" s="1183"/>
      <c r="C198" s="1182" t="s">
        <v>510</v>
      </c>
      <c r="D198" s="1182" t="s">
        <v>510</v>
      </c>
      <c r="E198" s="1183"/>
      <c r="F198" s="1182" t="s">
        <v>732</v>
      </c>
      <c r="G198" s="13">
        <f t="shared" si="2"/>
        <v>1</v>
      </c>
      <c r="H198" s="224" t="str">
        <f t="shared" ref="H198:I198" si="182">IF(OR(C198=0,C198="SCORE"),"",C198)</f>
        <v/>
      </c>
      <c r="I198" s="13" t="str">
        <f t="shared" si="182"/>
        <v/>
      </c>
      <c r="J198" s="13" t="str">
        <f t="shared" si="4"/>
        <v/>
      </c>
      <c r="K198" s="13" t="str">
        <f t="shared" si="5"/>
        <v>N/A</v>
      </c>
    </row>
    <row r="199" ht="15.75" customHeight="1">
      <c r="A199" s="1185"/>
      <c r="B199" s="1180" t="s">
        <v>722</v>
      </c>
      <c r="C199" s="1186">
        <v>184.15</v>
      </c>
      <c r="D199" s="1186">
        <v>120.4</v>
      </c>
      <c r="E199" s="1179" t="s">
        <v>727</v>
      </c>
      <c r="F199" s="1185"/>
      <c r="G199" s="13" t="str">
        <f t="shared" si="2"/>
        <v>DECOUPES</v>
      </c>
      <c r="H199" s="1187">
        <f t="shared" ref="H199:I199" si="183">IF(OR(C199=0,C199="SCORE"),"",C199)</f>
        <v>184.15</v>
      </c>
      <c r="I199" s="1188">
        <f t="shared" si="183"/>
        <v>120.4</v>
      </c>
      <c r="J199" s="13" t="str">
        <f t="shared" si="4"/>
        <v>GREEN</v>
      </c>
      <c r="K199" s="13" t="str">
        <f t="shared" si="5"/>
        <v>Game</v>
      </c>
    </row>
    <row r="200" ht="15.75" hidden="1" customHeight="1">
      <c r="A200" s="1189" t="s">
        <v>1057</v>
      </c>
      <c r="B200" s="1180"/>
      <c r="C200" s="1186"/>
      <c r="D200" s="1186"/>
      <c r="E200" s="1179"/>
      <c r="F200" s="1185" t="s">
        <v>1058</v>
      </c>
      <c r="G200" s="13">
        <f t="shared" si="2"/>
        <v>1</v>
      </c>
      <c r="H200" s="224" t="str">
        <f t="shared" ref="H200:I200" si="184">IF(OR(C200=0,C200="SCORE"),"",C200)</f>
        <v/>
      </c>
      <c r="I200" s="13" t="str">
        <f t="shared" si="184"/>
        <v/>
      </c>
      <c r="J200" s="13" t="str">
        <f t="shared" si="4"/>
        <v/>
      </c>
      <c r="K200" s="13" t="str">
        <f t="shared" si="5"/>
        <v>N/A</v>
      </c>
    </row>
    <row r="201" ht="15.75" customHeight="1">
      <c r="A201" s="1185"/>
      <c r="B201" s="1179" t="s">
        <v>723</v>
      </c>
      <c r="C201" s="1186">
        <v>101.02</v>
      </c>
      <c r="D201" s="1186">
        <v>175.47</v>
      </c>
      <c r="E201" s="1179" t="s">
        <v>726</v>
      </c>
      <c r="F201" s="1185"/>
      <c r="G201" s="13" t="str">
        <f t="shared" si="2"/>
        <v>SAVAGES</v>
      </c>
      <c r="H201" s="1187">
        <f t="shared" ref="H201:I201" si="185">IF(OR(C201=0,C201="SCORE"),"",C201)</f>
        <v>101.02</v>
      </c>
      <c r="I201" s="1188">
        <f t="shared" si="185"/>
        <v>175.47</v>
      </c>
      <c r="J201" s="13" t="str">
        <f t="shared" si="4"/>
        <v>POPEYES</v>
      </c>
      <c r="K201" s="13" t="str">
        <f t="shared" si="5"/>
        <v>Game</v>
      </c>
    </row>
    <row r="202" ht="15.75" hidden="1" customHeight="1">
      <c r="A202" s="1185" t="s">
        <v>1059</v>
      </c>
      <c r="B202" s="1179"/>
      <c r="C202" s="1186"/>
      <c r="D202" s="1186"/>
      <c r="E202" s="1179"/>
      <c r="F202" s="1185" t="s">
        <v>1060</v>
      </c>
      <c r="G202" s="13">
        <f t="shared" si="2"/>
        <v>1</v>
      </c>
      <c r="H202" s="224" t="str">
        <f t="shared" ref="H202:I202" si="186">IF(OR(C202=0,C202="SCORE"),"",C202)</f>
        <v/>
      </c>
      <c r="I202" s="13" t="str">
        <f t="shared" si="186"/>
        <v/>
      </c>
      <c r="J202" s="13" t="str">
        <f t="shared" si="4"/>
        <v/>
      </c>
      <c r="K202" s="13" t="str">
        <f t="shared" si="5"/>
        <v>N/A</v>
      </c>
    </row>
    <row r="203" ht="15.75" customHeight="1">
      <c r="A203" s="1185"/>
      <c r="B203" s="1179" t="s">
        <v>725</v>
      </c>
      <c r="C203" s="1186">
        <v>139.1</v>
      </c>
      <c r="D203" s="1186">
        <v>145.39</v>
      </c>
      <c r="E203" s="1179" t="s">
        <v>743</v>
      </c>
      <c r="F203" s="1185"/>
      <c r="G203" s="13" t="str">
        <f t="shared" si="2"/>
        <v>YARDIES</v>
      </c>
      <c r="H203" s="1187">
        <f t="shared" ref="H203:I203" si="187">IF(OR(C203=0,C203="SCORE"),"",C203)</f>
        <v>139.1</v>
      </c>
      <c r="I203" s="1188">
        <f t="shared" si="187"/>
        <v>145.39</v>
      </c>
      <c r="J203" s="13" t="str">
        <f t="shared" si="4"/>
        <v>CHAMPS</v>
      </c>
      <c r="K203" s="13" t="str">
        <f t="shared" si="5"/>
        <v>Game</v>
      </c>
    </row>
    <row r="204" ht="15.75" hidden="1" customHeight="1">
      <c r="A204" s="1185" t="s">
        <v>1066</v>
      </c>
      <c r="B204" s="1179"/>
      <c r="C204" s="1186"/>
      <c r="D204" s="1186"/>
      <c r="E204" s="1179"/>
      <c r="F204" s="1185" t="s">
        <v>1067</v>
      </c>
      <c r="G204" s="13">
        <f t="shared" si="2"/>
        <v>1</v>
      </c>
      <c r="H204" s="224" t="str">
        <f t="shared" ref="H204:I204" si="188">IF(OR(C204=0,C204="SCORE"),"",C204)</f>
        <v/>
      </c>
      <c r="I204" s="13" t="str">
        <f t="shared" si="188"/>
        <v/>
      </c>
      <c r="J204" s="13" t="str">
        <f t="shared" si="4"/>
        <v/>
      </c>
      <c r="K204" s="13" t="str">
        <f t="shared" si="5"/>
        <v>N/A</v>
      </c>
    </row>
    <row r="205" ht="15.75" customHeight="1">
      <c r="A205" s="1185"/>
      <c r="B205" s="1179" t="s">
        <v>721</v>
      </c>
      <c r="C205" s="1186">
        <v>93.25</v>
      </c>
      <c r="D205" s="1186">
        <v>139.73</v>
      </c>
      <c r="E205" s="1179" t="s">
        <v>724</v>
      </c>
      <c r="F205" s="1185"/>
      <c r="G205" s="13" t="str">
        <f t="shared" si="2"/>
        <v>MUTTS</v>
      </c>
      <c r="H205" s="1187">
        <f t="shared" ref="H205:I205" si="189">IF(OR(C205=0,C205="SCORE"),"",C205)</f>
        <v>93.25</v>
      </c>
      <c r="I205" s="1188">
        <f t="shared" si="189"/>
        <v>139.73</v>
      </c>
      <c r="J205" s="13" t="str">
        <f t="shared" si="4"/>
        <v>METAMOOKDAWGS</v>
      </c>
      <c r="K205" s="13" t="str">
        <f t="shared" si="5"/>
        <v>Game</v>
      </c>
    </row>
    <row r="206" ht="15.75" hidden="1" customHeight="1">
      <c r="A206" s="1185" t="s">
        <v>1069</v>
      </c>
      <c r="B206" s="1179"/>
      <c r="C206" s="1186"/>
      <c r="D206" s="1186"/>
      <c r="E206" s="1179"/>
      <c r="F206" s="1185" t="s">
        <v>1070</v>
      </c>
      <c r="G206" s="13">
        <f t="shared" si="2"/>
        <v>1</v>
      </c>
      <c r="H206" s="224" t="str">
        <f t="shared" ref="H206:I206" si="190">IF(OR(C206=0,C206="SCORE"),"",C206)</f>
        <v/>
      </c>
      <c r="I206" s="13" t="str">
        <f t="shared" si="190"/>
        <v/>
      </c>
      <c r="J206" s="13" t="str">
        <f t="shared" si="4"/>
        <v/>
      </c>
      <c r="K206" s="13" t="str">
        <f t="shared" si="5"/>
        <v>N/A</v>
      </c>
    </row>
    <row r="207" ht="15.75" customHeight="1">
      <c r="A207" s="1185" t="s">
        <v>1071</v>
      </c>
      <c r="B207" s="1179" t="s">
        <v>729</v>
      </c>
      <c r="C207" s="1186">
        <v>110.2</v>
      </c>
      <c r="D207" s="1186">
        <v>117.09</v>
      </c>
      <c r="E207" s="1179" t="s">
        <v>728</v>
      </c>
      <c r="F207" s="1189" t="s">
        <v>1072</v>
      </c>
      <c r="G207" s="13" t="str">
        <f t="shared" si="2"/>
        <v>GIRLS</v>
      </c>
      <c r="H207" s="1187">
        <f t="shared" ref="H207:I207" si="191">IF(OR(C207=0,C207="SCORE"),"",C207)</f>
        <v>110.2</v>
      </c>
      <c r="I207" s="1188">
        <f t="shared" si="191"/>
        <v>117.09</v>
      </c>
      <c r="J207" s="13" t="str">
        <f t="shared" si="4"/>
        <v>DEEZ NUTS</v>
      </c>
      <c r="K207" s="13" t="str">
        <f t="shared" si="5"/>
        <v>Game</v>
      </c>
    </row>
    <row r="208" ht="15.75" hidden="1" customHeight="1">
      <c r="A208" s="1181" t="s">
        <v>1073</v>
      </c>
      <c r="G208" s="13">
        <f t="shared" si="2"/>
        <v>1</v>
      </c>
      <c r="H208" s="224" t="str">
        <f t="shared" ref="H208:I208" si="192">IF(OR(C208=0,C208="SCORE"),"",C208)</f>
        <v/>
      </c>
      <c r="I208" s="13" t="str">
        <f t="shared" si="192"/>
        <v/>
      </c>
      <c r="J208" s="13" t="str">
        <f t="shared" si="4"/>
        <v/>
      </c>
      <c r="K208" s="13" t="str">
        <f t="shared" si="5"/>
        <v>N/A</v>
      </c>
    </row>
    <row r="209" ht="15.75" hidden="1" customHeight="1">
      <c r="A209" s="1182" t="s">
        <v>731</v>
      </c>
      <c r="B209" s="1183"/>
      <c r="C209" s="1182" t="s">
        <v>510</v>
      </c>
      <c r="D209" s="1182" t="s">
        <v>510</v>
      </c>
      <c r="E209" s="1183"/>
      <c r="F209" s="1182" t="s">
        <v>732</v>
      </c>
      <c r="G209" s="13">
        <f t="shared" si="2"/>
        <v>1</v>
      </c>
      <c r="H209" s="224" t="str">
        <f t="shared" ref="H209:I209" si="193">IF(OR(C209=0,C209="SCORE"),"",C209)</f>
        <v/>
      </c>
      <c r="I209" s="13" t="str">
        <f t="shared" si="193"/>
        <v/>
      </c>
      <c r="J209" s="13" t="str">
        <f t="shared" si="4"/>
        <v/>
      </c>
      <c r="K209" s="13" t="str">
        <f t="shared" si="5"/>
        <v>N/A</v>
      </c>
    </row>
    <row r="210" ht="15.75" customHeight="1">
      <c r="A210" s="1185"/>
      <c r="B210" s="1179" t="s">
        <v>726</v>
      </c>
      <c r="C210" s="1186">
        <v>131.81</v>
      </c>
      <c r="D210" s="1186">
        <v>143.08</v>
      </c>
      <c r="E210" s="1180" t="s">
        <v>722</v>
      </c>
      <c r="F210" s="1185"/>
      <c r="G210" s="13" t="str">
        <f t="shared" si="2"/>
        <v>POPEYES</v>
      </c>
      <c r="H210" s="1187">
        <f t="shared" ref="H210:I210" si="194">IF(OR(C210=0,C210="SCORE"),"",C210)</f>
        <v>131.81</v>
      </c>
      <c r="I210" s="1188">
        <f t="shared" si="194"/>
        <v>143.08</v>
      </c>
      <c r="J210" s="13" t="str">
        <f t="shared" si="4"/>
        <v>DECOUPES</v>
      </c>
      <c r="K210" s="13" t="str">
        <f t="shared" si="5"/>
        <v>Game</v>
      </c>
    </row>
    <row r="211" ht="15.75" hidden="1" customHeight="1">
      <c r="A211" s="1185" t="s">
        <v>1075</v>
      </c>
      <c r="B211" s="1179"/>
      <c r="C211" s="1186"/>
      <c r="D211" s="1186"/>
      <c r="E211" s="1180"/>
      <c r="F211" s="1189" t="s">
        <v>1076</v>
      </c>
      <c r="G211" s="13">
        <f t="shared" si="2"/>
        <v>1</v>
      </c>
      <c r="H211" s="224" t="str">
        <f t="shared" ref="H211:I211" si="195">IF(OR(C211=0,C211="SCORE"),"",C211)</f>
        <v/>
      </c>
      <c r="I211" s="13" t="str">
        <f t="shared" si="195"/>
        <v/>
      </c>
      <c r="J211" s="13" t="str">
        <f t="shared" si="4"/>
        <v/>
      </c>
      <c r="K211" s="13" t="str">
        <f t="shared" si="5"/>
        <v>N/A</v>
      </c>
    </row>
    <row r="212" ht="15.75" customHeight="1">
      <c r="A212" s="1185"/>
      <c r="B212" s="1179" t="s">
        <v>724</v>
      </c>
      <c r="C212" s="1186">
        <v>176.98</v>
      </c>
      <c r="D212" s="1186">
        <v>184.64</v>
      </c>
      <c r="E212" s="1179" t="s">
        <v>743</v>
      </c>
      <c r="F212" s="1185"/>
      <c r="G212" s="13" t="str">
        <f t="shared" si="2"/>
        <v>METAMOOKDAWGS</v>
      </c>
      <c r="H212" s="1187">
        <f t="shared" ref="H212:I212" si="196">IF(OR(C212=0,C212="SCORE"),"",C212)</f>
        <v>176.98</v>
      </c>
      <c r="I212" s="1188">
        <f t="shared" si="196"/>
        <v>184.64</v>
      </c>
      <c r="J212" s="13" t="str">
        <f t="shared" si="4"/>
        <v>CHAMPS</v>
      </c>
      <c r="K212" s="13" t="str">
        <f t="shared" si="5"/>
        <v>Game</v>
      </c>
    </row>
    <row r="213" ht="15.75" hidden="1" customHeight="1">
      <c r="A213" s="1185" t="s">
        <v>1077</v>
      </c>
      <c r="B213" s="1179"/>
      <c r="C213" s="1186"/>
      <c r="D213" s="1186"/>
      <c r="E213" s="1179"/>
      <c r="F213" s="1185" t="s">
        <v>1078</v>
      </c>
      <c r="G213" s="13">
        <f t="shared" si="2"/>
        <v>1</v>
      </c>
      <c r="H213" s="224" t="str">
        <f t="shared" ref="H213:I213" si="197">IF(OR(C213=0,C213="SCORE"),"",C213)</f>
        <v/>
      </c>
      <c r="I213" s="13" t="str">
        <f t="shared" si="197"/>
        <v/>
      </c>
      <c r="J213" s="13" t="str">
        <f t="shared" si="4"/>
        <v/>
      </c>
      <c r="K213" s="13" t="str">
        <f t="shared" si="5"/>
        <v>N/A</v>
      </c>
    </row>
    <row r="214" ht="15.75" customHeight="1">
      <c r="A214" s="1185"/>
      <c r="B214" s="1179" t="s">
        <v>723</v>
      </c>
      <c r="C214" s="1186">
        <v>166.4</v>
      </c>
      <c r="D214" s="1186">
        <v>196.18</v>
      </c>
      <c r="E214" s="1179" t="s">
        <v>727</v>
      </c>
      <c r="F214" s="1185"/>
      <c r="G214" s="13" t="str">
        <f t="shared" si="2"/>
        <v>SAVAGES</v>
      </c>
      <c r="H214" s="1187">
        <f t="shared" ref="H214:I214" si="198">IF(OR(C214=0,C214="SCORE"),"",C214)</f>
        <v>166.4</v>
      </c>
      <c r="I214" s="1188">
        <f t="shared" si="198"/>
        <v>196.18</v>
      </c>
      <c r="J214" s="13" t="str">
        <f t="shared" si="4"/>
        <v>GREEN</v>
      </c>
      <c r="K214" s="13" t="str">
        <f t="shared" si="5"/>
        <v>Game</v>
      </c>
    </row>
    <row r="215" ht="15.75" hidden="1" customHeight="1">
      <c r="A215" s="1185" t="s">
        <v>1079</v>
      </c>
      <c r="B215" s="1179"/>
      <c r="C215" s="1186"/>
      <c r="D215" s="1186"/>
      <c r="E215" s="1179"/>
      <c r="F215" s="1185" t="s">
        <v>1080</v>
      </c>
      <c r="G215" s="13">
        <f t="shared" si="2"/>
        <v>1</v>
      </c>
      <c r="H215" s="224" t="str">
        <f t="shared" ref="H215:I215" si="199">IF(OR(C215=0,C215="SCORE"),"",C215)</f>
        <v/>
      </c>
      <c r="I215" s="13" t="str">
        <f t="shared" si="199"/>
        <v/>
      </c>
      <c r="J215" s="13" t="str">
        <f t="shared" si="4"/>
        <v/>
      </c>
      <c r="K215" s="13" t="str">
        <f t="shared" si="5"/>
        <v>N/A</v>
      </c>
    </row>
    <row r="216" ht="15.75" customHeight="1">
      <c r="A216" s="1185"/>
      <c r="B216" s="1179" t="s">
        <v>721</v>
      </c>
      <c r="C216" s="1186">
        <v>170.84</v>
      </c>
      <c r="D216" s="1186">
        <v>209.59</v>
      </c>
      <c r="E216" s="1179" t="s">
        <v>725</v>
      </c>
      <c r="F216" s="1185"/>
      <c r="G216" s="13" t="str">
        <f t="shared" si="2"/>
        <v>MUTTS</v>
      </c>
      <c r="H216" s="1187">
        <f t="shared" ref="H216:I216" si="200">IF(OR(C216=0,C216="SCORE"),"",C216)</f>
        <v>170.84</v>
      </c>
      <c r="I216" s="1188">
        <f t="shared" si="200"/>
        <v>209.59</v>
      </c>
      <c r="J216" s="13" t="str">
        <f t="shared" si="4"/>
        <v>YARDIES</v>
      </c>
      <c r="K216" s="13" t="str">
        <f t="shared" si="5"/>
        <v>Game</v>
      </c>
    </row>
    <row r="217" ht="15.75" hidden="1" customHeight="1">
      <c r="A217" s="1185" t="s">
        <v>1081</v>
      </c>
      <c r="B217" s="1179"/>
      <c r="C217" s="1186"/>
      <c r="D217" s="1186"/>
      <c r="E217" s="1179"/>
      <c r="F217" s="1185" t="s">
        <v>1082</v>
      </c>
      <c r="G217" s="13">
        <f t="shared" si="2"/>
        <v>1</v>
      </c>
      <c r="H217" s="224" t="str">
        <f t="shared" ref="H217:I217" si="201">IF(OR(C217=0,C217="SCORE"),"",C217)</f>
        <v/>
      </c>
      <c r="I217" s="13" t="str">
        <f t="shared" si="201"/>
        <v/>
      </c>
      <c r="J217" s="13" t="str">
        <f t="shared" si="4"/>
        <v/>
      </c>
      <c r="K217" s="13" t="str">
        <f t="shared" si="5"/>
        <v>N/A</v>
      </c>
    </row>
    <row r="218" ht="15.75" customHeight="1">
      <c r="A218" s="1185" t="s">
        <v>1083</v>
      </c>
      <c r="B218" s="1179" t="s">
        <v>729</v>
      </c>
      <c r="C218" s="1186">
        <v>153.68</v>
      </c>
      <c r="D218" s="1186">
        <v>70.29</v>
      </c>
      <c r="E218" s="1179" t="s">
        <v>728</v>
      </c>
      <c r="F218" s="1189" t="s">
        <v>1084</v>
      </c>
      <c r="G218" s="13" t="str">
        <f t="shared" si="2"/>
        <v>GIRLS</v>
      </c>
      <c r="H218" s="1187">
        <f t="shared" ref="H218:I218" si="202">IF(OR(C218=0,C218="SCORE"),"",C218)</f>
        <v>153.68</v>
      </c>
      <c r="I218" s="1188">
        <f t="shared" si="202"/>
        <v>70.29</v>
      </c>
      <c r="J218" s="13" t="str">
        <f t="shared" si="4"/>
        <v>DEEZ NUTS</v>
      </c>
      <c r="K218" s="13" t="str">
        <f t="shared" si="5"/>
        <v>Game</v>
      </c>
    </row>
    <row r="219" ht="15.75" hidden="1" customHeight="1">
      <c r="A219" s="1181" t="s">
        <v>1085</v>
      </c>
      <c r="G219" s="13">
        <f t="shared" si="2"/>
        <v>1</v>
      </c>
      <c r="H219" s="224" t="str">
        <f t="shared" ref="H219:I219" si="203">IF(OR(C219=0,C219="SCORE"),"",C219)</f>
        <v/>
      </c>
      <c r="I219" s="13" t="str">
        <f t="shared" si="203"/>
        <v/>
      </c>
      <c r="J219" s="13" t="str">
        <f t="shared" si="4"/>
        <v/>
      </c>
      <c r="K219" s="13" t="str">
        <f t="shared" si="5"/>
        <v>N/A</v>
      </c>
    </row>
    <row r="220" ht="15.75" hidden="1" customHeight="1">
      <c r="A220" s="1182" t="s">
        <v>731</v>
      </c>
      <c r="B220" s="1183"/>
      <c r="C220" s="1182" t="s">
        <v>510</v>
      </c>
      <c r="D220" s="1182" t="s">
        <v>510</v>
      </c>
      <c r="E220" s="1183"/>
      <c r="F220" s="1182" t="s">
        <v>732</v>
      </c>
      <c r="G220" s="13">
        <f t="shared" si="2"/>
        <v>1</v>
      </c>
      <c r="H220" s="224" t="str">
        <f t="shared" ref="H220:I220" si="204">IF(OR(C220=0,C220="SCORE"),"",C220)</f>
        <v/>
      </c>
      <c r="I220" s="13" t="str">
        <f t="shared" si="204"/>
        <v/>
      </c>
      <c r="J220" s="13" t="str">
        <f t="shared" si="4"/>
        <v/>
      </c>
      <c r="K220" s="13" t="str">
        <f t="shared" si="5"/>
        <v>N/A</v>
      </c>
    </row>
    <row r="221" ht="15.75" customHeight="1">
      <c r="A221" s="1185"/>
      <c r="B221" s="1179" t="s">
        <v>743</v>
      </c>
      <c r="C221" s="1186">
        <v>135.25</v>
      </c>
      <c r="D221" s="1186">
        <v>164.15</v>
      </c>
      <c r="E221" s="1180" t="s">
        <v>722</v>
      </c>
      <c r="F221" s="1185"/>
      <c r="G221" s="13" t="str">
        <f t="shared" si="2"/>
        <v>CHAMPS</v>
      </c>
      <c r="H221" s="1187">
        <f t="shared" ref="H221:I221" si="205">IF(OR(C221=0,C221="SCORE"),"",C221)</f>
        <v>135.25</v>
      </c>
      <c r="I221" s="1188">
        <f t="shared" si="205"/>
        <v>164.15</v>
      </c>
      <c r="J221" s="13" t="str">
        <f t="shared" si="4"/>
        <v>DECOUPES</v>
      </c>
      <c r="K221" s="13" t="str">
        <f t="shared" si="5"/>
        <v>Game</v>
      </c>
    </row>
    <row r="222" ht="15.75" hidden="1" customHeight="1">
      <c r="A222" s="1185" t="s">
        <v>1086</v>
      </c>
      <c r="B222" s="1179"/>
      <c r="C222" s="1186"/>
      <c r="D222" s="1186"/>
      <c r="E222" s="1180"/>
      <c r="F222" s="1189" t="s">
        <v>1087</v>
      </c>
      <c r="G222" s="13">
        <f t="shared" si="2"/>
        <v>1</v>
      </c>
      <c r="H222" s="224" t="str">
        <f t="shared" ref="H222:I222" si="206">IF(OR(C222=0,C222="SCORE"),"",C222)</f>
        <v/>
      </c>
      <c r="I222" s="13" t="str">
        <f t="shared" si="206"/>
        <v/>
      </c>
      <c r="J222" s="13" t="str">
        <f t="shared" si="4"/>
        <v/>
      </c>
      <c r="K222" s="13" t="str">
        <f t="shared" si="5"/>
        <v>N/A</v>
      </c>
    </row>
    <row r="223" ht="15.75" customHeight="1">
      <c r="A223" s="1185"/>
      <c r="B223" s="1179" t="s">
        <v>724</v>
      </c>
      <c r="C223" s="1186">
        <v>143.79</v>
      </c>
      <c r="D223" s="1186">
        <v>116.5</v>
      </c>
      <c r="E223" s="1179" t="s">
        <v>726</v>
      </c>
      <c r="F223" s="1185"/>
      <c r="G223" s="13" t="str">
        <f t="shared" si="2"/>
        <v>METAMOOKDAWGS</v>
      </c>
      <c r="H223" s="1187">
        <f t="shared" ref="H223:I223" si="207">IF(OR(C223=0,C223="SCORE"),"",C223)</f>
        <v>143.79</v>
      </c>
      <c r="I223" s="1188">
        <f t="shared" si="207"/>
        <v>116.5</v>
      </c>
      <c r="J223" s="13" t="str">
        <f t="shared" si="4"/>
        <v>POPEYES</v>
      </c>
      <c r="K223" s="13" t="str">
        <f t="shared" si="5"/>
        <v>Game</v>
      </c>
    </row>
    <row r="224" ht="15.75" hidden="1" customHeight="1">
      <c r="A224" s="1185" t="s">
        <v>1088</v>
      </c>
      <c r="B224" s="1179"/>
      <c r="C224" s="1186"/>
      <c r="D224" s="1186"/>
      <c r="E224" s="1179"/>
      <c r="F224" s="1185" t="s">
        <v>1089</v>
      </c>
      <c r="G224" s="13">
        <f t="shared" si="2"/>
        <v>1</v>
      </c>
      <c r="H224" s="224" t="str">
        <f t="shared" ref="H224:I224" si="208">IF(OR(C224=0,C224="SCORE"),"",C224)</f>
        <v/>
      </c>
      <c r="I224" s="13" t="str">
        <f t="shared" si="208"/>
        <v/>
      </c>
      <c r="J224" s="13" t="str">
        <f t="shared" si="4"/>
        <v/>
      </c>
      <c r="K224" s="13" t="str">
        <f t="shared" si="5"/>
        <v>N/A</v>
      </c>
    </row>
    <row r="225" ht="15.75" customHeight="1">
      <c r="A225" s="1185"/>
      <c r="B225" s="1179" t="s">
        <v>727</v>
      </c>
      <c r="C225" s="1186">
        <v>196.52</v>
      </c>
      <c r="D225" s="1186">
        <v>192.86</v>
      </c>
      <c r="E225" s="1179" t="s">
        <v>725</v>
      </c>
      <c r="F225" s="1185"/>
      <c r="G225" s="13" t="str">
        <f t="shared" si="2"/>
        <v>GREEN</v>
      </c>
      <c r="H225" s="1187">
        <f t="shared" ref="H225:I225" si="209">IF(OR(C225=0,C225="SCORE"),"",C225)</f>
        <v>196.52</v>
      </c>
      <c r="I225" s="1188">
        <f t="shared" si="209"/>
        <v>192.86</v>
      </c>
      <c r="J225" s="13" t="str">
        <f t="shared" si="4"/>
        <v>YARDIES</v>
      </c>
      <c r="K225" s="13" t="str">
        <f t="shared" si="5"/>
        <v>Game</v>
      </c>
    </row>
    <row r="226" ht="15.75" hidden="1" customHeight="1">
      <c r="A226" s="1185" t="s">
        <v>1090</v>
      </c>
      <c r="B226" s="1179"/>
      <c r="C226" s="1186"/>
      <c r="D226" s="1186"/>
      <c r="E226" s="1179"/>
      <c r="F226" s="1185" t="s">
        <v>1091</v>
      </c>
      <c r="G226" s="13">
        <f t="shared" si="2"/>
        <v>1</v>
      </c>
      <c r="H226" s="224" t="str">
        <f t="shared" ref="H226:I226" si="210">IF(OR(C226=0,C226="SCORE"),"",C226)</f>
        <v/>
      </c>
      <c r="I226" s="13" t="str">
        <f t="shared" si="210"/>
        <v/>
      </c>
      <c r="J226" s="13" t="str">
        <f t="shared" si="4"/>
        <v/>
      </c>
      <c r="K226" s="13" t="str">
        <f t="shared" si="5"/>
        <v>N/A</v>
      </c>
    </row>
    <row r="227" ht="15.75" customHeight="1">
      <c r="A227" s="1185"/>
      <c r="B227" s="1179" t="s">
        <v>723</v>
      </c>
      <c r="C227" s="1186">
        <v>235.53</v>
      </c>
      <c r="D227" s="1186">
        <v>171.18</v>
      </c>
      <c r="E227" s="1179" t="s">
        <v>721</v>
      </c>
      <c r="F227" s="1185"/>
      <c r="G227" s="13" t="str">
        <f t="shared" si="2"/>
        <v>SAVAGES</v>
      </c>
      <c r="H227" s="1187">
        <f t="shared" ref="H227:I227" si="211">IF(OR(C227=0,C227="SCORE"),"",C227)</f>
        <v>235.53</v>
      </c>
      <c r="I227" s="1188">
        <f t="shared" si="211"/>
        <v>171.18</v>
      </c>
      <c r="J227" s="13" t="str">
        <f t="shared" si="4"/>
        <v>MUTTS</v>
      </c>
      <c r="K227" s="13" t="str">
        <f t="shared" si="5"/>
        <v>Game</v>
      </c>
    </row>
    <row r="228" ht="15.75" hidden="1" customHeight="1">
      <c r="A228" s="1185" t="s">
        <v>1092</v>
      </c>
      <c r="B228" s="1179"/>
      <c r="C228" s="1186"/>
      <c r="D228" s="1186"/>
      <c r="E228" s="1179"/>
      <c r="F228" s="1185" t="s">
        <v>1093</v>
      </c>
      <c r="G228" s="13">
        <f t="shared" si="2"/>
        <v>1</v>
      </c>
      <c r="H228" s="224" t="str">
        <f t="shared" ref="H228:I228" si="212">IF(OR(C228=0,C228="SCORE"),"",C228)</f>
        <v/>
      </c>
      <c r="I228" s="13" t="str">
        <f t="shared" si="212"/>
        <v/>
      </c>
      <c r="J228" s="13" t="str">
        <f t="shared" si="4"/>
        <v/>
      </c>
      <c r="K228" s="13" t="str">
        <f t="shared" si="5"/>
        <v>N/A</v>
      </c>
    </row>
    <row r="229" ht="15.75" customHeight="1">
      <c r="A229" s="1316" t="s">
        <v>1094</v>
      </c>
      <c r="B229" s="1317" t="s">
        <v>729</v>
      </c>
      <c r="C229" s="1319">
        <v>154.98</v>
      </c>
      <c r="D229" s="1319">
        <v>143.2</v>
      </c>
      <c r="E229" s="1317" t="s">
        <v>728</v>
      </c>
      <c r="F229" s="1320" t="s">
        <v>1096</v>
      </c>
      <c r="G229" s="698" t="str">
        <f t="shared" si="2"/>
        <v>GIRLS</v>
      </c>
      <c r="H229" s="1321">
        <f t="shared" ref="H229:I229" si="213">IF(OR(C229=0,C229="SCORE"),"",C229)</f>
        <v>154.98</v>
      </c>
      <c r="I229" s="1322">
        <f t="shared" si="213"/>
        <v>143.2</v>
      </c>
      <c r="J229" s="698" t="str">
        <f t="shared" si="4"/>
        <v>DEEZ NUTS</v>
      </c>
      <c r="K229" s="698" t="str">
        <f t="shared" si="5"/>
        <v>Game</v>
      </c>
      <c r="L229" s="698"/>
      <c r="M229" s="698"/>
      <c r="N229" s="698"/>
      <c r="O229" s="698"/>
      <c r="P229" s="698"/>
      <c r="Q229" s="698"/>
      <c r="R229" s="698"/>
      <c r="S229" s="698"/>
      <c r="T229" s="698"/>
      <c r="U229" s="698"/>
      <c r="V229" s="698"/>
      <c r="W229" s="698"/>
      <c r="X229" s="698"/>
      <c r="Y229" s="698"/>
      <c r="Z229" s="69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20:$K$229">
    <filterColumn colId="4">
      <filters>
        <filter val="Game"/>
      </filters>
    </filterColumn>
  </autoFilter>
  <dataValidations>
    <dataValidation type="list" allowBlank="1" showInputMessage="1" showErrorMessage="1" prompt="Select a Team Name" sqref="B1:B8">
      <formula1>'League History'!$A$3:$A$14</formula1>
    </dataValidation>
  </dataValidations>
  <hyperlinks>
    <hyperlink r:id="rId1" ref="C20"/>
    <hyperlink r:id="rId2" ref="D20"/>
    <hyperlink r:id="rId3" ref="C22"/>
    <hyperlink r:id="rId4" ref="D22"/>
    <hyperlink r:id="rId5" ref="C24"/>
    <hyperlink r:id="rId6" ref="D24"/>
    <hyperlink r:id="rId7" ref="C26"/>
    <hyperlink r:id="rId8" ref="D26"/>
    <hyperlink r:id="rId9" ref="C28"/>
    <hyperlink r:id="rId10" ref="D28"/>
    <hyperlink r:id="rId11" ref="C32"/>
    <hyperlink r:id="rId12" ref="D32"/>
    <hyperlink r:id="rId13" ref="C34"/>
    <hyperlink r:id="rId14" ref="D34"/>
    <hyperlink r:id="rId15" ref="C36"/>
    <hyperlink r:id="rId16" ref="D36"/>
    <hyperlink r:id="rId17" ref="C38"/>
    <hyperlink r:id="rId18" ref="D38"/>
    <hyperlink r:id="rId19" ref="C40"/>
    <hyperlink r:id="rId20" ref="D40"/>
    <hyperlink r:id="rId21" ref="C43"/>
    <hyperlink r:id="rId22" ref="D43"/>
    <hyperlink r:id="rId23" ref="C45"/>
    <hyperlink r:id="rId24" ref="D45"/>
    <hyperlink r:id="rId25" ref="C47"/>
    <hyperlink r:id="rId26" ref="D47"/>
    <hyperlink r:id="rId27" ref="C49"/>
    <hyperlink r:id="rId28" ref="D49"/>
    <hyperlink r:id="rId29" ref="C51"/>
    <hyperlink r:id="rId30" ref="D51"/>
    <hyperlink r:id="rId31" ref="C55"/>
    <hyperlink r:id="rId32" ref="D55"/>
    <hyperlink r:id="rId33" ref="C57"/>
    <hyperlink r:id="rId34" ref="D57"/>
    <hyperlink r:id="rId35" ref="C59"/>
    <hyperlink r:id="rId36" ref="D59"/>
    <hyperlink r:id="rId37" ref="C61"/>
    <hyperlink r:id="rId38" ref="D61"/>
    <hyperlink r:id="rId39" ref="C63"/>
    <hyperlink r:id="rId40" ref="D63"/>
    <hyperlink r:id="rId41" ref="C67"/>
    <hyperlink r:id="rId42" ref="D67"/>
    <hyperlink r:id="rId43" ref="C69"/>
    <hyperlink r:id="rId44" ref="D69"/>
    <hyperlink r:id="rId45" ref="C71"/>
    <hyperlink r:id="rId46" ref="D71"/>
    <hyperlink r:id="rId47" ref="C73"/>
    <hyperlink r:id="rId48" ref="D73"/>
    <hyperlink r:id="rId49" ref="C81"/>
    <hyperlink r:id="rId50" ref="D81"/>
    <hyperlink r:id="rId51" ref="C83"/>
    <hyperlink r:id="rId52" ref="D83"/>
    <hyperlink r:id="rId53" ref="C85"/>
    <hyperlink r:id="rId54" ref="D85"/>
    <hyperlink r:id="rId55" ref="C87"/>
    <hyperlink r:id="rId56" ref="D87"/>
    <hyperlink r:id="rId57" ref="C95"/>
    <hyperlink r:id="rId58" ref="D95"/>
    <hyperlink r:id="rId59" ref="C97"/>
    <hyperlink r:id="rId60" ref="D97"/>
    <hyperlink r:id="rId61" ref="C99"/>
    <hyperlink r:id="rId62" ref="D99"/>
    <hyperlink r:id="rId63" ref="C101"/>
    <hyperlink r:id="rId64" ref="D101"/>
    <hyperlink r:id="rId65" ref="C109"/>
    <hyperlink r:id="rId66" ref="D109"/>
    <hyperlink r:id="rId67" ref="C111"/>
    <hyperlink r:id="rId68" ref="D111"/>
    <hyperlink r:id="rId69" ref="C113"/>
    <hyperlink r:id="rId70" ref="D113"/>
    <hyperlink r:id="rId71" ref="C115"/>
    <hyperlink r:id="rId72" ref="D115"/>
    <hyperlink r:id="rId73" ref="C124"/>
    <hyperlink r:id="rId74" ref="D124"/>
    <hyperlink r:id="rId75" ref="C126"/>
    <hyperlink r:id="rId76" ref="D126"/>
    <hyperlink r:id="rId77" ref="C128"/>
    <hyperlink r:id="rId78" ref="D128"/>
    <hyperlink r:id="rId79" ref="C130"/>
    <hyperlink r:id="rId80" ref="D130"/>
    <hyperlink r:id="rId81" ref="C139"/>
    <hyperlink r:id="rId82" ref="D139"/>
    <hyperlink r:id="rId83" ref="C141"/>
    <hyperlink r:id="rId84" ref="D141"/>
    <hyperlink r:id="rId85" ref="C143"/>
    <hyperlink r:id="rId86" ref="D143"/>
    <hyperlink r:id="rId87" ref="C145"/>
    <hyperlink r:id="rId88" ref="D145"/>
    <hyperlink r:id="rId89" ref="C147"/>
    <hyperlink r:id="rId90" ref="D147"/>
    <hyperlink r:id="rId91" ref="C151"/>
    <hyperlink r:id="rId92" ref="D151"/>
    <hyperlink r:id="rId93" ref="C153"/>
    <hyperlink r:id="rId94" ref="D153"/>
    <hyperlink r:id="rId95" ref="C155"/>
    <hyperlink r:id="rId96" ref="D155"/>
    <hyperlink r:id="rId97" ref="C157"/>
    <hyperlink r:id="rId98" ref="D157"/>
    <hyperlink r:id="rId99" ref="C159"/>
    <hyperlink r:id="rId100" ref="D159"/>
    <hyperlink r:id="rId101" ref="C163"/>
    <hyperlink r:id="rId102" ref="D163"/>
    <hyperlink r:id="rId103" ref="C165"/>
    <hyperlink r:id="rId104" ref="D165"/>
    <hyperlink r:id="rId105" ref="C167"/>
    <hyperlink r:id="rId106" ref="D167"/>
    <hyperlink r:id="rId107" ref="C169"/>
    <hyperlink r:id="rId108" ref="D169"/>
    <hyperlink r:id="rId109" ref="C171"/>
    <hyperlink r:id="rId110" ref="D171"/>
    <hyperlink r:id="rId111" ref="C175"/>
    <hyperlink r:id="rId112" ref="D175"/>
    <hyperlink r:id="rId113" ref="C177"/>
    <hyperlink r:id="rId114" ref="D177"/>
    <hyperlink r:id="rId115" ref="C179"/>
    <hyperlink r:id="rId116" ref="D179"/>
    <hyperlink r:id="rId117" ref="C181"/>
    <hyperlink r:id="rId118" ref="D181"/>
    <hyperlink r:id="rId119" ref="C183"/>
    <hyperlink r:id="rId120" ref="D183"/>
    <hyperlink r:id="rId121" ref="C187"/>
    <hyperlink r:id="rId122" ref="D187"/>
    <hyperlink r:id="rId123" ref="C189"/>
    <hyperlink r:id="rId124" ref="D189"/>
    <hyperlink r:id="rId125" ref="C191"/>
    <hyperlink r:id="rId126" ref="D191"/>
    <hyperlink r:id="rId127" ref="C193"/>
    <hyperlink r:id="rId128" ref="D193"/>
    <hyperlink r:id="rId129" ref="C195"/>
    <hyperlink r:id="rId130" ref="D195"/>
    <hyperlink r:id="rId131" ref="C199"/>
    <hyperlink r:id="rId132" ref="D199"/>
    <hyperlink r:id="rId133" ref="C201"/>
    <hyperlink r:id="rId134" ref="D201"/>
    <hyperlink r:id="rId135" ref="C203"/>
    <hyperlink r:id="rId136" ref="D203"/>
    <hyperlink r:id="rId137" ref="C205"/>
    <hyperlink r:id="rId138" ref="D205"/>
    <hyperlink r:id="rId139" ref="C207"/>
    <hyperlink r:id="rId140" ref="D207"/>
    <hyperlink r:id="rId141" ref="C210"/>
    <hyperlink r:id="rId142" ref="D210"/>
    <hyperlink r:id="rId143" ref="C212"/>
    <hyperlink r:id="rId144" ref="D212"/>
    <hyperlink r:id="rId145" ref="C214"/>
    <hyperlink r:id="rId146" ref="D214"/>
    <hyperlink r:id="rId147" ref="C216"/>
    <hyperlink r:id="rId148" ref="D216"/>
    <hyperlink r:id="rId149" ref="C218"/>
    <hyperlink r:id="rId150" ref="D218"/>
    <hyperlink r:id="rId151" ref="C221"/>
    <hyperlink r:id="rId152" ref="D221"/>
    <hyperlink r:id="rId153" ref="C223"/>
    <hyperlink r:id="rId154" ref="D223"/>
    <hyperlink r:id="rId155" ref="C225"/>
    <hyperlink r:id="rId156" ref="D225"/>
    <hyperlink r:id="rId157" ref="C227"/>
    <hyperlink r:id="rId158" ref="D227"/>
    <hyperlink r:id="rId159" ref="C229"/>
    <hyperlink r:id="rId160" ref="D229"/>
  </hyperlinks>
  <printOptions/>
  <pageMargins bottom="0.75" footer="0.0" header="0.0" left="0.7" right="0.7" top="0.75"/>
  <pageSetup orientation="landscape"/>
  <drawing r:id="rId16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2A"/>
    <pageSetUpPr/>
  </sheetPr>
  <sheetViews>
    <sheetView workbookViewId="0"/>
  </sheetViews>
  <sheetFormatPr customHeight="1" defaultColWidth="11.22" defaultRowHeight="15.0"/>
  <cols>
    <col customWidth="1" min="1" max="1" width="10.56"/>
    <col customWidth="1" min="2" max="2" width="18.0"/>
    <col customWidth="1" min="3" max="3" width="12.11"/>
    <col customWidth="1" min="4" max="4" width="35.78"/>
    <col customWidth="1" min="5" max="5" width="12.67"/>
    <col customWidth="1" min="6" max="6" width="10.56"/>
    <col customWidth="1" min="7" max="7" width="35.78"/>
    <col customWidth="1" min="8" max="8" width="11.44"/>
    <col customWidth="1" min="9" max="9" width="10.56"/>
    <col customWidth="1" min="10" max="10" width="35.78"/>
    <col customWidth="1" min="11" max="11" width="14.11"/>
    <col customWidth="1" min="12" max="13" width="10.56"/>
    <col customWidth="1" hidden="1" min="14" max="22" width="10.78"/>
    <col customWidth="1" min="23" max="23" width="13.78"/>
    <col customWidth="1" min="24" max="24" width="18.0"/>
    <col customWidth="1" min="25" max="25" width="32.11"/>
    <col customWidth="1" min="26" max="26" width="53.78"/>
    <col customWidth="1" min="27" max="27" width="19.0"/>
    <col customWidth="1" min="28" max="29" width="10.56"/>
    <col customWidth="1" min="30" max="30" width="23.0"/>
    <col customWidth="1" min="31" max="31" width="24.44"/>
    <col customWidth="1" min="32" max="32" width="14.78"/>
    <col customWidth="1" min="33" max="33" width="12.78"/>
    <col customWidth="1" min="34" max="34" width="15.78"/>
    <col customWidth="1" min="35" max="35" width="14.33"/>
    <col customWidth="1" min="36" max="36" width="15.44"/>
    <col customWidth="1" min="37" max="37" width="15.0"/>
    <col customWidth="1" min="38" max="38" width="12.33"/>
    <col customWidth="1" min="39" max="39" width="15.78"/>
    <col customWidth="1" min="40" max="40" width="16.78"/>
    <col customWidth="1" min="41" max="41" width="15.33"/>
    <col customWidth="1" min="42" max="42" width="18.0"/>
    <col customWidth="1" min="43" max="43" width="16.11"/>
    <col customWidth="1" min="44" max="44" width="11.11"/>
    <col customWidth="1" min="45" max="52" width="10.56"/>
    <col customWidth="1" min="53" max="68" width="10.78"/>
    <col customWidth="1" min="69" max="69" width="11.78"/>
    <col customWidth="1" min="70" max="79" width="10.78"/>
    <col customWidth="1" min="80" max="80" width="12.78"/>
    <col customWidth="1" min="81" max="82" width="10.78"/>
    <col customWidth="1" min="83" max="83" width="19.33"/>
    <col customWidth="1" min="84" max="86" width="10.78"/>
    <col customWidth="1" min="87" max="90" width="10.56"/>
    <col customWidth="1" min="91" max="95" width="10.78"/>
    <col customWidth="1" min="96" max="98" width="10.56"/>
  </cols>
  <sheetData>
    <row r="1" ht="36.0" customHeight="1">
      <c r="X1" s="1252"/>
      <c r="Y1" s="1252"/>
      <c r="Z1" s="1252"/>
      <c r="AA1" s="1252"/>
      <c r="AB1" s="1252"/>
      <c r="AC1" s="1252"/>
      <c r="AD1" s="1252"/>
      <c r="AE1" s="1252"/>
      <c r="AF1" s="1252"/>
      <c r="AG1" s="1252"/>
      <c r="AH1" s="1252"/>
      <c r="AI1" s="1252"/>
      <c r="AJ1" s="1252"/>
      <c r="AK1" s="1252"/>
      <c r="AL1" s="1252"/>
      <c r="AM1" s="1252"/>
      <c r="AN1" s="1252"/>
      <c r="AO1" s="1252"/>
      <c r="AP1" s="1252"/>
      <c r="AQ1" s="1252"/>
      <c r="AR1" s="1252"/>
      <c r="AS1" s="1252"/>
      <c r="AT1" s="1252"/>
      <c r="AU1" s="1252"/>
      <c r="AV1" s="1252"/>
      <c r="AW1" s="1252"/>
      <c r="AX1" s="1252"/>
      <c r="AY1" s="1252"/>
      <c r="AZ1" s="1252"/>
      <c r="BA1" s="1252"/>
      <c r="BB1" s="1252"/>
      <c r="BC1" s="1252"/>
      <c r="BD1" s="1252"/>
      <c r="BE1" s="1252"/>
      <c r="BF1" s="1252"/>
      <c r="CF1" s="314"/>
    </row>
    <row r="2" ht="19.5" customHeight="1">
      <c r="A2" s="120"/>
      <c r="B2" s="1253" t="s">
        <v>1023</v>
      </c>
      <c r="C2" s="905"/>
      <c r="D2" s="905"/>
      <c r="E2" s="905"/>
      <c r="F2" s="905"/>
      <c r="G2" s="905"/>
      <c r="H2" s="905"/>
      <c r="I2" s="905"/>
      <c r="J2" s="905"/>
      <c r="K2" s="905"/>
      <c r="L2" s="554"/>
      <c r="M2" s="120"/>
      <c r="N2" s="120"/>
      <c r="O2" s="120"/>
      <c r="P2" s="120"/>
      <c r="Q2" s="120"/>
      <c r="R2" s="120"/>
      <c r="S2" s="120"/>
      <c r="T2" s="120"/>
      <c r="U2" s="120"/>
      <c r="V2" s="120"/>
      <c r="W2" s="120"/>
      <c r="X2" s="1254"/>
      <c r="Y2" s="1255" t="s">
        <v>1026</v>
      </c>
      <c r="Z2" s="954"/>
      <c r="AA2" s="932"/>
      <c r="AB2" s="1254"/>
      <c r="AC2" s="1254"/>
      <c r="AD2" s="1256" t="str">
        <f> Settings!$R$3 &amp; " League Standings"</f>
        <v>2025 League Standings</v>
      </c>
      <c r="AE2" s="525"/>
      <c r="AF2" s="525"/>
      <c r="AG2" s="525"/>
      <c r="AH2" s="525"/>
      <c r="AI2" s="525"/>
      <c r="AJ2" s="525"/>
      <c r="AK2" s="525"/>
      <c r="AL2" s="525"/>
      <c r="AM2" s="525"/>
      <c r="AN2" s="525"/>
      <c r="AO2" s="525"/>
      <c r="AP2" s="525"/>
      <c r="AQ2" s="525"/>
      <c r="AR2" s="525"/>
      <c r="AS2" s="525"/>
      <c r="AT2" s="525"/>
      <c r="AU2" s="525"/>
      <c r="AV2" s="525"/>
      <c r="AW2" s="525"/>
      <c r="AX2" s="525"/>
      <c r="AY2" s="525"/>
      <c r="AZ2" s="525"/>
      <c r="BA2" s="525"/>
      <c r="BB2" s="1257"/>
      <c r="BC2" s="1254"/>
      <c r="BD2" s="1254"/>
      <c r="BE2" s="1254"/>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313"/>
      <c r="CG2" s="120"/>
      <c r="CH2" s="120"/>
      <c r="CI2" s="120"/>
      <c r="CJ2" s="120"/>
      <c r="CK2" s="120"/>
      <c r="CL2" s="120"/>
      <c r="CM2" s="120"/>
      <c r="CN2" s="120"/>
      <c r="CO2" s="120"/>
      <c r="CP2" s="120"/>
      <c r="CQ2" s="120"/>
      <c r="CR2" s="120"/>
      <c r="CS2" s="120"/>
      <c r="CT2" s="120"/>
    </row>
    <row r="3" ht="19.5" customHeight="1">
      <c r="B3" s="1258"/>
      <c r="C3" s="1259"/>
      <c r="D3" s="1260" t="s">
        <v>1030</v>
      </c>
      <c r="E3" s="954"/>
      <c r="F3" s="932"/>
      <c r="G3" s="1260" t="s">
        <v>1031</v>
      </c>
      <c r="H3" s="954"/>
      <c r="I3" s="932"/>
      <c r="J3" s="1260" t="s">
        <v>1032</v>
      </c>
      <c r="K3" s="954"/>
      <c r="L3" s="932"/>
      <c r="X3" s="1252"/>
      <c r="Y3" s="1261" t="s">
        <v>1033</v>
      </c>
      <c r="Z3" s="1262" t="s">
        <v>169</v>
      </c>
      <c r="AA3" s="1263" t="s">
        <v>531</v>
      </c>
      <c r="AB3" s="1252"/>
      <c r="AC3" s="1252"/>
      <c r="AD3" s="1264" t="str">
        <f>'Weekly Scores'!BG1</f>
        <v>Rank</v>
      </c>
      <c r="AE3" s="1265" t="str">
        <f>'Weekly Scores'!BH1</f>
        <v>Team Name</v>
      </c>
      <c r="AF3" s="1266" t="str">
        <f>'Weekly Scores'!BI1</f>
        <v>Overall Wins</v>
      </c>
      <c r="AG3" s="1266" t="str">
        <f>'Weekly Scores'!BJ1</f>
        <v>Overall Losses</v>
      </c>
      <c r="AH3" s="1266" t="str">
        <f>'Weekly Scores'!BK1</f>
        <v>Overall Win %</v>
      </c>
      <c r="AI3" s="1268" t="str">
        <f>'Weekly Scores'!BL1</f>
        <v>Division Name</v>
      </c>
      <c r="AJ3" s="1270" t="str">
        <f>'Weekly Scores'!BM1</f>
        <v>Divisional Wins</v>
      </c>
      <c r="AK3" s="1271" t="str">
        <f>'Weekly Scores'!BN1</f>
        <v>Divisonal Losses</v>
      </c>
      <c r="AL3" s="1272" t="str">
        <f>'Weekly Scores'!BO1</f>
        <v>Divisional Win %</v>
      </c>
      <c r="AM3" s="1270" t="s">
        <v>1036</v>
      </c>
      <c r="AN3" s="1273" t="s">
        <v>1037</v>
      </c>
      <c r="AO3" s="1274" t="s">
        <v>92</v>
      </c>
      <c r="AP3" s="1275" t="s">
        <v>93</v>
      </c>
      <c r="AQ3" s="1276" t="s">
        <v>94</v>
      </c>
      <c r="AR3" s="1277" t="s">
        <v>1039</v>
      </c>
      <c r="AS3" s="1271" t="str">
        <f>'Weekly Scores'!BP1</f>
        <v>MOTW Wins</v>
      </c>
      <c r="AT3" s="1279" t="str">
        <f>'Weekly Scores'!BQ1</f>
        <v>MOTW Losses</v>
      </c>
      <c r="AU3" s="1272" t="str">
        <f>'Weekly Scores'!BR1</f>
        <v>MOTW Win %</v>
      </c>
      <c r="AV3" s="1281" t="s">
        <v>1041</v>
      </c>
      <c r="AW3" s="1272" t="s">
        <v>61</v>
      </c>
      <c r="AX3" s="1265" t="s">
        <v>1042</v>
      </c>
      <c r="AY3" s="1265" t="s">
        <v>256</v>
      </c>
      <c r="AZ3" s="1265" t="s">
        <v>1043</v>
      </c>
      <c r="BA3" s="1265" t="s">
        <v>1044</v>
      </c>
      <c r="BB3" s="1282" t="s">
        <v>1045</v>
      </c>
      <c r="BC3" s="1265" t="s">
        <v>1046</v>
      </c>
      <c r="BD3" s="1252" t="s">
        <v>1047</v>
      </c>
      <c r="BE3" s="1252"/>
      <c r="BF3" s="1252"/>
      <c r="BG3" s="1252"/>
      <c r="BH3" s="1252"/>
      <c r="BI3" s="1252"/>
      <c r="BJ3" s="1252"/>
      <c r="BO3" s="1252" t="str">
        <f t="array" ref="BO3">IFERROR(INDEX(AE$4:AE$12, SMALL(IF(BA$4:BA$12 = LARGE(BA$4:BA$12,2), ROW(AE$4:AE$12)-ROW(AE$4)+1), ROW(1:1))), "-")</f>
        <v>GREEN</v>
      </c>
      <c r="BP3" s="1252">
        <f t="array" ref="BP3">IFERROR(INDEX(BA$4:BA$12, SMALL(IF(BA$4:BA$12 = LARGE(BA$4:BA$12,2), ROW(BA$4:BA$12)-ROW(BA$4)+1), ROW(1:1))), "-")</f>
        <v>5</v>
      </c>
      <c r="BQ3" s="13" t="str">
        <f t="array" ref="BQ3">IFERROR(INDEX(AE$4:AE$12, SMALL(IF(BA$4:BA$12 = LARGE(BA$4:BA$12,3), ROW(AE$4:AE$12)-ROW(AE$4)+1), ROW(1:1))), "-")</f>
        <v>DECOUPES</v>
      </c>
      <c r="BR3" s="1252">
        <f t="array" ref="BR3">IFERROR(INDEX(BA$4:BA$12, SMALL(IF(BA$4:BA$12 = LARGE(BA$4:BA$12,3), ROW(BA$4:BA$12)-ROW(BA$4)+1), ROW(1:1))), "-")</f>
        <v>4</v>
      </c>
      <c r="BT3" s="13" t="str">
        <f t="array" ref="BT3">IFERROR(INDEX(AE$4:AE$12, SMALL(IF(AW$4:AW$12 = SMALL(AW$4:AW$12,2), ROW(AE$4:AE$12)-ROW(AE$4)+1), ROW(1:1))), "-")</f>
        <v>GREEN</v>
      </c>
      <c r="BU3" s="337">
        <f t="array" ref="BU3">IFERROR(INDEX(AW$4:AW$12, SMALL(IF(AW$4:AW$12 = SMALL(AW$4:AW$12,2), ROW(AW$4:AW$12)-ROW(AW$4)+1), ROW(1:1))), "-")</f>
        <v>2</v>
      </c>
      <c r="BV3" s="13" t="str">
        <f t="array" ref="BV3">IFERROR(INDEX(AE$4:AE$12, SMALL(IF(AW$4:AW$12 = SMALL(AW$4:AW$12,3), ROW(AE$4:AE$12)-ROW(AE$4)+1), ROW(1:1))), "-")</f>
        <v>POPEYES</v>
      </c>
      <c r="BW3" s="337">
        <f t="array" ref="BW3">IFERROR(INDEX(AW$4:AW$12, SMALL(IF(AW$4:AW$12 = SMALL(AW$4:AW$12,3), ROW(AW$4:AW$12)-ROW(AW$4)+1), ROW(1:1))), "-")</f>
        <v>3</v>
      </c>
      <c r="BY3" s="13" t="str">
        <f t="array" ref="BY3">IFERROR(INDEX(AE$4:AE$12, SMALL(IF(BC$4:BC$12 = LARGE(BC$4:BC$12,2), ROW(AE$4:AE$12)-ROW(AE$4)+1), ROW(1:1))), "-")</f>
        <v>-</v>
      </c>
      <c r="BZ3" s="13" t="str">
        <f t="array" ref="BZ3">IFERROR(INDEX(BC$4:BC$12, SMALL(IF(BC$4:BC$12 = LARGE(BC$4:BC$12,2), ROW(BC$4:BC$12)-ROW(BC$4)+1), ROW(1:1))), "-")</f>
        <v>-</v>
      </c>
      <c r="CA3" s="13" t="str">
        <f t="array" ref="CA3">IFERROR(INDEX(AE$4:AE$12, SMALL(IF(BC$4:BC$12 = LARGE(BC$4:BC$12,3), ROW(AE$4:AE$12)-ROW(AE$4)+1), ROW(1:1))), "-")</f>
        <v>-</v>
      </c>
      <c r="CB3" s="13" t="str">
        <f t="array" ref="CB3">IFERROR(INDEX(BC$4:BC$12, SMALL(IF(BC$4:BC$12 = LARGE(BC$4:BC$12,3), ROW(BC$4:BC$12)-ROW(BC$4)+1), ROW(1:1))), "-")</f>
        <v>-</v>
      </c>
      <c r="CJ3" s="314" t="s">
        <v>1061</v>
      </c>
      <c r="CK3" s="13" t="s">
        <v>1062</v>
      </c>
      <c r="CL3" s="13" t="s">
        <v>1063</v>
      </c>
    </row>
    <row r="4" ht="19.5" customHeight="1">
      <c r="B4" s="1288"/>
      <c r="C4" s="1289"/>
      <c r="D4" s="1291" t="s">
        <v>169</v>
      </c>
      <c r="E4" s="1292" t="s">
        <v>1064</v>
      </c>
      <c r="F4" s="1293" t="s">
        <v>1065</v>
      </c>
      <c r="G4" s="1291" t="s">
        <v>169</v>
      </c>
      <c r="H4" s="1292" t="s">
        <v>1064</v>
      </c>
      <c r="I4" s="1293" t="s">
        <v>1065</v>
      </c>
      <c r="J4" s="1291" t="s">
        <v>169</v>
      </c>
      <c r="K4" s="1292" t="s">
        <v>1064</v>
      </c>
      <c r="L4" s="1293" t="s">
        <v>1065</v>
      </c>
      <c r="N4" s="13" t="str">
        <f t="shared" ref="N4:Q4" si="1">AE18</f>
        <v>DECOUPES</v>
      </c>
      <c r="O4" s="13" t="str">
        <f t="shared" si="1"/>
        <v>POPEYES</v>
      </c>
      <c r="P4" s="13" t="str">
        <f t="shared" si="1"/>
        <v>GREEN</v>
      </c>
      <c r="Q4" s="13" t="str">
        <f t="shared" si="1"/>
        <v>SAVAGES</v>
      </c>
      <c r="R4" s="13" t="str">
        <f t="shared" ref="R4:U4" si="2">AJ18</f>
        <v>CHAMPS</v>
      </c>
      <c r="S4" s="13" t="str">
        <f t="shared" si="2"/>
        <v>METAMOOKDAWGS</v>
      </c>
      <c r="T4" s="13" t="str">
        <f t="shared" si="2"/>
        <v>YARDIES</v>
      </c>
      <c r="U4" s="13" t="str">
        <f t="shared" si="2"/>
        <v>MUTTS</v>
      </c>
      <c r="X4" s="1294">
        <v>1.0</v>
      </c>
      <c r="Y4" s="1295" t="s">
        <v>1068</v>
      </c>
      <c r="Z4" s="1296" t="str">
        <f t="shared" ref="Z4:Z11" si="5">IF(AVERAGE($AD$4:$AD$12)=1,"NO DATA HAS BEEN ENTERED YET",INDEX($Y$15:$Y$22,MATCH(SMALL($X$15:$X$22,X4),$X$15:$X$22,0)))</f>
        <v>#VALUE!</v>
      </c>
      <c r="AA4" s="1297">
        <f t="shared" ref="AA4:AA11" si="6">LARGE($AB$15:$AB$22,X4)</f>
        <v>28</v>
      </c>
      <c r="AB4" s="1252"/>
      <c r="AC4" s="1252"/>
      <c r="AD4" s="1298">
        <f t="shared" ref="AD4:AD13" si="7">CR4</f>
        <v>2</v>
      </c>
      <c r="AE4" s="1299" t="str">
        <f>'Weekly Scores'!BH2</f>
        <v>DECOUPES</v>
      </c>
      <c r="AF4" s="1300">
        <f>'Weekly Scores'!BI2</f>
        <v>9</v>
      </c>
      <c r="AG4" s="1301">
        <f>'Weekly Scores'!BJ2</f>
        <v>5</v>
      </c>
      <c r="AH4" s="1302">
        <f>IFERROR('Weekly Scores'!BK2,0)</f>
        <v>0.6428571429</v>
      </c>
      <c r="AI4" s="1303" t="str">
        <f>'Weekly Scores'!BL2</f>
        <v>PRODIGY</v>
      </c>
      <c r="AJ4" s="1304">
        <f>'Weekly Scores'!BM2</f>
        <v>5</v>
      </c>
      <c r="AK4" s="1305">
        <f>'Weekly Scores'!BN2</f>
        <v>3</v>
      </c>
      <c r="AL4" s="1306">
        <f>'Weekly Scores'!BO2</f>
        <v>0.625</v>
      </c>
      <c r="AM4" s="1307">
        <f t="shared" ref="AM4:AM7" si="8">COUNTIF($AE19:$AH19,"&gt;1")</f>
        <v>1</v>
      </c>
      <c r="AN4" s="1308">
        <f t="shared" ref="AN4:AN7" si="9">COUNTIF($AE19:$AH19,"&gt;2")</f>
        <v>0</v>
      </c>
      <c r="AO4" s="1304">
        <f t="shared" ref="AO4:AP4" si="3">AF4-AJ4</f>
        <v>4</v>
      </c>
      <c r="AP4" s="1305">
        <f t="shared" si="3"/>
        <v>2</v>
      </c>
      <c r="AQ4" s="1309">
        <f t="shared" ref="AQ4:AQ13" si="11">IFERROR(AO4/(AO4+AP4),0)</f>
        <v>0.6666666667</v>
      </c>
      <c r="AR4" s="1310">
        <f>'BACKEND 1'!X$22</f>
        <v>2302.12</v>
      </c>
      <c r="AS4" s="1300">
        <f>'Weekly Scores'!BP2</f>
        <v>0</v>
      </c>
      <c r="AT4" s="1301">
        <f>'Weekly Scores'!BQ2</f>
        <v>2</v>
      </c>
      <c r="AU4" s="1306">
        <f>IFERROR('Weekly Scores'!BR2,0)</f>
        <v>0</v>
      </c>
      <c r="AV4" s="1311">
        <f t="shared" ref="AV4:AV13" si="12">AS4+AT4</f>
        <v>2</v>
      </c>
      <c r="AW4" s="1311">
        <f>'Weekly Scores'!BT2</f>
        <v>6</v>
      </c>
      <c r="AX4" s="1312"/>
      <c r="AY4" s="1313">
        <f>'All-Stars'!BD3</f>
        <v>11</v>
      </c>
      <c r="AZ4" s="1299">
        <f>'Weekly Scores'!BU2</f>
        <v>4</v>
      </c>
      <c r="BA4" s="1314">
        <f>'Weekly Scores'!BW2</f>
        <v>4</v>
      </c>
      <c r="BB4" s="1312"/>
      <c r="BC4" s="1312"/>
      <c r="BD4" s="1252"/>
      <c r="BE4" s="1252">
        <f t="shared" ref="BE4:BE7" si="13">AO4</f>
        <v>4</v>
      </c>
      <c r="BF4" s="1252"/>
      <c r="BG4" s="1252"/>
      <c r="BH4" s="1252"/>
      <c r="BI4" s="1252" t="str">
        <f t="shared" ref="BI4:BI7" si="14">AX4</f>
        <v/>
      </c>
      <c r="BJ4" s="1252"/>
      <c r="BK4" s="337">
        <f t="shared" ref="BK4:BK7" si="15">AH4</f>
        <v>0.6428571429</v>
      </c>
      <c r="BM4" s="337">
        <f t="shared" ref="BM4:BM7" si="16">AQ4</f>
        <v>0.6666666667</v>
      </c>
      <c r="BO4" s="1252" t="str">
        <f t="array" ref="BO4">IFERROR(INDEX(AE$4:AE$12, SMALL(IF(BA$4:BA$12 = LARGE(BA$4:BA$12,2), ROW(AE$4:AE$12)-ROW(AE$4)+1), ROW(2:2))), "-")</f>
        <v>KINGS</v>
      </c>
      <c r="BP4" s="1252">
        <f t="array" ref="BP4">IFERROR(INDEX(BA$4:BA$12, SMALL(IF(BA$4:BA$12 = LARGE(BA$4:BA$12,2), ROW(BA$4:BA$12)-ROW(BA$4)+1), ROW(2:2))), "-")</f>
        <v>5</v>
      </c>
      <c r="BQ4" s="13" t="str">
        <f t="array" ref="BQ4">IFERROR(INDEX(AE$4:AE$12, SMALL(IF(BA$4:BA$12 = LARGE(BA$4:BA$12,3), ROW(AE$4:AE$12)-ROW(AE$4)+1), ROW(2:2))), "-")</f>
        <v>-</v>
      </c>
      <c r="BR4" s="1252" t="str">
        <f t="array" ref="BR4">IFERROR(INDEX(BA$4:BA$12, SMALL(IF(BA$4:BA$12 = LARGE(BA$4:BA$12,3), ROW(BA$4:BA$12)-ROW(BA$4)+1), ROW(2:2))), "-")</f>
        <v>-</v>
      </c>
      <c r="BT4" s="13" t="str">
        <f t="array" ref="BT4">IFERROR(INDEX(AE$4:AE$12, SMALL(IF(AW$4:AW$12 = SMALL(AW$4:AW$12,2), ROW(AE$4:AE$12)-ROW(AE$4)+1), ROW(2:2))), "-")</f>
        <v>-</v>
      </c>
      <c r="BU4" s="337" t="str">
        <f t="array" ref="BU4">IFERROR(INDEX(AW$4:AW$12, SMALL(IF(AW$4:AW$12 = SMALL(AW$4:AW$12,2), ROW(AW$4:AW$12)-ROW(AW$4)+1), ROW(2:2))), "-")</f>
        <v>-</v>
      </c>
      <c r="BV4" s="13" t="str">
        <f t="array" ref="BV4">IFERROR(INDEX(AE$4:AE$12, SMALL(IF(AW$4:AW$12 = SMALL(AW$4:AW$12,3), ROW(AE$4:AE$12)-ROW(AE$4)+1), ROW(2:2))), "-")</f>
        <v>-</v>
      </c>
      <c r="BW4" s="337" t="str">
        <f t="array" ref="BW4">IFERROR(INDEX(AW$4:AW$12, SMALL(IF(AW$4:AW$12 = SMALL(AW$4:AW$12,3), ROW(AW$4:AW$12)-ROW(AW$4)+1), ROW(2:2))), "-")</f>
        <v>-</v>
      </c>
      <c r="BY4" s="13" t="str">
        <f t="array" ref="BY4">IFERROR(INDEX(AE$4:AE$12, SMALL(IF(BC$4:BC$12 = LARGE(BC$4:BC$12,2), ROW(AE$4:AE$12)-ROW(AE$4)+1), ROW(2:2))), "-")</f>
        <v>-</v>
      </c>
      <c r="BZ4" s="13" t="str">
        <f t="array" ref="BZ4">IFERROR(INDEX(BC$4:BC$12, SMALL(IF(BC$4:BC$12 = LARGE(BC$4:BC$12,2), ROW(BC$4:BC$12)-ROW(BC$4)+1), ROW(2:2))), "-")</f>
        <v>-</v>
      </c>
      <c r="CA4" s="13" t="str">
        <f t="array" ref="CA4">IFERROR(INDEX(AE$4:AE$12, SMALL(IF(BC$4:BC$12 = LARGE(BC$4:BC$12,3), ROW(AE$4:AE$12)-ROW(AE$4)+1), ROW(2:2))), "-")</f>
        <v>-</v>
      </c>
      <c r="CB4" s="13" t="str">
        <f t="array" ref="CB4">IFERROR(INDEX(BC$4:BC$12, SMALL(IF(BC$4:BC$12 = LARGE(BC$4:BC$12,3), ROW(BC$4:BC$12)-ROW(BC$4)+1), ROW(2:2))), "-")</f>
        <v>-</v>
      </c>
      <c r="CE4" s="1252"/>
      <c r="CI4" s="585" t="str">
        <f>Settings!A3</f>
        <v>DECOUPES</v>
      </c>
      <c r="CJ4" s="882">
        <f>'Entry Sheet'!$B$4</f>
        <v>5</v>
      </c>
      <c r="CK4" s="1315">
        <v>2.0</v>
      </c>
      <c r="CL4" s="572">
        <f t="shared" ref="CL4:CL13" si="17">CJ4-CK4</f>
        <v>3</v>
      </c>
      <c r="CN4" s="13">
        <f t="shared" ref="CN4:CN13" si="18">_xlfn.RANK.EQ(AH4,AH$4:AH$12,0)</f>
        <v>2</v>
      </c>
      <c r="CO4" s="13">
        <f t="shared" ref="CO4:CO13" si="19">_xlfn.RANK.EQ(AL4,AL$4:AL$12,0)</f>
        <v>2</v>
      </c>
      <c r="CP4" s="13">
        <f t="shared" ref="CP4:CP13" si="20">_xlfn.RANK.EQ(AR4,AR$4:AR$12,0)</f>
        <v>1</v>
      </c>
      <c r="CQ4" s="13">
        <f t="shared" ref="CQ4:CQ13" si="21">AVERAGE(CN4:CO4)</f>
        <v>2</v>
      </c>
      <c r="CR4" s="13">
        <f t="shared" ref="CR4:CR13" si="22">_xlfn.RANK.EQ(CQ4,CQ$4:CQ$12,1) + (COUNTIFS(CQ$4:CQ$12,CQ4,$CP$4:$CP$12,"&lt;"&amp;CP4))</f>
        <v>2</v>
      </c>
    </row>
    <row r="5" ht="19.5" customHeight="1">
      <c r="B5" s="1318" t="s">
        <v>1095</v>
      </c>
      <c r="C5" s="827"/>
      <c r="D5" s="1323" t="str">
        <f t="array" ref="D5">IFERROR(INDEX(AE$4:AE$12, SMALL(IF((BK$4:BK$12 = MAX(BK$4:BK$12)) * (AI$4:AI$12 = D$3), ROW(AE$4:AE$12)-ROW(AE$4)+1), ROW(1:1))), "-")</f>
        <v>GREEN</v>
      </c>
      <c r="E5" s="1324">
        <f t="array" ref="E5">IFERROR(INDEX(BK$4:BK$7, SMALL(IF((BK$4:BK$7 = MAX(BK$4:BK$7)) * (AI$4:AI$7 = D$3), ROW(BK$4:BK$7)-ROW(BK$4)+1), ROW(1:1))), "-")</f>
        <v>0.8571428571</v>
      </c>
      <c r="F5" s="1325">
        <v>1.0</v>
      </c>
      <c r="G5" s="1326" t="str">
        <f t="array" ref="G5">IFERROR(INDEX(AE$9:AE$12, SMALL(IF(AH$9:AH$13 = MAX(AH$9:AH$12), ROW(AE$9:AE$12)-ROW(AE$9)+1), ROW(1:1))), "-")</f>
        <v>YARDIES</v>
      </c>
      <c r="H5" s="1328">
        <f t="array" ref="H5">IFERROR(INDEX(AH$9:AH$12, SMALL(IF(AH$9:AH$12 = MAX(AH$9:AH$12), ROW(AH$9:AH$12)-ROW(AH$9)+1), ROW(1:1))), "-")</f>
        <v>0.6428571429</v>
      </c>
      <c r="I5" s="1329">
        <v>1.0</v>
      </c>
      <c r="J5" s="1323" t="str">
        <f t="array" ref="J5">IFERROR(INDEX(AE$4:AE$12, SMALL(IF(AF$4:AF$12 = MAX(AF$4:AF$12), ROW(AE$4:AE$12)-ROW(AE$4)+1), ROW(1:1))), "-")</f>
        <v>GREEN</v>
      </c>
      <c r="K5" s="1324">
        <f t="array" ref="K5">IFERROR(INDEX(AH$4:AH$12, SMALL(IF(AH$4:AH$12 = MAX(AH$4:AH$12), ROW(AH$4:AH$12)-ROW(AH$4)+1), ROW(1:1))), "-")</f>
        <v>0.8571428571</v>
      </c>
      <c r="L5" s="1325">
        <v>1.0</v>
      </c>
      <c r="M5" s="13" t="s">
        <v>1097</v>
      </c>
      <c r="N5" s="700">
        <f t="shared" ref="N5:U5" si="4">IFERROR(IF($M5="YES",IF($D5=N$4,$F5,0)+IF($G5=N$4,$I5,0)+IF($J5=N$4,$L5,0),0),0)</f>
        <v>0</v>
      </c>
      <c r="O5" s="700">
        <f t="shared" si="4"/>
        <v>0</v>
      </c>
      <c r="P5" s="700">
        <f t="shared" si="4"/>
        <v>2</v>
      </c>
      <c r="Q5" s="700">
        <f t="shared" si="4"/>
        <v>0</v>
      </c>
      <c r="R5" s="700">
        <f t="shared" si="4"/>
        <v>0</v>
      </c>
      <c r="S5" s="700">
        <f t="shared" si="4"/>
        <v>0</v>
      </c>
      <c r="T5" s="700">
        <f t="shared" si="4"/>
        <v>1</v>
      </c>
      <c r="U5" s="700">
        <f t="shared" si="4"/>
        <v>0</v>
      </c>
      <c r="X5" s="1294">
        <v>2.0</v>
      </c>
      <c r="Y5" s="1330" t="s">
        <v>1098</v>
      </c>
      <c r="Z5" s="1331" t="str">
        <f t="shared" si="5"/>
        <v>#VALUE!</v>
      </c>
      <c r="AA5" s="1332">
        <f t="shared" si="6"/>
        <v>15.5</v>
      </c>
      <c r="AB5" s="1252"/>
      <c r="AC5" s="1252"/>
      <c r="AD5" s="1314">
        <f t="shared" si="7"/>
        <v>6</v>
      </c>
      <c r="AE5" s="1333" t="str">
        <f>'Weekly Scores'!BH3</f>
        <v>POPEYES</v>
      </c>
      <c r="AF5" s="1300">
        <f>'Weekly Scores'!BI3</f>
        <v>7</v>
      </c>
      <c r="AG5" s="1301">
        <f>'Weekly Scores'!BJ3</f>
        <v>7</v>
      </c>
      <c r="AH5" s="1302">
        <f>IFERROR('Weekly Scores'!BK3,0)</f>
        <v>0.5</v>
      </c>
      <c r="AI5" s="1303" t="str">
        <f>'Weekly Scores'!BL3</f>
        <v>PRODIGY</v>
      </c>
      <c r="AJ5" s="1304">
        <f>'Weekly Scores'!BM3</f>
        <v>2</v>
      </c>
      <c r="AK5" s="1305">
        <f>'Weekly Scores'!BN3</f>
        <v>6</v>
      </c>
      <c r="AL5" s="1306">
        <f>'Weekly Scores'!BO3</f>
        <v>0.25</v>
      </c>
      <c r="AM5" s="1307">
        <f t="shared" si="8"/>
        <v>1</v>
      </c>
      <c r="AN5" s="1308">
        <f t="shared" si="9"/>
        <v>0</v>
      </c>
      <c r="AO5" s="1304">
        <f t="shared" ref="AO5:AP5" si="10">AF5-AJ5</f>
        <v>5</v>
      </c>
      <c r="AP5" s="1305">
        <f t="shared" si="10"/>
        <v>1</v>
      </c>
      <c r="AQ5" s="1309">
        <f t="shared" si="11"/>
        <v>0.8333333333</v>
      </c>
      <c r="AR5" s="1310">
        <f>'BACKEND 1'!X$22</f>
        <v>2302.12</v>
      </c>
      <c r="AS5" s="1300">
        <f>'Weekly Scores'!BP3</f>
        <v>3</v>
      </c>
      <c r="AT5" s="1301">
        <f>'Weekly Scores'!BQ3</f>
        <v>1</v>
      </c>
      <c r="AU5" s="1306">
        <f>IFERROR('Weekly Scores'!BR3,0)</f>
        <v>0.75</v>
      </c>
      <c r="AV5" s="1311">
        <f t="shared" si="12"/>
        <v>4</v>
      </c>
      <c r="AW5" s="1311">
        <f>'Weekly Scores'!BT3</f>
        <v>3</v>
      </c>
      <c r="AX5" s="1312"/>
      <c r="AY5" s="1313">
        <f>'All-Stars'!BD4</f>
        <v>15</v>
      </c>
      <c r="AZ5" s="1299">
        <f>'Weekly Scores'!BU3</f>
        <v>2</v>
      </c>
      <c r="BA5" s="1314">
        <f>'Weekly Scores'!BW3</f>
        <v>2</v>
      </c>
      <c r="BB5" s="1312"/>
      <c r="BC5" s="1312"/>
      <c r="BD5" s="1252"/>
      <c r="BE5" s="1252">
        <f t="shared" si="13"/>
        <v>5</v>
      </c>
      <c r="BF5" s="1252"/>
      <c r="BG5" s="1252"/>
      <c r="BH5" s="1252"/>
      <c r="BI5" s="1252" t="str">
        <f t="shared" si="14"/>
        <v/>
      </c>
      <c r="BJ5" s="1252"/>
      <c r="BK5" s="337">
        <f t="shared" si="15"/>
        <v>0.5</v>
      </c>
      <c r="BM5" s="337">
        <f t="shared" si="16"/>
        <v>0.8333333333</v>
      </c>
      <c r="BO5" s="1252" t="str">
        <f t="array" ref="BO5">IFERROR(INDEX(AE$4:AE$12, SMALL(IF(BA$4:BA$12 = LARGE(BA$4:BA$12,2), ROW(AE$4:AE$12)-ROW(AE$4)+1), ROW(3:3))), "-")</f>
        <v>-</v>
      </c>
      <c r="BP5" s="1252" t="str">
        <f t="array" ref="BP5">IFERROR(INDEX(BA$4:BA$12, SMALL(IF(BA$4:BA$12 = LARGE(BA$4:BA$12,2), ROW(BA$4:BA$12)-ROW(BA$4)+1), ROW(3:3))), "-")</f>
        <v>-</v>
      </c>
      <c r="BQ5" s="13" t="str">
        <f t="array" ref="BQ5">IFERROR(INDEX(AE$4:AE$12, SMALL(IF(BA$4:BA$12 = LARGE(BA$4:BA$12,3), ROW(AE$4:AE$12)-ROW(AE$4)+1), ROW(3:3))), "-")</f>
        <v>-</v>
      </c>
      <c r="BR5" s="1252" t="str">
        <f t="array" ref="BR5">IFERROR(INDEX(BA$4:BA$12, SMALL(IF(BA$4:BA$12 = LARGE(BA$4:BA$12,3), ROW(BA$4:BA$12)-ROW(BA$4)+1), ROW(3:3))), "-")</f>
        <v>-</v>
      </c>
      <c r="BT5" s="13" t="str">
        <f t="array" ref="BT5">IFERROR(INDEX(AE$4:AE$12, SMALL(IF(AW$4:AW$12 = SMALL(AW$4:AW$12,2), ROW(AE$4:AE$12)-ROW(AE$4)+1), ROW(3:3))), "-")</f>
        <v>-</v>
      </c>
      <c r="BU5" s="337" t="str">
        <f t="array" ref="BU5">IFERROR(INDEX(AW$4:AW$12, SMALL(IF(AW$4:AW$12 = SMALL(AW$4:AW$12,2), ROW(AW$4:AW$12)-ROW(AW$4)+1), ROW(3:3))), "-")</f>
        <v>-</v>
      </c>
      <c r="BV5" s="13" t="str">
        <f t="array" ref="BV5">IFERROR(INDEX(AE$4:AE$12, SMALL(IF(AW$4:AW$12 = SMALL(AW$4:AW$12,3), ROW(AE$4:AE$12)-ROW(AE$4)+1), ROW(3:3))), "-")</f>
        <v>-</v>
      </c>
      <c r="BW5" s="337" t="str">
        <f t="array" ref="BW5">IFERROR(INDEX(AW$4:AW$12, SMALL(IF(AW$4:AW$12 = SMALL(AW$4:AW$12,3), ROW(AW$4:AW$12)-ROW(AW$4)+1), ROW(3:3))), "-")</f>
        <v>-</v>
      </c>
      <c r="BY5" s="13" t="str">
        <f t="array" ref="BY5">IFERROR(INDEX(AE$4:AE$12, SMALL(IF(BC$4:BC$12 = LARGE(BC$4:BC$12,2), ROW(AE$4:AE$12)-ROW(AE$4)+1), ROW(3:3))), "-")</f>
        <v>-</v>
      </c>
      <c r="BZ5" s="13" t="str">
        <f t="array" ref="BZ5">IFERROR(INDEX(BC$4:BC$12, SMALL(IF(BC$4:BC$12 = LARGE(BC$4:BC$12,2), ROW(BC$4:BC$12)-ROW(BC$4)+1), ROW(3:3))), "-")</f>
        <v>-</v>
      </c>
      <c r="CA5" s="13" t="str">
        <f t="array" ref="CA5">IFERROR(INDEX(AE$4:AE$12, SMALL(IF(BC$4:BC$12 = LARGE(BC$4:BC$12,3), ROW(AE$4:AE$12)-ROW(AE$4)+1), ROW(3:3))), "-")</f>
        <v>-</v>
      </c>
      <c r="CB5" s="13" t="str">
        <f t="array" ref="CB5">IFERROR(INDEX(BC$4:BC$12, SMALL(IF(BC$4:BC$12 = LARGE(BC$4:BC$12,3), ROW(BC$4:BC$12)-ROW(BC$4)+1), ROW(3:3))), "-")</f>
        <v>-</v>
      </c>
      <c r="CE5" s="1252"/>
      <c r="CI5" s="585" t="str">
        <f>Settings!A4</f>
        <v>POPEYES</v>
      </c>
      <c r="CJ5" s="882">
        <f>'Entry Sheet'!$B$25</f>
        <v>1</v>
      </c>
      <c r="CK5" s="1315">
        <v>5.0</v>
      </c>
      <c r="CL5" s="572">
        <f t="shared" si="17"/>
        <v>-4</v>
      </c>
      <c r="CN5" s="13">
        <f t="shared" si="18"/>
        <v>4</v>
      </c>
      <c r="CO5" s="13">
        <f t="shared" si="19"/>
        <v>7</v>
      </c>
      <c r="CP5" s="13">
        <f t="shared" si="20"/>
        <v>1</v>
      </c>
      <c r="CQ5" s="13">
        <f t="shared" si="21"/>
        <v>5.5</v>
      </c>
      <c r="CR5" s="13">
        <f t="shared" si="22"/>
        <v>6</v>
      </c>
    </row>
    <row r="6" ht="19.5" customHeight="1">
      <c r="B6" s="1371"/>
      <c r="C6" s="663"/>
      <c r="D6" s="1372" t="str">
        <f t="array" ref="D6">IFERROR(INDEX(AE$4:AE$12, SMALL(IF((BK$4:BK$12 = MAX(BK$4:BK$12)) * (AI$4:AI$12 = D$3), ROW(AE$4:AE$12)-ROW(AE$4)+1), ROW(2:2))), "-")</f>
        <v>-</v>
      </c>
      <c r="E6" s="1377" t="str">
        <f t="array" ref="E6">IFERROR(INDEX(BK$4:BK$12, SMALL(IF((BK$4:BK$12 = MAX(BK$4:BK$12)) * (AI$4:AI$12 = D$3), ROW(BK$4:BK$12)-ROW(BK$4)+1), ROW(2:2))), "-")</f>
        <v>-</v>
      </c>
      <c r="F6" s="1378" t="str">
        <f>IF(D6="-","",F5)</f>
        <v/>
      </c>
      <c r="G6" s="1326" t="str">
        <f t="array" ref="G6">IFERROR(INDEX(AE$9:AE$12, SMALL(IF(AH$9:AH$12 = MAX(AH$9:AH$12), ROW(AE$9:AE$12)-ROW(AE$9)+1), ROW(2:2))), "-")</f>
        <v>-</v>
      </c>
      <c r="H6" s="1328" t="str">
        <f t="array" ref="H6">IFERROR(INDEX(AH$9:AH$12, SMALL(IF(AH$9:AH$12 = MAX(AH$9:AH$12), ROW(AH$9:AH$12)-ROW(AH$9)+1), ROW(2:2))), "-")</f>
        <v>-</v>
      </c>
      <c r="I6" s="1380" t="str">
        <f>IF(G6="-","",I5)</f>
        <v/>
      </c>
      <c r="J6" s="1372" t="str">
        <f t="array" ref="J6">IFERROR(INDEX(AE$4:AE$12, SMALL(IF(AF$4:AF$12 = MAX(AF$4:AF$12), ROW(AE$4:AE$12)-ROW(AE$4)+1), ROW(2:2))), "-")</f>
        <v>-</v>
      </c>
      <c r="K6" s="1377" t="str">
        <f t="array" ref="K6">IFERROR(INDEX(AH$4:AH$12, SMALL(IF(AH$4:AH$12 = MAX(AH$4:AH$12), ROW(AH$4:AH$12)-ROW(AH$4)+1), ROW(2:2))), "-")</f>
        <v>-</v>
      </c>
      <c r="L6" s="1378" t="str">
        <f>IF(J6="-","",L5)</f>
        <v/>
      </c>
      <c r="M6" s="13" t="s">
        <v>1097</v>
      </c>
      <c r="N6" s="700">
        <f t="shared" ref="N6:U6" si="23">IFERROR(IF($M6="YES",IF($D6=N$4,$F6,0)+IF($G6=N$4,$I6,0)+IF($J6=N$4,$L6,0),0),0)</f>
        <v>0</v>
      </c>
      <c r="O6" s="700">
        <f t="shared" si="23"/>
        <v>0</v>
      </c>
      <c r="P6" s="700">
        <f t="shared" si="23"/>
        <v>0</v>
      </c>
      <c r="Q6" s="700">
        <f t="shared" si="23"/>
        <v>0</v>
      </c>
      <c r="R6" s="700">
        <f t="shared" si="23"/>
        <v>0</v>
      </c>
      <c r="S6" s="700">
        <f t="shared" si="23"/>
        <v>0</v>
      </c>
      <c r="T6" s="700">
        <f t="shared" si="23"/>
        <v>0</v>
      </c>
      <c r="U6" s="700">
        <f t="shared" si="23"/>
        <v>0</v>
      </c>
      <c r="X6" s="1294">
        <v>3.0</v>
      </c>
      <c r="Y6" s="1384" t="s">
        <v>1135</v>
      </c>
      <c r="Z6" s="1385" t="str">
        <f t="shared" si="5"/>
        <v>#VALUE!</v>
      </c>
      <c r="AA6" s="1386">
        <f t="shared" si="6"/>
        <v>15</v>
      </c>
      <c r="AB6" s="1252"/>
      <c r="AC6" s="1252"/>
      <c r="AD6" s="1314">
        <f t="shared" si="7"/>
        <v>1</v>
      </c>
      <c r="AE6" s="1333" t="str">
        <f>'Weekly Scores'!BH4</f>
        <v>GREEN</v>
      </c>
      <c r="AF6" s="1300">
        <f>'Weekly Scores'!BI4</f>
        <v>12</v>
      </c>
      <c r="AG6" s="1301">
        <f>'Weekly Scores'!BJ4</f>
        <v>2</v>
      </c>
      <c r="AH6" s="1302">
        <f>IFERROR('Weekly Scores'!BK4,0)</f>
        <v>0.8571428571</v>
      </c>
      <c r="AI6" s="1303" t="str">
        <f>'Weekly Scores'!BL4</f>
        <v>PRODIGY</v>
      </c>
      <c r="AJ6" s="1304">
        <f>'Weekly Scores'!BM4</f>
        <v>6</v>
      </c>
      <c r="AK6" s="1305">
        <f>'Weekly Scores'!BN4</f>
        <v>2</v>
      </c>
      <c r="AL6" s="1306">
        <f>'Weekly Scores'!BO4</f>
        <v>0.75</v>
      </c>
      <c r="AM6" s="1307">
        <f t="shared" si="8"/>
        <v>1</v>
      </c>
      <c r="AN6" s="1308">
        <f t="shared" si="9"/>
        <v>0</v>
      </c>
      <c r="AO6" s="1304">
        <f t="shared" ref="AO6:AP6" si="24">AF6-AJ6</f>
        <v>6</v>
      </c>
      <c r="AP6" s="1305">
        <f t="shared" si="24"/>
        <v>0</v>
      </c>
      <c r="AQ6" s="1309">
        <f t="shared" si="11"/>
        <v>1</v>
      </c>
      <c r="AR6" s="1310">
        <f>'BACKEND 1'!X$22</f>
        <v>2302.12</v>
      </c>
      <c r="AS6" s="1300">
        <f>'Weekly Scores'!BP4</f>
        <v>4</v>
      </c>
      <c r="AT6" s="1301">
        <f>'Weekly Scores'!BQ4</f>
        <v>0</v>
      </c>
      <c r="AU6" s="1306">
        <f>IFERROR('Weekly Scores'!BR4,0)</f>
        <v>1</v>
      </c>
      <c r="AV6" s="1311">
        <f t="shared" si="12"/>
        <v>4</v>
      </c>
      <c r="AW6" s="1311">
        <f>'Weekly Scores'!BT4</f>
        <v>2</v>
      </c>
      <c r="AX6" s="1312"/>
      <c r="AY6" s="1313">
        <f>'All-Stars'!BD5</f>
        <v>23</v>
      </c>
      <c r="AZ6" s="1299">
        <f>'Weekly Scores'!BU4</f>
        <v>2</v>
      </c>
      <c r="BA6" s="1314">
        <f>'Weekly Scores'!BW4</f>
        <v>5</v>
      </c>
      <c r="BB6" s="1312"/>
      <c r="BC6" s="1312"/>
      <c r="BD6" s="1252"/>
      <c r="BE6" s="1252">
        <f t="shared" si="13"/>
        <v>6</v>
      </c>
      <c r="BF6" s="1252"/>
      <c r="BG6" s="1252"/>
      <c r="BH6" s="1252"/>
      <c r="BI6" s="1252" t="str">
        <f t="shared" si="14"/>
        <v/>
      </c>
      <c r="BJ6" s="1252"/>
      <c r="BK6" s="337">
        <f t="shared" si="15"/>
        <v>0.8571428571</v>
      </c>
      <c r="BM6" s="337">
        <f t="shared" si="16"/>
        <v>1</v>
      </c>
      <c r="BO6" s="1252" t="str">
        <f t="array" ref="BO6">IFERROR(INDEX(AE$4:AE$12, SMALL(IF(BA$4:BA$12 = LARGE(BA$4:BA$12,2), ROW(AE$4:AE$12)-ROW(AE$4)+1), ROW(4:4))), "-")</f>
        <v>-</v>
      </c>
      <c r="BP6" s="1252" t="str">
        <f t="array" ref="BP6">IFERROR(INDEX(BA$4:BA$12, SMALL(IF(BA$4:BA$12 = LARGE(BA$4:BA$12,2), ROW(BA$4:BA$12)-ROW(BA$4)+1), ROW(4:4))), "-")</f>
        <v>-</v>
      </c>
      <c r="BQ6" s="13" t="str">
        <f t="array" ref="BQ6">IFERROR(INDEX(AE$4:AE$12, SMALL(IF(BA$4:BA$12 = LARGE(BA$4:BA$12,3), ROW(AE$4:AE$12)-ROW(AE$4)+1), ROW(4:4))), "-")</f>
        <v>-</v>
      </c>
      <c r="BR6" s="1252" t="str">
        <f t="array" ref="BR6">IFERROR(INDEX(BA$4:BA$12, SMALL(IF(BA$4:BA$12 = LARGE(BA$4:BA$12,3), ROW(BA$4:BA$12)-ROW(BA$4)+1), ROW(4:4))), "-")</f>
        <v>-</v>
      </c>
      <c r="BT6" s="13" t="str">
        <f t="array" ref="BT6">IFERROR(INDEX(AE$4:AE$12, SMALL(IF(AW$4:AW$12 = SMALL(AW$4:AW$12,2), ROW(AE$4:AE$12)-ROW(AE$4)+1), ROW(4:4))), "-")</f>
        <v>-</v>
      </c>
      <c r="BU6" s="337" t="str">
        <f t="array" ref="BU6">IFERROR(INDEX(AW$4:AW$12, SMALL(IF(AW$4:AW$12 = SMALL(AW$4:AW$12,2), ROW(AW$4:AW$12)-ROW(AW$4)+1), ROW(4:4))), "-")</f>
        <v>-</v>
      </c>
      <c r="BV6" s="13" t="str">
        <f t="array" ref="BV6">IFERROR(INDEX(AE$4:AE$12, SMALL(IF(AW$4:AW$12 = SMALL(AW$4:AW$12,3), ROW(AE$4:AE$12)-ROW(AE$4)+1), ROW(4:4))), "-")</f>
        <v>-</v>
      </c>
      <c r="BW6" s="337" t="str">
        <f t="array" ref="BW6">IFERROR(INDEX(AW$4:AW$12, SMALL(IF(AW$4:AW$12 = SMALL(AW$4:AW$12,3), ROW(AW$4:AW$12)-ROW(AW$4)+1), ROW(4:4))), "-")</f>
        <v>-</v>
      </c>
      <c r="BY6" s="13" t="str">
        <f t="array" ref="BY6">IFERROR(INDEX(AE$4:AE$12, SMALL(IF(BC$4:BC$12 = LARGE(BC$4:BC$12,2), ROW(AE$4:AE$12)-ROW(AE$4)+1), ROW(4:4))), "-")</f>
        <v>-</v>
      </c>
      <c r="BZ6" s="13" t="str">
        <f t="array" ref="BZ6">IFERROR(INDEX(BC$4:BC$12, SMALL(IF(BC$4:BC$12 = LARGE(BC$4:BC$12,2), ROW(BC$4:BC$12)-ROW(BC$4)+1), ROW(4:4))), "-")</f>
        <v>-</v>
      </c>
      <c r="CA6" s="13" t="str">
        <f t="array" ref="CA6">IFERROR(INDEX(AE$4:AE$12, SMALL(IF(BC$4:BC$12 = LARGE(BC$4:BC$12,3), ROW(AE$4:AE$12)-ROW(AE$4)+1), ROW(4:4))), "-")</f>
        <v>-</v>
      </c>
      <c r="CB6" s="13" t="str">
        <f t="array" ref="CB6">IFERROR(INDEX(BC$4:BC$12, SMALL(IF(BC$4:BC$12 = LARGE(BC$4:BC$12,3), ROW(BC$4:BC$12)-ROW(BC$4)+1), ROW(4:4))), "-")</f>
        <v>-</v>
      </c>
      <c r="CE6" s="1252"/>
      <c r="CI6" s="585" t="str">
        <f>Settings!A5</f>
        <v>GREEN</v>
      </c>
      <c r="CJ6" s="882">
        <f>'Entry Sheet'!$B$46</f>
        <v>4</v>
      </c>
      <c r="CK6" s="1315">
        <v>4.0</v>
      </c>
      <c r="CL6" s="572">
        <f t="shared" si="17"/>
        <v>0</v>
      </c>
      <c r="CN6" s="13">
        <f t="shared" si="18"/>
        <v>1</v>
      </c>
      <c r="CO6" s="13">
        <f t="shared" si="19"/>
        <v>1</v>
      </c>
      <c r="CP6" s="13">
        <f t="shared" si="20"/>
        <v>1</v>
      </c>
      <c r="CQ6" s="13">
        <f t="shared" si="21"/>
        <v>1</v>
      </c>
      <c r="CR6" s="13">
        <f t="shared" si="22"/>
        <v>1</v>
      </c>
    </row>
    <row r="7" ht="19.5" customHeight="1">
      <c r="B7" s="1371"/>
      <c r="C7" s="663"/>
      <c r="D7" s="1372" t="str">
        <f t="array" ref="D7">IFERROR(INDEX(AE$4:AE$12, SMALL(IF((BK$4:BK$12 = MAX(BK$4:BK$12)) * (AI$4:AI$12 = D$3), ROW(AE$4:AE$12)-ROW(AE$4)+1), ROW(3:3))), "-")</f>
        <v>-</v>
      </c>
      <c r="E7" s="1377" t="str">
        <f t="array" ref="E7">IFERROR(INDEX(BK$4:BK$12, SMALL(IF((BK$4:BK$12 = MAX(BK$4:BK$12)) * (AI$4:AI$12 = D$3), ROW(BK$4:BK$12)-ROW(BK$4)+1), ROW(3:3))), "-")</f>
        <v>-</v>
      </c>
      <c r="F7" s="1378" t="str">
        <f>IF(D7="-","",F5)</f>
        <v/>
      </c>
      <c r="G7" s="1326" t="str">
        <f t="array" ref="G7">IFERROR(INDEX(AE$9:AE$12, SMALL(IF(AH$9:AH$12 = MAX(AH$9:AH$12), ROW(AE$9:AE$12)-ROW(AE$9)+1), ROW(3:3))), "-")</f>
        <v>-</v>
      </c>
      <c r="H7" s="1328" t="str">
        <f t="array" ref="H7">IFERROR(INDEX(AH$9:AH$12, SMALL(IF(AH$9:AH$12 = MAX(AH$9:AH$12), ROW(AH$9:AH$12)-ROW(AH$9)+1), ROW(3:3))), "-")</f>
        <v>-</v>
      </c>
      <c r="I7" s="1380" t="str">
        <f>IF(G7="-","",I5)</f>
        <v/>
      </c>
      <c r="J7" s="1372" t="str">
        <f t="array" ref="J7">IFERROR(INDEX(AE$4:AE$12, SMALL(IF(AF$4:AF$12 = MAX(AF$4:AF$12), ROW(AE$4:AE$12)-ROW(AE$4)+1), ROW(3:3))), "-")</f>
        <v>-</v>
      </c>
      <c r="K7" s="1377" t="str">
        <f t="array" ref="K7">IFERROR(INDEX(AH$4:AH$12, SMALL(IF(AH$4:AH$12 = MAX(AH$4:AH$12), ROW(AH$4:AH$12)-ROW(AH$4)+1), ROW(3:3))), "-")</f>
        <v>-</v>
      </c>
      <c r="L7" s="1378" t="str">
        <f>IF(J7="-","",L5)</f>
        <v/>
      </c>
      <c r="M7" s="13" t="s">
        <v>1097</v>
      </c>
      <c r="N7" s="700">
        <f t="shared" ref="N7:U7" si="25">IFERROR(IF($M7="YES",IF($D7=N$4,$F7,0)+IF($G7=N$4,$I7,0)+IF($J7=N$4,$L7,0),0),0)</f>
        <v>0</v>
      </c>
      <c r="O7" s="700">
        <f t="shared" si="25"/>
        <v>0</v>
      </c>
      <c r="P7" s="700">
        <f t="shared" si="25"/>
        <v>0</v>
      </c>
      <c r="Q7" s="700">
        <f t="shared" si="25"/>
        <v>0</v>
      </c>
      <c r="R7" s="700">
        <f t="shared" si="25"/>
        <v>0</v>
      </c>
      <c r="S7" s="700">
        <f t="shared" si="25"/>
        <v>0</v>
      </c>
      <c r="T7" s="700">
        <f t="shared" si="25"/>
        <v>0</v>
      </c>
      <c r="U7" s="700">
        <f t="shared" si="25"/>
        <v>0</v>
      </c>
      <c r="X7" s="1294">
        <v>4.0</v>
      </c>
      <c r="Y7" s="1393" t="s">
        <v>1146</v>
      </c>
      <c r="Z7" s="1394" t="str">
        <f t="shared" si="5"/>
        <v>#VALUE!</v>
      </c>
      <c r="AA7" s="1395">
        <f t="shared" si="6"/>
        <v>12</v>
      </c>
      <c r="AB7" s="1252"/>
      <c r="AC7" s="1252"/>
      <c r="AD7" s="1314">
        <f t="shared" si="7"/>
        <v>8</v>
      </c>
      <c r="AE7" s="1333" t="str">
        <f>'Weekly Scores'!BH5</f>
        <v>SAVAGES</v>
      </c>
      <c r="AF7" s="1300">
        <f>'Weekly Scores'!BI5</f>
        <v>5</v>
      </c>
      <c r="AG7" s="1301">
        <f>'Weekly Scores'!BJ5</f>
        <v>9</v>
      </c>
      <c r="AH7" s="1302">
        <f>IFERROR('Weekly Scores'!BK5,0)</f>
        <v>0.3571428571</v>
      </c>
      <c r="AI7" s="1303" t="str">
        <f>'Weekly Scores'!BL5</f>
        <v>PRODIGY</v>
      </c>
      <c r="AJ7" s="1304">
        <f>'Weekly Scores'!BM5</f>
        <v>2</v>
      </c>
      <c r="AK7" s="1305">
        <f>'Weekly Scores'!BN5</f>
        <v>6</v>
      </c>
      <c r="AL7" s="1306">
        <f>'Weekly Scores'!BO5</f>
        <v>0.25</v>
      </c>
      <c r="AM7" s="1307">
        <f t="shared" si="8"/>
        <v>0</v>
      </c>
      <c r="AN7" s="1308">
        <f t="shared" si="9"/>
        <v>0</v>
      </c>
      <c r="AO7" s="1304">
        <f t="shared" ref="AO7:AP7" si="26">AF7-AJ7</f>
        <v>3</v>
      </c>
      <c r="AP7" s="1305">
        <f t="shared" si="26"/>
        <v>3</v>
      </c>
      <c r="AQ7" s="1309">
        <f t="shared" si="11"/>
        <v>0.5</v>
      </c>
      <c r="AR7" s="1310">
        <f>'BACKEND 1'!X$22</f>
        <v>2302.12</v>
      </c>
      <c r="AS7" s="1300">
        <f>'Weekly Scores'!BP5</f>
        <v>0</v>
      </c>
      <c r="AT7" s="1301">
        <f>'Weekly Scores'!BQ5</f>
        <v>2</v>
      </c>
      <c r="AU7" s="1306">
        <f>IFERROR('Weekly Scores'!BR5,0)</f>
        <v>0</v>
      </c>
      <c r="AV7" s="1311">
        <f t="shared" si="12"/>
        <v>2</v>
      </c>
      <c r="AW7" s="1311">
        <f>'Weekly Scores'!BT5</f>
        <v>6</v>
      </c>
      <c r="AX7" s="1312"/>
      <c r="AY7" s="1313">
        <f>'All-Stars'!BD6</f>
        <v>16</v>
      </c>
      <c r="AZ7" s="1299">
        <f>'Weekly Scores'!BU5</f>
        <v>3</v>
      </c>
      <c r="BA7" s="1314">
        <f>'Weekly Scores'!BW5</f>
        <v>2</v>
      </c>
      <c r="BB7" s="1312"/>
      <c r="BC7" s="1312"/>
      <c r="BD7" s="1252"/>
      <c r="BE7" s="1252">
        <f t="shared" si="13"/>
        <v>3</v>
      </c>
      <c r="BF7" s="1252"/>
      <c r="BG7" s="1252"/>
      <c r="BH7" s="1252"/>
      <c r="BI7" s="1252" t="str">
        <f t="shared" si="14"/>
        <v/>
      </c>
      <c r="BJ7" s="1252"/>
      <c r="BK7" s="337">
        <f t="shared" si="15"/>
        <v>0.3571428571</v>
      </c>
      <c r="BM7" s="337">
        <f t="shared" si="16"/>
        <v>0.5</v>
      </c>
      <c r="BO7" s="1252"/>
      <c r="BP7" s="1252"/>
      <c r="BQ7" s="1252"/>
      <c r="BR7" s="1252"/>
      <c r="BT7" s="13" t="str">
        <f t="array" ref="BT7">IFERROR(INDEX(AE$4:AE$12, SMALL(IF(AW$4:AW$12 = SMALL(AW$4:AW$12,2), ROW(AE$4:AE$12)-ROW(AE$4)+1), ROW(5:5))), "-")</f>
        <v>-</v>
      </c>
      <c r="BU7" s="337" t="str">
        <f t="array" ref="BU7">IFERROR(INDEX(AW$4:AW$12, SMALL(IF(AW$4:AW$12 = SMALL(AW$4:AW$12,2), ROW(AW$4:AW$12)-ROW(AW$4)+1), ROW(5:5))), "-")</f>
        <v>-</v>
      </c>
      <c r="BV7" s="13" t="str">
        <f t="array" ref="BV7">IFERROR(INDEX(AE$4:AE$12, SMALL(IF(AW$4:AW$12 = SMALL(AW$4:AW$12,3), ROW(AE$4:AE$12)-ROW(AE$4)+1), ROW(5:5))), "-")</f>
        <v>-</v>
      </c>
      <c r="BW7" s="337" t="str">
        <f t="array" ref="BW7">IFERROR(INDEX(AW$4:AW$12, SMALL(IF(AW$4:AW$12 = SMALL(AW$4:AW$12,3), ROW(AW$4:AW$12)-ROW(AW$4)+1), ROW(5:5))), "-")</f>
        <v>-</v>
      </c>
      <c r="BY7" s="13" t="str">
        <f t="array" ref="BY7">IFERROR(INDEX(AE$4:AE$12, SMALL(IF(BC$4:BC$12 = LARGE(BC$4:BC$12,2), ROW(AE$4:AE$12)-ROW(AE$4)+1), ROW(5:5))), "-")</f>
        <v>-</v>
      </c>
      <c r="BZ7" s="13" t="str">
        <f t="array" ref="BZ7">IFERROR(INDEX(BC$4:BC$12, SMALL(IF(BC$4:BC$12 = LARGE(BC$4:BC$12,2), ROW(BC$4:BC$12)-ROW(BC$4)+1), ROW(5:5))), "-")</f>
        <v>-</v>
      </c>
      <c r="CA7" s="13" t="str">
        <f t="array" ref="CA7">IFERROR(INDEX(AE$4:AE$12, SMALL(IF(BC$4:BC$12 = LARGE(BC$4:BC$12,3), ROW(AE$4:AE$12)-ROW(AE$4)+1), ROW(5:5))), "-")</f>
        <v>-</v>
      </c>
      <c r="CB7" s="13" t="str">
        <f t="array" ref="CB7">IFERROR(INDEX(BC$4:BC$12, SMALL(IF(BC$4:BC$12 = LARGE(BC$4:BC$12,3), ROW(BC$4:BC$12)-ROW(BC$4)+1), ROW(5:5))), "-")</f>
        <v>-</v>
      </c>
      <c r="CE7" s="1252"/>
      <c r="CI7" s="585" t="str">
        <f>Settings!A6</f>
        <v>SAVAGES</v>
      </c>
      <c r="CJ7" s="882">
        <f>'Entry Sheet'!$B$67</f>
        <v>2</v>
      </c>
      <c r="CK7" s="1315">
        <v>8.0</v>
      </c>
      <c r="CL7" s="572">
        <f t="shared" si="17"/>
        <v>-6</v>
      </c>
      <c r="CN7" s="13">
        <f t="shared" si="18"/>
        <v>7</v>
      </c>
      <c r="CO7" s="13">
        <f t="shared" si="19"/>
        <v>7</v>
      </c>
      <c r="CP7" s="13">
        <f t="shared" si="20"/>
        <v>1</v>
      </c>
      <c r="CQ7" s="13">
        <f t="shared" si="21"/>
        <v>7</v>
      </c>
      <c r="CR7" s="13">
        <f t="shared" si="22"/>
        <v>8</v>
      </c>
    </row>
    <row r="8" ht="19.5" customHeight="1">
      <c r="B8" s="1371"/>
      <c r="C8" s="663"/>
      <c r="D8" s="1423" t="str">
        <f t="array" ref="D8">IFERROR(INDEX(AE$4:AE$12, SMALL(IF((BK$4:BK$12 = MAX(BK$4:BK$12)) * (AI$4:AI$12 = D$3), ROW(AE$4:AE$12)-ROW(AE$4)+1), ROW(4:4))), "-")</f>
        <v>-</v>
      </c>
      <c r="E8" s="1424" t="str">
        <f t="array" ref="E8">IFERROR(INDEX(BK$4:BK$12, SMALL(IF((BK$4:BK$12 = MAX(BK$4:BK$12)) * (AI$4:AI$12 = D$3), ROW(BK$4:BK$12)-ROW(BK$4)+1), ROW(4:4))), "-")</f>
        <v>-</v>
      </c>
      <c r="F8" s="1425" t="str">
        <f>IF(D8="-","",F5)</f>
        <v/>
      </c>
      <c r="G8" s="1326" t="str">
        <f t="array" ref="G8">IFERROR(INDEX(AE$9:AE$12, SMALL(IF(AH$9:AH$12 = MAX(AH$9:AH$12), ROW(AE$9:AE$12)-ROW(AE$9)+1), ROW(4:4))), "-")</f>
        <v>-</v>
      </c>
      <c r="H8" s="1328" t="str">
        <f t="array" ref="H8">IFERROR(INDEX(AH$9:AH$12, SMALL(IF(AH$9:AH$12 = MAX(AH$9:AH$12), ROW(AH$9:AH$12)-ROW(AH$9)+1), ROW(4:4))), "-")</f>
        <v>-</v>
      </c>
      <c r="I8" s="1433" t="str">
        <f>IF(G8="-","",I5)</f>
        <v/>
      </c>
      <c r="J8" s="1372" t="str">
        <f t="array" ref="J8">IFERROR(INDEX(AE$4:AE$12, SMALL(IF(AF$4:AF$12 = MAX(AF$4:AF$12), ROW(AE$4:AE$12)-ROW(AE$4)+1), ROW(4:4))), "-")</f>
        <v>-</v>
      </c>
      <c r="K8" s="1377" t="str">
        <f t="array" ref="K8">IFERROR(INDEX(AH$4:AH$12, SMALL(IF(AH$4:AH$12 = MAX(AH$4:AH$12), ROW(AH$4:AH$12)-ROW(AH$4)+1), ROW(4:4))), "-")</f>
        <v>-</v>
      </c>
      <c r="L8" s="1378" t="str">
        <f t="shared" ref="L8:L12" si="29">IF(J8="-","",L5)</f>
        <v/>
      </c>
      <c r="M8" s="13" t="s">
        <v>1097</v>
      </c>
      <c r="N8" s="700">
        <f t="shared" ref="N8:U8" si="27">IFERROR(IF($M8="YES",IF($D8=N$4,$F8,0)+IF($G8=N$4,$I8,0)+IF($J8=N$4,$L8,0),0),0)</f>
        <v>0</v>
      </c>
      <c r="O8" s="700">
        <f t="shared" si="27"/>
        <v>0</v>
      </c>
      <c r="P8" s="700">
        <f t="shared" si="27"/>
        <v>0</v>
      </c>
      <c r="Q8" s="700">
        <f t="shared" si="27"/>
        <v>0</v>
      </c>
      <c r="R8" s="700">
        <f t="shared" si="27"/>
        <v>0</v>
      </c>
      <c r="S8" s="700">
        <f t="shared" si="27"/>
        <v>0</v>
      </c>
      <c r="T8" s="700">
        <f t="shared" si="27"/>
        <v>0</v>
      </c>
      <c r="U8" s="700">
        <f t="shared" si="27"/>
        <v>0</v>
      </c>
      <c r="X8" s="1294">
        <v>5.0</v>
      </c>
      <c r="Y8" s="1393" t="s">
        <v>1151</v>
      </c>
      <c r="Z8" s="1394" t="str">
        <f t="shared" si="5"/>
        <v>#VALUE!</v>
      </c>
      <c r="AA8" s="1395">
        <f t="shared" si="6"/>
        <v>10.5</v>
      </c>
      <c r="AB8" s="1252"/>
      <c r="AC8" s="1252"/>
      <c r="AD8" s="1314">
        <f t="shared" si="7"/>
        <v>5</v>
      </c>
      <c r="AE8" s="1333" t="str">
        <f>'Weekly Scores'!BH6</f>
        <v>KINGS</v>
      </c>
      <c r="AF8" s="1300">
        <f>'Weekly Scores'!BI6</f>
        <v>5</v>
      </c>
      <c r="AG8" s="1301">
        <f>'Weekly Scores'!BJ6</f>
        <v>9</v>
      </c>
      <c r="AH8" s="1302">
        <f>IFERROR('Weekly Scores'!BK6,0)</f>
        <v>0.3571428571</v>
      </c>
      <c r="AI8" s="1303" t="str">
        <f>'Weekly Scores'!BL6</f>
        <v>PRODIGY</v>
      </c>
      <c r="AJ8" s="1304">
        <f>'Weekly Scores'!BM6</f>
        <v>5</v>
      </c>
      <c r="AK8" s="1305">
        <f>'Weekly Scores'!BN6</f>
        <v>3</v>
      </c>
      <c r="AL8" s="1306">
        <f>'Weekly Scores'!BO6</f>
        <v>0.625</v>
      </c>
      <c r="AM8" s="1307">
        <f t="shared" ref="AM8:AM11" si="31">COUNTIF($AE24:$AH24,"&gt;1")</f>
        <v>0</v>
      </c>
      <c r="AN8" s="1308">
        <f t="shared" ref="AN8:AN11" si="32">COUNTIF($AE24:$AH24,"&gt;2")</f>
        <v>0</v>
      </c>
      <c r="AO8" s="1304">
        <f t="shared" ref="AO8:AP8" si="28">AF8-AJ8</f>
        <v>0</v>
      </c>
      <c r="AP8" s="1305">
        <f t="shared" si="28"/>
        <v>6</v>
      </c>
      <c r="AQ8" s="1309">
        <f t="shared" si="11"/>
        <v>0</v>
      </c>
      <c r="AR8" s="1310">
        <f>'BACKEND 1'!X$22</f>
        <v>2302.12</v>
      </c>
      <c r="AS8" s="1300">
        <f>'Weekly Scores'!BP6</f>
        <v>0</v>
      </c>
      <c r="AT8" s="1301">
        <f>'Weekly Scores'!BQ6</f>
        <v>1</v>
      </c>
      <c r="AU8" s="1306">
        <f>IFERROR('Weekly Scores'!BR6,0)</f>
        <v>0</v>
      </c>
      <c r="AV8" s="1311">
        <f t="shared" si="12"/>
        <v>1</v>
      </c>
      <c r="AW8" s="1311">
        <f>'Weekly Scores'!BT6</f>
        <v>9</v>
      </c>
      <c r="AX8" s="1312"/>
      <c r="AY8" s="1313">
        <f>'All-Stars'!BD7</f>
        <v>13</v>
      </c>
      <c r="AZ8" s="1299">
        <f>'Weekly Scores'!BU6</f>
        <v>5</v>
      </c>
      <c r="BA8" s="1314">
        <f>'Weekly Scores'!BW6</f>
        <v>5</v>
      </c>
      <c r="BB8" s="1312"/>
      <c r="BC8" s="1312"/>
      <c r="BD8" s="1252"/>
      <c r="BE8" s="1252"/>
      <c r="BF8" s="1252"/>
      <c r="BG8" s="1252"/>
      <c r="BH8" s="1252"/>
      <c r="BI8" s="1252"/>
      <c r="BJ8" s="1252"/>
      <c r="BK8" s="337"/>
      <c r="BM8" s="337"/>
      <c r="BO8" s="1252"/>
      <c r="BP8" s="1252"/>
      <c r="BQ8" s="1252"/>
      <c r="BR8" s="1252"/>
      <c r="BU8" s="337"/>
      <c r="BW8" s="337"/>
      <c r="CE8" s="1252"/>
      <c r="CI8" s="585" t="str">
        <f>Settings!A12</f>
        <v>KINGS</v>
      </c>
      <c r="CJ8" s="882">
        <f t="array" ref="CJ8:CK8">'Entry Sheet'!B193:C193</f>
        <v>10</v>
      </c>
      <c r="CK8" s="1315"/>
      <c r="CL8" s="572">
        <f t="shared" si="17"/>
        <v>10</v>
      </c>
      <c r="CN8" s="13">
        <f t="shared" si="18"/>
        <v>7</v>
      </c>
      <c r="CO8" s="13">
        <f t="shared" si="19"/>
        <v>2</v>
      </c>
      <c r="CP8" s="13">
        <f t="shared" si="20"/>
        <v>1</v>
      </c>
      <c r="CQ8" s="13">
        <f t="shared" si="21"/>
        <v>4.5</v>
      </c>
      <c r="CR8" s="13">
        <f t="shared" si="22"/>
        <v>5</v>
      </c>
    </row>
    <row r="9" ht="19.5" customHeight="1">
      <c r="B9" s="1371"/>
      <c r="C9" s="663"/>
      <c r="D9" s="1440"/>
      <c r="E9" s="1441"/>
      <c r="F9" s="1442"/>
      <c r="G9" s="1440"/>
      <c r="H9" s="1441"/>
      <c r="I9" s="1444"/>
      <c r="J9" s="1372" t="str">
        <f t="array" ref="J9">IFERROR(INDEX(AE$4:AE$12, SMALL(IF(AF$4:AF$12 = MAX(AF$4:AF$12), ROW(AE$4:AE$12)-ROW(AE$4)+1), ROW(5:5))), "-")</f>
        <v>-</v>
      </c>
      <c r="K9" s="1377" t="str">
        <f t="array" ref="K9">IFERROR(INDEX(AH$4:AH$12, SMALL(IF(AH$4:AH$12 = MAX(AH$4:AH$12), ROW(AH$4:AH$12)-ROW(AH$4)+1), ROW(5:5))), "-")</f>
        <v>-</v>
      </c>
      <c r="L9" s="1378" t="str">
        <f t="shared" si="29"/>
        <v/>
      </c>
      <c r="M9" s="13" t="s">
        <v>1097</v>
      </c>
      <c r="N9" s="700">
        <f t="shared" ref="N9:U9" si="30">IFERROR(IF($M9="YES",IF($D9=N$4,$F9,0)+IF($G9=N$4,$I9,0)+IF($J9=N$4,$L9,0),0),0)</f>
        <v>0</v>
      </c>
      <c r="O9" s="700">
        <f t="shared" si="30"/>
        <v>0</v>
      </c>
      <c r="P9" s="700">
        <f t="shared" si="30"/>
        <v>0</v>
      </c>
      <c r="Q9" s="700">
        <f t="shared" si="30"/>
        <v>0</v>
      </c>
      <c r="R9" s="700">
        <f t="shared" si="30"/>
        <v>0</v>
      </c>
      <c r="S9" s="700">
        <f t="shared" si="30"/>
        <v>0</v>
      </c>
      <c r="T9" s="700">
        <f t="shared" si="30"/>
        <v>0</v>
      </c>
      <c r="U9" s="700">
        <f t="shared" si="30"/>
        <v>0</v>
      </c>
      <c r="X9" s="1294">
        <v>6.0</v>
      </c>
      <c r="Y9" s="1393" t="s">
        <v>1152</v>
      </c>
      <c r="Z9" s="1394" t="str">
        <f t="shared" si="5"/>
        <v>#VALUE!</v>
      </c>
      <c r="AA9" s="1395">
        <f t="shared" si="6"/>
        <v>8.25</v>
      </c>
      <c r="AB9" s="1252"/>
      <c r="AC9" s="1252"/>
      <c r="AD9" s="1314">
        <f t="shared" si="7"/>
        <v>7</v>
      </c>
      <c r="AE9" s="1333" t="str">
        <f>'Weekly Scores'!BH7</f>
        <v>CHAMPS</v>
      </c>
      <c r="AF9" s="1300">
        <f>'Weekly Scores'!BI7</f>
        <v>6</v>
      </c>
      <c r="AG9" s="1301">
        <f>'Weekly Scores'!BJ7</f>
        <v>8</v>
      </c>
      <c r="AH9" s="1302">
        <f>IFERROR('Weekly Scores'!BK7,0)</f>
        <v>0.4285714286</v>
      </c>
      <c r="AI9" s="1450" t="str">
        <f>'Weekly Scores'!BL7</f>
        <v>ESTEEMED</v>
      </c>
      <c r="AJ9" s="1304">
        <f>'Weekly Scores'!BM7</f>
        <v>4</v>
      </c>
      <c r="AK9" s="1305">
        <f>'Weekly Scores'!BN7</f>
        <v>4</v>
      </c>
      <c r="AL9" s="1306">
        <f>'Weekly Scores'!BO7</f>
        <v>0.5</v>
      </c>
      <c r="AM9" s="1307">
        <f t="shared" si="31"/>
        <v>0</v>
      </c>
      <c r="AN9" s="1308">
        <f t="shared" si="32"/>
        <v>0</v>
      </c>
      <c r="AO9" s="1304">
        <f t="shared" ref="AO9:AP9" si="33">AF9-AJ9</f>
        <v>2</v>
      </c>
      <c r="AP9" s="1305">
        <f t="shared" si="33"/>
        <v>4</v>
      </c>
      <c r="AQ9" s="1309">
        <f t="shared" si="11"/>
        <v>0.3333333333</v>
      </c>
      <c r="AR9" s="1310">
        <f>'BACKEND 1'!X$22</f>
        <v>2302.12</v>
      </c>
      <c r="AS9" s="1300">
        <f>'Weekly Scores'!BP7</f>
        <v>1</v>
      </c>
      <c r="AT9" s="1301">
        <f>'Weekly Scores'!BQ7</f>
        <v>3</v>
      </c>
      <c r="AU9" s="1306">
        <f>IFERROR('Weekly Scores'!BR7,0)</f>
        <v>0.25</v>
      </c>
      <c r="AV9" s="1311">
        <f t="shared" si="12"/>
        <v>4</v>
      </c>
      <c r="AW9" s="1311">
        <f>'Weekly Scores'!BT7</f>
        <v>5</v>
      </c>
      <c r="AX9" s="1312"/>
      <c r="AY9" s="1313">
        <f>'All-Stars'!BD8</f>
        <v>16</v>
      </c>
      <c r="AZ9" s="1299">
        <f>'Weekly Scores'!BU7</f>
        <v>2</v>
      </c>
      <c r="BA9" s="1314">
        <f>'Weekly Scores'!BW7</f>
        <v>3</v>
      </c>
      <c r="BB9" s="1312"/>
      <c r="BC9" s="1312"/>
      <c r="BD9" s="1252"/>
      <c r="BF9" s="1252">
        <f t="shared" ref="BF9:BF12" si="36">AO9</f>
        <v>2</v>
      </c>
      <c r="BG9" s="1252">
        <f t="shared" ref="BG9:BG12" si="37">AJ9</f>
        <v>4</v>
      </c>
      <c r="BH9" s="1453">
        <f t="shared" ref="BH9:BH12" si="38">AN9</f>
        <v>0</v>
      </c>
      <c r="BI9" s="1252"/>
      <c r="BJ9" s="1252" t="str">
        <f t="shared" ref="BJ9:BJ12" si="39">AX9</f>
        <v/>
      </c>
      <c r="BK9" s="337">
        <f t="shared" ref="BK9:BK12" si="40">AH9</f>
        <v>0.4285714286</v>
      </c>
      <c r="BL9" s="337">
        <f t="shared" ref="BL9:BL12" si="41">AL9</f>
        <v>0.5</v>
      </c>
      <c r="BO9" s="1252" t="str">
        <f t="array" ref="BO9">IFERROR(INDEX(AE$4:AE$12, SMALL(IF(BB$4:BB$12 = LARGE(BB$4:BB$12,2), ROW(AE$4:AE$12)-ROW(AE$4)+1), ROW(1:1))), "-")</f>
        <v>-</v>
      </c>
      <c r="BP9" s="1252" t="str">
        <f t="array" ref="BP9">IFERROR(INDEX(BB$4:BB$12, SMALL(IF(BB$4:BB$12 = LARGE(BB$4:BB$12,2), ROW(BB$4:BB$12)-ROW(BB$4)+1), ROW(1:1))), "-")</f>
        <v>-</v>
      </c>
      <c r="BQ9" s="1252" t="str">
        <f t="array" ref="BQ9">IFERROR(INDEX(AE$4:AE$12, SMALL(IF(BB$4:BB$12 = LARGE(BB$4:BB$12,3), ROW(AE$4:AE$12)-ROW(AE$4)+1), ROW(1:1))), "-")</f>
        <v>-</v>
      </c>
      <c r="BR9" s="1252" t="str">
        <f t="array" ref="BR9">IFERROR(INDEX(BB$4:BB$12, SMALL(IF(BB$4:BB$12 = LARGE(BB$4:BB$12,3), ROW(BB$4:BB$12)-ROW(BB$4)+1), ROW(1:1))), "-")</f>
        <v>-</v>
      </c>
      <c r="BT9" s="13" t="str">
        <f t="array" ref="BT9">IFERROR(INDEX(AE$4:AE$12, SMALL(IF(AW$4:AW$12 = SMALL(AW$4:AW$12,2), ROW(AE$4:AE$12)-ROW(AE$4)+1), ROW(6:6))), "-")</f>
        <v>-</v>
      </c>
      <c r="BU9" s="337" t="str">
        <f t="array" ref="BU9">IFERROR(INDEX(AW$4:AW$12, SMALL(IF(AW$4:AW$12 = SMALL(AW$4:AW$12,2), ROW(AW$4:AW$12)-ROW(AW$4)+1), ROW(6:6))), "-")</f>
        <v>-</v>
      </c>
      <c r="BV9" s="13" t="str">
        <f t="array" ref="BV9">IFERROR(INDEX(AE$4:AE$12, SMALL(IF(AW$4:AW$12 = SMALL(AW$4:AW$12,3), ROW(AE$4:AE$12)-ROW(AE$4)+1), ROW(6:6))), "-")</f>
        <v>-</v>
      </c>
      <c r="BW9" s="337" t="str">
        <f t="array" ref="BW9">IFERROR(INDEX(AW$4:AW$12, SMALL(IF(AW$4:AW$12 = SMALL(AW$4:AW$12,3), ROW(AW$4:AW$12)-ROW(AW$4)+1), ROW(6:6))), "-")</f>
        <v>-</v>
      </c>
      <c r="BY9" s="13" t="str">
        <f t="array" ref="BY9">IFERROR(INDEX(AE$4:AE$12, SMALL(IF(BC$4:BC$12 = LARGE(BC$4:BC$12,2), ROW(AE$4:AE$12)-ROW(AE$4)+1), ROW(6:6))), "-")</f>
        <v>-</v>
      </c>
      <c r="BZ9" s="13" t="str">
        <f t="array" ref="BZ9">IFERROR(INDEX(BC$4:BC$12, SMALL(IF(BC$4:BC$12 = LARGE(BC$4:BC$12,2), ROW(BC$4:BC$12)-ROW(BC$4)+1), ROW(6:6))), "-")</f>
        <v>-</v>
      </c>
      <c r="CA9" s="13" t="str">
        <f t="array" ref="CA9">IFERROR(INDEX(AE$4:AE$12, SMALL(IF(BC$4:BC$12 = LARGE(BC$4:BC$12,3), ROW(AE$4:AE$12)-ROW(AE$4)+1), ROW(6:6))), "-")</f>
        <v>-</v>
      </c>
      <c r="CB9" s="13" t="str">
        <f t="array" ref="CB9">IFERROR(INDEX(BC$4:BC$12, SMALL(IF(BC$4:BC$12 = LARGE(BC$4:BC$12,3), ROW(BC$4:BC$12)-ROW(BC$4)+1), ROW(6:6))), "-")</f>
        <v>-</v>
      </c>
      <c r="CE9" s="1252"/>
      <c r="CI9" s="585" t="str">
        <f>Settings!A7</f>
        <v>CHAMPS</v>
      </c>
      <c r="CJ9" s="882">
        <f>'Entry Sheet'!$B$88</f>
        <v>6</v>
      </c>
      <c r="CK9" s="1315">
        <v>6.0</v>
      </c>
      <c r="CL9" s="572">
        <f t="shared" si="17"/>
        <v>0</v>
      </c>
      <c r="CN9" s="13">
        <f t="shared" si="18"/>
        <v>6</v>
      </c>
      <c r="CO9" s="13">
        <f t="shared" si="19"/>
        <v>6</v>
      </c>
      <c r="CP9" s="13">
        <f t="shared" si="20"/>
        <v>1</v>
      </c>
      <c r="CQ9" s="13">
        <f t="shared" si="21"/>
        <v>6</v>
      </c>
      <c r="CR9" s="13">
        <f t="shared" si="22"/>
        <v>7</v>
      </c>
    </row>
    <row r="10" ht="19.5" customHeight="1">
      <c r="B10" s="1371"/>
      <c r="C10" s="663"/>
      <c r="D10" s="1440"/>
      <c r="E10" s="1441"/>
      <c r="F10" s="1442"/>
      <c r="G10" s="1440"/>
      <c r="H10" s="1441"/>
      <c r="I10" s="1444"/>
      <c r="J10" s="1372" t="str">
        <f t="array" ref="J10">IFERROR(INDEX(AE$4:AE$12, SMALL(IF(AF$4:AF$12 = MAX(AF$4:AF$12), ROW(AE$4:AE$12)-ROW(AE$4)+1), ROW(6:6))), "-")</f>
        <v>-</v>
      </c>
      <c r="K10" s="1377" t="str">
        <f t="array" ref="K10">IFERROR(INDEX(AH$4:AH$12, SMALL(IF(AH$4:AH$12 = MAX(AH$4:AH$12), ROW(AH$4:AH$12)-ROW(AH$4)+1), ROW(6:6))), "-")</f>
        <v>-</v>
      </c>
      <c r="L10" s="1378" t="str">
        <f t="shared" si="29"/>
        <v/>
      </c>
      <c r="M10" s="13" t="s">
        <v>1097</v>
      </c>
      <c r="N10" s="700">
        <f t="shared" ref="N10:U10" si="34">IFERROR(IF($M10="YES",IF($D10=N$4,$F10,0)+IF($G10=N$4,$I10,0)+IF($J10=N$4,$L10,0),0),0)</f>
        <v>0</v>
      </c>
      <c r="O10" s="700">
        <f t="shared" si="34"/>
        <v>0</v>
      </c>
      <c r="P10" s="700">
        <f t="shared" si="34"/>
        <v>0</v>
      </c>
      <c r="Q10" s="700">
        <f t="shared" si="34"/>
        <v>0</v>
      </c>
      <c r="R10" s="700">
        <f t="shared" si="34"/>
        <v>0</v>
      </c>
      <c r="S10" s="700">
        <f t="shared" si="34"/>
        <v>0</v>
      </c>
      <c r="T10" s="700">
        <f t="shared" si="34"/>
        <v>0</v>
      </c>
      <c r="U10" s="700">
        <f t="shared" si="34"/>
        <v>0</v>
      </c>
      <c r="X10" s="1294">
        <v>7.0</v>
      </c>
      <c r="Y10" s="1393" t="s">
        <v>1155</v>
      </c>
      <c r="Z10" s="1394" t="str">
        <f t="shared" si="5"/>
        <v>#VALUE!</v>
      </c>
      <c r="AA10" s="1395">
        <f t="shared" si="6"/>
        <v>7.25</v>
      </c>
      <c r="AB10" s="1252"/>
      <c r="AC10" s="1252"/>
      <c r="AD10" s="1314">
        <f t="shared" si="7"/>
        <v>9</v>
      </c>
      <c r="AE10" s="1333" t="str">
        <f>'Weekly Scores'!BH8</f>
        <v>METAMOOKDAWGS</v>
      </c>
      <c r="AF10" s="1300">
        <f>'Weekly Scores'!BI8</f>
        <v>4</v>
      </c>
      <c r="AG10" s="1301">
        <f>'Weekly Scores'!BJ8</f>
        <v>10</v>
      </c>
      <c r="AH10" s="1302">
        <f>IFERROR('Weekly Scores'!BK8,0)</f>
        <v>0.2857142857</v>
      </c>
      <c r="AI10" s="1450" t="str">
        <f>'Weekly Scores'!BL8</f>
        <v>ESTEEMED</v>
      </c>
      <c r="AJ10" s="1304">
        <f>'Weekly Scores'!BM8</f>
        <v>2</v>
      </c>
      <c r="AK10" s="1305">
        <f>'Weekly Scores'!BN8</f>
        <v>6</v>
      </c>
      <c r="AL10" s="1306">
        <f>'Weekly Scores'!BO8</f>
        <v>0.25</v>
      </c>
      <c r="AM10" s="1307">
        <f t="shared" si="31"/>
        <v>0</v>
      </c>
      <c r="AN10" s="1308">
        <f t="shared" si="32"/>
        <v>0</v>
      </c>
      <c r="AO10" s="1304">
        <f t="shared" ref="AO10:AP10" si="35">AF10-AJ10</f>
        <v>2</v>
      </c>
      <c r="AP10" s="1305">
        <f t="shared" si="35"/>
        <v>4</v>
      </c>
      <c r="AQ10" s="1309">
        <f t="shared" si="11"/>
        <v>0.3333333333</v>
      </c>
      <c r="AR10" s="1310">
        <f>'BACKEND 1'!X$22</f>
        <v>2302.12</v>
      </c>
      <c r="AS10" s="1300">
        <f>'Weekly Scores'!BP8</f>
        <v>0</v>
      </c>
      <c r="AT10" s="1301">
        <f>'Weekly Scores'!BQ8</f>
        <v>1</v>
      </c>
      <c r="AU10" s="1306">
        <f>IFERROR('Weekly Scores'!BR8,0)</f>
        <v>0</v>
      </c>
      <c r="AV10" s="1311">
        <f t="shared" si="12"/>
        <v>1</v>
      </c>
      <c r="AW10" s="1311">
        <f>'Weekly Scores'!BT8</f>
        <v>9</v>
      </c>
      <c r="AX10" s="1312"/>
      <c r="AY10" s="1313">
        <f>'All-Stars'!BD9</f>
        <v>17</v>
      </c>
      <c r="AZ10" s="1299">
        <f>'Weekly Scores'!BU8</f>
        <v>4</v>
      </c>
      <c r="BA10" s="1314">
        <f>'Weekly Scores'!BW8</f>
        <v>2</v>
      </c>
      <c r="BB10" s="1312"/>
      <c r="BC10" s="1312"/>
      <c r="BD10" s="1252"/>
      <c r="BF10" s="1252">
        <f t="shared" si="36"/>
        <v>2</v>
      </c>
      <c r="BG10" s="1252">
        <f t="shared" si="37"/>
        <v>2</v>
      </c>
      <c r="BH10" s="1453">
        <f t="shared" si="38"/>
        <v>0</v>
      </c>
      <c r="BI10" s="1252"/>
      <c r="BJ10" s="1252" t="str">
        <f t="shared" si="39"/>
        <v/>
      </c>
      <c r="BK10" s="337">
        <f t="shared" si="40"/>
        <v>0.2857142857</v>
      </c>
      <c r="BL10" s="337">
        <f t="shared" si="41"/>
        <v>0.25</v>
      </c>
      <c r="BO10" s="1252" t="str">
        <f t="array" ref="BO10">IFERROR(INDEX(AE$4:AE$12, SMALL(IF(BB$4:BB$12 = LARGE(BB$4:BB$12,2), ROW(AE$4:AE$12)-ROW(AE$4)+1), ROW(2:2))), "-")</f>
        <v>-</v>
      </c>
      <c r="BP10" s="1252" t="str">
        <f t="array" ref="BP10">IFERROR(INDEX(BB$4:BB$12, SMALL(IF(BB$4:BB$12 = LARGE(BB$4:BB$12,2), ROW(BB$4:BB$12)-ROW(BB$4)+1), ROW(2:2))), "-")</f>
        <v>-</v>
      </c>
      <c r="BQ10" s="1252" t="str">
        <f t="array" ref="BQ10">IFERROR(INDEX(AE$4:AE$12, SMALL(IF(BB$4:BB$12 = LARGE(BB$4:BB$12,3), ROW(AE$4:AE$12)-ROW(AE$4)+1), ROW(2:2))), "-")</f>
        <v>-</v>
      </c>
      <c r="BR10" s="1252" t="str">
        <f t="array" ref="BR10">IFERROR(INDEX(BB$4:BB$12, SMALL(IF(BB$4:BB$12 = LARGE(BB$4:BB$12,3), ROW(BB$4:BB$12)-ROW(BB$4)+1), ROW(2:2))), "-")</f>
        <v>-</v>
      </c>
      <c r="BT10" s="13" t="str">
        <f t="array" ref="BT10">IFERROR(INDEX(AE$4:AE$12, SMALL(IF(AW$4:AW$12 = SMALL(AW$4:AW$12,2), ROW(AE$4:AE$12)-ROW(AE$4)+1), ROW(7:7))), "-")</f>
        <v>-</v>
      </c>
      <c r="BU10" s="337" t="str">
        <f t="array" ref="BU10">IFERROR(INDEX(AW$4:AW$12, SMALL(IF(AW$4:AW$12 = SMALL(AW$4:AW$12,2), ROW(AW$4:AW$12)-ROW(AW$4)+1), ROW(7:7))), "-")</f>
        <v>-</v>
      </c>
      <c r="BV10" s="13" t="str">
        <f t="array" ref="BV10">IFERROR(INDEX(AE$4:AE$12, SMALL(IF(AW$4:AW$12 = SMALL(AW$4:AW$12,3), ROW(AE$4:AE$12)-ROW(AE$4)+1), ROW(7:7))), "-")</f>
        <v>-</v>
      </c>
      <c r="BW10" s="337" t="str">
        <f t="array" ref="BW10">IFERROR(INDEX(AW$4:AW$12, SMALL(IF(AW$4:AW$12 = SMALL(AW$4:AW$12,3), ROW(AW$4:AW$12)-ROW(AW$4)+1), ROW(7:7))), "-")</f>
        <v>-</v>
      </c>
      <c r="CE10" s="1252"/>
      <c r="CI10" s="585" t="str">
        <f>Settings!A8</f>
        <v>METAMOOKDAWGS</v>
      </c>
      <c r="CJ10" s="882">
        <f>'Entry Sheet'!$B$109</f>
        <v>3</v>
      </c>
      <c r="CK10" s="1315">
        <v>7.0</v>
      </c>
      <c r="CL10" s="572">
        <f t="shared" si="17"/>
        <v>-4</v>
      </c>
      <c r="CN10" s="13">
        <f t="shared" si="18"/>
        <v>9</v>
      </c>
      <c r="CO10" s="13">
        <f t="shared" si="19"/>
        <v>7</v>
      </c>
      <c r="CP10" s="13">
        <f t="shared" si="20"/>
        <v>1</v>
      </c>
      <c r="CQ10" s="13">
        <f t="shared" si="21"/>
        <v>8</v>
      </c>
      <c r="CR10" s="13">
        <f t="shared" si="22"/>
        <v>9</v>
      </c>
    </row>
    <row r="11" ht="19.5" customHeight="1">
      <c r="B11" s="1371"/>
      <c r="C11" s="663"/>
      <c r="D11" s="1440"/>
      <c r="E11" s="1441"/>
      <c r="F11" s="1442"/>
      <c r="G11" s="1440"/>
      <c r="H11" s="1441"/>
      <c r="I11" s="1444"/>
      <c r="J11" s="1372" t="str">
        <f t="array" ref="J11">IFERROR(INDEX(AE$4:AE$12, SMALL(IF(AF$4:AF$12 = MAX(AF$4:AF$12), ROW(AE$4:AE$12)-ROW(AE$4)+1), ROW(7:7))), "-")</f>
        <v>-</v>
      </c>
      <c r="K11" s="1377" t="str">
        <f t="array" ref="K11">IFERROR(INDEX(AH$4:AH$12, SMALL(IF(AH$4:AH$12 = MAX(AH$4:AH$12), ROW(AH$4:AH$12)-ROW(AH$4)+1), ROW(7:7))), "-")</f>
        <v>-</v>
      </c>
      <c r="L11" s="1378" t="str">
        <f t="shared" si="29"/>
        <v/>
      </c>
      <c r="M11" s="13" t="s">
        <v>1097</v>
      </c>
      <c r="N11" s="700">
        <f t="shared" ref="N11:U11" si="42">IFERROR(IF($M11="YES",IF($D11=N$4,$F11,0)+IF($G11=N$4,$I11,0)+IF($J11=N$4,$L11,0),0),0)</f>
        <v>0</v>
      </c>
      <c r="O11" s="700">
        <f t="shared" si="42"/>
        <v>0</v>
      </c>
      <c r="P11" s="700">
        <f t="shared" si="42"/>
        <v>0</v>
      </c>
      <c r="Q11" s="700">
        <f t="shared" si="42"/>
        <v>0</v>
      </c>
      <c r="R11" s="700">
        <f t="shared" si="42"/>
        <v>0</v>
      </c>
      <c r="S11" s="700">
        <f t="shared" si="42"/>
        <v>0</v>
      </c>
      <c r="T11" s="700">
        <f t="shared" si="42"/>
        <v>0</v>
      </c>
      <c r="U11" s="700">
        <f t="shared" si="42"/>
        <v>0</v>
      </c>
      <c r="X11" s="1294">
        <v>8.0</v>
      </c>
      <c r="Y11" s="1393" t="s">
        <v>1156</v>
      </c>
      <c r="Z11" s="1394" t="str">
        <f t="shared" si="5"/>
        <v>#VALUE!</v>
      </c>
      <c r="AA11" s="1395">
        <f t="shared" si="6"/>
        <v>7</v>
      </c>
      <c r="AB11" s="1252"/>
      <c r="AC11" s="1252"/>
      <c r="AD11" s="1314">
        <f t="shared" si="7"/>
        <v>2</v>
      </c>
      <c r="AE11" s="1333" t="str">
        <f>'Weekly Scores'!BH9</f>
        <v>YARDIES</v>
      </c>
      <c r="AF11" s="1300">
        <f>'Weekly Scores'!BI9</f>
        <v>9</v>
      </c>
      <c r="AG11" s="1301">
        <f>'Weekly Scores'!BJ9</f>
        <v>5</v>
      </c>
      <c r="AH11" s="1302">
        <f>IFERROR('Weekly Scores'!BK9,0)</f>
        <v>0.6428571429</v>
      </c>
      <c r="AI11" s="1450" t="str">
        <f>'Weekly Scores'!BL9</f>
        <v>ESTEEMED</v>
      </c>
      <c r="AJ11" s="1304">
        <f>'Weekly Scores'!BM9</f>
        <v>5</v>
      </c>
      <c r="AK11" s="1305">
        <f>'Weekly Scores'!BN9</f>
        <v>3</v>
      </c>
      <c r="AL11" s="1306">
        <f>'Weekly Scores'!BO9</f>
        <v>0.625</v>
      </c>
      <c r="AM11" s="1307">
        <f t="shared" si="31"/>
        <v>0</v>
      </c>
      <c r="AN11" s="1308">
        <f t="shared" si="32"/>
        <v>0</v>
      </c>
      <c r="AO11" s="1304">
        <f t="shared" ref="AO11:AP11" si="43">AF11-AJ11</f>
        <v>4</v>
      </c>
      <c r="AP11" s="1305">
        <f t="shared" si="43"/>
        <v>2</v>
      </c>
      <c r="AQ11" s="1309">
        <f t="shared" si="11"/>
        <v>0.6666666667</v>
      </c>
      <c r="AR11" s="1310">
        <f>'BACKEND 1'!X$22</f>
        <v>2302.12</v>
      </c>
      <c r="AS11" s="1300">
        <f>'Weekly Scores'!BP9</f>
        <v>3</v>
      </c>
      <c r="AT11" s="1301">
        <f>'Weekly Scores'!BQ9</f>
        <v>2</v>
      </c>
      <c r="AU11" s="1306">
        <f>IFERROR('Weekly Scores'!BR9,0)</f>
        <v>0.6</v>
      </c>
      <c r="AV11" s="1311">
        <f t="shared" si="12"/>
        <v>5</v>
      </c>
      <c r="AW11" s="1311">
        <f>'Weekly Scores'!BT9</f>
        <v>1</v>
      </c>
      <c r="AX11" s="1312"/>
      <c r="AY11" s="1313">
        <f>'All-Stars'!BD10</f>
        <v>15</v>
      </c>
      <c r="AZ11" s="1299">
        <f>'Weekly Scores'!BU9</f>
        <v>1</v>
      </c>
      <c r="BA11" s="1314">
        <f>'Weekly Scores'!BW9</f>
        <v>2</v>
      </c>
      <c r="BB11" s="1312"/>
      <c r="BC11" s="1312"/>
      <c r="BD11" s="1252"/>
      <c r="BF11" s="1252">
        <f t="shared" si="36"/>
        <v>4</v>
      </c>
      <c r="BG11" s="1252">
        <f t="shared" si="37"/>
        <v>5</v>
      </c>
      <c r="BH11" s="1453">
        <f t="shared" si="38"/>
        <v>0</v>
      </c>
      <c r="BI11" s="1252"/>
      <c r="BJ11" s="1252" t="str">
        <f t="shared" si="39"/>
        <v/>
      </c>
      <c r="BK11" s="337">
        <f t="shared" si="40"/>
        <v>0.6428571429</v>
      </c>
      <c r="BL11" s="337">
        <f t="shared" si="41"/>
        <v>0.625</v>
      </c>
      <c r="BO11" s="1252" t="str">
        <f t="array" ref="BO11">IFERROR(INDEX(AE$4:AE$12, SMALL(IF(BB$4:BB$12 = LARGE(BB$4:BB$12,2), ROW(AE$4:AE$12)-ROW(AE$4)+1), ROW(3:3))), "-")</f>
        <v>-</v>
      </c>
      <c r="BP11" s="1252" t="str">
        <f t="array" ref="BP11">IFERROR(INDEX(BB$4:BB$12, SMALL(IF(BB$4:BB$12 = LARGE(BB$4:BB$12,2), ROW(BB$4:BB$12)-ROW(BB$4)+1), ROW(3:3))), "-")</f>
        <v>-</v>
      </c>
      <c r="BQ11" s="1252" t="str">
        <f t="array" ref="BQ11">IFERROR(INDEX(AE$4:AE$12, SMALL(IF(BB$4:BB$12 = LARGE(BB$4:BB$12,3), ROW(AE$4:AE$12)-ROW(AE$4)+1), ROW(3:3))), "-")</f>
        <v>-</v>
      </c>
      <c r="BR11" s="1252" t="str">
        <f t="array" ref="BR11">IFERROR(INDEX(BB$4:BB$12, SMALL(IF(BB$4:BB$12 = LARGE(BB$4:BB$12,3), ROW(BB$4:BB$12)-ROW(BB$4)+1), ROW(3:3))), "-")</f>
        <v>-</v>
      </c>
      <c r="BT11" s="13" t="str">
        <f t="array" ref="BT11">IFERROR(INDEX(AE$4:AE$12, SMALL(IF(AW$4:AW$12 = SMALL(AW$4:AW$12,2), ROW(AE$4:AE$12)-ROW(AE$4)+1), ROW(8:8))), "-")</f>
        <v>-</v>
      </c>
      <c r="BU11" s="337" t="str">
        <f t="array" ref="BU11">IFERROR(INDEX(AW$4:AW$12, SMALL(IF(AW$4:AW$12 = SMALL(AW$4:AW$12,2), ROW(AW$4:AW$12)-ROW(AW$4)+1), ROW(8:8))), "-")</f>
        <v>-</v>
      </c>
      <c r="BV11" s="13" t="str">
        <f t="array" ref="BV11">IFERROR(INDEX(AE$4:AE$12, SMALL(IF(AW$4:AW$12 = SMALL(AW$4:AW$12,3), ROW(AE$4:AE$12)-ROW(AE$4)+1), ROW(8:8))), "-")</f>
        <v>-</v>
      </c>
      <c r="BW11" s="337" t="str">
        <f t="array" ref="BW11">IFERROR(INDEX(AW$4:AW$12, SMALL(IF(AW$4:AW$12 = SMALL(AW$4:AW$12,3), ROW(AW$4:AW$12)-ROW(AW$4)+1), ROW(8:8))), "-")</f>
        <v>-</v>
      </c>
      <c r="CE11" s="1252"/>
      <c r="CI11" s="585" t="str">
        <f>Settings!A9</f>
        <v>YARDIES</v>
      </c>
      <c r="CJ11" s="882">
        <f>'Entry Sheet'!$B$130</f>
        <v>9</v>
      </c>
      <c r="CK11" s="1315">
        <v>1.0</v>
      </c>
      <c r="CL11" s="572">
        <f t="shared" si="17"/>
        <v>8</v>
      </c>
      <c r="CN11" s="13">
        <f t="shared" si="18"/>
        <v>2</v>
      </c>
      <c r="CO11" s="13">
        <f t="shared" si="19"/>
        <v>2</v>
      </c>
      <c r="CP11" s="13">
        <f t="shared" si="20"/>
        <v>1</v>
      </c>
      <c r="CQ11" s="13">
        <f t="shared" si="21"/>
        <v>2</v>
      </c>
      <c r="CR11" s="13">
        <f t="shared" si="22"/>
        <v>2</v>
      </c>
    </row>
    <row r="12" ht="19.5" customHeight="1">
      <c r="B12" s="828"/>
      <c r="C12" s="666"/>
      <c r="D12" s="1440"/>
      <c r="E12" s="1441"/>
      <c r="F12" s="1442"/>
      <c r="G12" s="1440"/>
      <c r="H12" s="1441"/>
      <c r="I12" s="1444"/>
      <c r="J12" s="1372" t="str">
        <f t="array" ref="J12">IFERROR(INDEX(AE$4:AE$12, SMALL(IF(AF$4:AF$12 = MAX(AF$4:AF$12), ROW(AE$4:AE$12)-ROW(AE$4)+1), ROW(8:8))), "-")</f>
        <v>-</v>
      </c>
      <c r="K12" s="1377" t="str">
        <f t="array" ref="K12">IFERROR(INDEX(AH$4:AH$12, SMALL(IF(AH$4:AH$12 = MAX(AH$4:AH$12), ROW(AH$4:AH$12)-ROW(AH$4)+1), ROW(8:8))), "-")</f>
        <v>-</v>
      </c>
      <c r="L12" s="1378" t="str">
        <f t="shared" si="29"/>
        <v/>
      </c>
      <c r="M12" s="13" t="s">
        <v>1097</v>
      </c>
      <c r="N12" s="700">
        <f t="shared" ref="N12:U12" si="44">IFERROR(IF($M12="YES",IF($D12=N$4,$F12,0)+IF($G12=N$4,$I12,0)+IF($J12=N$4,$L12,0),0),0)</f>
        <v>0</v>
      </c>
      <c r="O12" s="700">
        <f t="shared" si="44"/>
        <v>0</v>
      </c>
      <c r="P12" s="700">
        <f t="shared" si="44"/>
        <v>0</v>
      </c>
      <c r="Q12" s="700">
        <f t="shared" si="44"/>
        <v>0</v>
      </c>
      <c r="R12" s="700">
        <f t="shared" si="44"/>
        <v>0</v>
      </c>
      <c r="S12" s="700">
        <f t="shared" si="44"/>
        <v>0</v>
      </c>
      <c r="T12" s="700">
        <f t="shared" si="44"/>
        <v>0</v>
      </c>
      <c r="U12" s="700">
        <f t="shared" si="44"/>
        <v>0</v>
      </c>
      <c r="X12" s="1252"/>
      <c r="Y12" s="1252"/>
      <c r="Z12" s="1252"/>
      <c r="AA12" s="1252"/>
      <c r="AB12" s="1252"/>
      <c r="AC12" s="1252"/>
      <c r="AD12" s="1456">
        <f t="shared" si="7"/>
        <v>4</v>
      </c>
      <c r="AE12" s="1457" t="str">
        <f>'Weekly Scores'!BH10</f>
        <v>MUTTS</v>
      </c>
      <c r="AF12" s="1300">
        <f>'Weekly Scores'!BI10</f>
        <v>7</v>
      </c>
      <c r="AG12" s="1301">
        <f>'Weekly Scores'!BJ10</f>
        <v>7</v>
      </c>
      <c r="AH12" s="1302">
        <f>IFERROR('Weekly Scores'!BK10,0)</f>
        <v>0.5</v>
      </c>
      <c r="AI12" s="1450" t="str">
        <f>'Weekly Scores'!BL10</f>
        <v>ESTEEMED</v>
      </c>
      <c r="AJ12" s="1304">
        <f>'Weekly Scores'!BM10</f>
        <v>5</v>
      </c>
      <c r="AK12" s="1305">
        <f>'Weekly Scores'!BN10</f>
        <v>3</v>
      </c>
      <c r="AL12" s="1306">
        <f>'Weekly Scores'!BO10</f>
        <v>0.625</v>
      </c>
      <c r="AM12" s="1307">
        <f t="shared" ref="AM12:AM13" si="47">COUNTIF($AE29:$AH29,"&gt;1")</f>
        <v>0</v>
      </c>
      <c r="AN12" s="1308">
        <f t="shared" ref="AN12:AN13" si="48">COUNTIF($AE29:$AH29,"&gt;2")</f>
        <v>0</v>
      </c>
      <c r="AO12" s="1304">
        <f t="shared" ref="AO12:AP12" si="45">AF12-AJ12</f>
        <v>2</v>
      </c>
      <c r="AP12" s="1305">
        <f t="shared" si="45"/>
        <v>4</v>
      </c>
      <c r="AQ12" s="1309">
        <f t="shared" si="11"/>
        <v>0.3333333333</v>
      </c>
      <c r="AR12" s="1310">
        <f>'BACKEND 1'!X$22</f>
        <v>2302.12</v>
      </c>
      <c r="AS12" s="1300">
        <f>'Weekly Scores'!BP10</f>
        <v>2</v>
      </c>
      <c r="AT12" s="1301">
        <f>'Weekly Scores'!BQ10</f>
        <v>2</v>
      </c>
      <c r="AU12" s="1306">
        <f>IFERROR('Weekly Scores'!BR10,0)</f>
        <v>0.5</v>
      </c>
      <c r="AV12" s="1311">
        <f t="shared" si="12"/>
        <v>4</v>
      </c>
      <c r="AW12" s="1311">
        <f>'Weekly Scores'!BT10</f>
        <v>4</v>
      </c>
      <c r="AX12" s="1312"/>
      <c r="AY12" s="1313">
        <f>'All-Stars'!BD11</f>
        <v>13</v>
      </c>
      <c r="AZ12" s="1299">
        <f>'Weekly Scores'!BU10</f>
        <v>2</v>
      </c>
      <c r="BA12" s="1314">
        <f>'Weekly Scores'!BW10</f>
        <v>1</v>
      </c>
      <c r="BB12" s="1312"/>
      <c r="BC12" s="1312"/>
      <c r="BD12" s="1252"/>
      <c r="BF12" s="1252">
        <f t="shared" si="36"/>
        <v>2</v>
      </c>
      <c r="BG12" s="1252">
        <f t="shared" si="37"/>
        <v>5</v>
      </c>
      <c r="BH12" s="1453">
        <f t="shared" si="38"/>
        <v>0</v>
      </c>
      <c r="BI12" s="1252"/>
      <c r="BJ12" s="1252" t="str">
        <f t="shared" si="39"/>
        <v/>
      </c>
      <c r="BK12" s="337">
        <f t="shared" si="40"/>
        <v>0.5</v>
      </c>
      <c r="BL12" s="337">
        <f t="shared" si="41"/>
        <v>0.625</v>
      </c>
      <c r="BO12" s="1252" t="str">
        <f t="array" ref="BO12">IFERROR(INDEX(AE$4:AE$12, SMALL(IF(BB$4:BB$12 = LARGE(BB$4:BB$12,2), ROW(AE$4:AE$12)-ROW(AE$4)+1), ROW(4:4))), "-")</f>
        <v>-</v>
      </c>
      <c r="BP12" s="1252" t="str">
        <f t="array" ref="BP12">IFERROR(INDEX(BB$4:BB$12, SMALL(IF(BB$4:BB$12 = LARGE(BB$4:BB$12,2), ROW(BB$4:BB$12)-ROW(BB$4)+1), ROW(4:4))), "-")</f>
        <v>-</v>
      </c>
      <c r="BQ12" s="1252" t="str">
        <f t="array" ref="BQ12">IFERROR(INDEX(AE$4:AE$12, SMALL(IF(BB$4:BB$12 = LARGE(BB$4:BB$12,3), ROW(AE$4:AE$12)-ROW(AE$4)+1), ROW(4:4))), "-")</f>
        <v>-</v>
      </c>
      <c r="BR12" s="1252" t="str">
        <f t="array" ref="BR12">IFERROR(INDEX(BB$4:BB$12, SMALL(IF(BB$4:BB$12 = LARGE(BB$4:BB$12,3), ROW(BB$4:BB$12)-ROW(BB$4)+1), ROW(4:4))), "-")</f>
        <v>-</v>
      </c>
      <c r="CE12" s="1252"/>
      <c r="CI12" s="585" t="str">
        <f>Settings!A10</f>
        <v>MUTTS</v>
      </c>
      <c r="CJ12" s="882">
        <f>'Entry Sheet'!$B$151</f>
        <v>8</v>
      </c>
      <c r="CK12" s="1315">
        <v>3.0</v>
      </c>
      <c r="CL12" s="572">
        <f t="shared" si="17"/>
        <v>5</v>
      </c>
      <c r="CN12" s="13">
        <f t="shared" si="18"/>
        <v>4</v>
      </c>
      <c r="CO12" s="13">
        <f t="shared" si="19"/>
        <v>2</v>
      </c>
      <c r="CP12" s="13">
        <f t="shared" si="20"/>
        <v>1</v>
      </c>
      <c r="CQ12" s="13">
        <f t="shared" si="21"/>
        <v>3</v>
      </c>
      <c r="CR12" s="13">
        <f t="shared" si="22"/>
        <v>4</v>
      </c>
    </row>
    <row r="13" ht="19.5" customHeight="1">
      <c r="B13" s="1458" t="s">
        <v>1158</v>
      </c>
      <c r="C13" s="827"/>
      <c r="D13" s="1323" t="str">
        <f t="array" ref="D13">IFERROR(INDEX(AE$4:AE$12, SMALL(IF((AJ$4:AJ$12 = MAX(AJ$4:AJ$12)) * (AI$4:AI$12 = D$3), ROW(AE$4:AE$12)-ROW(AE$4)+1), ROW(1:1))), "-")</f>
        <v>GREEN</v>
      </c>
      <c r="E13" s="1324">
        <f t="array" ref="E13">IFERROR(INDEX(AL$4:AL$12, SMALL(IF((AL$4:AL$12 = MAX(AL$4:AL$12)) * (AI$4:AI$12 = D$3), ROW(AL$4:AL$12)-ROW(AL$4)+1), ROW(1:1))), "-")</f>
        <v>0.75</v>
      </c>
      <c r="F13" s="1325">
        <v>1.0</v>
      </c>
      <c r="G13" s="1460" t="str">
        <f t="array" ref="G13">IFERROR(INDEX(AE$4:AE$12, SMALL(IF((BG$4:BG$12 = MAX(BG$4:BG$12)) * (AI$4:AI$12 = G$3), ROW(AE$4:AE$12)-ROW(AE$4)+1), ROW(1:1))), "-")</f>
        <v>YARDIES</v>
      </c>
      <c r="H13" s="1463">
        <f t="array" ref="H13">IFERROR(INDEX(BL$4:BL$12, SMALL(IF((BL$4:BL$12 = MAX(BL$4:BL$12)) * (AI$4:AI$12 = G$3), ROW(BL$4:BL$12)-ROW(BL$4)+1), ROW(1:1))), "-")</f>
        <v>0.625</v>
      </c>
      <c r="I13" s="1329">
        <v>1.0</v>
      </c>
      <c r="J13" s="1323" t="str">
        <f t="array" ref="J13">IFERROR(INDEX(AE$4:AE$12, SMALL(IF(AJ$4:AJ$12 = MAX(AJ$4:AJ$12), ROW(AE$4:AE$12)-ROW(AE$4)+1), ROW(1:1))), "-")</f>
        <v>GREEN</v>
      </c>
      <c r="K13" s="1324">
        <f t="array" ref="K13">IFERROR(INDEX(AL$4:AL$12, SMALL(IF(AL$4:AL$12 = MAX(AL$4:AL$12), ROW(AL$4:AL$12)-ROW(AL$4)+1), ROW(1:1))), "-")</f>
        <v>0.75</v>
      </c>
      <c r="L13" s="1325">
        <v>1.0</v>
      </c>
      <c r="M13" s="13" t="s">
        <v>1097</v>
      </c>
      <c r="N13" s="700">
        <f t="shared" ref="N13:U13" si="46">IFERROR(IF($M13="YES",IF($D13=N$4,$F13,0)+IF($G13=N$4,$I13,0)+IF($J13=N$4,$L13,0),0),0)</f>
        <v>0</v>
      </c>
      <c r="O13" s="700">
        <f t="shared" si="46"/>
        <v>0</v>
      </c>
      <c r="P13" s="700">
        <f t="shared" si="46"/>
        <v>2</v>
      </c>
      <c r="Q13" s="700">
        <f t="shared" si="46"/>
        <v>0</v>
      </c>
      <c r="R13" s="700">
        <f t="shared" si="46"/>
        <v>0</v>
      </c>
      <c r="S13" s="700">
        <f t="shared" si="46"/>
        <v>0</v>
      </c>
      <c r="T13" s="700">
        <f t="shared" si="46"/>
        <v>1</v>
      </c>
      <c r="U13" s="700">
        <f t="shared" si="46"/>
        <v>0</v>
      </c>
      <c r="X13" s="1252"/>
      <c r="Y13" s="1255" t="s">
        <v>1159</v>
      </c>
      <c r="Z13" s="954"/>
      <c r="AA13" s="954"/>
      <c r="AB13" s="932"/>
      <c r="AC13" s="1252"/>
      <c r="AD13" s="1456">
        <f t="shared" si="7"/>
        <v>7</v>
      </c>
      <c r="AE13" s="1457" t="str">
        <f>'Weekly Scores'!BH11</f>
        <v>EAGLES</v>
      </c>
      <c r="AF13" s="1300">
        <f>'Weekly Scores'!BI11</f>
        <v>6</v>
      </c>
      <c r="AG13" s="1301">
        <f>'Weekly Scores'!BJ11</f>
        <v>8</v>
      </c>
      <c r="AH13" s="1302">
        <f>IFERROR('Weekly Scores'!BK11,0)</f>
        <v>0.4285714286</v>
      </c>
      <c r="AI13" s="1450" t="str">
        <f>'Weekly Scores'!BL11</f>
        <v>ESTEEMED</v>
      </c>
      <c r="AJ13" s="1304">
        <f>'Weekly Scores'!BM11</f>
        <v>4</v>
      </c>
      <c r="AK13" s="1305">
        <f>'Weekly Scores'!BN11</f>
        <v>4</v>
      </c>
      <c r="AL13" s="1306">
        <f>'Weekly Scores'!BO11</f>
        <v>0.5</v>
      </c>
      <c r="AM13" s="1307">
        <f t="shared" si="47"/>
        <v>0</v>
      </c>
      <c r="AN13" s="1308">
        <f t="shared" si="48"/>
        <v>0</v>
      </c>
      <c r="AO13" s="1304">
        <f t="shared" ref="AO13:AP13" si="49">AF13-AJ13</f>
        <v>2</v>
      </c>
      <c r="AP13" s="1305">
        <f t="shared" si="49"/>
        <v>4</v>
      </c>
      <c r="AQ13" s="1309">
        <f t="shared" si="11"/>
        <v>0.3333333333</v>
      </c>
      <c r="AR13" s="1310">
        <f>'BACKEND 1'!X$22</f>
        <v>2302.12</v>
      </c>
      <c r="AS13" s="1300">
        <f>'Weekly Scores'!BP11</f>
        <v>1</v>
      </c>
      <c r="AT13" s="1301">
        <f>'Weekly Scores'!BQ11</f>
        <v>0</v>
      </c>
      <c r="AU13" s="1306">
        <f>IFERROR('Weekly Scores'!BR11,0)</f>
        <v>1</v>
      </c>
      <c r="AV13" s="1311">
        <f t="shared" si="12"/>
        <v>1</v>
      </c>
      <c r="AW13" s="1311">
        <f>'Weekly Scores'!BT11</f>
        <v>8</v>
      </c>
      <c r="AX13" s="1312"/>
      <c r="AY13" s="1313">
        <f>'All-Stars'!BD12</f>
        <v>16</v>
      </c>
      <c r="AZ13" s="1299">
        <f>'Weekly Scores'!BU11</f>
        <v>5</v>
      </c>
      <c r="BA13" s="1314">
        <f>'Weekly Scores'!BW11</f>
        <v>2</v>
      </c>
      <c r="BB13" s="1312"/>
      <c r="BC13" s="1312"/>
      <c r="BD13" s="1252"/>
      <c r="BF13" s="1252"/>
      <c r="BG13" s="1252"/>
      <c r="BH13" s="1453"/>
      <c r="BI13" s="1252"/>
      <c r="BJ13" s="1252"/>
      <c r="BK13" s="337"/>
      <c r="BL13" s="337"/>
      <c r="BO13" s="1252"/>
      <c r="BP13" s="1252"/>
      <c r="BQ13" s="1252"/>
      <c r="BR13" s="1252"/>
      <c r="CE13" s="1252"/>
      <c r="CI13" s="585" t="str">
        <f>Settings!A11</f>
        <v>EAGLES</v>
      </c>
      <c r="CJ13" s="882">
        <f t="array" ref="CJ13:CK13">'Entry Sheet'!B172:C172</f>
        <v>7</v>
      </c>
      <c r="CK13" s="1315"/>
      <c r="CL13" s="572">
        <f t="shared" si="17"/>
        <v>7</v>
      </c>
      <c r="CN13" s="13">
        <f t="shared" si="18"/>
        <v>6</v>
      </c>
      <c r="CO13" s="13">
        <f t="shared" si="19"/>
        <v>6</v>
      </c>
      <c r="CP13" s="13">
        <f t="shared" si="20"/>
        <v>1</v>
      </c>
      <c r="CQ13" s="13">
        <f t="shared" si="21"/>
        <v>6</v>
      </c>
      <c r="CR13" s="13">
        <f t="shared" si="22"/>
        <v>7</v>
      </c>
    </row>
    <row r="14" ht="19.5" customHeight="1">
      <c r="B14" s="1371"/>
      <c r="C14" s="663"/>
      <c r="D14" s="1372" t="str">
        <f t="array" ref="D14">IFERROR(INDEX(AE$4:AE$12, SMALL(IF((AJ$4:AJ$12 = MAX(AJ$4:AJ$12)) * (AI$4:AI$12 = D$3), ROW(AE$4:AE$12)-ROW(AE$4)+1), ROW(2:2))), "-")</f>
        <v>-</v>
      </c>
      <c r="E14" s="1377" t="str">
        <f t="array" ref="E14">IFERROR(INDEX(AL$4:AL$12, SMALL(IF((AL$4:AL$12 = MAX(AL$4:AL$12)) * (AI$4:AI$12 = D$3), ROW(AL$4:AL$12)-ROW(AL$4)+1), ROW(2:2))), "-")</f>
        <v>-</v>
      </c>
      <c r="F14" s="1378" t="str">
        <f>IF(D14="-","",F13)</f>
        <v/>
      </c>
      <c r="G14" s="1466" t="str">
        <f t="array" ref="G14">IFERROR(INDEX(AE$4:AE$12, SMALL(IF((BG$4:BG$12 = MAX(BG$4:BG$12)) * (AI$4:AI$12 = G$3), ROW(AE$4:AE$12)-ROW(AE$4)+1), ROW(2:2))), "-")</f>
        <v>MUTTS</v>
      </c>
      <c r="H14" s="1467">
        <f t="array" ref="H14">IFERROR(INDEX(BL$4:BL$12, SMALL(IF((BL$4:BL$12 = MAX(BL$4:BL$12)) * (AI$4:AI$12 = G$3), ROW(BL$4:BL$12)-ROW(BL$4)+1), ROW(2:2))), "-")</f>
        <v>0.625</v>
      </c>
      <c r="I14" s="1380">
        <f>IF(G14="-","",I13)</f>
        <v>1</v>
      </c>
      <c r="J14" s="1372" t="str">
        <f t="array" ref="J14">IFERROR(INDEX(AE$4:AE$12, SMALL(IF(AJ$4:AJ$12 = MAX(AJ$4:AJ$12), ROW(AE$4:AE$12)-ROW(AE$4)+1), ROW(2:2))), "-")</f>
        <v>-</v>
      </c>
      <c r="K14" s="1377" t="str">
        <f t="array" ref="K14">IFERROR(INDEX(AL$4:AL$12, SMALL(IF(AL$4:AL$12 = MAX(AL$4:AL$12), ROW(AL$4:AL$12)-ROW(AL$4)+1), ROW(2:2))), "-")</f>
        <v>-</v>
      </c>
      <c r="L14" s="1378" t="str">
        <f>IF(J14="-","",L13)</f>
        <v/>
      </c>
      <c r="M14" s="13" t="s">
        <v>1097</v>
      </c>
      <c r="N14" s="700">
        <f t="shared" ref="N14:U14" si="50">IFERROR(IF($M14="YES",IF($D14=N$4,$F14,0)+IF($G14=N$4,$I14,0)+IF($J14=N$4,$L14,0),0),0)</f>
        <v>0</v>
      </c>
      <c r="O14" s="700">
        <f t="shared" si="50"/>
        <v>0</v>
      </c>
      <c r="P14" s="700">
        <f t="shared" si="50"/>
        <v>0</v>
      </c>
      <c r="Q14" s="700">
        <f t="shared" si="50"/>
        <v>0</v>
      </c>
      <c r="R14" s="700">
        <f t="shared" si="50"/>
        <v>0</v>
      </c>
      <c r="S14" s="700">
        <f t="shared" si="50"/>
        <v>0</v>
      </c>
      <c r="T14" s="700">
        <f t="shared" si="50"/>
        <v>0</v>
      </c>
      <c r="U14" s="700">
        <f t="shared" si="50"/>
        <v>1</v>
      </c>
      <c r="X14" s="1252"/>
      <c r="Y14" s="1291" t="s">
        <v>1161</v>
      </c>
      <c r="Z14" s="1292" t="s">
        <v>1162</v>
      </c>
      <c r="AA14" s="1292" t="s">
        <v>1163</v>
      </c>
      <c r="AB14" s="1293" t="s">
        <v>1164</v>
      </c>
      <c r="AC14" s="1252"/>
      <c r="AD14" s="1252"/>
      <c r="AE14" s="1252"/>
      <c r="AF14" s="1252"/>
      <c r="AG14" s="1252"/>
      <c r="AH14" s="1252"/>
      <c r="AI14" s="1252"/>
      <c r="AJ14" s="1252"/>
      <c r="AK14" s="1252"/>
      <c r="AL14" s="1252"/>
      <c r="AM14" s="1252"/>
      <c r="AN14" s="1252"/>
      <c r="AO14" s="1468" t="s">
        <v>1165</v>
      </c>
      <c r="AP14" s="1469" t="s">
        <v>1166</v>
      </c>
      <c r="AQ14" s="1469" t="s">
        <v>1167</v>
      </c>
      <c r="AR14" s="1252"/>
      <c r="AS14" s="1252"/>
      <c r="AT14" s="1252"/>
      <c r="AU14" s="1252"/>
      <c r="AV14" s="1252"/>
      <c r="AW14" s="1252"/>
      <c r="AX14" s="1252"/>
      <c r="AY14" s="1252"/>
      <c r="AZ14" s="1252"/>
      <c r="BA14" s="1252"/>
      <c r="BB14" s="1252"/>
      <c r="BC14" s="1252"/>
      <c r="BD14" s="1252"/>
      <c r="BE14" s="1252"/>
      <c r="BF14" s="1252"/>
      <c r="BI14" s="13" t="str">
        <f t="array" ref="BI14">IFERROR(INDEX(AE$4:AE$12, SMALL(IF(AY$4:AY$12 = LARGE(AY$4:AY$12,2), ROW(AE$4:AE$12)-ROW(AE$4)+1), ROW(1:1))), "-")</f>
        <v>METAMOOKDAWGS</v>
      </c>
      <c r="BJ14" s="1252">
        <f t="array" ref="BJ14">IFERROR(INDEX(AY$4:AY$12, SMALL(IF(AY$4:AY$12 = LARGE(AY$4:AY$12,2), ROW(AY$4:AY$12)-ROW(AY$4)+1), ROW(1:1))), "-")</f>
        <v>17</v>
      </c>
      <c r="BK14" s="337" t="str">
        <f t="array" ref="BK14">IFERROR(INDEX(AE$4:AE$12, SMALL(IF(AY$4:AY$12 = LARGE(AY$4:AY$12,3), ROW(AE$4:AE$12)-ROW(AE$4)+1), ROW(1:1))), "-")</f>
        <v>SAVAGES</v>
      </c>
      <c r="BL14" s="337">
        <f t="array" ref="BL14">IFERROR(INDEX(AY$4:AY$12, SMALL(IF(AY$4:AY$12 = LARGE(AY$4:AY$12,3), ROW(AY$4:AY$12)-ROW(AY$4)+1), ROW(1:1))), "-")</f>
        <v>16</v>
      </c>
      <c r="BP14" s="13" t="str">
        <f t="array" ref="BP14">IFERROR(INDEX(AE$4:AE$12, SMALL(IF(AZ$4:AZ$12 = LARGE(AZ$4:AZ$12,2), ROW(AE$4:AE$12)-ROW(AE$4)+1), ROW(1:1))), "-")</f>
        <v>DECOUPES</v>
      </c>
      <c r="BQ14" s="13">
        <f t="array" ref="BQ14">IFERROR(INDEX(AZ$4:AZ$12, SMALL(IF(AZ$4:AZ$12 = LARGE(AZ$4:AZ$12,2), ROW(AZ$4:AZ$12)-ROW(AZ$4)+1), ROW(1:1))), "-")</f>
        <v>4</v>
      </c>
      <c r="BR14" s="13" t="str">
        <f t="array" ref="BR14">IFERROR(INDEX(AE$4:AE$12, SMALL(IF(AZ$4:AZ$12 = LARGE(AZ$4:AZ$12,3), ROW(AE$4:AE$12)-ROW(AE$4)+1), ROW(1:1))), "-")</f>
        <v>DECOUPES</v>
      </c>
      <c r="BS14" s="13">
        <f t="array" ref="BS14">IFERROR(INDEX(AZ$4:AZ$12, SMALL(IF(AZ$4:AZ$12 = LARGE(AZ$4:AZ$12,3), ROW(AZ$4:AZ$12)-ROW(AZ$4)+1), ROW(1:1))), "-")</f>
        <v>4</v>
      </c>
      <c r="CB14" s="13" t="str">
        <f t="shared" ref="CB14:CB16" si="53">AE9</f>
        <v>CHAMPS</v>
      </c>
      <c r="CC14" s="337">
        <f t="shared" ref="CC14:CC16" si="54">AH9</f>
        <v>0.4285714286</v>
      </c>
      <c r="CF14" s="314"/>
    </row>
    <row r="15" ht="19.5" customHeight="1">
      <c r="B15" s="1371"/>
      <c r="C15" s="663"/>
      <c r="D15" s="1372" t="str">
        <f t="array" ref="D15">IFERROR(INDEX(AE$4:AE$12, SMALL(IF((AJ$4:AJ$12 = MAX(AJ$4:AJ$12)) * (AI$4:AI$12 = D$3), ROW(AE$4:AE$12)-ROW(AE$4)+1), ROW(3:3))), "-")</f>
        <v>-</v>
      </c>
      <c r="E15" s="1377" t="str">
        <f t="array" ref="E15">IFERROR(INDEX(AL$4:AL$12, SMALL(IF((AL$4:AL$12 = MAX(AL$4:AL$12)) * (AI$4:AI$12 = D$3), ROW(AL$4:AL$12)-ROW(AL$4)+1), ROW(3:3))), "-")</f>
        <v>-</v>
      </c>
      <c r="F15" s="1378" t="str">
        <f>IF(D15="-","",F13)</f>
        <v/>
      </c>
      <c r="G15" s="1466" t="str">
        <f t="array" ref="G15">IFERROR(INDEX(AE$4:AE$12, SMALL(IF((BG$4:BG$12 = MAX(BG$4:BG$12)) * (AI$4:AI$12 = G$3), ROW(AE$4:AE$12)-ROW(AE$4)+1), ROW(3:3))), "-")</f>
        <v>-</v>
      </c>
      <c r="H15" s="1467" t="str">
        <f t="array" ref="H15">IFERROR(INDEX(BL$4:BL$12, SMALL(IF((BL$4:BL$12 = MAX(BL$4:BL$12)) * (AI$4:AI$12 = G$3), ROW(BL$4:BL$12)-ROW(BL$4)+1), ROW(3:3))), "-")</f>
        <v>-</v>
      </c>
      <c r="I15" s="1380" t="str">
        <f>IF(G15="-","",I13)</f>
        <v/>
      </c>
      <c r="J15" s="1372" t="str">
        <f t="array" ref="J15">IFERROR(INDEX(AE$4:AE$12, SMALL(IF(AJ$4:AJ$12 = MAX(AJ$4:AJ$12), ROW(AE$4:AE$12)-ROW(AE$4)+1), ROW(3:3))), "-")</f>
        <v>-</v>
      </c>
      <c r="K15" s="1377" t="str">
        <f t="array" ref="K15">IFERROR(INDEX(AL$4:AL$12, SMALL(IF(AL$4:AL$12 = MAX(AL$4:AL$12), ROW(AL$4:AL$12)-ROW(AL$4)+1), ROW(3:3))), "-")</f>
        <v>-</v>
      </c>
      <c r="L15" s="1378" t="str">
        <f>IF(J15="-","",L13)</f>
        <v/>
      </c>
      <c r="M15" s="13" t="s">
        <v>1097</v>
      </c>
      <c r="N15" s="700">
        <f t="shared" ref="N15:U15" si="51">IFERROR(IF($M15="YES",IF($D15=N$4,$F15,0)+IF($G15=N$4,$I15,0)+IF($J15=N$4,$L15,0),0),0)</f>
        <v>0</v>
      </c>
      <c r="O15" s="700">
        <f t="shared" si="51"/>
        <v>0</v>
      </c>
      <c r="P15" s="700">
        <f t="shared" si="51"/>
        <v>0</v>
      </c>
      <c r="Q15" s="700">
        <f t="shared" si="51"/>
        <v>0</v>
      </c>
      <c r="R15" s="700">
        <f t="shared" si="51"/>
        <v>0</v>
      </c>
      <c r="S15" s="700">
        <f t="shared" si="51"/>
        <v>0</v>
      </c>
      <c r="T15" s="700">
        <f t="shared" si="51"/>
        <v>0</v>
      </c>
      <c r="U15" s="700">
        <f t="shared" si="51"/>
        <v>0</v>
      </c>
      <c r="X15" s="1453" t="str">
        <f t="shared" ref="X15:X18" si="56">RANK(AB15, $AB$15:$AB$22, 0) + (COUNTIFS(AB$15:AB$22,AB15,$AD$4:$AD$12,"&lt;"&amp;AD4))</f>
        <v>#VALUE!</v>
      </c>
      <c r="Y15" s="208" t="str">
        <f>Settings!A3</f>
        <v>DECOUPES</v>
      </c>
      <c r="Z15" s="203">
        <f t="array" ref="Z15:Z22">IF(AVERAGE(AD4:AD12)=1,0,TRANSPOSE(N267:U267))</f>
        <v>14</v>
      </c>
      <c r="AA15" s="1470">
        <v>1.0</v>
      </c>
      <c r="AB15" s="1471">
        <f t="shared" ref="AB15:AB22" si="57">IF(AVERAGE($AD$4:$AD$12)=1,0,(Z15+AA15)*$AB$23)</f>
        <v>15</v>
      </c>
      <c r="AC15" s="1252"/>
      <c r="AD15" s="1252"/>
      <c r="AE15" s="1252"/>
      <c r="AF15" s="1252"/>
      <c r="AG15" s="1252"/>
      <c r="AH15" s="1252"/>
      <c r="AI15" s="1252"/>
      <c r="AJ15" s="1252"/>
      <c r="AK15" s="1252"/>
      <c r="AL15" s="1252"/>
      <c r="AM15" s="1252"/>
      <c r="AN15" s="1472" t="s">
        <v>1030</v>
      </c>
      <c r="AO15" s="1473">
        <f t="shared" ref="AO15:AP15" si="52">SUM(AO4:AO8)</f>
        <v>18</v>
      </c>
      <c r="AP15" s="1474">
        <f t="shared" si="52"/>
        <v>12</v>
      </c>
      <c r="AQ15" s="1475">
        <f t="shared" ref="AQ15:AQ16" si="59">IFERROR(AO15/(AO15+AP15),0)</f>
        <v>0.6</v>
      </c>
      <c r="AR15" s="1252"/>
      <c r="AS15" s="1252"/>
      <c r="AT15" s="1252"/>
      <c r="AU15" s="1252"/>
      <c r="AV15" s="1252"/>
      <c r="AW15" s="1252"/>
      <c r="AX15" s="1252"/>
      <c r="AY15" s="1252"/>
      <c r="AZ15" s="1252"/>
      <c r="BA15" s="1252"/>
      <c r="BB15" s="1252"/>
      <c r="BC15" s="1252"/>
      <c r="BD15" s="1252"/>
      <c r="BI15" s="13" t="str">
        <f t="array" ref="BI15">IFERROR(INDEX(AE$4:AE$12, SMALL(IF(AY$4:AY$12 = LARGE(AY$4:AY$12,2), ROW(AE$4:AE$12)-ROW(AE$4)+1), ROW(2:2))), "-")</f>
        <v>-</v>
      </c>
      <c r="BJ15" s="1252" t="str">
        <f t="array" ref="BJ15">IFERROR(INDEX(AY$4:AY$12, SMALL(IF(AY$4:AY$12 = LARGE(AY$4:AY$12,2), ROW(AY$4:AY$12)-ROW(AY$4)+1), ROW(2:2))), "-")</f>
        <v>-</v>
      </c>
      <c r="BK15" s="337" t="str">
        <f t="array" ref="BK15">IFERROR(INDEX(AE$4:AE$12, SMALL(IF(AY$4:AY$12 = LARGE(AY$4:AY$12,3), ROW(AE$4:AE$12)-ROW(AE$4)+1), ROW(2:2))), "-")</f>
        <v>CHAMPS</v>
      </c>
      <c r="BL15" s="337">
        <f t="array" ref="BL15">IFERROR(INDEX(AY$4:AY$12, SMALL(IF(AY$4:AY$12 = LARGE(AY$4:AY$12,3), ROW(AY$4:AY$12)-ROW(AY$4)+1), ROW(2:2))), "-")</f>
        <v>16</v>
      </c>
      <c r="BP15" s="13" t="str">
        <f t="array" ref="BP15">IFERROR(INDEX(AE$4:AE$12, SMALL(IF(AZ$4:AZ$12 = LARGE(AZ$4:AZ$12,2), ROW(AE$4:AE$12)-ROW(AE$4)+1), ROW(2:2))), "-")</f>
        <v>METAMOOKDAWGS</v>
      </c>
      <c r="BQ15" s="13">
        <f t="array" ref="BQ15">IFERROR(INDEX(AZ$4:AZ$12, SMALL(IF(AZ$4:AZ$12 = LARGE(AZ$4:AZ$12,2), ROW(AZ$4:AZ$12)-ROW(AZ$4)+1), ROW(2:2))), "-")</f>
        <v>4</v>
      </c>
      <c r="BR15" s="13" t="str">
        <f t="array" ref="BR15">IFERROR(INDEX(AE$4:AE$12, SMALL(IF(AZ$4:AZ$12 = LARGE(AZ$4:AZ$12,3), ROW(AE$4:AE$12)-ROW(AE$4)+1), ROW(2:2))), "-")</f>
        <v>METAMOOKDAWGS</v>
      </c>
      <c r="BS15" s="13">
        <f t="array" ref="BS15">IFERROR(INDEX(AZ$4:AZ$12, SMALL(IF(AZ$4:AZ$12 = LARGE(AZ$4:AZ$12,3), ROW(AZ$4:AZ$12)-ROW(AZ$4)+1), ROW(2:2))), "-")</f>
        <v>4</v>
      </c>
      <c r="CB15" s="13" t="str">
        <f t="shared" si="53"/>
        <v>METAMOOKDAWGS</v>
      </c>
      <c r="CC15" s="337">
        <f t="shared" si="54"/>
        <v>0.2857142857</v>
      </c>
      <c r="CF15" s="314"/>
    </row>
    <row r="16" ht="19.5" customHeight="1">
      <c r="B16" s="1371"/>
      <c r="C16" s="663"/>
      <c r="D16" s="1423" t="str">
        <f t="array" ref="D16">IFERROR(INDEX(AE$4:AE$12, SMALL(IF((AJ$4:AJ$12 = MAX(AJ$4:AJ$12)) * (AI$4:AI$12 = D$3), ROW(AE$4:AE$12)-ROW(AE$4)+1), ROW(4:4))), "-")</f>
        <v>-</v>
      </c>
      <c r="E16" s="1424" t="str">
        <f t="array" ref="E16">IFERROR(INDEX(AL$4:AL$12, SMALL(IF((AL$4:AL$12 = MAX(AL$4:AL$12)) * (AI$4:AI$12 = D$3), ROW(AL$4:AL$12)-ROW(AL$4)+1), ROW(4:4))), "-")</f>
        <v>-</v>
      </c>
      <c r="F16" s="1425" t="str">
        <f>IF(D16="-","",F13)</f>
        <v/>
      </c>
      <c r="G16" s="1476" t="str">
        <f t="array" ref="G16">IFERROR(INDEX(AE$4:AE$12, SMALL(IF((BG$4:BG$12 = MAX(BG$4:BG$12)) * (AI$4:AI$12 = G$3), ROW(AE$4:AE$12)-ROW(AE$4)+1), ROW(4:4))), "-")</f>
        <v>-</v>
      </c>
      <c r="H16" s="1477" t="str">
        <f t="array" ref="H16">IFERROR(INDEX(BL$4:BL$12, SMALL(IF((BL$4:BL$12 = MAX(BL$4:BL$12)) * (AI$4:AI$12 = G$3), ROW(BL$4:BL$12)-ROW(BL$4)+1), ROW(4:4))), "-")</f>
        <v>-</v>
      </c>
      <c r="I16" s="1433" t="str">
        <f>IF(G16="-","",I13)</f>
        <v/>
      </c>
      <c r="J16" s="1372" t="str">
        <f t="array" ref="J16">IFERROR(INDEX(AE$4:AE$12, SMALL(IF(AJ$4:AJ$12 = MAX(AJ$4:AJ$12), ROW(AE$4:AE$12)-ROW(AE$4)+1), ROW(4:4))), "-")</f>
        <v>-</v>
      </c>
      <c r="K16" s="1377" t="str">
        <f t="array" ref="K16">IFERROR(INDEX(AL$4:AL$12, SMALL(IF(AL$4:AL$12 = MAX(AL$4:AL$12), ROW(AL$4:AL$12)-ROW(AL$4)+1), ROW(4:4))), "-")</f>
        <v>-</v>
      </c>
      <c r="L16" s="1378" t="str">
        <f t="shared" ref="L16:L20" si="60">IF(J16="-","",L13)</f>
        <v/>
      </c>
      <c r="M16" s="13" t="s">
        <v>1097</v>
      </c>
      <c r="N16" s="700">
        <f t="shared" ref="N16:U16" si="55">IFERROR(IF($M16="YES",IF($D16=N$4,$F16,0)+IF($G16=N$4,$I16,0)+IF($J16=N$4,$L16,0),0),0)</f>
        <v>0</v>
      </c>
      <c r="O16" s="700">
        <f t="shared" si="55"/>
        <v>0</v>
      </c>
      <c r="P16" s="700">
        <f t="shared" si="55"/>
        <v>0</v>
      </c>
      <c r="Q16" s="700">
        <f t="shared" si="55"/>
        <v>0</v>
      </c>
      <c r="R16" s="700">
        <f t="shared" si="55"/>
        <v>0</v>
      </c>
      <c r="S16" s="700">
        <f t="shared" si="55"/>
        <v>0</v>
      </c>
      <c r="T16" s="700">
        <f t="shared" si="55"/>
        <v>0</v>
      </c>
      <c r="U16" s="700">
        <f t="shared" si="55"/>
        <v>0</v>
      </c>
      <c r="X16" s="1453" t="str">
        <f t="shared" si="56"/>
        <v>#VALUE!</v>
      </c>
      <c r="Y16" s="208" t="str">
        <f>Settings!A4</f>
        <v>POPEYES</v>
      </c>
      <c r="Z16" s="203">
        <v>15.5</v>
      </c>
      <c r="AA16" s="1470"/>
      <c r="AB16" s="1471">
        <f t="shared" si="57"/>
        <v>15.5</v>
      </c>
      <c r="AC16" s="1252"/>
      <c r="AD16" s="1252"/>
      <c r="AE16" s="1252"/>
      <c r="AF16" s="1252"/>
      <c r="AG16" s="1252"/>
      <c r="AH16" s="1252"/>
      <c r="AI16" s="1252"/>
      <c r="AJ16" s="1252"/>
      <c r="AK16" s="1252"/>
      <c r="AL16" s="1252"/>
      <c r="AM16" s="1252"/>
      <c r="AN16" s="1480" t="s">
        <v>1031</v>
      </c>
      <c r="AO16" s="1481">
        <f t="shared" ref="AO16:AP16" si="58">SUM(AO9:AO13)</f>
        <v>12</v>
      </c>
      <c r="AP16" s="1482">
        <f t="shared" si="58"/>
        <v>18</v>
      </c>
      <c r="AQ16" s="1475">
        <f t="shared" si="59"/>
        <v>0.4</v>
      </c>
      <c r="AR16" s="1252"/>
      <c r="AS16" s="1252"/>
      <c r="AT16" s="1252"/>
      <c r="AU16" s="1252"/>
      <c r="AV16" s="1252"/>
      <c r="AW16" s="1252"/>
      <c r="AX16" s="1252"/>
      <c r="AY16" s="1252"/>
      <c r="AZ16" s="1252"/>
      <c r="BA16" s="1252"/>
      <c r="BB16" s="1252">
        <v>47.0</v>
      </c>
      <c r="BC16" s="1252"/>
      <c r="BD16" s="1252"/>
      <c r="BI16" s="13" t="str">
        <f t="array" ref="BI16">IFERROR(INDEX(AE$4:AE$12, SMALL(IF(AY$4:AY$12 = LARGE(AY$4:AY$12,2), ROW(AE$4:AE$12)-ROW(AE$4)+1), ROW(3:3))), "-")</f>
        <v>-</v>
      </c>
      <c r="BJ16" s="1252" t="str">
        <f t="array" ref="BJ16">IFERROR(INDEX(AY$4:AY$12, SMALL(IF(AY$4:AY$12 = LARGE(AY$4:AY$12,2), ROW(AY$4:AY$12)-ROW(AY$4)+1), ROW(3:3))), "-")</f>
        <v>-</v>
      </c>
      <c r="BK16" s="337" t="str">
        <f t="array" ref="BK16">IFERROR(INDEX(AE$4:AE$12, SMALL(IF(AY$4:AY$12 = LARGE(AY$4:AY$12,3), ROW(AE$4:AE$12)-ROW(AE$4)+1), ROW(3:3))), "-")</f>
        <v>-</v>
      </c>
      <c r="BL16" s="337" t="str">
        <f t="array" ref="BL16">IFERROR(INDEX(AY$4:AY$12, SMALL(IF(AY$4:AY$12 = LARGE(AY$4:AY$12,3), ROW(AY$4:AY$12)-ROW(AY$4)+1), ROW(3:3))), "-")</f>
        <v>-</v>
      </c>
      <c r="BP16" s="13" t="str">
        <f t="array" ref="BP16">IFERROR(INDEX(AE$4:AE$12, SMALL(IF(AZ$4:AZ$12 = LARGE(AZ$4:AZ$12,2), ROW(AE$4:AE$12)-ROW(AE$4)+1), ROW(3:3))), "-")</f>
        <v>-</v>
      </c>
      <c r="BQ16" s="13" t="str">
        <f t="array" ref="BQ16">IFERROR(INDEX(AZ$4:AZ$12, SMALL(IF(AZ$4:AZ$12 = LARGE(AZ$4:AZ$12,2), ROW(AZ$4:AZ$12)-ROW(AZ$4)+1), ROW(3:3))), "-")</f>
        <v>-</v>
      </c>
      <c r="BR16" s="13" t="str">
        <f t="array" ref="BR16">IFERROR(INDEX(AE$4:AE$12, SMALL(IF(AZ$4:AZ$12 = LARGE(AZ$4:AZ$12,3), ROW(AE$4:AE$12)-ROW(AE$4)+1), ROW(3:3))), "-")</f>
        <v>-</v>
      </c>
      <c r="BS16" s="13" t="str">
        <f t="array" ref="BS16">IFERROR(INDEX(AZ$4:AZ$12, SMALL(IF(AZ$4:AZ$12 = LARGE(AZ$4:AZ$12,3), ROW(AZ$4:AZ$12)-ROW(AZ$4)+1), ROW(3:3))), "-")</f>
        <v>-</v>
      </c>
      <c r="CB16" s="13" t="str">
        <f t="shared" si="53"/>
        <v>YARDIES</v>
      </c>
      <c r="CC16" s="337">
        <f t="shared" si="54"/>
        <v>0.6428571429</v>
      </c>
      <c r="CF16" s="314"/>
    </row>
    <row r="17" ht="19.5" customHeight="1">
      <c r="B17" s="1371"/>
      <c r="C17" s="663"/>
      <c r="D17" s="1440"/>
      <c r="E17" s="1441"/>
      <c r="F17" s="1442"/>
      <c r="G17" s="1440"/>
      <c r="H17" s="1441"/>
      <c r="I17" s="1444"/>
      <c r="J17" s="1372" t="str">
        <f t="array" ref="J17">IFERROR(INDEX(AE$4:AE$12, SMALL(IF(AJ$4:AJ$12 = MAX(AJ$4:AJ$12), ROW(AE$4:AE$12)-ROW(AE$4)+1), ROW(5:5))), "-")</f>
        <v>-</v>
      </c>
      <c r="K17" s="1377" t="str">
        <f t="array" ref="K17">IFERROR(INDEX(AL$4:AL$12, SMALL(IF(AL$4:AL$12 = MAX(AL$4:AL$12), ROW(AL$4:AL$12)-ROW(AL$4)+1), ROW(5:5))), "-")</f>
        <v>-</v>
      </c>
      <c r="L17" s="1378" t="str">
        <f t="shared" si="60"/>
        <v/>
      </c>
      <c r="M17" s="13" t="s">
        <v>1097</v>
      </c>
      <c r="N17" s="700">
        <f t="shared" ref="N17:U17" si="61">IFERROR(IF($M17="YES",IF($D17=N$4,$F17,0)+IF($G17=N$4,$I17,0)+IF($J17=N$4,$L17,0),0),0)</f>
        <v>0</v>
      </c>
      <c r="O17" s="700">
        <f t="shared" si="61"/>
        <v>0</v>
      </c>
      <c r="P17" s="700">
        <f t="shared" si="61"/>
        <v>0</v>
      </c>
      <c r="Q17" s="700">
        <f t="shared" si="61"/>
        <v>0</v>
      </c>
      <c r="R17" s="700">
        <f t="shared" si="61"/>
        <v>0</v>
      </c>
      <c r="S17" s="700">
        <f t="shared" si="61"/>
        <v>0</v>
      </c>
      <c r="T17" s="700">
        <f t="shared" si="61"/>
        <v>0</v>
      </c>
      <c r="U17" s="700">
        <f t="shared" si="61"/>
        <v>0</v>
      </c>
      <c r="X17" s="1453" t="str">
        <f t="shared" si="56"/>
        <v>#VALUE!</v>
      </c>
      <c r="Y17" s="208" t="str">
        <f>Settings!A5</f>
        <v>GREEN</v>
      </c>
      <c r="Z17" s="203">
        <v>27.0</v>
      </c>
      <c r="AA17" s="1470">
        <v>1.0</v>
      </c>
      <c r="AB17" s="1471">
        <f t="shared" si="57"/>
        <v>28</v>
      </c>
      <c r="AC17" s="1252"/>
      <c r="AD17" s="1252"/>
      <c r="AE17" s="1252"/>
      <c r="AF17" s="1252"/>
      <c r="AG17" s="1252"/>
      <c r="AH17" s="1252"/>
      <c r="AI17" s="1252"/>
      <c r="AJ17" s="1252"/>
      <c r="AK17" s="1252"/>
      <c r="AL17" s="1252"/>
      <c r="AM17" s="1252"/>
      <c r="AN17" s="1252"/>
      <c r="AO17" s="1252"/>
      <c r="AP17" s="1252"/>
      <c r="AQ17" s="1252"/>
      <c r="AR17" s="1252"/>
      <c r="AS17" s="1252"/>
      <c r="AT17" s="1252"/>
      <c r="AU17" s="1252"/>
      <c r="AV17" s="1252"/>
      <c r="AW17" s="1252"/>
      <c r="AX17" s="1252"/>
      <c r="AY17" s="1252"/>
      <c r="AZ17" s="1252"/>
      <c r="BA17" s="1252"/>
      <c r="BB17" s="1252"/>
      <c r="BC17" s="1252"/>
      <c r="BD17" s="1252"/>
      <c r="BE17" s="1252"/>
      <c r="BF17" s="1252"/>
      <c r="BK17" s="13" t="str">
        <f t="array" ref="BK17">IFERROR(INDEX(AE$4:AE$12, SMALL(IF(AY$4:AY$12 = LARGE(AY$4:AY$12,2), ROW(AE$4:AE$12)-ROW(AE$4)+1), ROW(4:4))), "-")</f>
        <v>-</v>
      </c>
      <c r="BL17" s="1252" t="str">
        <f t="array" ref="BL17">IFERROR(INDEX(AY$4:AY$12, SMALL(IF(AY$4:AY$12 = LARGE(AY$4:AY$12,2), ROW(AY$4:AY$12)-ROW(AY$4)+1), ROW(4:4))), "-")</f>
        <v>-</v>
      </c>
      <c r="BM17" s="337" t="str">
        <f t="array" ref="BM17">IFERROR(INDEX(AE$4:AE$12, SMALL(IF(AY$4:AY$12 = LARGE(AY$4:AY$12,3), ROW(AE$4:AE$12)-ROW(AE$4)+1), ROW(4:4))), "-")</f>
        <v>-</v>
      </c>
      <c r="BN17" s="337" t="str">
        <f t="array" ref="BN17">IFERROR(INDEX(AY$4:AY$12, SMALL(IF(AY$4:AY$12 = LARGE(AY$4:AY$12,3), ROW(AY$4:AY$12)-ROW(AY$4)+1), ROW(4:4))), "-")</f>
        <v>-</v>
      </c>
      <c r="BR17" s="13" t="str">
        <f t="array" ref="BR17">IFERROR(INDEX(AE$4:AE$12, SMALL(IF(AZ$4:AZ$12 = LARGE(AZ$4:AZ$12,2), ROW(AE$4:AE$12)-ROW(AE$4)+1), ROW(4:4))), "-")</f>
        <v>-</v>
      </c>
      <c r="BS17" s="13" t="str">
        <f t="array" ref="BS17">IFERROR(INDEX(AZ$4:AZ$12, SMALL(IF(AZ$4:AZ$12 = LARGE(AZ$4:AZ$12,2), ROW(AZ$4:AZ$12)-ROW(AZ$4)+1), ROW(4:4))), "-")</f>
        <v>-</v>
      </c>
      <c r="BT17" s="13" t="str">
        <f t="array" ref="BT17">IFERROR(INDEX(AE$4:AE$12, SMALL(IF(AZ$4:AZ$12 = LARGE(AZ$4:AZ$12,3), ROW(AE$4:AE$12)-ROW(AE$4)+1), ROW(4:4))), "-")</f>
        <v>-</v>
      </c>
      <c r="BU17" s="13" t="str">
        <f t="array" ref="BU17">IFERROR(INDEX(AZ$4:AZ$12, SMALL(IF(AZ$4:AZ$12 = LARGE(AZ$4:AZ$12,3), ROW(AZ$4:AZ$12)-ROW(AZ$4)+1), ROW(4:4))), "-")</f>
        <v>-</v>
      </c>
      <c r="CD17" s="13" t="str">
        <f>AE12</f>
        <v>MUTTS</v>
      </c>
      <c r="CE17" s="337">
        <f>AH12</f>
        <v>0.5</v>
      </c>
      <c r="CH17" s="314"/>
    </row>
    <row r="18" ht="19.5" customHeight="1">
      <c r="B18" s="1371"/>
      <c r="C18" s="663"/>
      <c r="D18" s="1440"/>
      <c r="E18" s="1441"/>
      <c r="F18" s="1442"/>
      <c r="G18" s="1440"/>
      <c r="H18" s="1441"/>
      <c r="I18" s="1444"/>
      <c r="J18" s="1372" t="str">
        <f t="array" ref="J18">IFERROR(INDEX(AE$4:AE$12, SMALL(IF(AJ$4:AJ$12 = MAX(AJ$4:AJ$12), ROW(AE$4:AE$12)-ROW(AE$4)+1), ROW(6:6))), "-")</f>
        <v>-</v>
      </c>
      <c r="K18" s="1377" t="str">
        <f t="array" ref="K18">IFERROR(INDEX(AL$4:AL$12, SMALL(IF(AL$4:AL$12 = MAX(AL$4:AL$12), ROW(AL$4:AL$12)-ROW(AL$4)+1), ROW(6:6))), "-")</f>
        <v>-</v>
      </c>
      <c r="L18" s="1378" t="str">
        <f t="shared" si="60"/>
        <v/>
      </c>
      <c r="M18" s="13" t="s">
        <v>1097</v>
      </c>
      <c r="N18" s="700">
        <f t="shared" ref="N18:U18" si="62">IFERROR(IF($M18="YES",IF($D18=N$4,$F18,0)+IF($G18=N$4,$I18,0)+IF($J18=N$4,$L18,0),0),0)</f>
        <v>0</v>
      </c>
      <c r="O18" s="700">
        <f t="shared" si="62"/>
        <v>0</v>
      </c>
      <c r="P18" s="700">
        <f t="shared" si="62"/>
        <v>0</v>
      </c>
      <c r="Q18" s="700">
        <f t="shared" si="62"/>
        <v>0</v>
      </c>
      <c r="R18" s="700">
        <f t="shared" si="62"/>
        <v>0</v>
      </c>
      <c r="S18" s="700">
        <f t="shared" si="62"/>
        <v>0</v>
      </c>
      <c r="T18" s="700">
        <f t="shared" si="62"/>
        <v>0</v>
      </c>
      <c r="U18" s="700">
        <f t="shared" si="62"/>
        <v>0</v>
      </c>
      <c r="X18" s="1453" t="str">
        <f t="shared" si="56"/>
        <v>#VALUE!</v>
      </c>
      <c r="Y18" s="208" t="str">
        <f>Settings!A6</f>
        <v>SAVAGES</v>
      </c>
      <c r="Z18" s="203">
        <v>8.25</v>
      </c>
      <c r="AA18" s="1470"/>
      <c r="AB18" s="1471">
        <f t="shared" si="57"/>
        <v>8.25</v>
      </c>
      <c r="AC18" s="1252"/>
      <c r="AD18" s="952"/>
      <c r="AE18" s="1484" t="str">
        <f>AD19</f>
        <v>DECOUPES</v>
      </c>
      <c r="AF18" s="1485" t="str">
        <f>AD20</f>
        <v>POPEYES</v>
      </c>
      <c r="AG18" s="1485" t="str">
        <f>AD21</f>
        <v>GREEN</v>
      </c>
      <c r="AH18" s="1485" t="str">
        <f>AD22</f>
        <v>SAVAGES</v>
      </c>
      <c r="AI18" s="1485" t="str">
        <f>AD23</f>
        <v>KINGS</v>
      </c>
      <c r="AJ18" s="1485" t="str">
        <f>AD24</f>
        <v>CHAMPS</v>
      </c>
      <c r="AK18" s="1486" t="str">
        <f>AD25</f>
        <v>METAMOOKDAWGS</v>
      </c>
      <c r="AL18" s="1485" t="str">
        <f>AD26</f>
        <v>YARDIES</v>
      </c>
      <c r="AM18" s="1485" t="str">
        <f>AD27</f>
        <v>MUTTS</v>
      </c>
      <c r="AN18" s="1487" t="str">
        <f>AD28</f>
        <v>EAGLES</v>
      </c>
      <c r="AO18" s="1252"/>
      <c r="AP18" s="1252"/>
      <c r="AQ18" s="1252"/>
      <c r="AR18" s="1252"/>
      <c r="AS18" s="1252"/>
      <c r="AT18" s="1252"/>
      <c r="AU18" s="1252"/>
      <c r="AV18" s="1252"/>
      <c r="AW18" s="1252"/>
      <c r="AX18" s="1252"/>
      <c r="AY18" s="1252"/>
      <c r="AZ18" s="1252"/>
      <c r="BA18" s="1252"/>
      <c r="BB18" s="1252"/>
      <c r="BC18" s="1252"/>
      <c r="BD18" s="1252"/>
      <c r="BE18" s="1252"/>
      <c r="BF18" s="1252"/>
      <c r="BK18" s="13" t="str">
        <f t="array" ref="BK18">IFERROR(INDEX(AE$4:AE$12, SMALL(IF(AY$4:AY$12 = LARGE(AY$4:AY$12,2), ROW(AE$4:AE$12)-ROW(AE$4)+1), ROW(5:5))), "-")</f>
        <v>-</v>
      </c>
      <c r="BL18" s="1252" t="str">
        <f t="array" ref="BL18">IFERROR(INDEX(AY$4:AY$12, SMALL(IF(AY$4:AY$12 = LARGE(AY$4:AY$12,2), ROW(AY$4:AY$12)-ROW(AY$4)+1), ROW(5:5))), "-")</f>
        <v>-</v>
      </c>
      <c r="BM18" s="337" t="str">
        <f t="array" ref="BM18">IFERROR(INDEX(AE$4:AE$12, SMALL(IF(AY$4:AY$12 = LARGE(AY$4:AY$12,3), ROW(AE$4:AE$12)-ROW(AE$4)+1), ROW(5:5))), "-")</f>
        <v>-</v>
      </c>
      <c r="BN18" s="337" t="str">
        <f t="array" ref="BN18">IFERROR(INDEX(AY$4:AY$12, SMALL(IF(AY$4:AY$12 = LARGE(AY$4:AY$12,3), ROW(AY$4:AY$12)-ROW(AY$4)+1), ROW(5:5))), "-")</f>
        <v>-</v>
      </c>
      <c r="BR18" s="13" t="str">
        <f t="array" ref="BR18">IFERROR(INDEX(AE$4:AE$12, SMALL(IF(AZ$4:AZ$12 = LARGE(AZ$4:AZ$12,2), ROW(AE$4:AE$12)-ROW(AE$4)+1), ROW(5:5))), "-")</f>
        <v>-</v>
      </c>
      <c r="BS18" s="13" t="str">
        <f t="array" ref="BS18">IFERROR(INDEX(AZ$4:AZ$12, SMALL(IF(AZ$4:AZ$12 = LARGE(AZ$4:AZ$12,2), ROW(AZ$4:AZ$12)-ROW(AZ$4)+1), ROW(5:5))), "-")</f>
        <v>-</v>
      </c>
      <c r="BT18" s="13" t="str">
        <f t="array" ref="BT18">IFERROR(INDEX(AE$4:AE$12, SMALL(IF(AZ$4:AZ$12 = LARGE(AZ$4:AZ$12,3), ROW(AE$4:AE$12)-ROW(AE$4)+1), ROW(5:5))), "-")</f>
        <v>-</v>
      </c>
      <c r="BU18" s="13" t="str">
        <f t="array" ref="BU18">IFERROR(INDEX(AZ$4:AZ$12, SMALL(IF(AZ$4:AZ$12 = LARGE(AZ$4:AZ$12,3), ROW(AZ$4:AZ$12)-ROW(AZ$4)+1), ROW(5:5))), "-")</f>
        <v>-</v>
      </c>
      <c r="CH18" s="314"/>
    </row>
    <row r="19" ht="19.5" customHeight="1">
      <c r="B19" s="1371"/>
      <c r="C19" s="663"/>
      <c r="D19" s="1440"/>
      <c r="E19" s="1441"/>
      <c r="F19" s="1442"/>
      <c r="G19" s="1440"/>
      <c r="H19" s="1441"/>
      <c r="I19" s="1444"/>
      <c r="J19" s="1372" t="str">
        <f t="array" ref="J19">IFERROR(INDEX(AE$4:AE$12, SMALL(IF(AJ$4:AJ$12 = MAX(AJ$4:AJ$12), ROW(AE$4:AE$12)-ROW(AE$4)+1), ROW(7:7))), "-")</f>
        <v>-</v>
      </c>
      <c r="K19" s="1377" t="str">
        <f t="array" ref="K19">IFERROR(INDEX(AL$4:AL$12, SMALL(IF(AL$4:AL$12 = MAX(AL$4:AL$12), ROW(AL$4:AL$12)-ROW(AL$4)+1), ROW(7:7))), "-")</f>
        <v>-</v>
      </c>
      <c r="L19" s="1378" t="str">
        <f t="shared" si="60"/>
        <v/>
      </c>
      <c r="M19" s="13" t="s">
        <v>1097</v>
      </c>
      <c r="N19" s="700">
        <f t="shared" ref="N19:U19" si="63">IFERROR(IF($M19="YES",IF($D19=N$4,$F19,0)+IF($G19=N$4,$I19,0)+IF($J19=N$4,$L19,0),0),0)</f>
        <v>0</v>
      </c>
      <c r="O19" s="700">
        <f t="shared" si="63"/>
        <v>0</v>
      </c>
      <c r="P19" s="700">
        <f t="shared" si="63"/>
        <v>0</v>
      </c>
      <c r="Q19" s="700">
        <f t="shared" si="63"/>
        <v>0</v>
      </c>
      <c r="R19" s="700">
        <f t="shared" si="63"/>
        <v>0</v>
      </c>
      <c r="S19" s="700">
        <f t="shared" si="63"/>
        <v>0</v>
      </c>
      <c r="T19" s="700">
        <f t="shared" si="63"/>
        <v>0</v>
      </c>
      <c r="U19" s="700">
        <f t="shared" si="63"/>
        <v>0</v>
      </c>
      <c r="X19" s="1453" t="str">
        <f t="shared" ref="X19:X22" si="65">RANK(AB19, $AB$15:$AB$22, 0) + (COUNTIFS(AB$15:AB$22,AB19,$AD$4:$AD$12,"&lt;"&amp;AD9))</f>
        <v>#VALUE!</v>
      </c>
      <c r="Y19" s="208" t="str">
        <f>Settings!A7</f>
        <v>CHAMPS</v>
      </c>
      <c r="Z19" s="203">
        <v>7.25</v>
      </c>
      <c r="AA19" s="1470"/>
      <c r="AB19" s="1471">
        <f t="shared" si="57"/>
        <v>7.25</v>
      </c>
      <c r="AC19" s="1493"/>
      <c r="AD19" s="1494" t="str">
        <f>Settings!$A3</f>
        <v>DECOUPES</v>
      </c>
      <c r="AE19" s="208">
        <f>COUNTIFS('Weekly Scores'!$F$2:$F$71,$AD19,'Weekly Scores'!$N$2:$N$71,$AD19,'Weekly Scores'!$I$2:$I$71,AE$18,'Weekly Scores'!$G$2:$G$71,"&lt;&gt;")+COUNTIFS('Weekly Scores'!$I$2:$I$71,$AD19,'Weekly Scores'!$N$2:$N$71,$AD19,'Weekly Scores'!$F$2:$F$71,AE$18,'Weekly Scores'!$G$2:$G$71,"&lt;&gt;")</f>
        <v>0</v>
      </c>
      <c r="AF19" s="208">
        <f>COUNTIFS('Weekly Scores'!$F$2:$F$71,$AD19,'Weekly Scores'!$N$2:$N$71,$AD19,'Weekly Scores'!$I$2:$I$71,AF$18,'Weekly Scores'!$G$2:$G$71,"&lt;&gt;")+COUNTIFS('Weekly Scores'!$I$2:$I$71,$AD19,'Weekly Scores'!$N$2:$N$71,$AD19,'Weekly Scores'!$F$2:$F$71,AF$18,'Weekly Scores'!$G$2:$G$71,"&lt;&gt;")</f>
        <v>2</v>
      </c>
      <c r="AG19" s="208">
        <f>COUNTIFS('Weekly Scores'!$F$2:$F$71,$AD19,'Weekly Scores'!$N$2:$N$71,$AD19,'Weekly Scores'!$I$2:$I$71,AG$18,'Weekly Scores'!$G$2:$G$71,"&lt;&gt;")+COUNTIFS('Weekly Scores'!$I$2:$I$71,$AD19,'Weekly Scores'!$N$2:$N$71,$AD19,'Weekly Scores'!$F$2:$F$71,AG$18,'Weekly Scores'!$G$2:$G$71,"&lt;&gt;")</f>
        <v>1</v>
      </c>
      <c r="AH19" s="208">
        <f>COUNTIFS('Weekly Scores'!$F$2:$F$71,$AD19,'Weekly Scores'!$N$2:$N$71,$AD19,'Weekly Scores'!$I$2:$I$71,AH$18,'Weekly Scores'!$G$2:$G$71,"&lt;&gt;")+COUNTIFS('Weekly Scores'!$I$2:$I$71,$AD19,'Weekly Scores'!$N$2:$N$71,$AD19,'Weekly Scores'!$F$2:$F$71,AH$18,'Weekly Scores'!$G$2:$G$71,"&lt;&gt;")</f>
        <v>1</v>
      </c>
      <c r="AI19" s="208">
        <f>COUNTIFS('Weekly Scores'!$F$2:$F$71,$AD19,'Weekly Scores'!$N$2:$N$71,$AD19,'Weekly Scores'!$I$2:$I$71,AI$18,'Weekly Scores'!$G$2:$G$71,"&lt;&gt;")+COUNTIFS('Weekly Scores'!$I$2:$I$71,$AD19,'Weekly Scores'!$N$2:$N$71,$AD19,'Weekly Scores'!$F$2:$F$71,AI$18,'Weekly Scores'!$G$2:$G$71,"&lt;&gt;")</f>
        <v>1</v>
      </c>
      <c r="AJ19" s="208">
        <f>COUNTIFS('Weekly Scores'!$F$2:$F$71,$AD19,'Weekly Scores'!$N$2:$N$71,$AD19,'Weekly Scores'!$I$2:$I$71,AJ$18,'Weekly Scores'!$G$2:$G$71,"&lt;&gt;")+COUNTIFS('Weekly Scores'!$I$2:$I$71,$AD19,'Weekly Scores'!$N$2:$N$71,$AD19,'Weekly Scores'!$F$2:$F$71,AJ$18,'Weekly Scores'!$G$2:$G$71,"&lt;&gt;")</f>
        <v>0</v>
      </c>
      <c r="AK19" s="208">
        <f>COUNTIFS('Weekly Scores'!$F$2:$F$71,$AD19,'Weekly Scores'!$N$2:$N$71,$AD19,'Weekly Scores'!$I$2:$I$71,AK$18,'Weekly Scores'!$G$2:$G$71,"&lt;&gt;")+COUNTIFS('Weekly Scores'!$I$2:$I$71,$AD19,'Weekly Scores'!$N$2:$N$71,$AD19,'Weekly Scores'!$F$2:$F$71,AK$18,'Weekly Scores'!$G$2:$G$71,"&lt;&gt;")</f>
        <v>1</v>
      </c>
      <c r="AL19" s="208">
        <f>COUNTIFS('Weekly Scores'!$F$2:$F$71,$AD19,'Weekly Scores'!$N$2:$N$71,$AD19,'Weekly Scores'!$I$2:$I$71,AL$18,'Weekly Scores'!$G$2:$G$71,"&lt;&gt;")+COUNTIFS('Weekly Scores'!$I$2:$I$71,$AD19,'Weekly Scores'!$N$2:$N$71,$AD19,'Weekly Scores'!$F$2:$F$71,AL$18,'Weekly Scores'!$G$2:$G$71,"&lt;&gt;")</f>
        <v>0</v>
      </c>
      <c r="AM19" s="208">
        <f>COUNTIFS('Weekly Scores'!$F$2:$F$71,$AD19,'Weekly Scores'!$N$2:$N$71,$AD19,'Weekly Scores'!$I$2:$I$71,AM$18,'Weekly Scores'!$G$2:$G$71,"&lt;&gt;")+COUNTIFS('Weekly Scores'!$I$2:$I$71,$AD19,'Weekly Scores'!$N$2:$N$71,$AD19,'Weekly Scores'!$F$2:$F$71,AM$18,'Weekly Scores'!$G$2:$G$71,"&lt;&gt;")</f>
        <v>2</v>
      </c>
      <c r="AN19" s="208">
        <f>COUNTIFS('Weekly Scores'!$F$2:$F$71,$AD19,'Weekly Scores'!$N$2:$N$71,$AD19,'Weekly Scores'!$I$2:$I$71,AN$18,'Weekly Scores'!$G$2:$G$71,"&lt;&gt;")+COUNTIFS('Weekly Scores'!$I$2:$I$71,$AD19,'Weekly Scores'!$N$2:$N$71,$AD19,'Weekly Scores'!$F$2:$F$71,AN$18,'Weekly Scores'!$G$2:$G$71,"&lt;&gt;")</f>
        <v>1</v>
      </c>
      <c r="AO19" s="1252">
        <f t="shared" ref="AO19:AO28" si="66">COUNTIF(AE19:AN19,2)</f>
        <v>2</v>
      </c>
      <c r="AP19" s="1252"/>
      <c r="AQ19" s="1252"/>
      <c r="AR19" s="1252"/>
      <c r="AS19" s="1252"/>
      <c r="AT19" s="1252"/>
      <c r="AU19" s="1252"/>
      <c r="AV19" s="1252"/>
      <c r="AW19" s="1252"/>
      <c r="AX19" s="1252"/>
      <c r="AY19" s="1252"/>
      <c r="AZ19" s="1252"/>
      <c r="BA19" s="1252"/>
      <c r="BB19" s="1252"/>
      <c r="BC19" s="1252"/>
      <c r="BD19" s="1252"/>
      <c r="BE19" s="1252"/>
      <c r="BF19" s="1252"/>
      <c r="BK19" s="13" t="str">
        <f t="array" ref="BK19">IFERROR(INDEX(AE$4:AE$12, SMALL(IF(AY$4:AY$12 = LARGE(AY$4:AY$12,2), ROW(AE$4:AE$12)-ROW(AE$4)+1), ROW(6:6))), "-")</f>
        <v>-</v>
      </c>
      <c r="BL19" s="1252" t="str">
        <f t="array" ref="BL19">IFERROR(INDEX(AY$4:AY$12, SMALL(IF(AY$4:AY$12 = LARGE(AY$4:AY$12,2), ROW(AY$4:AY$12)-ROW(AY$4)+1), ROW(6:6))), "-")</f>
        <v>-</v>
      </c>
      <c r="BM19" s="337" t="str">
        <f t="array" ref="BM19">IFERROR(INDEX(AE$4:AE$12, SMALL(IF(AY$4:AY$12 = LARGE(AY$4:AY$12,3), ROW(AE$4:AE$12)-ROW(AE$4)+1), ROW(6:6))), "-")</f>
        <v>-</v>
      </c>
      <c r="BN19" s="337" t="str">
        <f t="array" ref="BN19">IFERROR(INDEX(AY$4:AY$12, SMALL(IF(AY$4:AY$12 = LARGE(AY$4:AY$12,3), ROW(AY$4:AY$12)-ROW(AY$4)+1), ROW(6:6))), "-")</f>
        <v>-</v>
      </c>
      <c r="BR19" s="13" t="str">
        <f t="array" ref="BR19">IFERROR(INDEX(AE$4:AE$12, SMALL(IF(AZ$4:AZ$12 = LARGE(AZ$4:AZ$12,2), ROW(AE$4:AE$12)-ROW(AE$4)+1), ROW(6:6))), "-")</f>
        <v>-</v>
      </c>
      <c r="BS19" s="13" t="str">
        <f t="array" ref="BS19">IFERROR(INDEX(AZ$4:AZ$12, SMALL(IF(AZ$4:AZ$12 = LARGE(AZ$4:AZ$12,2), ROW(AZ$4:AZ$12)-ROW(AZ$4)+1), ROW(6:6))), "-")</f>
        <v>-</v>
      </c>
      <c r="BT19" s="13" t="str">
        <f t="array" ref="BT19">IFERROR(INDEX(AE$4:AE$12, SMALL(IF(AZ$4:AZ$12 = LARGE(AZ$4:AZ$12,3), ROW(AE$4:AE$12)-ROW(AE$4)+1), ROW(6:6))), "-")</f>
        <v>-</v>
      </c>
      <c r="BU19" s="13" t="str">
        <f t="array" ref="BU19">IFERROR(INDEX(AZ$4:AZ$12, SMALL(IF(AZ$4:AZ$12 = LARGE(AZ$4:AZ$12,3), ROW(AZ$4:AZ$12)-ROW(AZ$4)+1), ROW(6:6))), "-")</f>
        <v>-</v>
      </c>
      <c r="CH19" s="314"/>
    </row>
    <row r="20" ht="19.5" customHeight="1">
      <c r="B20" s="828"/>
      <c r="C20" s="666"/>
      <c r="D20" s="1440"/>
      <c r="E20" s="1441"/>
      <c r="F20" s="1442"/>
      <c r="G20" s="1440"/>
      <c r="H20" s="1441"/>
      <c r="I20" s="1444"/>
      <c r="J20" s="1423" t="str">
        <f t="array" ref="J20">IFERROR(INDEX(AE$4:AE$12, SMALL(IF(AJ$4:AJ$12 = MAX(AJ$4:AJ$12), ROW(AE$4:AE$12)-ROW(AE$4)+1), ROW(8:8))), "-")</f>
        <v>-</v>
      </c>
      <c r="K20" s="1424" t="str">
        <f t="array" ref="K20">IFERROR(INDEX(AL$4:AL$12, SMALL(IF(AL$4:AL$12 = MAX(AL$4:AL$12), ROW(AL$4:AL$12)-ROW(AL$4)+1), ROW(8:8))), "-")</f>
        <v>-</v>
      </c>
      <c r="L20" s="1425" t="str">
        <f t="shared" si="60"/>
        <v/>
      </c>
      <c r="M20" s="13" t="s">
        <v>1097</v>
      </c>
      <c r="N20" s="700">
        <f t="shared" ref="N20:U20" si="64">IFERROR(IF($M20="YES",IF($D20=N$4,$F20,0)+IF($G20=N$4,$I20,0)+IF($J20=N$4,$L20,0),0),0)</f>
        <v>0</v>
      </c>
      <c r="O20" s="700">
        <f t="shared" si="64"/>
        <v>0</v>
      </c>
      <c r="P20" s="700">
        <f t="shared" si="64"/>
        <v>0</v>
      </c>
      <c r="Q20" s="700">
        <f t="shared" si="64"/>
        <v>0</v>
      </c>
      <c r="R20" s="700">
        <f t="shared" si="64"/>
        <v>0</v>
      </c>
      <c r="S20" s="700">
        <f t="shared" si="64"/>
        <v>0</v>
      </c>
      <c r="T20" s="700">
        <f t="shared" si="64"/>
        <v>0</v>
      </c>
      <c r="U20" s="700">
        <f t="shared" si="64"/>
        <v>0</v>
      </c>
      <c r="X20" s="1453" t="str">
        <f t="shared" si="65"/>
        <v>#VALUE!</v>
      </c>
      <c r="Y20" s="208" t="str">
        <f>Settings!A8</f>
        <v>METAMOOKDAWGS</v>
      </c>
      <c r="Z20" s="203">
        <v>10.5</v>
      </c>
      <c r="AA20" s="1470"/>
      <c r="AB20" s="1471">
        <f t="shared" si="57"/>
        <v>10.5</v>
      </c>
      <c r="AC20" s="1499"/>
      <c r="AD20" s="1494" t="str">
        <f>Settings!A4</f>
        <v>POPEYES</v>
      </c>
      <c r="AE20" s="208">
        <f>COUNTIFS('Weekly Scores'!$F$2:$F$71,$AD20,'Weekly Scores'!$N$2:$N$71,$AD20,'Weekly Scores'!$I$2:$I$71,AE$18,'Weekly Scores'!$G$2:$G$71,"&lt;&gt;")+COUNTIFS('Weekly Scores'!$I$2:$I$71,$AD20,'Weekly Scores'!$N$2:$N$71,$AD20,'Weekly Scores'!$F$2:$F$71,AE$18,'Weekly Scores'!$G$2:$G$71,"&lt;&gt;")</f>
        <v>0</v>
      </c>
      <c r="AF20" s="208">
        <f>COUNTIFS('Weekly Scores'!$F$2:$F$71,$AD20,'Weekly Scores'!$N$2:$N$71,$AD20,'Weekly Scores'!$I$2:$I$71,AF$18,'Weekly Scores'!$G$2:$G$71,"&lt;&gt;")+COUNTIFS('Weekly Scores'!$I$2:$I$71,$AD20,'Weekly Scores'!$N$2:$N$71,$AD20,'Weekly Scores'!$F$2:$F$71,AF$18,'Weekly Scores'!$G$2:$G$71,"&lt;&gt;")</f>
        <v>0</v>
      </c>
      <c r="AG20" s="208">
        <f>COUNTIFS('Weekly Scores'!$F$2:$F$71,$AD20,'Weekly Scores'!$N$2:$N$71,$AD20,'Weekly Scores'!$I$2:$I$71,AG$18,'Weekly Scores'!$G$2:$G$71,"&lt;&gt;")+COUNTIFS('Weekly Scores'!$I$2:$I$71,$AD20,'Weekly Scores'!$N$2:$N$71,$AD20,'Weekly Scores'!$F$2:$F$71,AG$18,'Weekly Scores'!$G$2:$G$71,"&lt;&gt;")</f>
        <v>0</v>
      </c>
      <c r="AH20" s="208">
        <f>COUNTIFS('Weekly Scores'!$F$2:$F$71,$AD20,'Weekly Scores'!$N$2:$N$71,$AD20,'Weekly Scores'!$I$2:$I$71,AH$18,'Weekly Scores'!$G$2:$G$71,"&lt;&gt;")+COUNTIFS('Weekly Scores'!$I$2:$I$71,$AD20,'Weekly Scores'!$N$2:$N$71,$AD20,'Weekly Scores'!$F$2:$F$71,AH$18,'Weekly Scores'!$G$2:$G$71,"&lt;&gt;")</f>
        <v>2</v>
      </c>
      <c r="AI20" s="208">
        <f>COUNTIFS('Weekly Scores'!$F$2:$F$71,$AD20,'Weekly Scores'!$N$2:$N$71,$AD20,'Weekly Scores'!$I$2:$I$71,AI$18,'Weekly Scores'!$G$2:$G$71,"&lt;&gt;")+COUNTIFS('Weekly Scores'!$I$2:$I$71,$AD20,'Weekly Scores'!$N$2:$N$71,$AD20,'Weekly Scores'!$F$2:$F$71,AI$18,'Weekly Scores'!$G$2:$G$71,"&lt;&gt;")</f>
        <v>0</v>
      </c>
      <c r="AJ20" s="208">
        <f>COUNTIFS('Weekly Scores'!$F$2:$F$71,$AD20,'Weekly Scores'!$N$2:$N$71,$AD20,'Weekly Scores'!$I$2:$I$71,AJ$18,'Weekly Scores'!$G$2:$G$71,"&lt;&gt;")+COUNTIFS('Weekly Scores'!$I$2:$I$71,$AD20,'Weekly Scores'!$N$2:$N$71,$AD20,'Weekly Scores'!$F$2:$F$71,AJ$18,'Weekly Scores'!$G$2:$G$71,"&lt;&gt;")</f>
        <v>1</v>
      </c>
      <c r="AK20" s="208">
        <f>COUNTIFS('Weekly Scores'!$F$2:$F$71,$AD20,'Weekly Scores'!$N$2:$N$71,$AD20,'Weekly Scores'!$I$2:$I$71,AK$18,'Weekly Scores'!$G$2:$G$71,"&lt;&gt;")+COUNTIFS('Weekly Scores'!$I$2:$I$71,$AD20,'Weekly Scores'!$N$2:$N$71,$AD20,'Weekly Scores'!$F$2:$F$71,AK$18,'Weekly Scores'!$G$2:$G$71,"&lt;&gt;")</f>
        <v>1</v>
      </c>
      <c r="AL20" s="208">
        <f>COUNTIFS('Weekly Scores'!$F$2:$F$71,$AD20,'Weekly Scores'!$N$2:$N$71,$AD20,'Weekly Scores'!$I$2:$I$71,AL$18,'Weekly Scores'!$G$2:$G$71,"&lt;&gt;")+COUNTIFS('Weekly Scores'!$I$2:$I$71,$AD20,'Weekly Scores'!$N$2:$N$71,$AD20,'Weekly Scores'!$F$2:$F$71,AL$18,'Weekly Scores'!$G$2:$G$71,"&lt;&gt;")</f>
        <v>1</v>
      </c>
      <c r="AM20" s="208">
        <f>COUNTIFS('Weekly Scores'!$F$2:$F$71,$AD20,'Weekly Scores'!$N$2:$N$71,$AD20,'Weekly Scores'!$I$2:$I$71,AM$18,'Weekly Scores'!$G$2:$G$71,"&lt;&gt;")+COUNTIFS('Weekly Scores'!$I$2:$I$71,$AD20,'Weekly Scores'!$N$2:$N$71,$AD20,'Weekly Scores'!$F$2:$F$71,AM$18,'Weekly Scores'!$G$2:$G$71,"&lt;&gt;")</f>
        <v>1</v>
      </c>
      <c r="AN20" s="208">
        <f>COUNTIFS('Weekly Scores'!$F$2:$F$71,$AD20,'Weekly Scores'!$N$2:$N$71,$AD20,'Weekly Scores'!$I$2:$I$71,AN$18,'Weekly Scores'!$G$2:$G$71,"&lt;&gt;")+COUNTIFS('Weekly Scores'!$I$2:$I$71,$AD20,'Weekly Scores'!$N$2:$N$71,$AD20,'Weekly Scores'!$F$2:$F$71,AN$18,'Weekly Scores'!$G$2:$G$71,"&lt;&gt;")</f>
        <v>1</v>
      </c>
      <c r="AO20" s="1252">
        <f t="shared" si="66"/>
        <v>1</v>
      </c>
      <c r="AP20" s="1252"/>
      <c r="AQ20" s="1252"/>
      <c r="AR20" s="1252"/>
      <c r="AS20" s="1252"/>
      <c r="AT20" s="1252"/>
      <c r="AU20" s="1252"/>
      <c r="AV20" s="1252"/>
      <c r="AW20" s="1252"/>
      <c r="AX20" s="1252"/>
      <c r="AY20" s="1252"/>
      <c r="AZ20" s="1252"/>
      <c r="BA20" s="1252"/>
      <c r="BB20" s="1252"/>
      <c r="BC20" s="1252"/>
      <c r="BD20" s="1252"/>
      <c r="BE20" s="1252"/>
      <c r="BF20" s="1252"/>
      <c r="BK20" s="13" t="str">
        <f t="array" ref="BK20">IFERROR(INDEX(AE$4:AE$12, SMALL(IF(AY$4:AY$12 = LARGE(AY$4:AY$12,2), ROW(AE$4:AE$12)-ROW(AE$4)+1), ROW(7:7))), "-")</f>
        <v>-</v>
      </c>
      <c r="BL20" s="1252" t="str">
        <f t="array" ref="BL20">IFERROR(INDEX(AY$4:AY$12, SMALL(IF(AY$4:AY$12 = LARGE(AY$4:AY$12,2), ROW(AY$4:AY$12)-ROW(AY$4)+1), ROW(7:7))), "-")</f>
        <v>-</v>
      </c>
      <c r="BM20" s="337" t="str">
        <f t="array" ref="BM20">IFERROR(INDEX(AE$4:AE$12, SMALL(IF(AY$4:AY$12 = LARGE(AY$4:AY$12,3), ROW(AE$4:AE$12)-ROW(AE$4)+1), ROW(7:7))), "-")</f>
        <v>-</v>
      </c>
      <c r="BN20" s="337" t="str">
        <f t="array" ref="BN20">IFERROR(INDEX(AY$4:AY$12, SMALL(IF(AY$4:AY$12 = LARGE(AY$4:AY$12,3), ROW(AY$4:AY$12)-ROW(AY$4)+1), ROW(7:7))), "-")</f>
        <v>-</v>
      </c>
      <c r="BR20" s="13" t="str">
        <f t="array" ref="BR20">IFERROR(INDEX(AE$4:AE$12, SMALL(IF(AZ$4:AZ$12 = LARGE(AZ$4:AZ$12,2), ROW(AE$4:AE$12)-ROW(AE$4)+1), ROW(7:7))), "-")</f>
        <v>-</v>
      </c>
      <c r="BS20" s="13" t="str">
        <f t="array" ref="BS20">IFERROR(INDEX(AZ$4:AZ$12, SMALL(IF(AZ$4:AZ$12 = LARGE(AZ$4:AZ$12,2), ROW(AZ$4:AZ$12)-ROW(AZ$4)+1), ROW(7:7))), "-")</f>
        <v>-</v>
      </c>
      <c r="BT20" s="13" t="str">
        <f t="array" ref="BT20">IFERROR(INDEX(AE$4:AE$12, SMALL(IF(AZ$4:AZ$12 = LARGE(AZ$4:AZ$12,3), ROW(AE$4:AE$12)-ROW(AE$4)+1), ROW(7:7))), "-")</f>
        <v>-</v>
      </c>
      <c r="BU20" s="13" t="str">
        <f t="array" ref="BU20">IFERROR(INDEX(AZ$4:AZ$12, SMALL(IF(AZ$4:AZ$12 = LARGE(AZ$4:AZ$12,3), ROW(AZ$4:AZ$12)-ROW(AZ$4)+1), ROW(7:7))), "-")</f>
        <v>-</v>
      </c>
      <c r="CH20" s="314"/>
    </row>
    <row r="21" ht="19.5" customHeight="1">
      <c r="B21" s="1318" t="s">
        <v>1173</v>
      </c>
      <c r="C21" s="826"/>
      <c r="D21" s="1323" t="str">
        <f t="array" ref="D21">IFERROR(INDEX(AE$4:AE$12, SMALL(IF((BE$4:BE$12 = MAX(BE$4:BE$12)) * (AI$4:AI$12 = D$3), ROW(AE$4:AE$12)-ROW(AE$4)+1), ROW(1:1))), "-")</f>
        <v>GREEN</v>
      </c>
      <c r="E21" s="1324">
        <f t="array" ref="E21">IFERROR(INDEX(BM$4:BM$12, SMALL(IF((BM$4:BM$12 = MAX(BM$4:BM$12)) * (AI$4:AI$12 = D$3), ROW(BM$4:BM$12)-ROW(BM$4)+1), ROW(1:1))), "-")</f>
        <v>1</v>
      </c>
      <c r="F21" s="1325">
        <v>1.0</v>
      </c>
      <c r="G21" s="1460" t="str">
        <f t="array" ref="G21">IFERROR(INDEX(AE$4:AE$12, SMALL(IF((BF$4:BF$12 = MAX(BF$4:BF$12)) * (AI$4:AI$12 = G$3), ROW(AE$4:AE$12)-ROW(AE$4)+1), ROW(1:1))), "-")</f>
        <v>YARDIES</v>
      </c>
      <c r="H21" s="1463" t="str">
        <f t="array" ref="H21">IFERROR(INDEX(AQ$4:AQ$12, SMALL(IF((AQ$4:AQ$12 = MAX(AQ$4:AQ$12)) * (AI$4:AI$12 = G$3), ROW(AQ$4:AQ$12)-ROW(AQ$4)+1), ROW(1:1))), "-")</f>
        <v>-</v>
      </c>
      <c r="I21" s="1325">
        <v>1.0</v>
      </c>
      <c r="J21" s="1372" t="str">
        <f t="array" ref="J21">IFERROR(INDEX(AE$4:AE$12, SMALL(IF(AO$4:AO$12 = MAX(AO$4:AO$12), ROW(AE$4:AE$12)-ROW(AE$4)+1), ROW(1:1))), "-")</f>
        <v>GREEN</v>
      </c>
      <c r="K21" s="1377">
        <f t="array" ref="K21">IFERROR(INDEX(AQ$4:AQ$12, SMALL(IF(AQ$4:AQ$12 = MAX(AQ$4:AQ$12), ROW(AQ$4:AQ$12)-ROW(AQ$4)+1), ROW(1:1))), "-")</f>
        <v>1</v>
      </c>
      <c r="L21" s="1503">
        <v>1.0</v>
      </c>
      <c r="M21" s="13" t="s">
        <v>1097</v>
      </c>
      <c r="N21" s="700">
        <f t="shared" ref="N21:U21" si="67">IFERROR(IF($M21="YES",IF($D21=N$4,$F21,0)+IF($G21=N$4,$I21,0)+IF($J21=N$4,$L21,0),0),0)</f>
        <v>0</v>
      </c>
      <c r="O21" s="700">
        <f t="shared" si="67"/>
        <v>0</v>
      </c>
      <c r="P21" s="700">
        <f t="shared" si="67"/>
        <v>2</v>
      </c>
      <c r="Q21" s="700">
        <f t="shared" si="67"/>
        <v>0</v>
      </c>
      <c r="R21" s="700">
        <f t="shared" si="67"/>
        <v>0</v>
      </c>
      <c r="S21" s="700">
        <f t="shared" si="67"/>
        <v>0</v>
      </c>
      <c r="T21" s="700">
        <f t="shared" si="67"/>
        <v>1</v>
      </c>
      <c r="U21" s="700">
        <f t="shared" si="67"/>
        <v>0</v>
      </c>
      <c r="W21" s="700"/>
      <c r="X21" s="1453" t="str">
        <f t="shared" si="65"/>
        <v>#VALUE!</v>
      </c>
      <c r="Y21" s="208" t="str">
        <f>Settings!A9</f>
        <v>YARDIES</v>
      </c>
      <c r="Z21" s="203">
        <v>12.0</v>
      </c>
      <c r="AA21" s="1470"/>
      <c r="AB21" s="1471">
        <f t="shared" si="57"/>
        <v>12</v>
      </c>
      <c r="AC21" s="1499"/>
      <c r="AD21" s="1494" t="str">
        <f>Settings!A5</f>
        <v>GREEN</v>
      </c>
      <c r="AE21" s="208">
        <f>COUNTIFS('Weekly Scores'!$F$2:$F$71,$AD21,'Weekly Scores'!$N$2:$N$71,$AD21,'Weekly Scores'!$I$2:$I$71,AE$18,'Weekly Scores'!$G$2:$G$71,"&lt;&gt;")+COUNTIFS('Weekly Scores'!$I$2:$I$71,$AD21,'Weekly Scores'!$N$2:$N$71,$AD21,'Weekly Scores'!$F$2:$F$71,AE$18,'Weekly Scores'!$G$2:$G$71,"&lt;&gt;")</f>
        <v>1</v>
      </c>
      <c r="AF21" s="208">
        <f>COUNTIFS('Weekly Scores'!$F$2:$F$71,$AD21,'Weekly Scores'!$N$2:$N$71,$AD21,'Weekly Scores'!$I$2:$I$71,AF$18,'Weekly Scores'!$G$2:$G$71,"&lt;&gt;")+COUNTIFS('Weekly Scores'!$I$2:$I$71,$AD21,'Weekly Scores'!$N$2:$N$71,$AD21,'Weekly Scores'!$F$2:$F$71,AF$18,'Weekly Scores'!$G$2:$G$71,"&lt;&gt;")</f>
        <v>2</v>
      </c>
      <c r="AG21" s="208">
        <f>COUNTIFS('Weekly Scores'!$F$2:$F$71,$AD21,'Weekly Scores'!$N$2:$N$71,$AD21,'Weekly Scores'!$I$2:$I$71,AG$18,'Weekly Scores'!$G$2:$G$71,"&lt;&gt;")+COUNTIFS('Weekly Scores'!$I$2:$I$71,$AD21,'Weekly Scores'!$N$2:$N$71,$AD21,'Weekly Scores'!$F$2:$F$71,AG$18,'Weekly Scores'!$G$2:$G$71,"&lt;&gt;")</f>
        <v>0</v>
      </c>
      <c r="AH21" s="208">
        <f>COUNTIFS('Weekly Scores'!$F$2:$F$71,$AD21,'Weekly Scores'!$N$2:$N$71,$AD21,'Weekly Scores'!$I$2:$I$71,AH$18,'Weekly Scores'!$G$2:$G$71,"&lt;&gt;")+COUNTIFS('Weekly Scores'!$I$2:$I$71,$AD21,'Weekly Scores'!$N$2:$N$71,$AD21,'Weekly Scores'!$F$2:$F$71,AH$18,'Weekly Scores'!$G$2:$G$71,"&lt;&gt;")</f>
        <v>1</v>
      </c>
      <c r="AI21" s="208">
        <f>COUNTIFS('Weekly Scores'!$F$2:$F$71,$AD21,'Weekly Scores'!$N$2:$N$71,$AD21,'Weekly Scores'!$I$2:$I$71,AI$18,'Weekly Scores'!$G$2:$G$71,"&lt;&gt;")+COUNTIFS('Weekly Scores'!$I$2:$I$71,$AD21,'Weekly Scores'!$N$2:$N$71,$AD21,'Weekly Scores'!$F$2:$F$71,AI$18,'Weekly Scores'!$G$2:$G$71,"&lt;&gt;")</f>
        <v>2</v>
      </c>
      <c r="AJ21" s="208">
        <f>COUNTIFS('Weekly Scores'!$F$2:$F$71,$AD21,'Weekly Scores'!$N$2:$N$71,$AD21,'Weekly Scores'!$I$2:$I$71,AJ$18,'Weekly Scores'!$G$2:$G$71,"&lt;&gt;")+COUNTIFS('Weekly Scores'!$I$2:$I$71,$AD21,'Weekly Scores'!$N$2:$N$71,$AD21,'Weekly Scores'!$F$2:$F$71,AJ$18,'Weekly Scores'!$G$2:$G$71,"&lt;&gt;")</f>
        <v>2</v>
      </c>
      <c r="AK21" s="208">
        <f>COUNTIFS('Weekly Scores'!$F$2:$F$71,$AD21,'Weekly Scores'!$N$2:$N$71,$AD21,'Weekly Scores'!$I$2:$I$71,AK$18,'Weekly Scores'!$G$2:$G$71,"&lt;&gt;")+COUNTIFS('Weekly Scores'!$I$2:$I$71,$AD21,'Weekly Scores'!$N$2:$N$71,$AD21,'Weekly Scores'!$F$2:$F$71,AK$18,'Weekly Scores'!$G$2:$G$71,"&lt;&gt;")</f>
        <v>1</v>
      </c>
      <c r="AL21" s="208">
        <f>COUNTIFS('Weekly Scores'!$F$2:$F$71,$AD21,'Weekly Scores'!$N$2:$N$71,$AD21,'Weekly Scores'!$I$2:$I$71,AL$18,'Weekly Scores'!$G$2:$G$71,"&lt;&gt;")+COUNTIFS('Weekly Scores'!$I$2:$I$71,$AD21,'Weekly Scores'!$N$2:$N$71,$AD21,'Weekly Scores'!$F$2:$F$71,AL$18,'Weekly Scores'!$G$2:$G$71,"&lt;&gt;")</f>
        <v>1</v>
      </c>
      <c r="AM21" s="208">
        <f>COUNTIFS('Weekly Scores'!$F$2:$F$71,$AD21,'Weekly Scores'!$N$2:$N$71,$AD21,'Weekly Scores'!$I$2:$I$71,AM$18,'Weekly Scores'!$G$2:$G$71,"&lt;&gt;")+COUNTIFS('Weekly Scores'!$I$2:$I$71,$AD21,'Weekly Scores'!$N$2:$N$71,$AD21,'Weekly Scores'!$F$2:$F$71,AM$18,'Weekly Scores'!$G$2:$G$71,"&lt;&gt;")</f>
        <v>1</v>
      </c>
      <c r="AN21" s="208">
        <f>COUNTIFS('Weekly Scores'!$F$2:$F$71,$AD21,'Weekly Scores'!$N$2:$N$71,$AD21,'Weekly Scores'!$I$2:$I$71,AN$18,'Weekly Scores'!$G$2:$G$71,"&lt;&gt;")+COUNTIFS('Weekly Scores'!$I$2:$I$71,$AD21,'Weekly Scores'!$N$2:$N$71,$AD21,'Weekly Scores'!$F$2:$F$71,AN$18,'Weekly Scores'!$G$2:$G$71,"&lt;&gt;")</f>
        <v>1</v>
      </c>
      <c r="AO21" s="1252">
        <f t="shared" si="66"/>
        <v>3</v>
      </c>
      <c r="AP21" s="1252"/>
      <c r="AQ21" s="1252"/>
      <c r="AR21" s="1252"/>
      <c r="AS21" s="1252"/>
      <c r="AT21" s="1252"/>
      <c r="AU21" s="1252"/>
      <c r="AV21" s="1252"/>
      <c r="AW21" s="1252"/>
      <c r="AX21" s="1252"/>
      <c r="AY21" s="1252"/>
      <c r="AZ21" s="1252"/>
      <c r="BA21" s="1252"/>
      <c r="BB21" s="1252"/>
      <c r="BC21" s="1252"/>
      <c r="BD21" s="1252"/>
      <c r="BE21" s="1252"/>
      <c r="BF21" s="1252"/>
      <c r="BK21" s="13" t="str">
        <f t="array" ref="BK21">IFERROR(INDEX(AE$4:AE$12, SMALL(IF(AY$4:AY$12 = LARGE(AY$4:AY$12,2), ROW(AE$4:AE$12)-ROW(AE$4)+1), ROW(8:8))), "-")</f>
        <v>-</v>
      </c>
      <c r="BL21" s="1252" t="str">
        <f t="array" ref="BL21">IFERROR(INDEX(AY$4:AY$12, SMALL(IF(AY$4:AY$12 = LARGE(AY$4:AY$12,2), ROW(AY$4:AY$12)-ROW(AY$4)+1), ROW(8:8))), "-")</f>
        <v>-</v>
      </c>
      <c r="BM21" s="337" t="str">
        <f t="array" ref="BM21">IFERROR(INDEX(AE$4:AE$12, SMALL(IF(AY$4:AY$12 = LARGE(AY$4:AY$12,3), ROW(AE$4:AE$12)-ROW(AE$4)+1), ROW(8:8))), "-")</f>
        <v>-</v>
      </c>
      <c r="BN21" s="337" t="str">
        <f t="array" ref="BN21">IFERROR(INDEX(AY$4:AY$12, SMALL(IF(AY$4:AY$12 = LARGE(AY$4:AY$12,3), ROW(AY$4:AY$12)-ROW(AY$4)+1), ROW(8:8))), "-")</f>
        <v>-</v>
      </c>
      <c r="BR21" s="13" t="str">
        <f t="array" ref="BR21">IFERROR(INDEX(AE$4:AE$12, SMALL(IF(AZ$4:AZ$12 = LARGE(AZ$4:AZ$12,2), ROW(AE$4:AE$12)-ROW(AE$4)+1), ROW(8:8))), "-")</f>
        <v>-</v>
      </c>
      <c r="BS21" s="13" t="str">
        <f t="array" ref="BS21">IFERROR(INDEX(AZ$4:AZ$12, SMALL(IF(AZ$4:AZ$12 = LARGE(AZ$4:AZ$12,2), ROW(AZ$4:AZ$12)-ROW(AZ$4)+1), ROW(8:8))), "-")</f>
        <v>-</v>
      </c>
      <c r="BT21" s="13" t="str">
        <f t="array" ref="BT21">IFERROR(INDEX(AE$4:AE$12, SMALL(IF(AZ$4:AZ$12 = LARGE(AZ$4:AZ$12,3), ROW(AE$4:AE$12)-ROW(AE$4)+1), ROW(8:8))), "-")</f>
        <v>-</v>
      </c>
      <c r="BU21" s="13" t="str">
        <f t="array" ref="BU21">IFERROR(INDEX(AZ$4:AZ$12, SMALL(IF(AZ$4:AZ$12 = LARGE(AZ$4:AZ$12,3), ROW(AZ$4:AZ$12)-ROW(AZ$4)+1), ROW(8:8))), "-")</f>
        <v>-</v>
      </c>
      <c r="CH21" s="314"/>
    </row>
    <row r="22" ht="19.5" customHeight="1">
      <c r="B22" s="1371"/>
      <c r="D22" s="1372" t="str">
        <f t="array" ref="D22">IFERROR(INDEX(AE$4:AE$12, SMALL(IF((BE$4:BE$12 = MAX(BE$4:BE$12)) * (AI$4:AI$12 = D$3), ROW(AE$4:AE$12)-ROW(AE$4)+1), ROW(2:2))), "-")</f>
        <v>-</v>
      </c>
      <c r="E22" s="1377" t="str">
        <f t="array" ref="E22">IFERROR(INDEX(BM$4:BM$12, SMALL(IF((BM$4:BM$12 = MAX(BM$4:BM$12)) * (AI$4:AI$12 = D$3), ROW(BM$4:BM$12)-ROW(BM$4)+1), ROW(2:2))), "-")</f>
        <v>-</v>
      </c>
      <c r="F22" s="1378" t="str">
        <f>IF(D22="-","",F21)</f>
        <v/>
      </c>
      <c r="G22" s="1466" t="str">
        <f t="array" ref="G22">IFERROR(INDEX(AE$4:AE$12, SMALL(IF((BF$4:BF$12 = MAX(BF$4:BF$12)) * (AI$4:AI$12 = G$3), ROW(AE$4:AE$12)-ROW(AE$4)+1), ROW(2:2))), "-")</f>
        <v>-</v>
      </c>
      <c r="H22" s="1467" t="str">
        <f t="array" ref="H22">IFERROR(INDEX(AQ$4:AQ$12, SMALL(IF((AQ$4:AQ$12 = MAX(AQ$4:AQ$12)) * (AI$4:AI$12 = G$3), ROW(AQ$4:AQ$12)-ROW(AQ$4)+1), ROW(2:2))), "-")</f>
        <v>-</v>
      </c>
      <c r="I22" s="1530" t="str">
        <f>IF(G22="-","",I21)</f>
        <v/>
      </c>
      <c r="J22" s="1372" t="str">
        <f t="array" ref="J22">IFERROR(INDEX(AE$4:AE$12, SMALL(IF(AO$4:AO$12 = MAX(AO$4:AO$12), ROW(AE$4:AE$12)-ROW(AE$4)+1), ROW(2:2))), "-")</f>
        <v>-</v>
      </c>
      <c r="K22" s="1377" t="str">
        <f t="array" ref="K22">IFERROR(INDEX(AQ$4:AQ$12, SMALL(IF(AQ$4:AQ$12 = MAX(AQ$4:AQ$12), ROW(AQ$4:AQ$12)-ROW(AQ$4)+1), ROW(2:2))), "-")</f>
        <v>-</v>
      </c>
      <c r="L22" s="1378" t="str">
        <f>IF(J22="-","",L21)</f>
        <v/>
      </c>
      <c r="M22" s="13" t="s">
        <v>1097</v>
      </c>
      <c r="N22" s="700">
        <f t="shared" ref="N22:U22" si="68">IFERROR(IF($M22="YES",IF($D22=N$4,$F22,0)+IF($G22=N$4,$I22,0)+IF($J22=N$4,$L22,0),0),0)</f>
        <v>0</v>
      </c>
      <c r="O22" s="700">
        <f t="shared" si="68"/>
        <v>0</v>
      </c>
      <c r="P22" s="700">
        <f t="shared" si="68"/>
        <v>0</v>
      </c>
      <c r="Q22" s="700">
        <f t="shared" si="68"/>
        <v>0</v>
      </c>
      <c r="R22" s="700">
        <f t="shared" si="68"/>
        <v>0</v>
      </c>
      <c r="S22" s="700">
        <f t="shared" si="68"/>
        <v>0</v>
      </c>
      <c r="T22" s="700">
        <f t="shared" si="68"/>
        <v>0</v>
      </c>
      <c r="U22" s="700">
        <f t="shared" si="68"/>
        <v>0</v>
      </c>
      <c r="X22" s="1453" t="str">
        <f t="shared" si="65"/>
        <v>#VALUE!</v>
      </c>
      <c r="Y22" s="251" t="str">
        <f>Settings!A10</f>
        <v>MUTTS</v>
      </c>
      <c r="Z22" s="203">
        <v>7.0</v>
      </c>
      <c r="AA22" s="1531"/>
      <c r="AB22" s="1471">
        <f t="shared" si="57"/>
        <v>7</v>
      </c>
      <c r="AC22" s="1499"/>
      <c r="AD22" s="1494" t="str">
        <f>Settings!A6</f>
        <v>SAVAGES</v>
      </c>
      <c r="AE22" s="208">
        <f>COUNTIFS('Weekly Scores'!$F$2:$F$71,$AD22,'Weekly Scores'!$N$2:$N$71,$AD22,'Weekly Scores'!$I$2:$I$71,AE$18,'Weekly Scores'!$G$2:$G$71,"&lt;&gt;")+COUNTIFS('Weekly Scores'!$I$2:$I$71,$AD22,'Weekly Scores'!$N$2:$N$71,$AD22,'Weekly Scores'!$F$2:$F$71,AE$18,'Weekly Scores'!$G$2:$G$71,"&lt;&gt;")</f>
        <v>1</v>
      </c>
      <c r="AF22" s="208">
        <f>COUNTIFS('Weekly Scores'!$F$2:$F$71,$AD22,'Weekly Scores'!$N$2:$N$71,$AD22,'Weekly Scores'!$I$2:$I$71,AF$18,'Weekly Scores'!$G$2:$G$71,"&lt;&gt;")+COUNTIFS('Weekly Scores'!$I$2:$I$71,$AD22,'Weekly Scores'!$N$2:$N$71,$AD22,'Weekly Scores'!$F$2:$F$71,AF$18,'Weekly Scores'!$G$2:$G$71,"&lt;&gt;")</f>
        <v>0</v>
      </c>
      <c r="AG22" s="208">
        <f>COUNTIFS('Weekly Scores'!$F$2:$F$71,$AD22,'Weekly Scores'!$N$2:$N$71,$AD22,'Weekly Scores'!$I$2:$I$71,AG$18,'Weekly Scores'!$G$2:$G$71,"&lt;&gt;")+COUNTIFS('Weekly Scores'!$I$2:$I$71,$AD22,'Weekly Scores'!$N$2:$N$71,$AD22,'Weekly Scores'!$F$2:$F$71,AG$18,'Weekly Scores'!$G$2:$G$71,"&lt;&gt;")</f>
        <v>1</v>
      </c>
      <c r="AH22" s="208">
        <f>COUNTIFS('Weekly Scores'!$F$2:$F$71,$AD22,'Weekly Scores'!$N$2:$N$71,$AD22,'Weekly Scores'!$I$2:$I$71,AH$18,'Weekly Scores'!$G$2:$G$71,"&lt;&gt;")+COUNTIFS('Weekly Scores'!$I$2:$I$71,$AD22,'Weekly Scores'!$N$2:$N$71,$AD22,'Weekly Scores'!$F$2:$F$71,AH$18,'Weekly Scores'!$G$2:$G$71,"&lt;&gt;")</f>
        <v>0</v>
      </c>
      <c r="AI22" s="208">
        <f>COUNTIFS('Weekly Scores'!$F$2:$F$71,$AD22,'Weekly Scores'!$N$2:$N$71,$AD22,'Weekly Scores'!$I$2:$I$71,AI$18,'Weekly Scores'!$G$2:$G$71,"&lt;&gt;")+COUNTIFS('Weekly Scores'!$I$2:$I$71,$AD22,'Weekly Scores'!$N$2:$N$71,$AD22,'Weekly Scores'!$F$2:$F$71,AI$18,'Weekly Scores'!$G$2:$G$71,"&lt;&gt;")</f>
        <v>0</v>
      </c>
      <c r="AJ22" s="208">
        <f>COUNTIFS('Weekly Scores'!$F$2:$F$71,$AD22,'Weekly Scores'!$N$2:$N$71,$AD22,'Weekly Scores'!$I$2:$I$71,AJ$18,'Weekly Scores'!$G$2:$G$71,"&lt;&gt;")+COUNTIFS('Weekly Scores'!$I$2:$I$71,$AD22,'Weekly Scores'!$N$2:$N$71,$AD22,'Weekly Scores'!$F$2:$F$71,AJ$18,'Weekly Scores'!$G$2:$G$71,"&lt;&gt;")</f>
        <v>1</v>
      </c>
      <c r="AK22" s="208">
        <f>COUNTIFS('Weekly Scores'!$F$2:$F$71,$AD22,'Weekly Scores'!$N$2:$N$71,$AD22,'Weekly Scores'!$I$2:$I$71,AK$18,'Weekly Scores'!$G$2:$G$71,"&lt;&gt;")+COUNTIFS('Weekly Scores'!$I$2:$I$71,$AD22,'Weekly Scores'!$N$2:$N$71,$AD22,'Weekly Scores'!$F$2:$F$71,AK$18,'Weekly Scores'!$G$2:$G$71,"&lt;&gt;")</f>
        <v>1</v>
      </c>
      <c r="AL22" s="208">
        <f>COUNTIFS('Weekly Scores'!$F$2:$F$71,$AD22,'Weekly Scores'!$N$2:$N$71,$AD22,'Weekly Scores'!$I$2:$I$71,AL$18,'Weekly Scores'!$G$2:$G$71,"&lt;&gt;")+COUNTIFS('Weekly Scores'!$I$2:$I$71,$AD22,'Weekly Scores'!$N$2:$N$71,$AD22,'Weekly Scores'!$F$2:$F$71,AL$18,'Weekly Scores'!$G$2:$G$71,"&lt;&gt;")</f>
        <v>0</v>
      </c>
      <c r="AM22" s="208">
        <f>COUNTIFS('Weekly Scores'!$F$2:$F$71,$AD22,'Weekly Scores'!$N$2:$N$71,$AD22,'Weekly Scores'!$I$2:$I$71,AM$18,'Weekly Scores'!$G$2:$G$71,"&lt;&gt;")+COUNTIFS('Weekly Scores'!$I$2:$I$71,$AD22,'Weekly Scores'!$N$2:$N$71,$AD22,'Weekly Scores'!$F$2:$F$71,AM$18,'Weekly Scores'!$G$2:$G$71,"&lt;&gt;")</f>
        <v>0</v>
      </c>
      <c r="AN22" s="208">
        <f>COUNTIFS('Weekly Scores'!$F$2:$F$71,$AD22,'Weekly Scores'!$N$2:$N$71,$AD22,'Weekly Scores'!$I$2:$I$71,AN$18,'Weekly Scores'!$G$2:$G$71,"&lt;&gt;")+COUNTIFS('Weekly Scores'!$I$2:$I$71,$AD22,'Weekly Scores'!$N$2:$N$71,$AD22,'Weekly Scores'!$F$2:$F$71,AN$18,'Weekly Scores'!$G$2:$G$71,"&lt;&gt;")</f>
        <v>1</v>
      </c>
      <c r="AO22" s="1252">
        <f t="shared" si="66"/>
        <v>0</v>
      </c>
      <c r="AP22" s="1252"/>
      <c r="AQ22" s="1252"/>
      <c r="AR22" s="1252"/>
      <c r="AS22" s="1252"/>
      <c r="AT22" s="1252"/>
      <c r="AU22" s="1252"/>
      <c r="AV22" s="1252"/>
      <c r="AW22" s="1252"/>
      <c r="AX22" s="1252"/>
      <c r="AY22" s="1252"/>
      <c r="AZ22" s="1252"/>
      <c r="BA22" s="1252"/>
      <c r="BB22" s="1252"/>
      <c r="BC22" s="1252"/>
      <c r="BD22" s="1252"/>
      <c r="BE22" s="1252"/>
      <c r="BF22" s="1252"/>
      <c r="CH22" s="314"/>
    </row>
    <row r="23" ht="19.5" customHeight="1">
      <c r="B23" s="1371"/>
      <c r="D23" s="1372" t="str">
        <f t="array" ref="D23">IFERROR(INDEX(AE$4:AE$12, SMALL(IF((BE$4:BE$12 = MAX(BE$4:BE$12)) * (AI$4:AI$12 = D$3), ROW(AE$4:AE$12)-ROW(AE$4)+1), ROW(3:3))), "-")</f>
        <v>-</v>
      </c>
      <c r="E23" s="1377" t="str">
        <f t="array" ref="E23">IFERROR(INDEX(BM$4:BM$12, SMALL(IF((BM$4:BM$12 = MAX(BM$4:BM$12)) * (AI$4:AI$12 = D$3), ROW(BM$4:BM$12)-ROW(BM$4)+1), ROW(3:3))), "-")</f>
        <v>-</v>
      </c>
      <c r="F23" s="1378" t="str">
        <f>IF(D23="-","",F21)</f>
        <v/>
      </c>
      <c r="G23" s="1466" t="str">
        <f t="array" ref="G23">IFERROR(INDEX(AE$4:AE$12, SMALL(IF((BF$4:BF$12 = MAX(BF$4:BF$12)) * (AI$4:AI$12 = G$3), ROW(AE$4:AE$12)-ROW(AE$4)+1), ROW(3:3))), "-")</f>
        <v>-</v>
      </c>
      <c r="H23" s="1467" t="str">
        <f t="array" ref="H23">IFERROR(INDEX(AQ$4:AQ$12, SMALL(IF((AQ$4:AQ$12 = MAX(AQ$4:AQ$12)) * (AI$4:AI$12 = G$3), ROW(AQ$4:AQ$12)-ROW(AQ$4)+1), ROW(3:3))), "-")</f>
        <v>-</v>
      </c>
      <c r="I23" s="1530" t="str">
        <f>IF(G23="-","",I21)</f>
        <v/>
      </c>
      <c r="J23" s="1372" t="str">
        <f t="array" ref="J23">IFERROR(INDEX(AE$4:AE$12, SMALL(IF(AO$4:AO$12 = MAX(AO$4:AO$12), ROW(AE$4:AE$12)-ROW(AE$4)+1), ROW(3:3))), "-")</f>
        <v>-</v>
      </c>
      <c r="K23" s="1377" t="str">
        <f t="array" ref="K23">IFERROR(INDEX(AQ$4:AQ$12, SMALL(IF(AQ$4:AQ$12 = MAX(AQ$4:AQ$12), ROW(AQ$4:AQ$12)-ROW(AQ$4)+1), ROW(3:3))), "-")</f>
        <v>-</v>
      </c>
      <c r="L23" s="1378" t="str">
        <f>IF(J23="-","",L21)</f>
        <v/>
      </c>
      <c r="M23" s="13" t="s">
        <v>1097</v>
      </c>
      <c r="N23" s="700">
        <f t="shared" ref="N23:U23" si="69">IFERROR(IF($M23="YES",IF($D23=N$4,$F23,0)+IF($G23=N$4,$I23,0)+IF($J23=N$4,$L23,0),0),0)</f>
        <v>0</v>
      </c>
      <c r="O23" s="700">
        <f t="shared" si="69"/>
        <v>0</v>
      </c>
      <c r="P23" s="700">
        <f t="shared" si="69"/>
        <v>0</v>
      </c>
      <c r="Q23" s="700">
        <f t="shared" si="69"/>
        <v>0</v>
      </c>
      <c r="R23" s="700">
        <f t="shared" si="69"/>
        <v>0</v>
      </c>
      <c r="S23" s="700">
        <f t="shared" si="69"/>
        <v>0</v>
      </c>
      <c r="T23" s="700">
        <f t="shared" si="69"/>
        <v>0</v>
      </c>
      <c r="U23" s="700">
        <f t="shared" si="69"/>
        <v>0</v>
      </c>
      <c r="X23" s="1252"/>
      <c r="Y23" s="1252"/>
      <c r="Z23" s="1252"/>
      <c r="AA23" s="1252"/>
      <c r="AB23" s="1252">
        <v>1.0</v>
      </c>
      <c r="AC23" s="1499"/>
      <c r="AD23" s="1494" t="str">
        <f>Settings!A12</f>
        <v>KINGS</v>
      </c>
      <c r="AE23" s="208">
        <f>COUNTIFS('Weekly Scores'!$F$2:$F$71,$AD23,'Weekly Scores'!$N$2:$N$71,$AD23,'Weekly Scores'!$I$2:$I$71,AE$18,'Weekly Scores'!$G$2:$G$71,"&lt;&gt;")+COUNTIFS('Weekly Scores'!$I$2:$I$71,$AD23,'Weekly Scores'!$N$2:$N$71,$AD23,'Weekly Scores'!$F$2:$F$71,AE$18,'Weekly Scores'!$G$2:$G$71,"&lt;&gt;")</f>
        <v>1</v>
      </c>
      <c r="AF23" s="208">
        <f>COUNTIFS('Weekly Scores'!$F$2:$F$71,$AD23,'Weekly Scores'!$N$2:$N$71,$AD23,'Weekly Scores'!$I$2:$I$71,AF$18,'Weekly Scores'!$G$2:$G$71,"&lt;&gt;")+COUNTIFS('Weekly Scores'!$I$2:$I$71,$AD23,'Weekly Scores'!$N$2:$N$71,$AD23,'Weekly Scores'!$F$2:$F$71,AF$18,'Weekly Scores'!$G$2:$G$71,"&lt;&gt;")</f>
        <v>2</v>
      </c>
      <c r="AG23" s="208">
        <f>COUNTIFS('Weekly Scores'!$F$2:$F$71,$AD23,'Weekly Scores'!$N$2:$N$71,$AD23,'Weekly Scores'!$I$2:$I$71,AG$18,'Weekly Scores'!$G$2:$G$71,"&lt;&gt;")+COUNTIFS('Weekly Scores'!$I$2:$I$71,$AD23,'Weekly Scores'!$N$2:$N$71,$AD23,'Weekly Scores'!$F$2:$F$71,AG$18,'Weekly Scores'!$G$2:$G$71,"&lt;&gt;")</f>
        <v>0</v>
      </c>
      <c r="AH23" s="208">
        <f>COUNTIFS('Weekly Scores'!$F$2:$F$71,$AD23,'Weekly Scores'!$N$2:$N$71,$AD23,'Weekly Scores'!$I$2:$I$71,AH$18,'Weekly Scores'!$G$2:$G$71,"&lt;&gt;")+COUNTIFS('Weekly Scores'!$I$2:$I$71,$AD23,'Weekly Scores'!$N$2:$N$71,$AD23,'Weekly Scores'!$F$2:$F$71,AH$18,'Weekly Scores'!$G$2:$G$71,"&lt;&gt;")</f>
        <v>2</v>
      </c>
      <c r="AI23" s="208">
        <f>COUNTIFS('Weekly Scores'!$F$2:$F$71,$AD23,'Weekly Scores'!$N$2:$N$71,$AD23,'Weekly Scores'!$I$2:$I$71,AI$18,'Weekly Scores'!$G$2:$G$71,"&lt;&gt;")+COUNTIFS('Weekly Scores'!$I$2:$I$71,$AD23,'Weekly Scores'!$N$2:$N$71,$AD23,'Weekly Scores'!$F$2:$F$71,AI$18,'Weekly Scores'!$G$2:$G$71,"&lt;&gt;")</f>
        <v>0</v>
      </c>
      <c r="AJ23" s="208">
        <f>COUNTIFS('Weekly Scores'!$F$2:$F$71,$AD23,'Weekly Scores'!$N$2:$N$71,$AD23,'Weekly Scores'!$I$2:$I$71,AJ$18,'Weekly Scores'!$G$2:$G$71,"&lt;&gt;")+COUNTIFS('Weekly Scores'!$I$2:$I$71,$AD23,'Weekly Scores'!$N$2:$N$71,$AD23,'Weekly Scores'!$F$2:$F$71,AJ$18,'Weekly Scores'!$G$2:$G$71,"&lt;&gt;")</f>
        <v>0</v>
      </c>
      <c r="AK23" s="208">
        <f>COUNTIFS('Weekly Scores'!$F$2:$F$71,$AD23,'Weekly Scores'!$N$2:$N$71,$AD23,'Weekly Scores'!$I$2:$I$71,AK$18,'Weekly Scores'!$G$2:$G$71,"&lt;&gt;")+COUNTIFS('Weekly Scores'!$I$2:$I$71,$AD23,'Weekly Scores'!$N$2:$N$71,$AD23,'Weekly Scores'!$F$2:$F$71,AK$18,'Weekly Scores'!$G$2:$G$71,"&lt;&gt;")</f>
        <v>0</v>
      </c>
      <c r="AL23" s="208">
        <f>COUNTIFS('Weekly Scores'!$F$2:$F$71,$AD23,'Weekly Scores'!$N$2:$N$71,$AD23,'Weekly Scores'!$I$2:$I$71,AL$18,'Weekly Scores'!$G$2:$G$71,"&lt;&gt;")+COUNTIFS('Weekly Scores'!$I$2:$I$71,$AD23,'Weekly Scores'!$N$2:$N$71,$AD23,'Weekly Scores'!$F$2:$F$71,AL$18,'Weekly Scores'!$G$2:$G$71,"&lt;&gt;")</f>
        <v>0</v>
      </c>
      <c r="AM23" s="208">
        <f>COUNTIFS('Weekly Scores'!$F$2:$F$71,$AD23,'Weekly Scores'!$N$2:$N$71,$AD23,'Weekly Scores'!$I$2:$I$71,AM$18,'Weekly Scores'!$G$2:$G$71,"&lt;&gt;")+COUNTIFS('Weekly Scores'!$I$2:$I$71,$AD23,'Weekly Scores'!$N$2:$N$71,$AD23,'Weekly Scores'!$F$2:$F$71,AM$18,'Weekly Scores'!$G$2:$G$71,"&lt;&gt;")</f>
        <v>0</v>
      </c>
      <c r="AN23" s="208">
        <f>COUNTIFS('Weekly Scores'!$F$2:$F$71,$AD23,'Weekly Scores'!$N$2:$N$71,$AD23,'Weekly Scores'!$I$2:$I$71,AN$18,'Weekly Scores'!$G$2:$G$71,"&lt;&gt;")+COUNTIFS('Weekly Scores'!$I$2:$I$71,$AD23,'Weekly Scores'!$N$2:$N$71,$AD23,'Weekly Scores'!$F$2:$F$71,AN$18,'Weekly Scores'!$G$2:$G$71,"&lt;&gt;")</f>
        <v>0</v>
      </c>
      <c r="AO23" s="1252">
        <f t="shared" si="66"/>
        <v>2</v>
      </c>
      <c r="AP23" s="1252"/>
      <c r="AQ23" s="1252"/>
      <c r="AR23" s="1252"/>
      <c r="AS23" s="1252"/>
      <c r="AT23" s="1252"/>
      <c r="AU23" s="1252"/>
      <c r="AV23" s="1252"/>
      <c r="AW23" s="1252"/>
      <c r="AX23" s="1252"/>
      <c r="AY23" s="1252"/>
      <c r="AZ23" s="1252"/>
      <c r="BA23" s="1252"/>
      <c r="BB23" s="1252"/>
      <c r="BC23" s="1252"/>
      <c r="BD23" s="1252"/>
      <c r="BE23" s="1252"/>
      <c r="BF23" s="1252"/>
      <c r="CH23" s="314"/>
    </row>
    <row r="24" ht="19.5" customHeight="1">
      <c r="B24" s="828"/>
      <c r="C24" s="829"/>
      <c r="D24" s="1423" t="str">
        <f t="array" ref="D24">IFERROR(INDEX(AE$4:AE$12, SMALL(IF((BE$4:BE$12 = MAX(BE$4:BE$12)) * (AI$4:AI$12 = D$3), ROW(AE$4:AE$12)-ROW(AE$4)+1), ROW(4:4))), "-")</f>
        <v>-</v>
      </c>
      <c r="E24" s="1424" t="str">
        <f t="array" ref="E24">IFERROR(INDEX(BM$4:BM$12, SMALL(IF((BM$4:BM$12 = MAX(BM$4:BM$12)) * (AI$4:AI$12 = D$3), ROW(BM$4:BM$12)-ROW(BM$4)+1), ROW(4:4))), "-")</f>
        <v>-</v>
      </c>
      <c r="F24" s="1425" t="str">
        <f>IF(D24="-","",F21)</f>
        <v/>
      </c>
      <c r="G24" s="1476" t="str">
        <f t="array" ref="G24">IFERROR(INDEX(AE$4:AE$12, SMALL(IF((BF$4:BF$12 = MAX(BF$4:BF$12)) * (AI$4:AI$12 = G$3), ROW(AE$4:AE$12)-ROW(AE$4)+1), ROW(4:4))), "-")</f>
        <v>-</v>
      </c>
      <c r="H24" s="1477" t="str">
        <f t="array" ref="H24">IFERROR(INDEX(AQ$4:AQ$12, SMALL(IF((AQ$4:AQ$12 = MAX(AQ$4:AQ$12)) * (AI$4:AI$12 = G$3), ROW(AQ$4:AQ$12)-ROW(AQ$4)+1), ROW(4:4))), "-")</f>
        <v>-</v>
      </c>
      <c r="I24" s="1532" t="str">
        <f>IF(G24="-","",I21)</f>
        <v/>
      </c>
      <c r="J24" s="1372" t="str">
        <f t="array" ref="J24">IFERROR(INDEX(AE$4:AE$12, SMALL(IF(AO$4:AO$12 = MAX(AO$4:AO$12), ROW(AE$4:AE$12)-ROW(AE$4)+1), ROW(4:4))), "-")</f>
        <v>-</v>
      </c>
      <c r="K24" s="1377" t="str">
        <f t="array" ref="K24">IFERROR(INDEX(AQ$4:AQ$12, SMALL(IF(AQ$4:AQ$12 = MAX(AQ$4:AQ$12), ROW(AQ$4:AQ$12)-ROW(AQ$4)+1), ROW(4:4))), "-")</f>
        <v>-</v>
      </c>
      <c r="L24" s="1378" t="str">
        <f>IF(J24="-","",L21)</f>
        <v/>
      </c>
      <c r="M24" s="13" t="s">
        <v>1097</v>
      </c>
      <c r="N24" s="700">
        <f t="shared" ref="N24:U24" si="70">IFERROR(IF($M24="YES",IF($D24=N$4,$F24,0)+IF($G24=N$4,$I24,0)+IF($J24=N$4,$L24,0),0),0)</f>
        <v>0</v>
      </c>
      <c r="O24" s="700">
        <f t="shared" si="70"/>
        <v>0</v>
      </c>
      <c r="P24" s="700">
        <f t="shared" si="70"/>
        <v>0</v>
      </c>
      <c r="Q24" s="700">
        <f t="shared" si="70"/>
        <v>0</v>
      </c>
      <c r="R24" s="700">
        <f t="shared" si="70"/>
        <v>0</v>
      </c>
      <c r="S24" s="700">
        <f t="shared" si="70"/>
        <v>0</v>
      </c>
      <c r="T24" s="700">
        <f t="shared" si="70"/>
        <v>0</v>
      </c>
      <c r="U24" s="700">
        <f t="shared" si="70"/>
        <v>0</v>
      </c>
      <c r="X24" s="1252"/>
      <c r="Y24" s="1252"/>
      <c r="Z24" s="1252"/>
      <c r="AA24" s="1252"/>
      <c r="AB24" s="1252"/>
      <c r="AC24" s="1499"/>
      <c r="AD24" s="1494" t="str">
        <f>Settings!A7</f>
        <v>CHAMPS</v>
      </c>
      <c r="AE24" s="208">
        <f>COUNTIFS('Weekly Scores'!$F$2:$F$71,$AD24,'Weekly Scores'!$N$2:$N$71,$AD24,'Weekly Scores'!$I$2:$I$71,AE$18,'Weekly Scores'!$G$2:$G$71,"&lt;&gt;")+COUNTIFS('Weekly Scores'!$I$2:$I$71,$AD24,'Weekly Scores'!$N$2:$N$71,$AD24,'Weekly Scores'!$F$2:$F$71,AE$18,'Weekly Scores'!$G$2:$G$71,"&lt;&gt;")</f>
        <v>1</v>
      </c>
      <c r="AF24" s="208">
        <f>COUNTIFS('Weekly Scores'!$F$2:$F$71,$AD24,'Weekly Scores'!$N$2:$N$71,$AD24,'Weekly Scores'!$I$2:$I$71,AF$18,'Weekly Scores'!$G$2:$G$71,"&lt;&gt;")+COUNTIFS('Weekly Scores'!$I$2:$I$71,$AD24,'Weekly Scores'!$N$2:$N$71,$AD24,'Weekly Scores'!$F$2:$F$71,AF$18,'Weekly Scores'!$G$2:$G$71,"&lt;&gt;")</f>
        <v>0</v>
      </c>
      <c r="AG24" s="208">
        <f>COUNTIFS('Weekly Scores'!$F$2:$F$71,$AD24,'Weekly Scores'!$N$2:$N$71,$AD24,'Weekly Scores'!$I$2:$I$71,AG$18,'Weekly Scores'!$G$2:$G$71,"&lt;&gt;")+COUNTIFS('Weekly Scores'!$I$2:$I$71,$AD24,'Weekly Scores'!$N$2:$N$71,$AD24,'Weekly Scores'!$F$2:$F$71,AG$18,'Weekly Scores'!$G$2:$G$71,"&lt;&gt;")</f>
        <v>0</v>
      </c>
      <c r="AH24" s="208">
        <f>COUNTIFS('Weekly Scores'!$F$2:$F$71,$AD24,'Weekly Scores'!$N$2:$N$71,$AD24,'Weekly Scores'!$I$2:$I$71,AH$18,'Weekly Scores'!$G$2:$G$71,"&lt;&gt;")+COUNTIFS('Weekly Scores'!$I$2:$I$71,$AD24,'Weekly Scores'!$N$2:$N$71,$AD24,'Weekly Scores'!$F$2:$F$71,AH$18,'Weekly Scores'!$G$2:$G$71,"&lt;&gt;")</f>
        <v>0</v>
      </c>
      <c r="AI24" s="208">
        <f>COUNTIFS('Weekly Scores'!$F$2:$F$71,$AD24,'Weekly Scores'!$N$2:$N$71,$AD24,'Weekly Scores'!$I$2:$I$71,AI$18,'Weekly Scores'!$G$2:$G$71,"&lt;&gt;")+COUNTIFS('Weekly Scores'!$I$2:$I$71,$AD24,'Weekly Scores'!$N$2:$N$71,$AD24,'Weekly Scores'!$F$2:$F$71,AI$18,'Weekly Scores'!$G$2:$G$71,"&lt;&gt;")</f>
        <v>1</v>
      </c>
      <c r="AJ24" s="208">
        <f>COUNTIFS('Weekly Scores'!$F$2:$F$71,$AD24,'Weekly Scores'!$N$2:$N$71,$AD24,'Weekly Scores'!$I$2:$I$71,AJ$18,'Weekly Scores'!$G$2:$G$71,"&lt;&gt;")+COUNTIFS('Weekly Scores'!$I$2:$I$71,$AD24,'Weekly Scores'!$N$2:$N$71,$AD24,'Weekly Scores'!$F$2:$F$71,AJ$18,'Weekly Scores'!$G$2:$G$71,"&lt;&gt;")</f>
        <v>0</v>
      </c>
      <c r="AK24" s="208">
        <f>COUNTIFS('Weekly Scores'!$F$2:$F$71,$AD24,'Weekly Scores'!$N$2:$N$71,$AD24,'Weekly Scores'!$I$2:$I$71,AK$18,'Weekly Scores'!$G$2:$G$71,"&lt;&gt;")+COUNTIFS('Weekly Scores'!$I$2:$I$71,$AD24,'Weekly Scores'!$N$2:$N$71,$AD24,'Weekly Scores'!$F$2:$F$71,AK$18,'Weekly Scores'!$G$2:$G$71,"&lt;&gt;")</f>
        <v>2</v>
      </c>
      <c r="AL24" s="208">
        <f>COUNTIFS('Weekly Scores'!$F$2:$F$71,$AD24,'Weekly Scores'!$N$2:$N$71,$AD24,'Weekly Scores'!$I$2:$I$71,AL$18,'Weekly Scores'!$G$2:$G$71,"&lt;&gt;")+COUNTIFS('Weekly Scores'!$I$2:$I$71,$AD24,'Weekly Scores'!$N$2:$N$71,$AD24,'Weekly Scores'!$F$2:$F$71,AL$18,'Weekly Scores'!$G$2:$G$71,"&lt;&gt;")</f>
        <v>0</v>
      </c>
      <c r="AM24" s="208">
        <f>COUNTIFS('Weekly Scores'!$F$2:$F$71,$AD24,'Weekly Scores'!$N$2:$N$71,$AD24,'Weekly Scores'!$I$2:$I$71,AM$18,'Weekly Scores'!$G$2:$G$71,"&lt;&gt;")+COUNTIFS('Weekly Scores'!$I$2:$I$71,$AD24,'Weekly Scores'!$N$2:$N$71,$AD24,'Weekly Scores'!$F$2:$F$71,AM$18,'Weekly Scores'!$G$2:$G$71,"&lt;&gt;")</f>
        <v>1</v>
      </c>
      <c r="AN24" s="208">
        <f>COUNTIFS('Weekly Scores'!$F$2:$F$71,$AD24,'Weekly Scores'!$N$2:$N$71,$AD24,'Weekly Scores'!$I$2:$I$71,AN$18,'Weekly Scores'!$G$2:$G$71,"&lt;&gt;")+COUNTIFS('Weekly Scores'!$I$2:$I$71,$AD24,'Weekly Scores'!$N$2:$N$71,$AD24,'Weekly Scores'!$F$2:$F$71,AN$18,'Weekly Scores'!$G$2:$G$71,"&lt;&gt;")</f>
        <v>1</v>
      </c>
      <c r="AO24" s="1252">
        <f t="shared" si="66"/>
        <v>1</v>
      </c>
      <c r="AP24" s="1252"/>
      <c r="AQ24" s="1252"/>
      <c r="AR24" s="1252"/>
      <c r="AS24" s="1252"/>
      <c r="AT24" s="1252"/>
      <c r="AU24" s="1252"/>
      <c r="AV24" s="1252"/>
      <c r="AW24" s="1252"/>
      <c r="AX24" s="1252"/>
      <c r="AY24" s="1252"/>
      <c r="AZ24" s="1252"/>
      <c r="BA24" s="1252"/>
      <c r="BB24" s="1252"/>
      <c r="BC24" s="1252"/>
      <c r="BD24" s="1252"/>
      <c r="BE24" s="1252"/>
      <c r="BF24" s="1252"/>
      <c r="BG24" s="1252"/>
      <c r="BH24" s="1252"/>
      <c r="CH24" s="314"/>
    </row>
    <row r="25" ht="19.5" customHeight="1">
      <c r="B25" s="1458" t="s">
        <v>1178</v>
      </c>
      <c r="C25" s="827"/>
      <c r="D25" s="1323" t="str">
        <f t="array" ref="D25">IFERROR(INDEX(AE$4:AE$12, SMALL(IF((AM$4:AM$12 = MAX(AM$4:AM$12)) * (AI$4:AI$12 = D$3), ROW(AE$4:AE$12)-ROW(AE$4)+1), ROW(1:1))), "-")</f>
        <v>DECOUPES</v>
      </c>
      <c r="E25" s="1533">
        <f t="array" ref="E25">IFERROR(INDEX(AM$4:AM$12, SMALL(IF((AM$4:AM$12 = MAX(AM$4:AM$12)) * (AI$4:AI$12 = D$3), ROW(AM$4:AM$12)-ROW(AM$4)+1), ROW(1:1))), "-")</f>
        <v>1</v>
      </c>
      <c r="F25" s="1325">
        <v>1.0</v>
      </c>
      <c r="G25" s="1460" t="str">
        <f t="array" ref="G25">IFERROR(INDEX(AE$4:AE$12, SMALL(IF((AM$4:AM$12 = MAX(AM$4:AM$12)) * (AI$4:AI$12 = G$3), ROW(AE$4:AE$12)-ROW(AE$4)+1), ROW(1:1))), "-")</f>
        <v>-</v>
      </c>
      <c r="H25" s="1536" t="str">
        <f t="array" ref="H25">IFERROR(INDEX(AM$4:AM$12, SMALL(IF((AM$4:AM$12 = MAX(AM$4:AM$12)) * (AI$4:AI$12 = G$3), ROW(AM$4:AM$12)-ROW(AM$4)+1), ROW(1:1))), "-")</f>
        <v>-</v>
      </c>
      <c r="I25" s="1329">
        <v>1.0</v>
      </c>
      <c r="J25" s="1323" t="str">
        <f t="array" ref="J25">IFERROR(INDEX(AE$4:AE$12, SMALL(IF(AM$4:AM$12 = MAX(AM$4:AM$12), ROW(AE$4:AE$12)-ROW(AE$4)+1), ROW(1:1))), "-")</f>
        <v>DECOUPES</v>
      </c>
      <c r="K25" s="1533">
        <f t="array" ref="K25">IFERROR(INDEX(AM$4:AM$12, SMALL(IF(AM$4:AM$12 = MAX(AM$4:AM$12), ROW(AM$4:AM$12)-ROW(AM$4)+1), ROW(1:1))), "-")</f>
        <v>1</v>
      </c>
      <c r="L25" s="1325">
        <v>1.0</v>
      </c>
      <c r="M25" s="13" t="s">
        <v>1097</v>
      </c>
      <c r="N25" s="700">
        <f t="shared" ref="N25:U25" si="71">IFERROR(IF($M25="YES",IF($D25=N$4,$F25,0)+IF($G25=N$4,$I25,0)+IF($J25=N$4,$L25,0),0),0)</f>
        <v>2</v>
      </c>
      <c r="O25" s="700">
        <f t="shared" si="71"/>
        <v>0</v>
      </c>
      <c r="P25" s="700">
        <f t="shared" si="71"/>
        <v>0</v>
      </c>
      <c r="Q25" s="700">
        <f t="shared" si="71"/>
        <v>0</v>
      </c>
      <c r="R25" s="700">
        <f t="shared" si="71"/>
        <v>0</v>
      </c>
      <c r="S25" s="700">
        <f t="shared" si="71"/>
        <v>0</v>
      </c>
      <c r="T25" s="700">
        <f t="shared" si="71"/>
        <v>0</v>
      </c>
      <c r="U25" s="700">
        <f t="shared" si="71"/>
        <v>0</v>
      </c>
      <c r="X25" s="1252"/>
      <c r="Y25" s="1252"/>
      <c r="Z25" s="1252"/>
      <c r="AA25" s="1252"/>
      <c r="AB25" s="1252"/>
      <c r="AC25" s="1499"/>
      <c r="AD25" s="1494" t="str">
        <f>Settings!A8</f>
        <v>METAMOOKDAWGS</v>
      </c>
      <c r="AE25" s="208">
        <f>COUNTIFS('Weekly Scores'!$F$2:$F$71,$AD25,'Weekly Scores'!$N$2:$N$71,$AD25,'Weekly Scores'!$I$2:$I$71,AE$18,'Weekly Scores'!$G$2:$G$71,"&lt;&gt;")+COUNTIFS('Weekly Scores'!$I$2:$I$71,$AD25,'Weekly Scores'!$N$2:$N$71,$AD25,'Weekly Scores'!$F$2:$F$71,AE$18,'Weekly Scores'!$G$2:$G$71,"&lt;&gt;")</f>
        <v>0</v>
      </c>
      <c r="AF25" s="208">
        <f>COUNTIFS('Weekly Scores'!$F$2:$F$71,$AD25,'Weekly Scores'!$N$2:$N$71,$AD25,'Weekly Scores'!$I$2:$I$71,AF$18,'Weekly Scores'!$G$2:$G$71,"&lt;&gt;")+COUNTIFS('Weekly Scores'!$I$2:$I$71,$AD25,'Weekly Scores'!$N$2:$N$71,$AD25,'Weekly Scores'!$F$2:$F$71,AF$18,'Weekly Scores'!$G$2:$G$71,"&lt;&gt;")</f>
        <v>0</v>
      </c>
      <c r="AG25" s="208">
        <f>COUNTIFS('Weekly Scores'!$F$2:$F$71,$AD25,'Weekly Scores'!$N$2:$N$71,$AD25,'Weekly Scores'!$I$2:$I$71,AG$18,'Weekly Scores'!$G$2:$G$71,"&lt;&gt;")+COUNTIFS('Weekly Scores'!$I$2:$I$71,$AD25,'Weekly Scores'!$N$2:$N$71,$AD25,'Weekly Scores'!$F$2:$F$71,AG$18,'Weekly Scores'!$G$2:$G$71,"&lt;&gt;")</f>
        <v>0</v>
      </c>
      <c r="AH25" s="208">
        <f>COUNTIFS('Weekly Scores'!$F$2:$F$71,$AD25,'Weekly Scores'!$N$2:$N$71,$AD25,'Weekly Scores'!$I$2:$I$71,AH$18,'Weekly Scores'!$G$2:$G$71,"&lt;&gt;")+COUNTIFS('Weekly Scores'!$I$2:$I$71,$AD25,'Weekly Scores'!$N$2:$N$71,$AD25,'Weekly Scores'!$F$2:$F$71,AH$18,'Weekly Scores'!$G$2:$G$71,"&lt;&gt;")</f>
        <v>1</v>
      </c>
      <c r="AI25" s="208">
        <f>COUNTIFS('Weekly Scores'!$F$2:$F$71,$AD25,'Weekly Scores'!$N$2:$N$71,$AD25,'Weekly Scores'!$I$2:$I$71,AI$18,'Weekly Scores'!$G$2:$G$71,"&lt;&gt;")+COUNTIFS('Weekly Scores'!$I$2:$I$71,$AD25,'Weekly Scores'!$N$2:$N$71,$AD25,'Weekly Scores'!$F$2:$F$71,AI$18,'Weekly Scores'!$G$2:$G$71,"&lt;&gt;")</f>
        <v>1</v>
      </c>
      <c r="AJ25" s="208">
        <f>COUNTIFS('Weekly Scores'!$F$2:$F$71,$AD25,'Weekly Scores'!$N$2:$N$71,$AD25,'Weekly Scores'!$I$2:$I$71,AJ$18,'Weekly Scores'!$G$2:$G$71,"&lt;&gt;")+COUNTIFS('Weekly Scores'!$I$2:$I$71,$AD25,'Weekly Scores'!$N$2:$N$71,$AD25,'Weekly Scores'!$F$2:$F$71,AJ$18,'Weekly Scores'!$G$2:$G$71,"&lt;&gt;")</f>
        <v>0</v>
      </c>
      <c r="AK25" s="208">
        <f>COUNTIFS('Weekly Scores'!$F$2:$F$71,$AD25,'Weekly Scores'!$N$2:$N$71,$AD25,'Weekly Scores'!$I$2:$I$71,AK$18,'Weekly Scores'!$G$2:$G$71,"&lt;&gt;")+COUNTIFS('Weekly Scores'!$I$2:$I$71,$AD25,'Weekly Scores'!$N$2:$N$71,$AD25,'Weekly Scores'!$F$2:$F$71,AK$18,'Weekly Scores'!$G$2:$G$71,"&lt;&gt;")</f>
        <v>0</v>
      </c>
      <c r="AL25" s="208">
        <f>COUNTIFS('Weekly Scores'!$F$2:$F$71,$AD25,'Weekly Scores'!$N$2:$N$71,$AD25,'Weekly Scores'!$I$2:$I$71,AL$18,'Weekly Scores'!$G$2:$G$71,"&lt;&gt;")+COUNTIFS('Weekly Scores'!$I$2:$I$71,$AD25,'Weekly Scores'!$N$2:$N$71,$AD25,'Weekly Scores'!$F$2:$F$71,AL$18,'Weekly Scores'!$G$2:$G$71,"&lt;&gt;")</f>
        <v>0</v>
      </c>
      <c r="AM25" s="208">
        <f>COUNTIFS('Weekly Scores'!$F$2:$F$71,$AD25,'Weekly Scores'!$N$2:$N$71,$AD25,'Weekly Scores'!$I$2:$I$71,AM$18,'Weekly Scores'!$G$2:$G$71,"&lt;&gt;")+COUNTIFS('Weekly Scores'!$I$2:$I$71,$AD25,'Weekly Scores'!$N$2:$N$71,$AD25,'Weekly Scores'!$F$2:$F$71,AM$18,'Weekly Scores'!$G$2:$G$71,"&lt;&gt;")</f>
        <v>1</v>
      </c>
      <c r="AN25" s="208">
        <f>COUNTIFS('Weekly Scores'!$F$2:$F$71,$AD25,'Weekly Scores'!$N$2:$N$71,$AD25,'Weekly Scores'!$I$2:$I$71,AN$18,'Weekly Scores'!$G$2:$G$71,"&lt;&gt;")+COUNTIFS('Weekly Scores'!$I$2:$I$71,$AD25,'Weekly Scores'!$N$2:$N$71,$AD25,'Weekly Scores'!$F$2:$F$71,AN$18,'Weekly Scores'!$G$2:$G$71,"&lt;&gt;")</f>
        <v>1</v>
      </c>
      <c r="AO25" s="1252">
        <f t="shared" si="66"/>
        <v>0</v>
      </c>
      <c r="AP25" s="1252"/>
      <c r="AQ25" s="1252"/>
      <c r="AR25" s="1252"/>
      <c r="AS25" s="1252"/>
      <c r="AT25" s="1252"/>
      <c r="AU25" s="1252"/>
      <c r="AV25" s="1252"/>
      <c r="AW25" s="1252"/>
      <c r="AX25" s="1252"/>
      <c r="AY25" s="1252"/>
      <c r="AZ25" s="1252"/>
      <c r="BA25" s="1252"/>
      <c r="BB25" s="1252"/>
      <c r="BC25" s="1252"/>
      <c r="BD25" s="1252"/>
      <c r="BE25" s="1252"/>
      <c r="BF25" s="1252"/>
      <c r="BG25" s="1252"/>
      <c r="BH25" s="1252"/>
      <c r="BI25" s="1252"/>
      <c r="BJ25" s="1252"/>
      <c r="BK25" s="1252"/>
      <c r="BL25" s="1252"/>
      <c r="BM25" s="1252"/>
      <c r="BN25" s="1252"/>
      <c r="BO25" s="1252"/>
      <c r="BP25" s="1252"/>
      <c r="BQ25" s="1252"/>
      <c r="BW25" s="1252"/>
      <c r="BX25" s="1252"/>
      <c r="BY25" s="1252"/>
      <c r="BZ25" s="1252"/>
      <c r="CA25" s="1252"/>
      <c r="CB25" s="1252"/>
      <c r="CC25" s="1252"/>
      <c r="CD25" s="1252"/>
      <c r="CE25" s="1252"/>
      <c r="CF25" s="1252"/>
      <c r="CG25" s="1252"/>
      <c r="CH25" s="1539"/>
      <c r="CI25" s="1252"/>
      <c r="CJ25" s="1252"/>
      <c r="CK25" s="1252"/>
      <c r="CL25" s="1252"/>
      <c r="CM25" s="1252"/>
      <c r="CN25" s="1252"/>
      <c r="CO25" s="1252"/>
      <c r="CP25" s="1252"/>
      <c r="CQ25" s="1252"/>
      <c r="CR25" s="1252"/>
      <c r="CS25" s="1252"/>
      <c r="CT25" s="1252"/>
    </row>
    <row r="26" ht="19.5" customHeight="1">
      <c r="B26" s="1371"/>
      <c r="C26" s="663"/>
      <c r="D26" s="1372" t="str">
        <f t="array" ref="D26">IFERROR(INDEX(AE$4:AE$12, SMALL(IF((AM$4:AM$12 = MAX(AM$4:AM$12)) * (AI$4:AI$12 = D$3), ROW(AE$4:AE$12)-ROW(AE$4)+1), ROW(2:2))), "-")</f>
        <v>POPEYES</v>
      </c>
      <c r="E26" s="1540">
        <f t="array" ref="E26">IFERROR(INDEX(AM$4:AM$12, SMALL(IF((AM$4:AM$12 = MAX(AM$4:AM$12)) * (AI$4:AI$12 = D$3), ROW(AM$4:AM$12)-ROW(AM$4)+1), ROW(2:2))), "-")</f>
        <v>1</v>
      </c>
      <c r="F26" s="1378">
        <f>IF(D26="-","",F25)</f>
        <v>1</v>
      </c>
      <c r="G26" s="1466" t="str">
        <f t="array" ref="G26">IFERROR(INDEX(AE$4:AE$12, SMALL(IF((AM$4:AM$12 = MAX(AM$4:AM$12)) * (AI$4:AI$12 = G$3), ROW(AE$4:AE$12)-ROW(AE$4)+1), ROW(2:2))), "-")</f>
        <v>-</v>
      </c>
      <c r="H26" s="1380" t="str">
        <f t="array" ref="H26">IFERROR(INDEX(AM$4:AM$12, SMALL(IF((AM$4:AM$12 = MAX(AM$4:AM$12)) * (AI$4:AI$12 = G$3), ROW(AM$4:AM$12)-ROW(AM$4)+1), ROW(2:2))), "-")</f>
        <v>-</v>
      </c>
      <c r="I26" s="1380" t="str">
        <f>IF(G26="-","",I25)</f>
        <v/>
      </c>
      <c r="J26" s="1372" t="str">
        <f t="array" ref="J26">IFERROR(INDEX(AE$4:AE$12, SMALL(IF(AM$4:AM$12 = MAX(AM$4:AM$12), ROW(AE$4:AE$12)-ROW(AE$4)+1), ROW(2:2))), "-")</f>
        <v>POPEYES</v>
      </c>
      <c r="K26" s="1540">
        <f t="array" ref="K26">IFERROR(INDEX(AM$4:AM$12, SMALL(IF(AM$4:AM$12 = MAX(AM$4:AM$12), ROW(AM$4:AM$12)-ROW(AM$4)+1), ROW(2:2))), "-")</f>
        <v>1</v>
      </c>
      <c r="L26" s="1378">
        <f>IF(J26="-","",L25)</f>
        <v>1</v>
      </c>
      <c r="M26" s="13" t="s">
        <v>1097</v>
      </c>
      <c r="N26" s="700">
        <f t="shared" ref="N26:U26" si="72">IFERROR(IF($M26="YES",IF($D26=N$4,$F26,0)+IF($G26=N$4,$I26,0)+IF($J26=N$4,$L26,0),0),0)</f>
        <v>0</v>
      </c>
      <c r="O26" s="700">
        <f t="shared" si="72"/>
        <v>2</v>
      </c>
      <c r="P26" s="700">
        <f t="shared" si="72"/>
        <v>0</v>
      </c>
      <c r="Q26" s="700">
        <f t="shared" si="72"/>
        <v>0</v>
      </c>
      <c r="R26" s="700">
        <f t="shared" si="72"/>
        <v>0</v>
      </c>
      <c r="S26" s="700">
        <f t="shared" si="72"/>
        <v>0</v>
      </c>
      <c r="T26" s="700">
        <f t="shared" si="72"/>
        <v>0</v>
      </c>
      <c r="U26" s="700">
        <f t="shared" si="72"/>
        <v>0</v>
      </c>
      <c r="X26" s="1252"/>
      <c r="Y26" s="1252"/>
      <c r="Z26" s="1252"/>
      <c r="AA26" s="1252"/>
      <c r="AB26" s="1252"/>
      <c r="AC26" s="1499"/>
      <c r="AD26" s="1494" t="str">
        <f>Settings!A9</f>
        <v>YARDIES</v>
      </c>
      <c r="AE26" s="208">
        <f>COUNTIFS('Weekly Scores'!$F$2:$F$71,$AD26,'Weekly Scores'!$N$2:$N$71,$AD26,'Weekly Scores'!$I$2:$I$71,AE$18,'Weekly Scores'!$G$2:$G$71,"&lt;&gt;")+COUNTIFS('Weekly Scores'!$I$2:$I$71,$AD26,'Weekly Scores'!$N$2:$N$71,$AD26,'Weekly Scores'!$F$2:$F$71,AE$18,'Weekly Scores'!$G$2:$G$71,"&lt;&gt;")</f>
        <v>1</v>
      </c>
      <c r="AF26" s="208">
        <f>COUNTIFS('Weekly Scores'!$F$2:$F$71,$AD26,'Weekly Scores'!$N$2:$N$71,$AD26,'Weekly Scores'!$I$2:$I$71,AF$18,'Weekly Scores'!$G$2:$G$71,"&lt;&gt;")+COUNTIFS('Weekly Scores'!$I$2:$I$71,$AD26,'Weekly Scores'!$N$2:$N$71,$AD26,'Weekly Scores'!$F$2:$F$71,AF$18,'Weekly Scores'!$G$2:$G$71,"&lt;&gt;")</f>
        <v>0</v>
      </c>
      <c r="AG26" s="208">
        <f>COUNTIFS('Weekly Scores'!$F$2:$F$71,$AD26,'Weekly Scores'!$N$2:$N$71,$AD26,'Weekly Scores'!$I$2:$I$71,AG$18,'Weekly Scores'!$G$2:$G$71,"&lt;&gt;")+COUNTIFS('Weekly Scores'!$I$2:$I$71,$AD26,'Weekly Scores'!$N$2:$N$71,$AD26,'Weekly Scores'!$F$2:$F$71,AG$18,'Weekly Scores'!$G$2:$G$71,"&lt;&gt;")</f>
        <v>0</v>
      </c>
      <c r="AH26" s="208">
        <f>COUNTIFS('Weekly Scores'!$F$2:$F$71,$AD26,'Weekly Scores'!$N$2:$N$71,$AD26,'Weekly Scores'!$I$2:$I$71,AH$18,'Weekly Scores'!$G$2:$G$71,"&lt;&gt;")+COUNTIFS('Weekly Scores'!$I$2:$I$71,$AD26,'Weekly Scores'!$N$2:$N$71,$AD26,'Weekly Scores'!$F$2:$F$71,AH$18,'Weekly Scores'!$G$2:$G$71,"&lt;&gt;")</f>
        <v>1</v>
      </c>
      <c r="AI26" s="208">
        <f>COUNTIFS('Weekly Scores'!$F$2:$F$71,$AD26,'Weekly Scores'!$N$2:$N$71,$AD26,'Weekly Scores'!$I$2:$I$71,AI$18,'Weekly Scores'!$G$2:$G$71,"&lt;&gt;")+COUNTIFS('Weekly Scores'!$I$2:$I$71,$AD26,'Weekly Scores'!$N$2:$N$71,$AD26,'Weekly Scores'!$F$2:$F$71,AI$18,'Weekly Scores'!$G$2:$G$71,"&lt;&gt;")</f>
        <v>2</v>
      </c>
      <c r="AJ26" s="208">
        <f>COUNTIFS('Weekly Scores'!$F$2:$F$71,$AD26,'Weekly Scores'!$N$2:$N$71,$AD26,'Weekly Scores'!$I$2:$I$71,AJ$18,'Weekly Scores'!$G$2:$G$71,"&lt;&gt;")+COUNTIFS('Weekly Scores'!$I$2:$I$71,$AD26,'Weekly Scores'!$N$2:$N$71,$AD26,'Weekly Scores'!$F$2:$F$71,AJ$18,'Weekly Scores'!$G$2:$G$71,"&lt;&gt;")</f>
        <v>2</v>
      </c>
      <c r="AK26" s="208">
        <f>COUNTIFS('Weekly Scores'!$F$2:$F$71,$AD26,'Weekly Scores'!$N$2:$N$71,$AD26,'Weekly Scores'!$I$2:$I$71,AK$18,'Weekly Scores'!$G$2:$G$71,"&lt;&gt;")+COUNTIFS('Weekly Scores'!$I$2:$I$71,$AD26,'Weekly Scores'!$N$2:$N$71,$AD26,'Weekly Scores'!$F$2:$F$71,AK$18,'Weekly Scores'!$G$2:$G$71,"&lt;&gt;")</f>
        <v>2</v>
      </c>
      <c r="AL26" s="208">
        <f>COUNTIFS('Weekly Scores'!$F$2:$F$71,$AD26,'Weekly Scores'!$N$2:$N$71,$AD26,'Weekly Scores'!$I$2:$I$71,AL$18,'Weekly Scores'!$G$2:$G$71,"&lt;&gt;")+COUNTIFS('Weekly Scores'!$I$2:$I$71,$AD26,'Weekly Scores'!$N$2:$N$71,$AD26,'Weekly Scores'!$F$2:$F$71,AL$18,'Weekly Scores'!$G$2:$G$71,"&lt;&gt;")</f>
        <v>0</v>
      </c>
      <c r="AM26" s="208">
        <f>COUNTIFS('Weekly Scores'!$F$2:$F$71,$AD26,'Weekly Scores'!$N$2:$N$71,$AD26,'Weekly Scores'!$I$2:$I$71,AM$18,'Weekly Scores'!$G$2:$G$71,"&lt;&gt;")+COUNTIFS('Weekly Scores'!$I$2:$I$71,$AD26,'Weekly Scores'!$N$2:$N$71,$AD26,'Weekly Scores'!$F$2:$F$71,AM$18,'Weekly Scores'!$G$2:$G$71,"&lt;&gt;")</f>
        <v>1</v>
      </c>
      <c r="AN26" s="208">
        <f>COUNTIFS('Weekly Scores'!$F$2:$F$71,$AD26,'Weekly Scores'!$N$2:$N$71,$AD26,'Weekly Scores'!$I$2:$I$71,AN$18,'Weekly Scores'!$G$2:$G$71,"&lt;&gt;")+COUNTIFS('Weekly Scores'!$I$2:$I$71,$AD26,'Weekly Scores'!$N$2:$N$71,$AD26,'Weekly Scores'!$F$2:$F$71,AN$18,'Weekly Scores'!$G$2:$G$71,"&lt;&gt;")</f>
        <v>0</v>
      </c>
      <c r="AO26" s="1252">
        <f t="shared" si="66"/>
        <v>3</v>
      </c>
      <c r="AP26" s="1252"/>
      <c r="AQ26" s="1252"/>
      <c r="AR26" s="1252"/>
      <c r="AS26" s="1252"/>
      <c r="AT26" s="1252"/>
      <c r="AU26" s="1252"/>
      <c r="AV26" s="1252"/>
      <c r="AW26" s="1252"/>
      <c r="AX26" s="1252"/>
      <c r="AY26" s="1252"/>
      <c r="AZ26" s="1252"/>
      <c r="BA26" s="1252"/>
      <c r="BB26" s="1252"/>
      <c r="CF26" s="314"/>
    </row>
    <row r="27" ht="19.5" customHeight="1">
      <c r="B27" s="1371"/>
      <c r="C27" s="663"/>
      <c r="D27" s="1372" t="str">
        <f t="array" ref="D27">IFERROR(INDEX(AE$4:AE$12, SMALL(IF((AM$4:AM$12 = MAX(AM$4:AM$12)) * (AI$4:AI$12 = D$3), ROW(AE$4:AE$12)-ROW(AE$4)+1), ROW(3:3))), "-")</f>
        <v>GREEN</v>
      </c>
      <c r="E27" s="1540">
        <f t="array" ref="E27">IFERROR(INDEX(AM$4:AM$12, SMALL(IF((AM$4:AM$12 = MAX(AM$4:AM$12)) * (AI$4:AI$12 = D$3), ROW(AM$4:AM$12)-ROW(AM$4)+1), ROW(3:3))), "-")</f>
        <v>1</v>
      </c>
      <c r="F27" s="1378">
        <f>IF(D27="-","",F25)</f>
        <v>1</v>
      </c>
      <c r="G27" s="1466" t="str">
        <f t="array" ref="G27">IFERROR(INDEX(AE$4:AE$12, SMALL(IF((AM$4:AM$12 = MAX(AM$4:AM$12)) * (AI$4:AI$12 = G$3), ROW(AE$4:AE$12)-ROW(AE$4)+1), ROW(3:3))), "-")</f>
        <v>-</v>
      </c>
      <c r="H27" s="1380" t="str">
        <f t="array" ref="H27">IFERROR(INDEX(AM$4:AM$12, SMALL(IF((AM$4:AM$12 = MAX(AM$4:AM$12)) * (AI$4:AI$12 = G$3), ROW(AM$4:AM$12)-ROW(AM$4)+1), ROW(3:3))), "-")</f>
        <v>-</v>
      </c>
      <c r="I27" s="1380" t="str">
        <f>IF(G27="-","",I25)</f>
        <v/>
      </c>
      <c r="J27" s="1372" t="str">
        <f t="array" ref="J27">IFERROR(INDEX(AE$4:AE$12, SMALL(IF(AM$4:AM$12 = MAX(AM$4:AM$12), ROW(AE$4:AE$12)-ROW(AE$4)+1), ROW(3:3))), "-")</f>
        <v>GREEN</v>
      </c>
      <c r="K27" s="1540">
        <f t="array" ref="K27">IFERROR(INDEX(AM$4:AM$12, SMALL(IF(AM$4:AM$12 = MAX(AM$4:AM$12), ROW(AM$4:AM$12)-ROW(AM$4)+1), ROW(3:3))), "-")</f>
        <v>1</v>
      </c>
      <c r="L27" s="1378">
        <f>IF(J27="-","",L25)</f>
        <v>1</v>
      </c>
      <c r="M27" s="13" t="s">
        <v>1097</v>
      </c>
      <c r="N27" s="700">
        <f t="shared" ref="N27:U27" si="73">IFERROR(IF($M27="YES",IF($D27=N$4,$F27,0)+IF($G27=N$4,$I27,0)+IF($J27=N$4,$L27,0),0),0)</f>
        <v>0</v>
      </c>
      <c r="O27" s="700">
        <f t="shared" si="73"/>
        <v>0</v>
      </c>
      <c r="P27" s="700">
        <f t="shared" si="73"/>
        <v>2</v>
      </c>
      <c r="Q27" s="700">
        <f t="shared" si="73"/>
        <v>0</v>
      </c>
      <c r="R27" s="700">
        <f t="shared" si="73"/>
        <v>0</v>
      </c>
      <c r="S27" s="700">
        <f t="shared" si="73"/>
        <v>0</v>
      </c>
      <c r="T27" s="700">
        <f t="shared" si="73"/>
        <v>0</v>
      </c>
      <c r="U27" s="700">
        <f t="shared" si="73"/>
        <v>0</v>
      </c>
      <c r="X27" s="1252"/>
      <c r="Y27" s="1252"/>
      <c r="Z27" s="1252"/>
      <c r="AA27" s="1252"/>
      <c r="AB27" s="1252"/>
      <c r="AC27" s="1499"/>
      <c r="AD27" s="1541" t="str">
        <f>Settings!A10</f>
        <v>MUTTS</v>
      </c>
      <c r="AE27" s="208">
        <f>COUNTIFS('Weekly Scores'!$F$2:$F$71,$AD27,'Weekly Scores'!$N$2:$N$71,$AD27,'Weekly Scores'!$I$2:$I$71,AE$18,'Weekly Scores'!$G$2:$G$71,"&lt;&gt;")+COUNTIFS('Weekly Scores'!$I$2:$I$71,$AD27,'Weekly Scores'!$N$2:$N$71,$AD27,'Weekly Scores'!$F$2:$F$71,AE$18,'Weekly Scores'!$G$2:$G$71,"&lt;&gt;")</f>
        <v>0</v>
      </c>
      <c r="AF27" s="208">
        <f>COUNTIFS('Weekly Scores'!$F$2:$F$71,$AD27,'Weekly Scores'!$N$2:$N$71,$AD27,'Weekly Scores'!$I$2:$I$71,AF$18,'Weekly Scores'!$G$2:$G$71,"&lt;&gt;")+COUNTIFS('Weekly Scores'!$I$2:$I$71,$AD27,'Weekly Scores'!$N$2:$N$71,$AD27,'Weekly Scores'!$F$2:$F$71,AF$18,'Weekly Scores'!$G$2:$G$71,"&lt;&gt;")</f>
        <v>0</v>
      </c>
      <c r="AG27" s="208">
        <f>COUNTIFS('Weekly Scores'!$F$2:$F$71,$AD27,'Weekly Scores'!$N$2:$N$71,$AD27,'Weekly Scores'!$I$2:$I$71,AG$18,'Weekly Scores'!$G$2:$G$71,"&lt;&gt;")+COUNTIFS('Weekly Scores'!$I$2:$I$71,$AD27,'Weekly Scores'!$N$2:$N$71,$AD27,'Weekly Scores'!$F$2:$F$71,AG$18,'Weekly Scores'!$G$2:$G$71,"&lt;&gt;")</f>
        <v>0</v>
      </c>
      <c r="AH27" s="208">
        <f>COUNTIFS('Weekly Scores'!$F$2:$F$71,$AD27,'Weekly Scores'!$N$2:$N$71,$AD27,'Weekly Scores'!$I$2:$I$71,AH$18,'Weekly Scores'!$G$2:$G$71,"&lt;&gt;")+COUNTIFS('Weekly Scores'!$I$2:$I$71,$AD27,'Weekly Scores'!$N$2:$N$71,$AD27,'Weekly Scores'!$F$2:$F$71,AH$18,'Weekly Scores'!$G$2:$G$71,"&lt;&gt;")</f>
        <v>1</v>
      </c>
      <c r="AI27" s="208">
        <f>COUNTIFS('Weekly Scores'!$F$2:$F$71,$AD27,'Weekly Scores'!$N$2:$N$71,$AD27,'Weekly Scores'!$I$2:$I$71,AI$18,'Weekly Scores'!$G$2:$G$71,"&lt;&gt;")+COUNTIFS('Weekly Scores'!$I$2:$I$71,$AD27,'Weekly Scores'!$N$2:$N$71,$AD27,'Weekly Scores'!$F$2:$F$71,AI$18,'Weekly Scores'!$G$2:$G$71,"&lt;&gt;")</f>
        <v>1</v>
      </c>
      <c r="AJ27" s="208">
        <f>COUNTIFS('Weekly Scores'!$F$2:$F$71,$AD27,'Weekly Scores'!$N$2:$N$71,$AD27,'Weekly Scores'!$I$2:$I$71,AJ$18,'Weekly Scores'!$G$2:$G$71,"&lt;&gt;")+COUNTIFS('Weekly Scores'!$I$2:$I$71,$AD27,'Weekly Scores'!$N$2:$N$71,$AD27,'Weekly Scores'!$F$2:$F$71,AJ$18,'Weekly Scores'!$G$2:$G$71,"&lt;&gt;")</f>
        <v>1</v>
      </c>
      <c r="AK27" s="208">
        <f>COUNTIFS('Weekly Scores'!$F$2:$F$71,$AD27,'Weekly Scores'!$N$2:$N$71,$AD27,'Weekly Scores'!$I$2:$I$71,AK$18,'Weekly Scores'!$G$2:$G$71,"&lt;&gt;")+COUNTIFS('Weekly Scores'!$I$2:$I$71,$AD27,'Weekly Scores'!$N$2:$N$71,$AD27,'Weekly Scores'!$F$2:$F$71,AK$18,'Weekly Scores'!$G$2:$G$71,"&lt;&gt;")</f>
        <v>1</v>
      </c>
      <c r="AL27" s="208">
        <f>COUNTIFS('Weekly Scores'!$F$2:$F$71,$AD27,'Weekly Scores'!$N$2:$N$71,$AD27,'Weekly Scores'!$I$2:$I$71,AL$18,'Weekly Scores'!$G$2:$G$71,"&lt;&gt;")+COUNTIFS('Weekly Scores'!$I$2:$I$71,$AD27,'Weekly Scores'!$N$2:$N$71,$AD27,'Weekly Scores'!$F$2:$F$71,AL$18,'Weekly Scores'!$G$2:$G$71,"&lt;&gt;")</f>
        <v>1</v>
      </c>
      <c r="AM27" s="208">
        <f>COUNTIFS('Weekly Scores'!$F$2:$F$71,$AD27,'Weekly Scores'!$N$2:$N$71,$AD27,'Weekly Scores'!$I$2:$I$71,AM$18,'Weekly Scores'!$G$2:$G$71,"&lt;&gt;")+COUNTIFS('Weekly Scores'!$I$2:$I$71,$AD27,'Weekly Scores'!$N$2:$N$71,$AD27,'Weekly Scores'!$F$2:$F$71,AM$18,'Weekly Scores'!$G$2:$G$71,"&lt;&gt;")</f>
        <v>0</v>
      </c>
      <c r="AN27" s="208">
        <f>COUNTIFS('Weekly Scores'!$F$2:$F$71,$AD27,'Weekly Scores'!$N$2:$N$71,$AD27,'Weekly Scores'!$I$2:$I$71,AN$18,'Weekly Scores'!$G$2:$G$71,"&lt;&gt;")+COUNTIFS('Weekly Scores'!$I$2:$I$71,$AD27,'Weekly Scores'!$N$2:$N$71,$AD27,'Weekly Scores'!$F$2:$F$71,AN$18,'Weekly Scores'!$G$2:$G$71,"&lt;&gt;")</f>
        <v>2</v>
      </c>
      <c r="AO27" s="1252">
        <f t="shared" si="66"/>
        <v>1</v>
      </c>
      <c r="AP27" s="1252"/>
      <c r="AQ27" s="1252"/>
      <c r="AR27" s="1252"/>
      <c r="AS27" s="1252"/>
      <c r="AT27" s="1252"/>
      <c r="AU27" s="1252"/>
      <c r="AV27" s="1252"/>
      <c r="AW27" s="1252"/>
      <c r="AX27" s="1252"/>
      <c r="AY27" s="1252"/>
      <c r="AZ27" s="1252"/>
      <c r="BA27" s="1252"/>
      <c r="BB27" s="1252"/>
      <c r="CF27" s="314"/>
    </row>
    <row r="28" ht="19.5" customHeight="1">
      <c r="B28" s="1371"/>
      <c r="C28" s="663"/>
      <c r="D28" s="1423" t="str">
        <f t="array" ref="D28">IFERROR(INDEX(AE$4:AE$12, SMALL(IF((AM$4:AM$12 = MAX(AM$4:AM$12)) * (AI$4:AI$12 = D$3), ROW(AE$4:AE$12)-ROW(AE$4)+1), ROW(4:4))), "-")</f>
        <v>-</v>
      </c>
      <c r="E28" s="1542" t="str">
        <f t="array" ref="E28">IFERROR(INDEX(AM$4:AM$12, SMALL(IF((AM$4:AM$12 = MAX(AM$4:AM$12)) * (AI$4:AI$12 = D$3), ROW(AM$4:AM$12)-ROW(AM$4)+1), ROW(4:4))), "-")</f>
        <v>-</v>
      </c>
      <c r="F28" s="1425" t="str">
        <f>IF(D28="-","",F25)</f>
        <v/>
      </c>
      <c r="G28" s="1476" t="str">
        <f t="array" ref="G28">IFERROR(INDEX(AE$4:AE$12, SMALL(IF((AM$4:AM$12 = MAX(AM$4:AM$12)) * (AI$4:AI$12 = G$3), ROW(AE$4:AE$12)-ROW(AE$4)+1), ROW(4:4))), "-")</f>
        <v>-</v>
      </c>
      <c r="H28" s="1433" t="str">
        <f t="array" ref="H28">IFERROR(INDEX(AM$4:AM$12, SMALL(IF((AM$4:AM$12 = MAX(AM$4:AM$12)) * (AI$4:AI$12 = G$3), ROW(AM$4:AM$12)-ROW(AM$4)+1), ROW(4:4))), "-")</f>
        <v>-</v>
      </c>
      <c r="I28" s="1433" t="str">
        <f>IF(G28="-","",I25)</f>
        <v/>
      </c>
      <c r="J28" s="1372" t="str">
        <f t="array" ref="J28">IFERROR(INDEX(AE$4:AE$12, SMALL(IF(AM$4:AM$12 = MAX(AM$4:AM$12), ROW(AE$4:AE$12)-ROW(AE$4)+1), ROW(4:4))), "-")</f>
        <v>-</v>
      </c>
      <c r="K28" s="1540" t="str">
        <f t="array" ref="K28">IFERROR(INDEX(AM$4:AM$12, SMALL(IF(AM$4:AM$12 = MAX(AM$4:AM$12), ROW(AM$4:AM$12)-ROW(AM$4)+1), ROW(4:4))), "-")</f>
        <v>-</v>
      </c>
      <c r="L28" s="1378" t="str">
        <f t="shared" ref="L28:L32" si="75">IF(J28="-","",L25)</f>
        <v/>
      </c>
      <c r="M28" s="13" t="s">
        <v>1097</v>
      </c>
      <c r="N28" s="700">
        <f t="shared" ref="N28:U28" si="74">IFERROR(IF($M28="YES",IF($D28=N$4,$F28,0)+IF($G28=N$4,$I28,0)+IF($J28=N$4,$L28,0),0),0)</f>
        <v>0</v>
      </c>
      <c r="O28" s="700">
        <f t="shared" si="74"/>
        <v>0</v>
      </c>
      <c r="P28" s="700">
        <f t="shared" si="74"/>
        <v>0</v>
      </c>
      <c r="Q28" s="700">
        <f t="shared" si="74"/>
        <v>0</v>
      </c>
      <c r="R28" s="700">
        <f t="shared" si="74"/>
        <v>0</v>
      </c>
      <c r="S28" s="700">
        <f t="shared" si="74"/>
        <v>0</v>
      </c>
      <c r="T28" s="700">
        <f t="shared" si="74"/>
        <v>0</v>
      </c>
      <c r="U28" s="700">
        <f t="shared" si="74"/>
        <v>0</v>
      </c>
      <c r="X28" s="1252"/>
      <c r="Y28" s="1252"/>
      <c r="Z28" s="1252"/>
      <c r="AA28" s="1252"/>
      <c r="AB28" s="1252"/>
      <c r="AC28" s="1544"/>
      <c r="AD28" s="1541" t="str">
        <f>Settings!A11</f>
        <v>EAGLES</v>
      </c>
      <c r="AE28" s="208">
        <f>COUNTIFS('Weekly Scores'!$F$2:$F$71,$AD28,'Weekly Scores'!$N$2:$N$71,$AD28,'Weekly Scores'!$I$2:$I$71,AE$18,'Weekly Scores'!$G$2:$G$71,"&lt;&gt;")+COUNTIFS('Weekly Scores'!$I$2:$I$71,$AD28,'Weekly Scores'!$N$2:$N$71,$AD28,'Weekly Scores'!$F$2:$F$71,AE$18,'Weekly Scores'!$G$2:$G$71,"&lt;&gt;")</f>
        <v>0</v>
      </c>
      <c r="AF28" s="208">
        <f>COUNTIFS('Weekly Scores'!$F$2:$F$71,$AD28,'Weekly Scores'!$N$2:$N$71,$AD28,'Weekly Scores'!$I$2:$I$71,AF$18,'Weekly Scores'!$G$2:$G$71,"&lt;&gt;")+COUNTIFS('Weekly Scores'!$I$2:$I$71,$AD28,'Weekly Scores'!$N$2:$N$71,$AD28,'Weekly Scores'!$F$2:$F$71,AF$18,'Weekly Scores'!$G$2:$G$71,"&lt;&gt;")</f>
        <v>1</v>
      </c>
      <c r="AG28" s="208">
        <f>COUNTIFS('Weekly Scores'!$F$2:$F$71,$AD28,'Weekly Scores'!$N$2:$N$71,$AD28,'Weekly Scores'!$I$2:$I$71,AG$18,'Weekly Scores'!$G$2:$G$71,"&lt;&gt;")+COUNTIFS('Weekly Scores'!$I$2:$I$71,$AD28,'Weekly Scores'!$N$2:$N$71,$AD28,'Weekly Scores'!$F$2:$F$71,AG$18,'Weekly Scores'!$G$2:$G$71,"&lt;&gt;")</f>
        <v>0</v>
      </c>
      <c r="AH28" s="208">
        <f>COUNTIFS('Weekly Scores'!$F$2:$F$71,$AD28,'Weekly Scores'!$N$2:$N$71,$AD28,'Weekly Scores'!$I$2:$I$71,AH$18,'Weekly Scores'!$G$2:$G$71,"&lt;&gt;")+COUNTIFS('Weekly Scores'!$I$2:$I$71,$AD28,'Weekly Scores'!$N$2:$N$71,$AD28,'Weekly Scores'!$F$2:$F$71,AH$18,'Weekly Scores'!$G$2:$G$71,"&lt;&gt;")</f>
        <v>0</v>
      </c>
      <c r="AI28" s="208">
        <f>COUNTIFS('Weekly Scores'!$F$2:$F$71,$AD28,'Weekly Scores'!$N$2:$N$71,$AD28,'Weekly Scores'!$I$2:$I$71,AI$18,'Weekly Scores'!$G$2:$G$71,"&lt;&gt;")+COUNTIFS('Weekly Scores'!$I$2:$I$71,$AD28,'Weekly Scores'!$N$2:$N$71,$AD28,'Weekly Scores'!$F$2:$F$71,AI$18,'Weekly Scores'!$G$2:$G$71,"&lt;&gt;")</f>
        <v>1</v>
      </c>
      <c r="AJ28" s="208">
        <f>COUNTIFS('Weekly Scores'!$F$2:$F$71,$AD28,'Weekly Scores'!$N$2:$N$71,$AD28,'Weekly Scores'!$I$2:$I$71,AJ$18,'Weekly Scores'!$G$2:$G$71,"&lt;&gt;")+COUNTIFS('Weekly Scores'!$I$2:$I$71,$AD28,'Weekly Scores'!$N$2:$N$71,$AD28,'Weekly Scores'!$F$2:$F$71,AJ$18,'Weekly Scores'!$G$2:$G$71,"&lt;&gt;")</f>
        <v>1</v>
      </c>
      <c r="AK28" s="208">
        <f>COUNTIFS('Weekly Scores'!$F$2:$F$71,$AD28,'Weekly Scores'!$N$2:$N$71,$AD28,'Weekly Scores'!$I$2:$I$71,AK$18,'Weekly Scores'!$G$2:$G$71,"&lt;&gt;")+COUNTIFS('Weekly Scores'!$I$2:$I$71,$AD28,'Weekly Scores'!$N$2:$N$71,$AD28,'Weekly Scores'!$F$2:$F$71,AK$18,'Weekly Scores'!$G$2:$G$71,"&lt;&gt;")</f>
        <v>1</v>
      </c>
      <c r="AL28" s="208">
        <f>COUNTIFS('Weekly Scores'!$F$2:$F$71,$AD28,'Weekly Scores'!$N$2:$N$71,$AD28,'Weekly Scores'!$I$2:$I$71,AL$18,'Weekly Scores'!$G$2:$G$71,"&lt;&gt;")+COUNTIFS('Weekly Scores'!$I$2:$I$71,$AD28,'Weekly Scores'!$N$2:$N$71,$AD28,'Weekly Scores'!$F$2:$F$71,AL$18,'Weekly Scores'!$G$2:$G$71,"&lt;&gt;")</f>
        <v>2</v>
      </c>
      <c r="AM28" s="208">
        <f>COUNTIFS('Weekly Scores'!$F$2:$F$71,$AD28,'Weekly Scores'!$N$2:$N$71,$AD28,'Weekly Scores'!$I$2:$I$71,AM$18,'Weekly Scores'!$G$2:$G$71,"&lt;&gt;")+COUNTIFS('Weekly Scores'!$I$2:$I$71,$AD28,'Weekly Scores'!$N$2:$N$71,$AD28,'Weekly Scores'!$F$2:$F$71,AM$18,'Weekly Scores'!$G$2:$G$71,"&lt;&gt;")</f>
        <v>0</v>
      </c>
      <c r="AN28" s="208">
        <f>COUNTIFS('Weekly Scores'!$F$2:$F$71,$AD28,'Weekly Scores'!$N$2:$N$71,$AD28,'Weekly Scores'!$I$2:$I$71,AN$18,'Weekly Scores'!$G$2:$G$71,"&lt;&gt;")+COUNTIFS('Weekly Scores'!$I$2:$I$71,$AD28,'Weekly Scores'!$N$2:$N$71,$AD28,'Weekly Scores'!$F$2:$F$71,AN$18,'Weekly Scores'!$G$2:$G$71,"&lt;&gt;")</f>
        <v>0</v>
      </c>
      <c r="AO28" s="1252">
        <f t="shared" si="66"/>
        <v>1</v>
      </c>
      <c r="AP28" s="1252"/>
      <c r="AQ28" s="1252"/>
      <c r="AR28" s="1252"/>
      <c r="AS28" s="1252"/>
      <c r="AT28" s="1252"/>
      <c r="AU28" s="1252"/>
      <c r="AV28" s="1252"/>
      <c r="AW28" s="1252"/>
      <c r="AX28" s="1252"/>
      <c r="AY28" s="1252"/>
      <c r="AZ28" s="1252"/>
      <c r="BA28" s="1252"/>
      <c r="BB28" s="1252"/>
      <c r="CF28" s="314"/>
    </row>
    <row r="29" ht="19.5" customHeight="1">
      <c r="B29" s="1371"/>
      <c r="C29" s="663"/>
      <c r="D29" s="1440"/>
      <c r="E29" s="1444"/>
      <c r="F29" s="1442"/>
      <c r="G29" s="1440"/>
      <c r="H29" s="1444"/>
      <c r="I29" s="1444"/>
      <c r="J29" s="1372" t="str">
        <f t="array" ref="J29">IFERROR(INDEX(AE$4:AE$12, SMALL(IF(AM$4:AM$12 = MAX(AM$4:AM$12), ROW(AE$4:AE$12)-ROW(AE$4)+1), ROW(5:5))), "-")</f>
        <v>-</v>
      </c>
      <c r="K29" s="1540" t="str">
        <f t="array" ref="K29">IFERROR(INDEX(AM$4:AM$12, SMALL(IF(AM$4:AM$12 = MAX(AM$4:AM$12), ROW(AM$4:AM$12)-ROW(AM$4)+1), ROW(5:5))), "-")</f>
        <v>-</v>
      </c>
      <c r="L29" s="1378" t="str">
        <f t="shared" si="75"/>
        <v/>
      </c>
      <c r="M29" s="13" t="s">
        <v>1097</v>
      </c>
      <c r="N29" s="700">
        <f t="shared" ref="N29:U29" si="76">IFERROR(IF($M29="YES",IF($D29=N$4,$F29,0)+IF($G29=N$4,$I29,0)+IF($J29=N$4,$L29,0),0),0)</f>
        <v>0</v>
      </c>
      <c r="O29" s="700">
        <f t="shared" si="76"/>
        <v>0</v>
      </c>
      <c r="P29" s="700">
        <f t="shared" si="76"/>
        <v>0</v>
      </c>
      <c r="Q29" s="700">
        <f t="shared" si="76"/>
        <v>0</v>
      </c>
      <c r="R29" s="700">
        <f t="shared" si="76"/>
        <v>0</v>
      </c>
      <c r="S29" s="700">
        <f t="shared" si="76"/>
        <v>0</v>
      </c>
      <c r="T29" s="700">
        <f t="shared" si="76"/>
        <v>0</v>
      </c>
      <c r="U29" s="700">
        <f t="shared" si="76"/>
        <v>0</v>
      </c>
      <c r="X29" s="1252"/>
      <c r="Y29" s="1252"/>
      <c r="Z29" s="1252"/>
      <c r="AA29" s="1252"/>
      <c r="AB29" s="1252"/>
      <c r="AC29" s="1252"/>
      <c r="AD29" s="1252"/>
      <c r="AE29" s="1252"/>
      <c r="AF29" s="1252"/>
      <c r="AG29" s="1252"/>
      <c r="AH29" s="1252"/>
      <c r="AI29" s="1252"/>
      <c r="AJ29" s="1252"/>
      <c r="AK29" s="1252"/>
      <c r="AL29" s="1252"/>
      <c r="AM29" s="1252"/>
      <c r="AN29" s="1252"/>
      <c r="AO29" s="1252"/>
      <c r="AP29" s="1252"/>
      <c r="AQ29" s="1252"/>
      <c r="AR29" s="1252"/>
      <c r="AS29" s="1252"/>
      <c r="AT29" s="1252"/>
      <c r="AU29" s="1252"/>
      <c r="AV29" s="1252"/>
      <c r="AW29" s="1252"/>
      <c r="AX29" s="1252"/>
      <c r="AY29" s="1252"/>
      <c r="AZ29" s="1252"/>
      <c r="BA29" s="1252"/>
      <c r="BB29" s="1252"/>
      <c r="BP29" s="1252"/>
      <c r="BQ29" s="1252"/>
      <c r="BR29" s="1252"/>
      <c r="BS29" s="1252"/>
      <c r="BT29" s="1252"/>
      <c r="CF29" s="314"/>
    </row>
    <row r="30" ht="19.5" customHeight="1">
      <c r="B30" s="1371"/>
      <c r="C30" s="663"/>
      <c r="D30" s="1440"/>
      <c r="E30" s="1444"/>
      <c r="F30" s="1442"/>
      <c r="G30" s="1440"/>
      <c r="H30" s="1444"/>
      <c r="I30" s="1444"/>
      <c r="J30" s="1372" t="str">
        <f t="array" ref="J30">IFERROR(INDEX(AE$4:AE$12, SMALL(IF(AM$4:AM$12 = MAX(AM$4:AM$12), ROW(AE$4:AE$12)-ROW(AE$4)+1), ROW(6:6))), "-")</f>
        <v>-</v>
      </c>
      <c r="K30" s="1540" t="str">
        <f t="array" ref="K30">IFERROR(INDEX(AM$4:AM$12, SMALL(IF(AM$4:AM$12 = MAX(AM$4:AM$12), ROW(AM$4:AM$12)-ROW(AM$4)+1), ROW(6:6))), "-")</f>
        <v>-</v>
      </c>
      <c r="L30" s="1378" t="str">
        <f t="shared" si="75"/>
        <v/>
      </c>
      <c r="M30" s="13" t="s">
        <v>1097</v>
      </c>
      <c r="N30" s="700">
        <f t="shared" ref="N30:U30" si="77">IFERROR(IF($M30="YES",IF($D30=N$4,$F30,0)+IF($G30=N$4,$I30,0)+IF($J30=N$4,$L30,0),0),0)</f>
        <v>0</v>
      </c>
      <c r="O30" s="700">
        <f t="shared" si="77"/>
        <v>0</v>
      </c>
      <c r="P30" s="700">
        <f t="shared" si="77"/>
        <v>0</v>
      </c>
      <c r="Q30" s="700">
        <f t="shared" si="77"/>
        <v>0</v>
      </c>
      <c r="R30" s="700">
        <f t="shared" si="77"/>
        <v>0</v>
      </c>
      <c r="S30" s="700">
        <f t="shared" si="77"/>
        <v>0</v>
      </c>
      <c r="T30" s="700">
        <f t="shared" si="77"/>
        <v>0</v>
      </c>
      <c r="U30" s="700">
        <f t="shared" si="77"/>
        <v>0</v>
      </c>
      <c r="X30" s="1252"/>
      <c r="Y30" s="1252"/>
      <c r="Z30" s="1252"/>
      <c r="AA30" s="1252"/>
      <c r="AB30" s="1252"/>
      <c r="AC30" s="1252"/>
      <c r="AD30" s="1252"/>
      <c r="AE30" s="1252"/>
      <c r="AF30" s="1252"/>
      <c r="AG30" s="1252"/>
      <c r="AH30" s="1252"/>
      <c r="AI30" s="1252"/>
      <c r="AJ30" s="1252"/>
      <c r="AK30" s="1252"/>
      <c r="AL30" s="1252"/>
      <c r="AM30" s="1252"/>
      <c r="AN30" s="1252"/>
      <c r="AO30" s="1252"/>
      <c r="AP30" s="1252"/>
      <c r="AQ30" s="1252"/>
      <c r="AR30" s="1252"/>
      <c r="AS30" s="1252"/>
      <c r="AT30" s="1252"/>
      <c r="AU30" s="1252"/>
      <c r="AV30" s="1252"/>
      <c r="AW30" s="1252"/>
      <c r="AX30" s="1252"/>
      <c r="AY30" s="1252"/>
      <c r="AZ30" s="1252"/>
      <c r="BA30" s="1252"/>
      <c r="BB30" s="1252"/>
      <c r="CF30" s="314"/>
    </row>
    <row r="31" ht="19.5" customHeight="1">
      <c r="B31" s="1371"/>
      <c r="C31" s="663"/>
      <c r="D31" s="1440"/>
      <c r="E31" s="1444"/>
      <c r="F31" s="1442"/>
      <c r="G31" s="1440"/>
      <c r="H31" s="1444"/>
      <c r="I31" s="1444"/>
      <c r="J31" s="1372" t="str">
        <f t="array" ref="J31">IFERROR(INDEX(AE$4:AE$12, SMALL(IF(AM$4:AM$12 = MAX(AM$4:AM$12), ROW(AE$4:AE$12)-ROW(AE$4)+1), ROW(7:7))), "-")</f>
        <v>-</v>
      </c>
      <c r="K31" s="1540" t="str">
        <f t="array" ref="K31">IFERROR(INDEX(AM$4:AM$12, SMALL(IF(AM$4:AM$12 = MAX(AM$4:AM$12), ROW(AM$4:AM$12)-ROW(AM$4)+1), ROW(7:7))), "-")</f>
        <v>-</v>
      </c>
      <c r="L31" s="1378" t="str">
        <f t="shared" si="75"/>
        <v/>
      </c>
      <c r="M31" s="13" t="s">
        <v>1097</v>
      </c>
      <c r="N31" s="700">
        <f t="shared" ref="N31:U31" si="78">IFERROR(IF($M31="YES",IF($D31=N$4,$F31,0)+IF($G31=N$4,$I31,0)+IF($J31=N$4,$L31,0),0),0)</f>
        <v>0</v>
      </c>
      <c r="O31" s="700">
        <f t="shared" si="78"/>
        <v>0</v>
      </c>
      <c r="P31" s="700">
        <f t="shared" si="78"/>
        <v>0</v>
      </c>
      <c r="Q31" s="700">
        <f t="shared" si="78"/>
        <v>0</v>
      </c>
      <c r="R31" s="700">
        <f t="shared" si="78"/>
        <v>0</v>
      </c>
      <c r="S31" s="700">
        <f t="shared" si="78"/>
        <v>0</v>
      </c>
      <c r="T31" s="700">
        <f t="shared" si="78"/>
        <v>0</v>
      </c>
      <c r="U31" s="700">
        <f t="shared" si="78"/>
        <v>0</v>
      </c>
      <c r="X31" s="1252"/>
      <c r="Y31" s="1252"/>
      <c r="Z31" s="1252"/>
      <c r="AA31" s="1252"/>
      <c r="AB31" s="1252"/>
      <c r="AC31" s="1252"/>
      <c r="AD31" s="1252"/>
      <c r="AE31" s="1252"/>
      <c r="AF31" s="1252"/>
      <c r="AG31" s="1252"/>
      <c r="AH31" s="1252"/>
      <c r="AI31" s="1252"/>
      <c r="AJ31" s="1252"/>
      <c r="AK31" s="1252"/>
      <c r="AL31" s="1252"/>
      <c r="AM31" s="1252"/>
      <c r="AN31" s="1252"/>
      <c r="AO31" s="1252"/>
      <c r="AP31" s="1252"/>
      <c r="AQ31" s="1252"/>
      <c r="AR31" s="1252"/>
      <c r="AS31" s="1252"/>
      <c r="AT31" s="1252"/>
      <c r="AU31" s="1252"/>
      <c r="AV31" s="1252"/>
      <c r="AW31" s="1252"/>
      <c r="AX31" s="1252"/>
      <c r="AY31" s="1252"/>
      <c r="AZ31" s="1252"/>
      <c r="BA31" s="1252"/>
      <c r="BB31" s="1252"/>
      <c r="CF31" s="314"/>
    </row>
    <row r="32" ht="19.5" customHeight="1">
      <c r="B32" s="828"/>
      <c r="C32" s="666"/>
      <c r="D32" s="1440"/>
      <c r="E32" s="1444"/>
      <c r="F32" s="1442"/>
      <c r="G32" s="1440"/>
      <c r="H32" s="1444"/>
      <c r="I32" s="1444"/>
      <c r="J32" s="1372" t="str">
        <f t="array" ref="J32">IFERROR(INDEX(AE$4:AE$12, SMALL(IF(AM$4:AM$12 = MAX(AM$4:AM$12), ROW(AE$4:AE$12)-ROW(AE$4)+1), ROW(8:8))), "-")</f>
        <v>-</v>
      </c>
      <c r="K32" s="1540" t="str">
        <f t="array" ref="K32">IFERROR(INDEX(AM$4:AM$12, SMALL(IF(AM$4:AM$12 = MAX(AM$4:AM$12), ROW(AM$4:AM$12)-ROW(AM$4)+1), ROW(8:8))), "-")</f>
        <v>-</v>
      </c>
      <c r="L32" s="1378" t="str">
        <f t="shared" si="75"/>
        <v/>
      </c>
      <c r="M32" s="13" t="s">
        <v>1097</v>
      </c>
      <c r="N32" s="700">
        <f t="shared" ref="N32:U32" si="79">IFERROR(IF($M32="YES",IF($D32=N$4,$F32,0)+IF($G32=N$4,$I32,0)+IF($J32=N$4,$L32,0),0),0)</f>
        <v>0</v>
      </c>
      <c r="O32" s="700">
        <f t="shared" si="79"/>
        <v>0</v>
      </c>
      <c r="P32" s="700">
        <f t="shared" si="79"/>
        <v>0</v>
      </c>
      <c r="Q32" s="700">
        <f t="shared" si="79"/>
        <v>0</v>
      </c>
      <c r="R32" s="700">
        <f t="shared" si="79"/>
        <v>0</v>
      </c>
      <c r="S32" s="700">
        <f t="shared" si="79"/>
        <v>0</v>
      </c>
      <c r="T32" s="700">
        <f t="shared" si="79"/>
        <v>0</v>
      </c>
      <c r="U32" s="700">
        <f t="shared" si="79"/>
        <v>0</v>
      </c>
      <c r="X32" s="1252"/>
      <c r="Y32" s="1252"/>
      <c r="Z32" s="1252"/>
      <c r="AA32" s="1252"/>
      <c r="AB32" s="1252"/>
      <c r="AC32" s="1252"/>
      <c r="AD32" s="314" t="s">
        <v>1161</v>
      </c>
      <c r="AE32" s="314" t="s">
        <v>513</v>
      </c>
      <c r="AF32" s="314" t="s">
        <v>514</v>
      </c>
      <c r="AG32" s="314" t="s">
        <v>515</v>
      </c>
      <c r="AH32" s="314" t="s">
        <v>516</v>
      </c>
      <c r="AI32" s="314" t="s">
        <v>517</v>
      </c>
      <c r="AJ32" s="314" t="s">
        <v>518</v>
      </c>
      <c r="AK32" s="314" t="s">
        <v>519</v>
      </c>
      <c r="AL32" s="314" t="s">
        <v>520</v>
      </c>
      <c r="AM32" s="314" t="s">
        <v>521</v>
      </c>
      <c r="AN32" s="314" t="s">
        <v>522</v>
      </c>
      <c r="AO32" s="314" t="s">
        <v>523</v>
      </c>
      <c r="AP32" s="314" t="s">
        <v>524</v>
      </c>
      <c r="AQ32" s="314" t="s">
        <v>525</v>
      </c>
      <c r="AR32" s="314" t="s">
        <v>1737</v>
      </c>
      <c r="AS32" s="1252"/>
      <c r="AT32" s="1252"/>
      <c r="AU32" s="1252"/>
      <c r="AV32" s="1252"/>
      <c r="AW32" s="1252"/>
      <c r="AX32" s="1252"/>
      <c r="AY32" s="1252"/>
      <c r="AZ32" s="1252"/>
      <c r="BA32" s="1252"/>
      <c r="BB32" s="1252"/>
      <c r="CF32" s="314"/>
    </row>
    <row r="33" ht="19.5" customHeight="1">
      <c r="B33" s="1318" t="s">
        <v>1738</v>
      </c>
      <c r="C33" s="827"/>
      <c r="D33" s="1323" t="str">
        <f t="array" ref="D33">IFERROR(INDEX(AE$4:AE$12, SMALL(IF((AN$4:AN$12 = MAX(AN$4:AN$12)) * (AI$4:AI$12 = D$3), ROW(AE$4:AE$12)-ROW(AE$4)+1), ROW(1:1))), "-")</f>
        <v>DECOUPES</v>
      </c>
      <c r="E33" s="1533">
        <f t="array" ref="E33">IFERROR(INDEX(AN$4:AN$12, SMALL(IF((AN$4:AN$12 = MAX(AN$4:AN$12)) * (AI$4:AI$12 = D$3), ROW(AN$4:AN$12)-ROW(AN$4)+1), ROW(1:1))), "-")</f>
        <v>0</v>
      </c>
      <c r="F33" s="1325">
        <v>1.0</v>
      </c>
      <c r="G33" s="1460" t="str">
        <f t="array" ref="G33">IFERROR(INDEX(AE$4:AE$12, SMALL(IF((BH$4:BH$12 = MAX(BH$4:BH$12)) * (AI$4:AI$12 = G$3), ROW(AE$4:AE$12)-ROW(AE$4)+1), ROW(1:1))), "-")</f>
        <v>CHAMPS</v>
      </c>
      <c r="H33" s="1536">
        <f t="array" ref="H33">IFERROR(INDEX(BH$4:BH$12, SMALL(IF((BH$4:BH$12 = MAX(BH$4:BH$12)) * (AI$4:AI$12 = G$3), ROW(BH$4:BH$12)-ROW(BH$4)+1), ROW(1:1))), "-")</f>
        <v>0</v>
      </c>
      <c r="I33" s="1329">
        <v>1.0</v>
      </c>
      <c r="J33" s="1323" t="str">
        <f t="array" ref="J33">IFERROR(INDEX(AE$4:AE$12, SMALL(IF(AN$4:AN$12 = MAX(AN$4:AN$12), ROW(AE$4:AE$12)-ROW(AE$4)+1), ROW(1:1))), "-")</f>
        <v>DECOUPES</v>
      </c>
      <c r="K33" s="1533">
        <f t="array" ref="K33">IFERROR(INDEX(AN$4:AN$12, SMALL(IF(AN$4:AN$12 = MAX(AN$4:AN$12), ROW(AN$4:AN$12)-ROW(AN$4)+1), ROW(1:1))), "-")</f>
        <v>0</v>
      </c>
      <c r="L33" s="1325">
        <v>1.0</v>
      </c>
      <c r="M33" s="13" t="s">
        <v>1097</v>
      </c>
      <c r="N33" s="700">
        <f t="shared" ref="N33:U33" si="80">IFERROR(IF($M33="YES",IF($D33=N$4,$F33,0)+IF($G33=N$4,$I33,0)+IF($J33=N$4,$L33,0),0),0)</f>
        <v>2</v>
      </c>
      <c r="O33" s="700">
        <f t="shared" si="80"/>
        <v>0</v>
      </c>
      <c r="P33" s="700">
        <f t="shared" si="80"/>
        <v>0</v>
      </c>
      <c r="Q33" s="700">
        <f t="shared" si="80"/>
        <v>0</v>
      </c>
      <c r="R33" s="700">
        <f t="shared" si="80"/>
        <v>1</v>
      </c>
      <c r="S33" s="700">
        <f t="shared" si="80"/>
        <v>0</v>
      </c>
      <c r="T33" s="700">
        <f t="shared" si="80"/>
        <v>0</v>
      </c>
      <c r="U33" s="700">
        <f t="shared" si="80"/>
        <v>0</v>
      </c>
      <c r="X33" s="1252"/>
      <c r="Y33" s="1252"/>
      <c r="Z33" s="1252"/>
      <c r="AA33" s="1252"/>
      <c r="AB33" s="1252"/>
      <c r="AC33" s="1252"/>
      <c r="AD33" s="314" t="str">
        <f>Settings!A3</f>
        <v>DECOUPES</v>
      </c>
      <c r="AE33" s="1563">
        <v>19.25</v>
      </c>
      <c r="AF33" s="1563">
        <v>29.0</v>
      </c>
      <c r="AG33" s="1563">
        <v>53.25</v>
      </c>
      <c r="AH33" s="1563">
        <v>47.0</v>
      </c>
      <c r="AI33" s="1563">
        <v>48.0</v>
      </c>
      <c r="AJ33" s="1563">
        <v>38.0</v>
      </c>
      <c r="AK33" s="1563">
        <v>35.0</v>
      </c>
      <c r="AL33" s="1563">
        <v>41.0</v>
      </c>
      <c r="AM33" s="1563">
        <v>38.5</v>
      </c>
      <c r="AN33" s="1563">
        <v>40.75</v>
      </c>
      <c r="AO33" s="1563">
        <v>40.0</v>
      </c>
      <c r="AP33" s="1563">
        <v>32.5</v>
      </c>
      <c r="AQ33" s="1563">
        <v>42.5</v>
      </c>
      <c r="AR33" s="1563">
        <v>44.5</v>
      </c>
      <c r="AS33" s="1252"/>
      <c r="AT33" s="1252"/>
      <c r="AU33" s="1252"/>
      <c r="AV33" s="1252"/>
      <c r="AW33" s="1252"/>
      <c r="AX33" s="1252"/>
      <c r="AY33" s="1252"/>
      <c r="AZ33" s="1252"/>
      <c r="BA33" s="1252"/>
      <c r="BB33" s="1252"/>
      <c r="CF33" s="314"/>
    </row>
    <row r="34" ht="19.5" customHeight="1">
      <c r="B34" s="1371"/>
      <c r="C34" s="663"/>
      <c r="D34" s="1372" t="str">
        <f t="array" ref="D34">IFERROR(INDEX(AE$4:AE$12, SMALL(IF((AN$4:AN$12 = MAX(AN$4:AN$12)) * (AI$4:AI$12 = D$3), ROW(AE$4:AE$12)-ROW(AE$4)+1), ROW(2:2))), "-")</f>
        <v>POPEYES</v>
      </c>
      <c r="E34" s="1540">
        <f t="array" ref="E34">IFERROR(INDEX(AN$4:AN$12, SMALL(IF((AN$4:AN$12 = MAX(AN$4:AN$12)) * (AI$4:AI$12 = D$3), ROW(AN$4:AN$12)-ROW(AN$4)+1), ROW(2:2))), "-")</f>
        <v>0</v>
      </c>
      <c r="F34" s="1378">
        <f>IF(D34="-","",F33)</f>
        <v>1</v>
      </c>
      <c r="G34" s="1466" t="str">
        <f t="array" ref="G34">IFERROR(INDEX(AE$4:AE$12, SMALL(IF((BH$4:BH$12 = MAX(BH$4:BH$12)) * (AI$4:AI$12 = G$3), ROW(AE$4:AE$12)-ROW(AE$4)+1), ROW(2:2))), "-")</f>
        <v>METAMOOKDAWGS</v>
      </c>
      <c r="H34" s="1380">
        <f t="array" ref="H34">IFERROR(INDEX(BH$4:BH$12, SMALL(IF((BH$4:BH$12 = MAX(BH$4:BH$12)) * (AI$4:AI$12 = G$3), ROW(BH$4:BH$12)-ROW(BH$4)+1), ROW(2:2))), "-")</f>
        <v>0</v>
      </c>
      <c r="I34" s="1380">
        <f>IF(G34="-","",I33)</f>
        <v>1</v>
      </c>
      <c r="J34" s="1372" t="str">
        <f t="array" ref="J34">IFERROR(INDEX(AE$4:AE$12, SMALL(IF(AN$4:AN$12 = MAX(AN$4:AN$12), ROW(AE$4:AE$12)-ROW(AE$4)+1), ROW(2:2))), "-")</f>
        <v>POPEYES</v>
      </c>
      <c r="K34" s="1540">
        <f t="array" ref="K34">IFERROR(INDEX(AN$4:AN$12, SMALL(IF(AN$4:AN$12 = MAX(AN$4:AN$12), ROW(AN$4:AN$12)-ROW(AN$4)+1), ROW(2:2))), "-")</f>
        <v>0</v>
      </c>
      <c r="L34" s="1378">
        <f>IF(J34="-","",L33)</f>
        <v>1</v>
      </c>
      <c r="M34" s="13" t="s">
        <v>1097</v>
      </c>
      <c r="N34" s="700">
        <f t="shared" ref="N34:U34" si="81">IFERROR(IF($M34="YES",IF($D34=N$4,$F34,0)+IF($G34=N$4,$I34,0)+IF($J34=N$4,$L34,0),0),0)</f>
        <v>0</v>
      </c>
      <c r="O34" s="700">
        <f t="shared" si="81"/>
        <v>2</v>
      </c>
      <c r="P34" s="700">
        <f t="shared" si="81"/>
        <v>0</v>
      </c>
      <c r="Q34" s="700">
        <f t="shared" si="81"/>
        <v>0</v>
      </c>
      <c r="R34" s="700">
        <f t="shared" si="81"/>
        <v>0</v>
      </c>
      <c r="S34" s="700">
        <f t="shared" si="81"/>
        <v>1</v>
      </c>
      <c r="T34" s="700">
        <f t="shared" si="81"/>
        <v>0</v>
      </c>
      <c r="U34" s="700">
        <f t="shared" si="81"/>
        <v>0</v>
      </c>
      <c r="X34" s="1252"/>
      <c r="Y34" s="1252"/>
      <c r="Z34" s="1252"/>
      <c r="AA34" s="1252"/>
      <c r="AB34" s="1252"/>
      <c r="AC34" s="1252"/>
      <c r="AD34" s="314" t="str">
        <f>Settings!A4</f>
        <v>POPEYES</v>
      </c>
      <c r="AE34" s="1563">
        <v>16.0</v>
      </c>
      <c r="AF34" s="1563">
        <v>16.75</v>
      </c>
      <c r="AG34" s="1563">
        <v>12.0</v>
      </c>
      <c r="AH34" s="1563">
        <v>15.0</v>
      </c>
      <c r="AI34" s="1563">
        <v>16.0</v>
      </c>
      <c r="AJ34" s="1563">
        <v>15.0</v>
      </c>
      <c r="AK34" s="1563">
        <v>19.5</v>
      </c>
      <c r="AL34" s="1563">
        <v>15.5</v>
      </c>
      <c r="AM34" s="1563">
        <v>15.5</v>
      </c>
      <c r="AN34" s="1563">
        <v>13.5</v>
      </c>
      <c r="AO34" s="1563">
        <v>13.0</v>
      </c>
      <c r="AP34" s="1563">
        <v>15.5</v>
      </c>
      <c r="AQ34" s="1563">
        <v>17.5</v>
      </c>
      <c r="AR34" s="1563">
        <v>18.0</v>
      </c>
      <c r="AS34" s="1252"/>
      <c r="AT34" s="1252"/>
      <c r="AU34" s="1252"/>
      <c r="AV34" s="1252"/>
      <c r="AW34" s="1252"/>
      <c r="AX34" s="1252"/>
      <c r="AY34" s="1252"/>
      <c r="AZ34" s="1252"/>
      <c r="BA34" s="1252"/>
      <c r="BB34" s="1252"/>
      <c r="CF34" s="314"/>
    </row>
    <row r="35" ht="19.5" customHeight="1">
      <c r="B35" s="1371"/>
      <c r="C35" s="663"/>
      <c r="D35" s="1372" t="str">
        <f t="array" ref="D35">IFERROR(INDEX(AE$4:AE$12, SMALL(IF((AN$4:AN$12 = MAX(AN$4:AN$12)) * (AI$4:AI$12 = D$3), ROW(AE$4:AE$12)-ROW(AE$4)+1), ROW(3:3))), "-")</f>
        <v>GREEN</v>
      </c>
      <c r="E35" s="1540">
        <f t="array" ref="E35">IFERROR(INDEX(AN$4:AN$12, SMALL(IF((AN$4:AN$12 = MAX(AN$4:AN$12)) * (AI$4:AI$12 = D$3), ROW(AN$4:AN$12)-ROW(AN$4)+1), ROW(3:3))), "-")</f>
        <v>0</v>
      </c>
      <c r="F35" s="1378">
        <f>IF(D35="-","",F33)</f>
        <v>1</v>
      </c>
      <c r="G35" s="1466" t="str">
        <f t="array" ref="G35">IFERROR(INDEX(AE$4:AE$12, SMALL(IF((BH$4:BH$12 = MAX(BH$4:BH$12)) * (AI$4:AI$12 = G$3), ROW(AE$4:AE$12)-ROW(AE$4)+1), ROW(3:3))), "-")</f>
        <v>YARDIES</v>
      </c>
      <c r="H35" s="1380">
        <f t="array" ref="H35">IFERROR(INDEX(BH$4:BH$12, SMALL(IF((BH$4:BH$12 = MAX(BH$4:BH$12)) * (AI$4:AI$12 = G$3), ROW(BH$4:BH$12)-ROW(BH$4)+1), ROW(3:3))), "-")</f>
        <v>0</v>
      </c>
      <c r="I35" s="1380">
        <f>IF(G35="-","",I33)</f>
        <v>1</v>
      </c>
      <c r="J35" s="1372" t="str">
        <f t="array" ref="J35">IFERROR(INDEX(AE$4:AE$12, SMALL(IF(AN$4:AN$12 = MAX(AN$4:AN$12), ROW(AE$4:AE$12)-ROW(AE$4)+1), ROW(3:3))), "-")</f>
        <v>GREEN</v>
      </c>
      <c r="K35" s="1540">
        <f t="array" ref="K35">IFERROR(INDEX(AN$4:AN$12, SMALL(IF(AN$4:AN$12 = MAX(AN$4:AN$12), ROW(AN$4:AN$12)-ROW(AN$4)+1), ROW(3:3))), "-")</f>
        <v>0</v>
      </c>
      <c r="L35" s="1378">
        <f>IF(J35="-","",L33)</f>
        <v>1</v>
      </c>
      <c r="M35" s="13" t="s">
        <v>1097</v>
      </c>
      <c r="N35" s="700">
        <f t="shared" ref="N35:U35" si="82">IFERROR(IF($M35="YES",IF($D35=N$4,$F35,0)+IF($G35=N$4,$I35,0)+IF($J35=N$4,$L35,0),0),0)</f>
        <v>0</v>
      </c>
      <c r="O35" s="700">
        <f t="shared" si="82"/>
        <v>0</v>
      </c>
      <c r="P35" s="700">
        <f t="shared" si="82"/>
        <v>2</v>
      </c>
      <c r="Q35" s="700">
        <f t="shared" si="82"/>
        <v>0</v>
      </c>
      <c r="R35" s="700">
        <f t="shared" si="82"/>
        <v>0</v>
      </c>
      <c r="S35" s="700">
        <f t="shared" si="82"/>
        <v>0</v>
      </c>
      <c r="T35" s="700">
        <f t="shared" si="82"/>
        <v>1</v>
      </c>
      <c r="U35" s="700">
        <f t="shared" si="82"/>
        <v>0</v>
      </c>
      <c r="X35" s="1252"/>
      <c r="Y35" s="1252"/>
      <c r="Z35" s="1252"/>
      <c r="AA35" s="1252"/>
      <c r="AB35" s="1252"/>
      <c r="AC35" s="1252"/>
      <c r="AD35" s="314" t="str">
        <f>Settings!A5</f>
        <v>GREEN</v>
      </c>
      <c r="AE35" s="1563">
        <v>52.5</v>
      </c>
      <c r="AF35" s="1563">
        <v>46.0</v>
      </c>
      <c r="AG35" s="1563">
        <v>30.0</v>
      </c>
      <c r="AH35" s="1563">
        <v>37.0</v>
      </c>
      <c r="AI35" s="1563">
        <v>32.0</v>
      </c>
      <c r="AJ35" s="1563">
        <v>47.0</v>
      </c>
      <c r="AK35" s="1563">
        <v>50.0</v>
      </c>
      <c r="AL35" s="1563">
        <v>36.25</v>
      </c>
      <c r="AM35" s="1563">
        <v>37.25</v>
      </c>
      <c r="AN35" s="1563">
        <v>38.75</v>
      </c>
      <c r="AO35" s="1563">
        <v>30.0</v>
      </c>
      <c r="AP35" s="1563">
        <v>35.5</v>
      </c>
      <c r="AQ35" s="1563">
        <v>29.0</v>
      </c>
      <c r="AR35" s="1563">
        <v>25.75</v>
      </c>
      <c r="AS35" s="1252"/>
      <c r="AT35" s="1252"/>
      <c r="AU35" s="1252"/>
      <c r="AV35" s="1252"/>
      <c r="AW35" s="1252"/>
      <c r="AX35" s="1252"/>
      <c r="AY35" s="1252"/>
      <c r="AZ35" s="1252"/>
      <c r="BA35" s="1252"/>
      <c r="BB35" s="1252"/>
      <c r="CF35" s="314"/>
    </row>
    <row r="36" ht="19.5" customHeight="1">
      <c r="B36" s="1371"/>
      <c r="C36" s="663"/>
      <c r="D36" s="1423" t="str">
        <f t="array" ref="D36">IFERROR(INDEX(AE$4:AE$12, SMALL(IF((AN$4:AN$12 = MAX(AN$4:AN$12)) * (AI$4:AI$12 = D$3), ROW(AE$4:AE$12)-ROW(AE$4)+1), ROW(4:4))), "-")</f>
        <v>SAVAGES</v>
      </c>
      <c r="E36" s="1542">
        <f t="array" ref="E36">IFERROR(INDEX(AN$4:AN$12, SMALL(IF((AN$4:AN$12 = MAX(AN$4:AN$12)) * (AI$4:AI$12 = D$3), ROW(AN$4:AN$12)-ROW(AN$4)+1), ROW(4:4))), "-")</f>
        <v>0</v>
      </c>
      <c r="F36" s="1425">
        <f>IF(D36="-","",F33)</f>
        <v>1</v>
      </c>
      <c r="G36" s="1476" t="str">
        <f t="array" ref="G36">IFERROR(INDEX(AE$4:AE$12, SMALL(IF((BH$4:BH$12 = MAX(BH$4:BH$12)) * (AI$4:AI$12 = G$3), ROW(AE$4:AE$12)-ROW(AE$4)+1), ROW(4:4))), "-")</f>
        <v>MUTTS</v>
      </c>
      <c r="H36" s="1433">
        <f t="array" ref="H36">IFERROR(INDEX(BH$4:BH$12, SMALL(IF((BH$4:BH$12 = MAX(BH$4:BH$12)) * (AI$4:AI$12 = G$3), ROW(BH$4:BH$12)-ROW(BH$4)+1), ROW(4:4))), "-")</f>
        <v>0</v>
      </c>
      <c r="I36" s="1433">
        <f>IF(G36="-","",I33)</f>
        <v>1</v>
      </c>
      <c r="J36" s="1372" t="str">
        <f t="array" ref="J36">IFERROR(INDEX(AE$4:AE$12, SMALL(IF(AN$4:AN$12 = MAX(AN$4:AN$12), ROW(AE$4:AE$12)-ROW(AE$4)+1), ROW(4:4))), "-")</f>
        <v>SAVAGES</v>
      </c>
      <c r="K36" s="1540">
        <f t="array" ref="K36">IFERROR(INDEX(AN$4:AN$12, SMALL(IF(AN$4:AN$12 = MAX(AN$4:AN$12), ROW(AN$4:AN$12)-ROW(AN$4)+1), ROW(4:4))), "-")</f>
        <v>0</v>
      </c>
      <c r="L36" s="1378">
        <f t="shared" ref="L36:L40" si="84">IF(J36="-","",L33)</f>
        <v>1</v>
      </c>
      <c r="M36" s="13" t="s">
        <v>1097</v>
      </c>
      <c r="N36" s="700">
        <f t="shared" ref="N36:U36" si="83">IFERROR(IF($M36="YES",IF($D36=N$4,$F36,0)+IF($G36=N$4,$I36,0)+IF($J36=N$4,$L36,0),0),0)</f>
        <v>0</v>
      </c>
      <c r="O36" s="700">
        <f t="shared" si="83"/>
        <v>0</v>
      </c>
      <c r="P36" s="700">
        <f t="shared" si="83"/>
        <v>0</v>
      </c>
      <c r="Q36" s="700">
        <f t="shared" si="83"/>
        <v>2</v>
      </c>
      <c r="R36" s="700">
        <f t="shared" si="83"/>
        <v>0</v>
      </c>
      <c r="S36" s="700">
        <f t="shared" si="83"/>
        <v>0</v>
      </c>
      <c r="T36" s="700">
        <f t="shared" si="83"/>
        <v>0</v>
      </c>
      <c r="U36" s="700">
        <f t="shared" si="83"/>
        <v>1</v>
      </c>
      <c r="X36" s="1252"/>
      <c r="Y36" s="1252"/>
      <c r="Z36" s="1252"/>
      <c r="AA36" s="1252"/>
      <c r="AB36" s="1252"/>
      <c r="AC36" s="1252"/>
      <c r="AD36" s="314" t="str">
        <f>Settings!A6</f>
        <v>SAVAGES</v>
      </c>
      <c r="AE36" s="1563">
        <v>26.5</v>
      </c>
      <c r="AF36" s="1563">
        <v>13.5</v>
      </c>
      <c r="AG36" s="1563">
        <v>13.75</v>
      </c>
      <c r="AH36" s="1563">
        <v>10.0</v>
      </c>
      <c r="AI36" s="1563">
        <v>20.75</v>
      </c>
      <c r="AJ36" s="1563">
        <v>24.5</v>
      </c>
      <c r="AK36" s="1563">
        <v>20.5</v>
      </c>
      <c r="AL36" s="1563">
        <v>22.25</v>
      </c>
      <c r="AM36" s="1563">
        <v>18.75</v>
      </c>
      <c r="AN36" s="1563">
        <v>18.5</v>
      </c>
      <c r="AO36" s="1563">
        <v>16.25</v>
      </c>
      <c r="AP36" s="1563">
        <v>15.25</v>
      </c>
      <c r="AQ36" s="1563">
        <v>11.75</v>
      </c>
      <c r="AR36" s="1563">
        <v>10.5</v>
      </c>
      <c r="AS36" s="1252"/>
      <c r="AT36" s="1252"/>
      <c r="AU36" s="1252"/>
      <c r="AV36" s="1252"/>
      <c r="AW36" s="1252"/>
      <c r="AX36" s="1252"/>
      <c r="AY36" s="1252"/>
      <c r="AZ36" s="1252"/>
      <c r="BA36" s="1252"/>
      <c r="BB36" s="1252"/>
      <c r="CF36" s="314"/>
    </row>
    <row r="37" ht="19.5" customHeight="1">
      <c r="B37" s="1371"/>
      <c r="C37" s="663"/>
      <c r="D37" s="1440"/>
      <c r="E37" s="1444"/>
      <c r="F37" s="1442"/>
      <c r="G37" s="1440"/>
      <c r="H37" s="1444"/>
      <c r="I37" s="1444"/>
      <c r="J37" s="1372" t="str">
        <f t="array" ref="J37">IFERROR(INDEX(AE$4:AE$12, SMALL(IF(AN$4:AN$12 = MAX(AN$4:AN$12), ROW(AE$4:AE$12)-ROW(AE$4)+1), ROW(5:5))), "-")</f>
        <v>KINGS</v>
      </c>
      <c r="K37" s="1540">
        <f t="array" ref="K37">IFERROR(INDEX(AN$4:AN$12, SMALL(IF(AN$4:AN$12 = MAX(AN$4:AN$12), ROW(AN$4:AN$12)-ROW(AN$4)+1), ROW(5:5))), "-")</f>
        <v>0</v>
      </c>
      <c r="L37" s="1378">
        <f t="shared" si="84"/>
        <v>1</v>
      </c>
      <c r="M37" s="13" t="s">
        <v>1097</v>
      </c>
      <c r="N37" s="700">
        <f t="shared" ref="N37:U37" si="85">IFERROR(IF($M37="YES",IF($D37=N$4,$F37,0)+IF($G37=N$4,$I37,0)+IF($J37=N$4,$L37,0),0),0)</f>
        <v>0</v>
      </c>
      <c r="O37" s="700">
        <f t="shared" si="85"/>
        <v>0</v>
      </c>
      <c r="P37" s="700">
        <f t="shared" si="85"/>
        <v>0</v>
      </c>
      <c r="Q37" s="700">
        <f t="shared" si="85"/>
        <v>0</v>
      </c>
      <c r="R37" s="700">
        <f t="shared" si="85"/>
        <v>0</v>
      </c>
      <c r="S37" s="700">
        <f t="shared" si="85"/>
        <v>0</v>
      </c>
      <c r="T37" s="700">
        <f t="shared" si="85"/>
        <v>0</v>
      </c>
      <c r="U37" s="700">
        <f t="shared" si="85"/>
        <v>0</v>
      </c>
      <c r="X37" s="1252"/>
      <c r="Y37" s="1252"/>
      <c r="Z37" s="1252"/>
      <c r="AA37" s="1252"/>
      <c r="AB37" s="1252"/>
      <c r="AC37" s="1252"/>
      <c r="AD37" s="314" t="str">
        <f>Settings!A7</f>
        <v>CHAMPS</v>
      </c>
      <c r="AE37" s="1563">
        <v>30.5</v>
      </c>
      <c r="AF37" s="1563">
        <v>23.25</v>
      </c>
      <c r="AG37" s="1563">
        <v>23.25</v>
      </c>
      <c r="AH37" s="1563">
        <v>30.75</v>
      </c>
      <c r="AI37" s="1563">
        <v>22.25</v>
      </c>
      <c r="AJ37" s="1563">
        <v>20.75</v>
      </c>
      <c r="AK37" s="1563">
        <v>15.0</v>
      </c>
      <c r="AL37" s="1563">
        <v>13.5</v>
      </c>
      <c r="AM37" s="1563">
        <v>10.5</v>
      </c>
      <c r="AN37" s="1563">
        <v>10.5</v>
      </c>
      <c r="AO37" s="1563">
        <v>10.75</v>
      </c>
      <c r="AP37" s="1563">
        <v>13.75</v>
      </c>
      <c r="AQ37" s="1563">
        <v>7.0</v>
      </c>
      <c r="AR37" s="1563">
        <v>6.5</v>
      </c>
      <c r="AS37" s="1252"/>
      <c r="AT37" s="1252"/>
      <c r="AU37" s="1252"/>
      <c r="AV37" s="1252"/>
      <c r="AW37" s="1252"/>
      <c r="AX37" s="1252"/>
      <c r="AY37" s="1252"/>
      <c r="AZ37" s="1252"/>
      <c r="BA37" s="1252"/>
      <c r="BB37" s="1252"/>
      <c r="CF37" s="314"/>
    </row>
    <row r="38" ht="19.5" customHeight="1">
      <c r="B38" s="1371"/>
      <c r="C38" s="663"/>
      <c r="D38" s="1440"/>
      <c r="E38" s="1444"/>
      <c r="F38" s="1442"/>
      <c r="G38" s="1440"/>
      <c r="H38" s="1444"/>
      <c r="I38" s="1444"/>
      <c r="J38" s="1372" t="str">
        <f t="array" ref="J38">IFERROR(INDEX(AE$4:AE$12, SMALL(IF(AN$4:AN$12 = MAX(AN$4:AN$12), ROW(AE$4:AE$12)-ROW(AE$4)+1), ROW(6:6))), "-")</f>
        <v>CHAMPS</v>
      </c>
      <c r="K38" s="1540">
        <f t="array" ref="K38">IFERROR(INDEX(AN$4:AN$12, SMALL(IF(AN$4:AN$12 = MAX(AN$4:AN$12), ROW(AN$4:AN$12)-ROW(AN$4)+1), ROW(6:6))), "-")</f>
        <v>0</v>
      </c>
      <c r="L38" s="1378">
        <f t="shared" si="84"/>
        <v>1</v>
      </c>
      <c r="M38" s="13" t="s">
        <v>1097</v>
      </c>
      <c r="N38" s="700">
        <f t="shared" ref="N38:U38" si="86">IFERROR(IF($M38="YES",IF($D38=N$4,$F38,0)+IF($G38=N$4,$I38,0)+IF($J38=N$4,$L38,0),0),0)</f>
        <v>0</v>
      </c>
      <c r="O38" s="700">
        <f t="shared" si="86"/>
        <v>0</v>
      </c>
      <c r="P38" s="700">
        <f t="shared" si="86"/>
        <v>0</v>
      </c>
      <c r="Q38" s="700">
        <f t="shared" si="86"/>
        <v>0</v>
      </c>
      <c r="R38" s="700">
        <f t="shared" si="86"/>
        <v>1</v>
      </c>
      <c r="S38" s="700">
        <f t="shared" si="86"/>
        <v>0</v>
      </c>
      <c r="T38" s="700">
        <f t="shared" si="86"/>
        <v>0</v>
      </c>
      <c r="U38" s="700">
        <f t="shared" si="86"/>
        <v>0</v>
      </c>
      <c r="X38" s="1252"/>
      <c r="Y38" s="1252"/>
      <c r="Z38" s="1252"/>
      <c r="AA38" s="1252"/>
      <c r="AB38" s="1252"/>
      <c r="AC38" s="1252"/>
      <c r="AD38" s="314" t="str">
        <f>Settings!A8</f>
        <v>METAMOOKDAWGS</v>
      </c>
      <c r="AE38" s="1563">
        <v>19.0</v>
      </c>
      <c r="AF38" s="1563">
        <v>22.0</v>
      </c>
      <c r="AG38" s="1563">
        <v>33.5</v>
      </c>
      <c r="AH38" s="1563">
        <v>20.5</v>
      </c>
      <c r="AI38" s="1563">
        <v>23.5</v>
      </c>
      <c r="AJ38" s="1563">
        <v>18.5</v>
      </c>
      <c r="AK38" s="1563">
        <v>15.0</v>
      </c>
      <c r="AL38" s="1563">
        <v>10.0</v>
      </c>
      <c r="AM38" s="1563">
        <v>12.0</v>
      </c>
      <c r="AN38" s="1563">
        <v>13.0</v>
      </c>
      <c r="AO38" s="1563">
        <v>11.5</v>
      </c>
      <c r="AP38" s="1563">
        <v>17.0</v>
      </c>
      <c r="AQ38" s="1563">
        <v>15.0</v>
      </c>
      <c r="AR38" s="1563">
        <v>12.0</v>
      </c>
      <c r="AS38" s="1252"/>
      <c r="AT38" s="1252"/>
      <c r="AU38" s="1252"/>
      <c r="AV38" s="1252"/>
      <c r="AW38" s="1252"/>
      <c r="AX38" s="1252"/>
      <c r="AY38" s="1252"/>
      <c r="AZ38" s="1252"/>
      <c r="BA38" s="1252"/>
      <c r="BB38" s="1252"/>
      <c r="CF38" s="314"/>
    </row>
    <row r="39" ht="19.5" customHeight="1">
      <c r="B39" s="1371"/>
      <c r="C39" s="663"/>
      <c r="D39" s="1440"/>
      <c r="E39" s="1444"/>
      <c r="F39" s="1442"/>
      <c r="G39" s="1440"/>
      <c r="H39" s="1444"/>
      <c r="I39" s="1444"/>
      <c r="J39" s="1372" t="str">
        <f t="array" ref="J39">IFERROR(INDEX(AE$4:AE$12, SMALL(IF(AN$4:AN$12 = MAX(AN$4:AN$12), ROW(AE$4:AE$12)-ROW(AE$4)+1), ROW(7:7))), "-")</f>
        <v>METAMOOKDAWGS</v>
      </c>
      <c r="K39" s="1540">
        <f t="array" ref="K39">IFERROR(INDEX(AN$4:AN$12, SMALL(IF(AN$4:AN$12 = MAX(AN$4:AN$12), ROW(AN$4:AN$12)-ROW(AN$4)+1), ROW(7:7))), "-")</f>
        <v>0</v>
      </c>
      <c r="L39" s="1378">
        <f t="shared" si="84"/>
        <v>1</v>
      </c>
      <c r="M39" s="13" t="s">
        <v>1097</v>
      </c>
      <c r="N39" s="700">
        <f t="shared" ref="N39:U39" si="87">IFERROR(IF($M39="YES",IF($D39=N$4,$F39,0)+IF($G39=N$4,$I39,0)+IF($J39=N$4,$L39,0),0),0)</f>
        <v>0</v>
      </c>
      <c r="O39" s="700">
        <f t="shared" si="87"/>
        <v>0</v>
      </c>
      <c r="P39" s="700">
        <f t="shared" si="87"/>
        <v>0</v>
      </c>
      <c r="Q39" s="700">
        <f t="shared" si="87"/>
        <v>0</v>
      </c>
      <c r="R39" s="700">
        <f t="shared" si="87"/>
        <v>0</v>
      </c>
      <c r="S39" s="700">
        <f t="shared" si="87"/>
        <v>1</v>
      </c>
      <c r="T39" s="700">
        <f t="shared" si="87"/>
        <v>0</v>
      </c>
      <c r="U39" s="700">
        <f t="shared" si="87"/>
        <v>0</v>
      </c>
      <c r="X39" s="1252"/>
      <c r="Y39" s="1252"/>
      <c r="Z39" s="1252"/>
      <c r="AA39" s="1252"/>
      <c r="AB39" s="1252"/>
      <c r="AC39" s="1252"/>
      <c r="AD39" s="314" t="str">
        <f>Settings!A9</f>
        <v>YARDIES</v>
      </c>
      <c r="AE39" s="1563">
        <v>43.5</v>
      </c>
      <c r="AF39" s="1563">
        <v>27.5</v>
      </c>
      <c r="AG39" s="1563">
        <v>16.5</v>
      </c>
      <c r="AH39" s="1563">
        <v>34.25</v>
      </c>
      <c r="AI39" s="1563">
        <v>42.5</v>
      </c>
      <c r="AJ39" s="1563">
        <v>38.0</v>
      </c>
      <c r="AK39" s="1563">
        <v>35.25</v>
      </c>
      <c r="AL39" s="1563">
        <v>29.25</v>
      </c>
      <c r="AM39" s="1563">
        <v>37.0</v>
      </c>
      <c r="AN39" s="1563">
        <v>29.0</v>
      </c>
      <c r="AO39" s="1563">
        <v>33.5</v>
      </c>
      <c r="AP39" s="1563">
        <v>27.0</v>
      </c>
      <c r="AQ39" s="1563">
        <v>28.5</v>
      </c>
      <c r="AR39" s="1563">
        <v>32.0</v>
      </c>
      <c r="AS39" s="1252"/>
      <c r="AT39" s="1252"/>
      <c r="AU39" s="1252"/>
      <c r="AV39" s="1252"/>
      <c r="AW39" s="1252"/>
      <c r="AX39" s="1252"/>
      <c r="AY39" s="1252"/>
      <c r="AZ39" s="1252"/>
      <c r="BA39" s="1252"/>
      <c r="BB39" s="1252"/>
      <c r="CF39" s="314"/>
    </row>
    <row r="40" ht="19.5" customHeight="1">
      <c r="B40" s="1371"/>
      <c r="C40" s="663"/>
      <c r="D40" s="1440"/>
      <c r="E40" s="1444"/>
      <c r="F40" s="1442"/>
      <c r="G40" s="1440"/>
      <c r="H40" s="1444"/>
      <c r="I40" s="1444"/>
      <c r="J40" s="1372" t="str">
        <f t="array" ref="J40">IFERROR(INDEX(AE$4:AE$12, SMALL(IF(AN$4:AN$12 = MAX(AN$4:AN$12), ROW(AE$4:AE$12)-ROW(AE$4)+1), ROW(8:8))), "-")</f>
        <v>YARDIES</v>
      </c>
      <c r="K40" s="1540">
        <f t="array" ref="K40">IFERROR(INDEX(AN$4:AN$12, SMALL(IF(AN$4:AN$12 = MAX(AN$4:AN$12), ROW(AN$4:AN$12)-ROW(AN$4)+1), ROW(8:8))), "-")</f>
        <v>0</v>
      </c>
      <c r="L40" s="1378">
        <f t="shared" si="84"/>
        <v>1</v>
      </c>
      <c r="M40" s="13" t="s">
        <v>1097</v>
      </c>
      <c r="N40" s="700">
        <f t="shared" ref="N40:U40" si="88">IFERROR(IF($M40="YES",IF($D40=N$4,$F40,0)+IF($G40=N$4,$I40,0)+IF($J40=N$4,$L40,0),0),0)</f>
        <v>0</v>
      </c>
      <c r="O40" s="700">
        <f t="shared" si="88"/>
        <v>0</v>
      </c>
      <c r="P40" s="700">
        <f t="shared" si="88"/>
        <v>0</v>
      </c>
      <c r="Q40" s="700">
        <f t="shared" si="88"/>
        <v>0</v>
      </c>
      <c r="R40" s="700">
        <f t="shared" si="88"/>
        <v>0</v>
      </c>
      <c r="S40" s="700">
        <f t="shared" si="88"/>
        <v>0</v>
      </c>
      <c r="T40" s="700">
        <f t="shared" si="88"/>
        <v>1</v>
      </c>
      <c r="U40" s="700">
        <f t="shared" si="88"/>
        <v>0</v>
      </c>
      <c r="X40" s="1252"/>
      <c r="Y40" s="1252"/>
      <c r="Z40" s="1252"/>
      <c r="AA40" s="1252"/>
      <c r="AB40" s="1252"/>
      <c r="AC40" s="1252"/>
      <c r="AD40" s="314" t="str">
        <f>Settings!A10</f>
        <v>MUTTS</v>
      </c>
      <c r="AE40" s="1563">
        <v>18.0</v>
      </c>
      <c r="AF40" s="1563">
        <v>33.25</v>
      </c>
      <c r="AG40" s="1563">
        <v>32.75</v>
      </c>
      <c r="AH40" s="1563">
        <v>22.25</v>
      </c>
      <c r="AI40" s="1563">
        <v>17.25</v>
      </c>
      <c r="AJ40" s="1563">
        <v>24.5</v>
      </c>
      <c r="AK40" s="1563">
        <v>28.0</v>
      </c>
      <c r="AL40" s="1563">
        <v>26.5</v>
      </c>
      <c r="AM40" s="1563">
        <v>26.75</v>
      </c>
      <c r="AN40" s="1563">
        <v>36.25</v>
      </c>
      <c r="AO40" s="1563">
        <v>38.5</v>
      </c>
      <c r="AP40" s="1563">
        <v>42.75</v>
      </c>
      <c r="AQ40" s="1563">
        <v>35.25</v>
      </c>
      <c r="AR40" s="1563">
        <v>31.75</v>
      </c>
      <c r="AS40" s="1252"/>
      <c r="AT40" s="1252"/>
      <c r="AU40" s="1252"/>
      <c r="AV40" s="1252"/>
      <c r="AW40" s="1252"/>
      <c r="AX40" s="1252"/>
      <c r="AY40" s="1252"/>
      <c r="AZ40" s="1252"/>
      <c r="BA40" s="1252"/>
      <c r="BB40" s="1252"/>
      <c r="CF40" s="314"/>
    </row>
    <row r="41" ht="19.5" customHeight="1">
      <c r="B41" s="1458" t="s">
        <v>1779</v>
      </c>
      <c r="C41" s="827"/>
      <c r="D41" s="1533" t="str">
        <f t="array" ref="D41">IFERROR(INDEX(AE$4:AE$12, SMALL(IF((BI$4:BI$12 = MAX(BI$4:BI$12)) * (AI$4:AI$12 = D$3), ROW(AE$4:AE$12)-ROW(AE$4)+1), ROW(1:1))), "-")</f>
        <v>DECOUPES</v>
      </c>
      <c r="E41" s="1533" t="str">
        <f t="array" ref="E41">IFERROR(INDEX(BI$4:BI$12, SMALL(IF((BI$4:BI$12 = MAX(BI$4:BI$12)) * (AI$4:AI$12 = D$3), ROW(BI$4:BI$12)-ROW(BI$4)+1), ROW(1:1))), "-")</f>
        <v/>
      </c>
      <c r="F41" s="1329">
        <v>1.0</v>
      </c>
      <c r="G41" s="1460" t="str">
        <f t="array" ref="G41">IFERROR(INDEX(AE$9:AE$12, SMALL(IF((AX$9:AX$12 = MAX(AX$9:AX$12)) * (AI$9:AI$12 = G$3), ROW(AE$9:AE$12)-ROW(AE$9)+1), ROW(1:1))), "-")</f>
        <v>CHAMPS</v>
      </c>
      <c r="H41" s="1536" t="str">
        <f t="array" ref="H41">IFERROR(INDEX(AX$4:AX$12, SMALL(IF((AX$4:AX$12 = MAX(AX$4:AX$12)) * (AI$4:AI$12 = G$3), ROW(AX$4:AX$12)-ROW(AX$4)+1), ROW(1:1))), "-")</f>
        <v/>
      </c>
      <c r="I41" s="1329">
        <v>1.0</v>
      </c>
      <c r="J41" s="1323" t="str">
        <f t="array" ref="J41">IFERROR(INDEX(AE$4:AE$12, SMALL(IF(AX$4:AX$12 = MAX(AX$4:AX$12), ROW(AE$4:AE$12)-ROW(AE$4)+1), ROW(1:1))), "-")</f>
        <v>DECOUPES</v>
      </c>
      <c r="K41" s="1533" t="str">
        <f t="array" ref="K41">IFERROR(INDEX(AX$4:AX$12, SMALL(IF(AX$4:AX$12 = MAX(AX$4:AX$12), ROW(AX$4:AX$12)-ROW(AX$4)+1), ROW(1:1))), "-")</f>
        <v/>
      </c>
      <c r="L41" s="1325">
        <v>1.0</v>
      </c>
      <c r="M41" s="13" t="s">
        <v>1097</v>
      </c>
      <c r="N41" s="700">
        <f t="shared" ref="N41:U41" si="89">IFERROR(IF($M41="YES",IF($D41=N$4,$F41,0)+IF($G41=N$4,$I41,0)+IF($J41=N$4,$L41,0),0),0)</f>
        <v>2</v>
      </c>
      <c r="O41" s="700">
        <f t="shared" si="89"/>
        <v>0</v>
      </c>
      <c r="P41" s="700">
        <f t="shared" si="89"/>
        <v>0</v>
      </c>
      <c r="Q41" s="700">
        <f t="shared" si="89"/>
        <v>0</v>
      </c>
      <c r="R41" s="700">
        <f t="shared" si="89"/>
        <v>1</v>
      </c>
      <c r="S41" s="700">
        <f t="shared" si="89"/>
        <v>0</v>
      </c>
      <c r="T41" s="700">
        <f t="shared" si="89"/>
        <v>0</v>
      </c>
      <c r="U41" s="700">
        <f t="shared" si="89"/>
        <v>0</v>
      </c>
      <c r="X41" s="1252"/>
      <c r="Y41" s="1252"/>
      <c r="Z41" s="1252"/>
      <c r="AA41" s="1252"/>
      <c r="AB41" s="1252"/>
      <c r="AC41" s="1252"/>
      <c r="AD41" s="1252"/>
      <c r="AE41" s="1252"/>
      <c r="AF41" s="1252"/>
      <c r="AG41" s="1252"/>
      <c r="AH41" s="1252"/>
      <c r="AI41" s="1252"/>
      <c r="AJ41" s="1252"/>
      <c r="AK41" s="1252"/>
      <c r="AL41" s="1252"/>
      <c r="AM41" s="1252"/>
      <c r="AN41" s="1252"/>
      <c r="AO41" s="1252"/>
      <c r="AP41" s="1252"/>
      <c r="AQ41" s="1252"/>
      <c r="AR41" s="1252"/>
      <c r="AS41" s="1252"/>
      <c r="AT41" s="1252"/>
      <c r="AU41" s="1252"/>
      <c r="AV41" s="1252"/>
      <c r="AW41" s="1252"/>
      <c r="AX41" s="1252"/>
      <c r="AY41" s="1252"/>
      <c r="AZ41" s="1252"/>
      <c r="BA41" s="1252"/>
      <c r="BB41" s="1252"/>
      <c r="CF41" s="314"/>
    </row>
    <row r="42" ht="19.5" customHeight="1">
      <c r="B42" s="1371"/>
      <c r="C42" s="663"/>
      <c r="D42" s="1540" t="str">
        <f t="array" ref="D42">IFERROR(INDEX(AE$4:AE$12, SMALL(IF((BI$4:BI$12 = MAX(BI$4:BI$12)) * (AI$4:AI$12 = D$3), ROW(AE$4:AE$12)-ROW(AE$4)+1), ROW(2:2))), "-")</f>
        <v>POPEYES</v>
      </c>
      <c r="E42" s="1540" t="str">
        <f t="array" ref="E42">IFERROR(INDEX(BI$4:BI$12, SMALL(IF((BI$4:BI$12 = MAX(BI$4:BI$12)) * (AI$4:AI$12 = D$3), ROW(BI$4:BI$12)-ROW(BI$4)+1), ROW(2:2))), "-")</f>
        <v/>
      </c>
      <c r="F42" s="1540">
        <f>IF(D42="-","",F41)</f>
        <v>1</v>
      </c>
      <c r="G42" s="1466" t="str">
        <f t="array" ref="G42">IFERROR(INDEX(AE$9:AE$12, SMALL(IF((AX$9:AX$12 = MAX(AX$9:AX$12)) * (AI$9:AI$12 = G$3), ROW(AE$9:AE$12)-ROW(AE$9)+1), ROW(2:2))), "-")</f>
        <v>METAMOOKDAWGS</v>
      </c>
      <c r="H42" s="1380" t="str">
        <f t="array" ref="H42">IFERROR(INDEX(AX$4:AX$12, SMALL(IF((AX$4:AX$12 = MAX(AX$4:AX$12)) * (AI$4:AI$12 = G$3), ROW(AX$4:AX$12)-ROW(AX$4)+1), ROW(2:2))), "-")</f>
        <v/>
      </c>
      <c r="I42" s="1380">
        <f>IF(G42="-","",I41)</f>
        <v>1</v>
      </c>
      <c r="J42" s="1372" t="str">
        <f t="array" ref="J42">IFERROR(INDEX(AE4:AE12, SMALL(IF(AX4:AX12 = MAX(AX4:AX12), ROW(AE4:AE12)-ROW(AE4)+1), ROW(2:2))), "-")</f>
        <v>POPEYES</v>
      </c>
      <c r="K42" s="1540" t="str">
        <f t="array" ref="K42">IFERROR(INDEX(AX$4:AX$12, SMALL(IF(AX$4:AX$12 = MAX(AX$4:AX$12), ROW(AX$4:AX$12)-ROW(AX$4)+1), ROW(2:2))), "-")</f>
        <v/>
      </c>
      <c r="L42" s="1378">
        <f>IF(J42="-","",L41)</f>
        <v>1</v>
      </c>
      <c r="M42" s="13" t="s">
        <v>1097</v>
      </c>
      <c r="N42" s="700">
        <f t="shared" ref="N42:U42" si="90">IFERROR(IF($M42="YES",IF($D42=N$4,$F42,0)+IF($G42=N$4,$I42,0)+IF($J42=N$4,$L42,0),0),0)</f>
        <v>0</v>
      </c>
      <c r="O42" s="700">
        <f t="shared" si="90"/>
        <v>2</v>
      </c>
      <c r="P42" s="700">
        <f t="shared" si="90"/>
        <v>0</v>
      </c>
      <c r="Q42" s="700">
        <f t="shared" si="90"/>
        <v>0</v>
      </c>
      <c r="R42" s="700">
        <f t="shared" si="90"/>
        <v>0</v>
      </c>
      <c r="S42" s="700">
        <f t="shared" si="90"/>
        <v>1</v>
      </c>
      <c r="T42" s="700">
        <f t="shared" si="90"/>
        <v>0</v>
      </c>
      <c r="U42" s="700">
        <f t="shared" si="90"/>
        <v>0</v>
      </c>
      <c r="X42" s="1252"/>
      <c r="Y42" s="1252"/>
      <c r="Z42" s="1252"/>
      <c r="AA42" s="1252"/>
      <c r="AB42" s="1252"/>
      <c r="AC42" s="1252"/>
      <c r="AD42" s="1252"/>
      <c r="AE42" s="1252"/>
      <c r="AF42" s="1252"/>
      <c r="AG42" s="1252"/>
      <c r="AH42" s="1252"/>
      <c r="AI42" s="1252"/>
      <c r="AJ42" s="1252"/>
      <c r="AK42" s="1252"/>
      <c r="AL42" s="1252"/>
      <c r="AM42" s="1252"/>
      <c r="AN42" s="1252"/>
      <c r="AO42" s="1252"/>
      <c r="AP42" s="1252"/>
      <c r="AQ42" s="1252"/>
      <c r="AR42" s="1252"/>
      <c r="AS42" s="1252"/>
      <c r="AT42" s="1252"/>
      <c r="AU42" s="1252"/>
      <c r="AV42" s="1252"/>
      <c r="AW42" s="1252"/>
      <c r="AX42" s="1252"/>
      <c r="AY42" s="1252"/>
      <c r="AZ42" s="1252"/>
      <c r="BA42" s="1252"/>
      <c r="BB42" s="1252"/>
      <c r="CF42" s="314"/>
    </row>
    <row r="43" ht="19.5" customHeight="1">
      <c r="B43" s="1371"/>
      <c r="C43" s="663"/>
      <c r="D43" s="1540" t="str">
        <f t="array" ref="D43">IFERROR(INDEX(AE$4:AE$12, SMALL(IF((BI$4:BI$12 = MAX(BI$4:BI$12)) * (AI$4:AI$12 = D$3), ROW(AE$4:AE$12)-ROW(AE$4)+1), ROW(3:3))), "-")</f>
        <v>GREEN</v>
      </c>
      <c r="E43" s="1540" t="str">
        <f t="array" ref="E43">IFERROR(INDEX(BI$4:BI$12, SMALL(IF((BI$4:BI$12 = MAX(BI$4:BI$12)) * (AI$4:AI$12 = D$3), ROW(BI$4:BI$12)-ROW(BI$4)+1), ROW(3:3))), "-")</f>
        <v/>
      </c>
      <c r="F43" s="1540">
        <f>IF(D43="-","",F41)</f>
        <v>1</v>
      </c>
      <c r="G43" s="1466" t="str">
        <f t="array" ref="G43">IFERROR(INDEX(AE$9:AE$12, SMALL(IF((AX$9:AX$12 = MAX(AX$9:AX$12)) * (AI$9:AI$12 = G$3), ROW(AE$9:AE$12)-ROW(AE$9)+1), ROW(3:3))), "-")</f>
        <v>YARDIES</v>
      </c>
      <c r="H43" s="1380" t="str">
        <f t="array" ref="H43">IFERROR(INDEX(AX$4:AX$12, SMALL(IF((AX$4:AX$12 = MAX(AX$4:AX$12)) * (AI$4:AI$12 = G$3), ROW(AX$4:AX$12)-ROW(AX$4)+1), ROW(3:3))), "-")</f>
        <v/>
      </c>
      <c r="I43" s="1380">
        <f>IF(G43="-","",I41)</f>
        <v>1</v>
      </c>
      <c r="J43" s="1372" t="str">
        <f t="array" ref="J43">IFERROR(INDEX(AE4:AE12, SMALL(IF(AX4:AX12 = MAX(AX4:AX12), ROW(AE4:AE12)-ROW(AE4)+1), ROW(3:3))), "-")</f>
        <v>GREEN</v>
      </c>
      <c r="K43" s="1540" t="str">
        <f t="array" ref="K43">IFERROR(INDEX(AX$4:AX$12, SMALL(IF(AX$4:AX$12 = MAX(AX$4:AX$12), ROW(AX$4:AX$12)-ROW(AX$4)+1), ROW(3:3))), "-")</f>
        <v/>
      </c>
      <c r="L43" s="1378">
        <f>IF(J43="-","",L41)</f>
        <v>1</v>
      </c>
      <c r="M43" s="13" t="s">
        <v>1097</v>
      </c>
      <c r="N43" s="700">
        <f t="shared" ref="N43:U43" si="91">IFERROR(IF($M43="YES",IF($D43=N$4,$F43,0)+IF($G43=N$4,$I43,0)+IF($J43=N$4,$L43,0),0),0)</f>
        <v>0</v>
      </c>
      <c r="O43" s="700">
        <f t="shared" si="91"/>
        <v>0</v>
      </c>
      <c r="P43" s="700">
        <f t="shared" si="91"/>
        <v>2</v>
      </c>
      <c r="Q43" s="700">
        <f t="shared" si="91"/>
        <v>0</v>
      </c>
      <c r="R43" s="700">
        <f t="shared" si="91"/>
        <v>0</v>
      </c>
      <c r="S43" s="700">
        <f t="shared" si="91"/>
        <v>0</v>
      </c>
      <c r="T43" s="700">
        <f t="shared" si="91"/>
        <v>1</v>
      </c>
      <c r="U43" s="700">
        <f t="shared" si="91"/>
        <v>0</v>
      </c>
      <c r="X43" s="1252"/>
      <c r="Y43" s="1252"/>
      <c r="Z43" s="1252"/>
      <c r="AA43" s="1252"/>
      <c r="AB43" s="1252"/>
      <c r="AC43" s="1252"/>
      <c r="AD43" s="1252"/>
      <c r="AE43" s="1252"/>
      <c r="AF43" s="1252"/>
      <c r="AG43" s="1252"/>
      <c r="AH43" s="1252"/>
      <c r="AI43" s="1252"/>
      <c r="AJ43" s="1252"/>
      <c r="AK43" s="1252"/>
      <c r="AL43" s="1252"/>
      <c r="AM43" s="1252"/>
      <c r="AN43" s="1252"/>
      <c r="AO43" s="1252"/>
      <c r="AP43" s="1252"/>
      <c r="AQ43" s="1252"/>
      <c r="AR43" s="1252"/>
      <c r="AS43" s="1252"/>
      <c r="AT43" s="1252"/>
      <c r="AU43" s="1252"/>
      <c r="AV43" s="1252"/>
      <c r="AW43" s="1252"/>
      <c r="AX43" s="1252"/>
      <c r="AY43" s="1252"/>
      <c r="AZ43" s="1252"/>
      <c r="BA43" s="1252"/>
      <c r="BB43" s="1252"/>
      <c r="CF43" s="314"/>
    </row>
    <row r="44" ht="19.5" customHeight="1">
      <c r="B44" s="1288"/>
      <c r="C44" s="1570"/>
      <c r="D44" s="1542" t="str">
        <f t="array" ref="D44">IFERROR(INDEX(AE$4:AE$12, SMALL(IF((BI$4:BI$12 = MAX(BI$4:BI$12)) * (AI$4:AI$12 = D$3), ROW(AE$4:AE$12)-ROW(AE$4)+1), ROW(4:4))), "-")</f>
        <v>SAVAGES</v>
      </c>
      <c r="E44" s="1542" t="str">
        <f t="array" ref="E44">IFERROR(INDEX(BI$4:BI$12, SMALL(IF((BI$4:BI$12 = MAX(BI$4:BI$12)) * (AI$4:AI$12 = D$3), ROW(BI$4:BI$12)-ROW(BI$4)+1), ROW(4:4))), "-")</f>
        <v/>
      </c>
      <c r="F44" s="1542">
        <f>IF(D44="-","",F41)</f>
        <v>1</v>
      </c>
      <c r="G44" s="1476" t="str">
        <f t="array" ref="G44">IFERROR(INDEX(AE$9:AE$12, SMALL(IF((AX$9:AX$12 = MAX(AX$9:AX$12)) * (AI$9:AI$12 = G$3), ROW(AE$9:AE$12)-ROW(AE$9)+1), ROW(4:4))), "-")</f>
        <v>MUTTS</v>
      </c>
      <c r="H44" s="1433" t="str">
        <f t="array" ref="H44">IFERROR(INDEX(AX$4:AX$12, SMALL(IF((AX$4:AX$12 = MAX(AX$4:AX$12)) * (AI$4:AI$12 = G$3), ROW(AX$4:AX$12)-ROW(AX$4)+1), ROW(4:4))), "-")</f>
        <v/>
      </c>
      <c r="I44" s="1433">
        <f>IF(G44="-","",I41)</f>
        <v>1</v>
      </c>
      <c r="J44" s="1372" t="str">
        <f t="array" ref="J44">IFERROR(INDEX(AE4:AE12, SMALL(IF(AX4:AX12 = MAX(AX4:AX12), ROW(AE4:AE12)-ROW(AE4)+1), ROW(4:4))), "-")</f>
        <v>SAVAGES</v>
      </c>
      <c r="K44" s="1540" t="str">
        <f t="array" ref="K44">IFERROR(INDEX(AX$4:AX$12, SMALL(IF(AX$4:AX$12 = MAX(AX$4:AX$12), ROW(AX$4:AX$12)-ROW(AX$4)+1), ROW(4:4))), "-")</f>
        <v/>
      </c>
      <c r="L44" s="1378">
        <f t="shared" ref="L44:L46" si="93">IF(J44="-","",L41)</f>
        <v>1</v>
      </c>
      <c r="M44" s="13" t="s">
        <v>1097</v>
      </c>
      <c r="N44" s="700">
        <f t="shared" ref="N44:U44" si="92">IFERROR(IF($M44="YES",IF($D44=N$4,$F44,0)+IF($G44=N$4,$I44,0)+IF($J44=N$4,$L44,0),0),0)</f>
        <v>0</v>
      </c>
      <c r="O44" s="700">
        <f t="shared" si="92"/>
        <v>0</v>
      </c>
      <c r="P44" s="700">
        <f t="shared" si="92"/>
        <v>0</v>
      </c>
      <c r="Q44" s="700">
        <f t="shared" si="92"/>
        <v>2</v>
      </c>
      <c r="R44" s="700">
        <f t="shared" si="92"/>
        <v>0</v>
      </c>
      <c r="S44" s="700">
        <f t="shared" si="92"/>
        <v>0</v>
      </c>
      <c r="T44" s="700">
        <f t="shared" si="92"/>
        <v>0</v>
      </c>
      <c r="U44" s="700">
        <f t="shared" si="92"/>
        <v>1</v>
      </c>
      <c r="X44" s="1252"/>
      <c r="Y44" s="1252"/>
      <c r="Z44" s="1252"/>
      <c r="AA44" s="1252"/>
      <c r="AB44" s="1252"/>
      <c r="AC44" s="1252"/>
      <c r="AD44" s="1252"/>
      <c r="AE44" s="1252"/>
      <c r="AF44" s="1252"/>
      <c r="AG44" s="1252"/>
      <c r="AH44" s="1252"/>
      <c r="AI44" s="1252"/>
      <c r="AJ44" s="1252"/>
      <c r="AK44" s="1252"/>
      <c r="AL44" s="1252"/>
      <c r="AM44" s="1252"/>
      <c r="AN44" s="1252"/>
      <c r="AO44" s="1252"/>
      <c r="AP44" s="1252"/>
      <c r="AQ44" s="1252"/>
      <c r="AR44" s="1252"/>
      <c r="AS44" s="1252"/>
      <c r="AT44" s="1252"/>
      <c r="AU44" s="1252"/>
      <c r="AV44" s="1252"/>
      <c r="AW44" s="1252"/>
      <c r="AX44" s="1252"/>
      <c r="AY44" s="1252"/>
      <c r="AZ44" s="1252"/>
      <c r="BA44" s="1252"/>
      <c r="BB44" s="1252"/>
      <c r="CF44" s="314"/>
    </row>
    <row r="45" ht="19.5" customHeight="1">
      <c r="B45" s="1574"/>
      <c r="C45" s="1575"/>
      <c r="D45" s="1444"/>
      <c r="E45" s="1444"/>
      <c r="F45" s="1444"/>
      <c r="G45" s="1444"/>
      <c r="H45" s="1444"/>
      <c r="I45" s="1444"/>
      <c r="J45" s="1372" t="str">
        <f t="array" ref="J45">IFERROR(INDEX(AE4:AE12, SMALL(IF(AX4:AX12 = MAX(AX4:AX12), ROW(AE4:AE12)-ROW(AE4)+1), ROW(5:5))), "-")</f>
        <v>KINGS</v>
      </c>
      <c r="K45" s="1540" t="str">
        <f t="array" ref="K45">IFERROR(INDEX(AX$4:AX$12, SMALL(IF(AX$4:AX$12 = MAX(AX$4:AX$12), ROW(AX$4:AX$12)-ROW(AX$4)+1), ROW(5:5))), "-")</f>
        <v/>
      </c>
      <c r="L45" s="1378">
        <f t="shared" si="93"/>
        <v>1</v>
      </c>
      <c r="M45" s="13" t="s">
        <v>1097</v>
      </c>
      <c r="N45" s="700">
        <f t="shared" ref="N45:U45" si="94">IFERROR(IF($M45="YES",IF($D45=N$4,$F45,0)+IF($G45=N$4,$I45,0)+IF($J45=N$4,$L45,0),0),0)</f>
        <v>0</v>
      </c>
      <c r="O45" s="700">
        <f t="shared" si="94"/>
        <v>0</v>
      </c>
      <c r="P45" s="700">
        <f t="shared" si="94"/>
        <v>0</v>
      </c>
      <c r="Q45" s="700">
        <f t="shared" si="94"/>
        <v>0</v>
      </c>
      <c r="R45" s="700">
        <f t="shared" si="94"/>
        <v>0</v>
      </c>
      <c r="S45" s="700">
        <f t="shared" si="94"/>
        <v>0</v>
      </c>
      <c r="T45" s="700">
        <f t="shared" si="94"/>
        <v>0</v>
      </c>
      <c r="U45" s="700">
        <f t="shared" si="94"/>
        <v>0</v>
      </c>
      <c r="X45" s="1252"/>
      <c r="Y45" s="1252"/>
      <c r="Z45" s="1252"/>
      <c r="AA45" s="1252"/>
      <c r="AB45" s="1252"/>
      <c r="AC45" s="1252"/>
      <c r="AD45" s="1252"/>
      <c r="AE45" s="1252"/>
      <c r="AF45" s="1252"/>
      <c r="AG45" s="1252"/>
      <c r="AH45" s="1252"/>
      <c r="AI45" s="1252"/>
      <c r="AJ45" s="1252"/>
      <c r="AK45" s="1252"/>
      <c r="AL45" s="1252"/>
      <c r="AM45" s="1252"/>
      <c r="AN45" s="1252"/>
      <c r="AO45" s="1252"/>
      <c r="AP45" s="1252"/>
      <c r="AQ45" s="1252"/>
      <c r="AR45" s="1252"/>
      <c r="AS45" s="1252"/>
      <c r="AT45" s="1252"/>
      <c r="AU45" s="1252"/>
      <c r="AV45" s="1252"/>
      <c r="AW45" s="1252"/>
      <c r="AX45" s="1252"/>
      <c r="AY45" s="1252"/>
      <c r="AZ45" s="1252"/>
      <c r="BA45" s="1252"/>
      <c r="BB45" s="1252"/>
      <c r="CF45" s="314"/>
    </row>
    <row r="46" ht="19.5" customHeight="1">
      <c r="B46" s="1578"/>
      <c r="C46" s="1579"/>
      <c r="D46" s="1444"/>
      <c r="E46" s="1444"/>
      <c r="F46" s="1444"/>
      <c r="G46" s="1444"/>
      <c r="H46" s="1444"/>
      <c r="I46" s="1444"/>
      <c r="J46" s="1423" t="str">
        <f t="array" ref="J46">IFERROR(INDEX(AE4:AE12, SMALL(IF(AX4:AX12 = MAX(AX4:AX12), ROW(AE4:AE12)-ROW(AE4)+1), ROW(6:6))), "-")</f>
        <v>CHAMPS</v>
      </c>
      <c r="K46" s="1542" t="str">
        <f t="array" ref="K46">IFERROR(INDEX(AX$4:AX$12, SMALL(IF(AX$4:AX$12 = MAX(AX$4:AX$12), ROW(AX$4:AX$12)-ROW(AX$4)+1), ROW(6:6))), "-")</f>
        <v/>
      </c>
      <c r="L46" s="1425">
        <f t="shared" si="93"/>
        <v>1</v>
      </c>
      <c r="M46" s="13" t="s">
        <v>1097</v>
      </c>
      <c r="N46" s="700">
        <f t="shared" ref="N46:U46" si="95">IFERROR(IF($M46="YES",IF($D46=N$4,$F46,0)+IF($G46=N$4,$I46,0)+IF($J46=N$4,$L46,0),0),0)</f>
        <v>0</v>
      </c>
      <c r="O46" s="700">
        <f t="shared" si="95"/>
        <v>0</v>
      </c>
      <c r="P46" s="700">
        <f t="shared" si="95"/>
        <v>0</v>
      </c>
      <c r="Q46" s="700">
        <f t="shared" si="95"/>
        <v>0</v>
      </c>
      <c r="R46" s="700">
        <f t="shared" si="95"/>
        <v>1</v>
      </c>
      <c r="S46" s="700">
        <f t="shared" si="95"/>
        <v>0</v>
      </c>
      <c r="T46" s="700">
        <f t="shared" si="95"/>
        <v>0</v>
      </c>
      <c r="U46" s="700">
        <f t="shared" si="95"/>
        <v>0</v>
      </c>
      <c r="X46" s="1252"/>
      <c r="Y46" s="1252"/>
      <c r="Z46" s="1252"/>
      <c r="AA46" s="1252"/>
      <c r="AB46" s="1252"/>
      <c r="AC46" s="1252"/>
      <c r="AD46" s="1252"/>
      <c r="AE46" s="1252"/>
      <c r="AF46" s="1252"/>
      <c r="AG46" s="1252"/>
      <c r="AH46" s="1252"/>
      <c r="AI46" s="1252"/>
      <c r="AJ46" s="1252"/>
      <c r="AK46" s="1252"/>
      <c r="AL46" s="1252"/>
      <c r="AM46" s="1252"/>
      <c r="AN46" s="1252"/>
      <c r="AO46" s="1252"/>
      <c r="AP46" s="1252"/>
      <c r="AQ46" s="1252"/>
      <c r="AR46" s="1252"/>
      <c r="AS46" s="1252"/>
      <c r="AT46" s="1252"/>
      <c r="AU46" s="1252"/>
      <c r="AV46" s="1252"/>
      <c r="AW46" s="1252"/>
      <c r="AX46" s="1252"/>
      <c r="AY46" s="1252"/>
      <c r="AZ46" s="1252"/>
      <c r="BA46" s="1252"/>
      <c r="BB46" s="1252"/>
      <c r="CF46" s="314"/>
    </row>
    <row r="47" ht="19.5" customHeight="1">
      <c r="M47" s="13" t="s">
        <v>1097</v>
      </c>
      <c r="N47" s="700">
        <f t="shared" ref="N47:U47" si="96">IFERROR(IF($M47="YES",IF(#REF!=N$4,#REF!,0)+IF(#REF!=N$4,#REF!,0)+IF(#REF!=N$4,#REF!,0),0),0)</f>
        <v>0</v>
      </c>
      <c r="O47" s="700">
        <f t="shared" si="96"/>
        <v>0</v>
      </c>
      <c r="P47" s="700">
        <f t="shared" si="96"/>
        <v>0</v>
      </c>
      <c r="Q47" s="700">
        <f t="shared" si="96"/>
        <v>0</v>
      </c>
      <c r="R47" s="700">
        <f t="shared" si="96"/>
        <v>0</v>
      </c>
      <c r="S47" s="700">
        <f t="shared" si="96"/>
        <v>0</v>
      </c>
      <c r="T47" s="700">
        <f t="shared" si="96"/>
        <v>0</v>
      </c>
      <c r="U47" s="700">
        <f t="shared" si="96"/>
        <v>0</v>
      </c>
      <c r="X47" s="1252"/>
      <c r="Y47" s="1252"/>
      <c r="Z47" s="1252"/>
      <c r="AA47" s="1252"/>
      <c r="AB47" s="1252"/>
      <c r="AC47" s="1252"/>
      <c r="AD47" s="1252"/>
      <c r="AE47" s="1252"/>
      <c r="AF47" s="1252"/>
      <c r="AG47" s="1252"/>
      <c r="AH47" s="1252"/>
      <c r="AI47" s="1252"/>
      <c r="AJ47" s="1252"/>
      <c r="AK47" s="1252"/>
      <c r="AL47" s="1252"/>
      <c r="AM47" s="1252"/>
      <c r="AN47" s="1252"/>
      <c r="AO47" s="1252"/>
      <c r="AP47" s="1252"/>
      <c r="AQ47" s="1252"/>
      <c r="AR47" s="1252"/>
      <c r="AS47" s="1252"/>
      <c r="AT47" s="1252"/>
      <c r="AU47" s="1252"/>
      <c r="AV47" s="1252"/>
      <c r="AW47" s="1252"/>
      <c r="AX47" s="1252"/>
      <c r="AY47" s="1252"/>
      <c r="AZ47" s="1252"/>
      <c r="BA47" s="1252"/>
      <c r="BB47" s="1252"/>
      <c r="CF47" s="314"/>
    </row>
    <row r="48" ht="19.5" customHeight="1">
      <c r="B48" s="1253" t="s">
        <v>1781</v>
      </c>
      <c r="C48" s="905"/>
      <c r="D48" s="905"/>
      <c r="E48" s="905"/>
      <c r="F48" s="905"/>
      <c r="G48" s="905"/>
      <c r="H48" s="905"/>
      <c r="I48" s="905"/>
      <c r="J48" s="905"/>
      <c r="K48" s="905"/>
      <c r="L48" s="554"/>
      <c r="M48" s="13" t="s">
        <v>1097</v>
      </c>
      <c r="N48" s="700">
        <f t="shared" ref="N48:U48" si="97">IFERROR(IF($M48="YES",IF(#REF!=N$4,#REF!,0)+IF(#REF!=N$4,#REF!,0)+IF(#REF!=N$4,#REF!,0),0),0)</f>
        <v>0</v>
      </c>
      <c r="O48" s="700">
        <f t="shared" si="97"/>
        <v>0</v>
      </c>
      <c r="P48" s="700">
        <f t="shared" si="97"/>
        <v>0</v>
      </c>
      <c r="Q48" s="700">
        <f t="shared" si="97"/>
        <v>0</v>
      </c>
      <c r="R48" s="700">
        <f t="shared" si="97"/>
        <v>0</v>
      </c>
      <c r="S48" s="700">
        <f t="shared" si="97"/>
        <v>0</v>
      </c>
      <c r="T48" s="700">
        <f t="shared" si="97"/>
        <v>0</v>
      </c>
      <c r="U48" s="700">
        <f t="shared" si="97"/>
        <v>0</v>
      </c>
      <c r="X48" s="1252"/>
      <c r="Y48" s="1252"/>
      <c r="Z48" s="1252"/>
      <c r="AA48" s="1252"/>
      <c r="AB48" s="1252"/>
      <c r="AC48" s="1252"/>
      <c r="AD48" s="1252"/>
      <c r="AE48" s="1252"/>
      <c r="AF48" s="1252"/>
      <c r="AG48" s="1252"/>
      <c r="AH48" s="1252"/>
      <c r="AI48" s="1252"/>
      <c r="AJ48" s="1252"/>
      <c r="AK48" s="1252"/>
      <c r="AL48" s="1252"/>
      <c r="AM48" s="1252"/>
      <c r="AN48" s="1252"/>
      <c r="AO48" s="1252"/>
      <c r="AP48" s="1252"/>
      <c r="AQ48" s="1252"/>
      <c r="AR48" s="1252"/>
      <c r="AS48" s="1252"/>
      <c r="AT48" s="1252"/>
      <c r="AU48" s="1252"/>
      <c r="AV48" s="1252"/>
      <c r="AW48" s="1252"/>
      <c r="AX48" s="1252"/>
      <c r="AY48" s="1252"/>
      <c r="AZ48" s="1252"/>
      <c r="BA48" s="1252"/>
      <c r="BB48" s="1252"/>
      <c r="CF48" s="314"/>
    </row>
    <row r="49" ht="19.5" customHeight="1">
      <c r="B49" s="1580"/>
      <c r="C49" s="1347"/>
      <c r="D49" s="1581" t="s">
        <v>546</v>
      </c>
      <c r="E49" s="954"/>
      <c r="F49" s="932"/>
      <c r="G49" s="1582" t="s">
        <v>547</v>
      </c>
      <c r="H49" s="954"/>
      <c r="I49" s="932"/>
      <c r="J49" s="1583" t="s">
        <v>548</v>
      </c>
      <c r="K49" s="954"/>
      <c r="L49" s="932"/>
      <c r="M49" s="13" t="s">
        <v>1097</v>
      </c>
      <c r="N49" s="700">
        <f t="shared" ref="N49:U49" si="98">IFERROR(IF($M49="YES",IF($D47=N$4,$F47,0)+IF($G47=N$4,$I47,0)+IF($J47=N$4,$L47,0),0),0)</f>
        <v>0</v>
      </c>
      <c r="O49" s="700">
        <f t="shared" si="98"/>
        <v>0</v>
      </c>
      <c r="P49" s="700">
        <f t="shared" si="98"/>
        <v>0</v>
      </c>
      <c r="Q49" s="700">
        <f t="shared" si="98"/>
        <v>0</v>
      </c>
      <c r="R49" s="700">
        <f t="shared" si="98"/>
        <v>0</v>
      </c>
      <c r="S49" s="700">
        <f t="shared" si="98"/>
        <v>0</v>
      </c>
      <c r="T49" s="700">
        <f t="shared" si="98"/>
        <v>0</v>
      </c>
      <c r="U49" s="700">
        <f t="shared" si="98"/>
        <v>0</v>
      </c>
      <c r="X49" s="1252"/>
      <c r="Y49" s="1252"/>
      <c r="Z49" s="1252"/>
      <c r="AA49" s="1252"/>
      <c r="AB49" s="1252"/>
      <c r="AC49" s="1252"/>
      <c r="AD49" s="1252"/>
      <c r="AE49" s="1252"/>
      <c r="AF49" s="1252"/>
      <c r="AG49" s="1252"/>
      <c r="AH49" s="1252"/>
      <c r="AI49" s="1252"/>
      <c r="AJ49" s="1252"/>
      <c r="AK49" s="1252"/>
      <c r="AL49" s="1252"/>
      <c r="AM49" s="1252"/>
      <c r="AN49" s="1252"/>
      <c r="AO49" s="1252"/>
      <c r="AP49" s="1252"/>
      <c r="AQ49" s="1252"/>
      <c r="AR49" s="1252"/>
      <c r="AS49" s="1252"/>
      <c r="AT49" s="1252"/>
      <c r="AU49" s="1252"/>
      <c r="AV49" s="1252"/>
      <c r="AW49" s="1252"/>
      <c r="AX49" s="1252"/>
      <c r="AY49" s="1252"/>
      <c r="AZ49" s="1252"/>
      <c r="BA49" s="1252"/>
      <c r="BB49" s="1252"/>
      <c r="CF49" s="314"/>
    </row>
    <row r="50" ht="19.5" customHeight="1">
      <c r="B50" s="1288"/>
      <c r="C50" s="1289"/>
      <c r="D50" s="1291" t="s">
        <v>169</v>
      </c>
      <c r="E50" s="1292" t="s">
        <v>1064</v>
      </c>
      <c r="F50" s="1293" t="s">
        <v>1065</v>
      </c>
      <c r="G50" s="1291" t="s">
        <v>169</v>
      </c>
      <c r="H50" s="1292" t="s">
        <v>1064</v>
      </c>
      <c r="I50" s="1293" t="s">
        <v>1065</v>
      </c>
      <c r="J50" s="1292" t="s">
        <v>169</v>
      </c>
      <c r="K50" s="1292" t="s">
        <v>1064</v>
      </c>
      <c r="L50" s="1293" t="s">
        <v>1065</v>
      </c>
      <c r="M50" s="13" t="s">
        <v>1097</v>
      </c>
      <c r="N50" s="700">
        <f t="shared" ref="N50:U50" si="99">IFERROR(IF($M50="YES",IF($D48=N$4,$F48,0)+IF($G48=N$4,$I48,0)+IF($J48=N$4,$L48,0),0),0)</f>
        <v>0</v>
      </c>
      <c r="O50" s="700">
        <f t="shared" si="99"/>
        <v>0</v>
      </c>
      <c r="P50" s="700">
        <f t="shared" si="99"/>
        <v>0</v>
      </c>
      <c r="Q50" s="700">
        <f t="shared" si="99"/>
        <v>0</v>
      </c>
      <c r="R50" s="700">
        <f t="shared" si="99"/>
        <v>0</v>
      </c>
      <c r="S50" s="700">
        <f t="shared" si="99"/>
        <v>0</v>
      </c>
      <c r="T50" s="700">
        <f t="shared" si="99"/>
        <v>0</v>
      </c>
      <c r="U50" s="700">
        <f t="shared" si="99"/>
        <v>0</v>
      </c>
      <c r="X50" s="1252"/>
      <c r="Y50" s="1252"/>
      <c r="Z50" s="1252"/>
      <c r="AA50" s="1252"/>
      <c r="AB50" s="1252"/>
      <c r="AC50" s="1252"/>
      <c r="AD50" s="1252"/>
      <c r="AE50" s="1252"/>
      <c r="AF50" s="1252"/>
      <c r="AG50" s="1252"/>
      <c r="AH50" s="1252"/>
      <c r="AI50" s="1252"/>
      <c r="AJ50" s="1252"/>
      <c r="AK50" s="1252"/>
      <c r="AL50" s="1252"/>
      <c r="AM50" s="1252"/>
      <c r="AN50" s="1252"/>
      <c r="AO50" s="1252"/>
      <c r="AP50" s="1252"/>
      <c r="AQ50" s="1252"/>
      <c r="AR50" s="1252"/>
      <c r="AS50" s="1252"/>
      <c r="AT50" s="1252"/>
      <c r="AU50" s="1252"/>
      <c r="AV50" s="1252"/>
      <c r="AW50" s="1252"/>
      <c r="AX50" s="1252"/>
      <c r="AY50" s="1252"/>
      <c r="AZ50" s="1252"/>
      <c r="BA50" s="1252"/>
      <c r="BB50" s="1252"/>
      <c r="CF50" s="314"/>
    </row>
    <row r="51" ht="19.5" customHeight="1">
      <c r="B51" s="1584" t="s">
        <v>100</v>
      </c>
      <c r="C51" s="1585" t="s">
        <v>202</v>
      </c>
      <c r="D51" s="1586" t="str">
        <f>'League Stats'!AB29</f>
        <v>EAGLES</v>
      </c>
      <c r="E51" s="1587">
        <f>'League Stats'!AC29</f>
        <v>28.89714286</v>
      </c>
      <c r="F51" s="1588">
        <v>2.0</v>
      </c>
      <c r="G51" s="1589" t="str">
        <f>'League Stats'!AE29</f>
        <v>DECOUPES</v>
      </c>
      <c r="H51" s="1590">
        <f>'League Stats'!AF29</f>
        <v>26.93</v>
      </c>
      <c r="I51" s="1588">
        <v>1.0</v>
      </c>
      <c r="J51" s="1591" t="str">
        <f>'League Stats'!AH29</f>
        <v>KINGS</v>
      </c>
      <c r="K51" s="1592">
        <f>'League Stats'!AI29</f>
        <v>25.48857143</v>
      </c>
      <c r="L51" s="1593">
        <v>0.5</v>
      </c>
      <c r="M51" s="13" t="s">
        <v>1097</v>
      </c>
      <c r="N51" s="700">
        <f t="shared" ref="N51:U51" si="100">IFERROR(IF($M51="YES",IF($D49=N$4,$F49,0)+IF($G49=N$4,$I49,0)+IF($J49=N$4,$L49,0),0),0)</f>
        <v>0</v>
      </c>
      <c r="O51" s="700">
        <f t="shared" si="100"/>
        <v>0</v>
      </c>
      <c r="P51" s="700">
        <f t="shared" si="100"/>
        <v>0</v>
      </c>
      <c r="Q51" s="700">
        <f t="shared" si="100"/>
        <v>0</v>
      </c>
      <c r="R51" s="700">
        <f t="shared" si="100"/>
        <v>0</v>
      </c>
      <c r="S51" s="700">
        <f t="shared" si="100"/>
        <v>0</v>
      </c>
      <c r="T51" s="700">
        <f t="shared" si="100"/>
        <v>0</v>
      </c>
      <c r="U51" s="700">
        <f t="shared" si="100"/>
        <v>0</v>
      </c>
      <c r="X51" s="1252"/>
      <c r="Y51" s="1252"/>
      <c r="Z51" s="1252"/>
      <c r="AA51" s="1252"/>
      <c r="AB51" s="1252"/>
      <c r="AC51" s="1252"/>
      <c r="AD51" s="1252"/>
      <c r="AE51" s="1252"/>
      <c r="AF51" s="1252"/>
      <c r="AG51" s="1252"/>
      <c r="AH51" s="1252"/>
      <c r="AI51" s="1252"/>
      <c r="AJ51" s="1252"/>
      <c r="AK51" s="1252"/>
      <c r="AL51" s="1252"/>
      <c r="AM51" s="1252"/>
      <c r="AN51" s="1252"/>
      <c r="AO51" s="1252"/>
      <c r="AP51" s="1252"/>
      <c r="AQ51" s="1252"/>
      <c r="AR51" s="1252"/>
      <c r="AS51" s="1252"/>
      <c r="AT51" s="1252"/>
      <c r="AU51" s="1252"/>
      <c r="AV51" s="1252"/>
      <c r="AW51" s="1252"/>
      <c r="AX51" s="1252"/>
      <c r="AY51" s="1252"/>
      <c r="AZ51" s="1252"/>
      <c r="BA51" s="1252"/>
      <c r="BB51" s="1252"/>
      <c r="CF51" s="314"/>
    </row>
    <row r="52" ht="19.5" customHeight="1">
      <c r="B52" s="1594"/>
      <c r="C52" s="1595"/>
      <c r="D52" s="1596" t="str">
        <f>'League Stats'!AB30</f>
        <v/>
      </c>
      <c r="E52" s="1597" t="str">
        <f>'League Stats'!AC30</f>
        <v/>
      </c>
      <c r="F52" s="1598" t="str">
        <f>IF(OR(D52="-",D52=""),"",F51)</f>
        <v/>
      </c>
      <c r="G52" s="1599" t="str">
        <f>'League Stats'!AE30</f>
        <v/>
      </c>
      <c r="H52" s="1600" t="str">
        <f>'League Stats'!AF30</f>
        <v/>
      </c>
      <c r="I52" s="1598" t="str">
        <f>IF(OR(G52="-",G52=""),"",I51)</f>
        <v/>
      </c>
      <c r="J52" s="1601" t="str">
        <f>'League Stats'!AH30</f>
        <v/>
      </c>
      <c r="K52" s="1602" t="str">
        <f>'League Stats'!AI30</f>
        <v/>
      </c>
      <c r="L52" s="1603" t="str">
        <f>IF(OR(J52="-",J52=""),"",L51)</f>
        <v/>
      </c>
      <c r="M52" s="13" t="s">
        <v>1097</v>
      </c>
      <c r="N52" s="700">
        <f t="shared" ref="N52:U52" si="101">IFERROR(IF($M52="YES",IF($D50=N$4,$F50,0)+IF($G50=N$4,$I50,0)+IF($J50=N$4,$L50,0),0),0)</f>
        <v>0</v>
      </c>
      <c r="O52" s="700">
        <f t="shared" si="101"/>
        <v>0</v>
      </c>
      <c r="P52" s="700">
        <f t="shared" si="101"/>
        <v>0</v>
      </c>
      <c r="Q52" s="700">
        <f t="shared" si="101"/>
        <v>0</v>
      </c>
      <c r="R52" s="700">
        <f t="shared" si="101"/>
        <v>0</v>
      </c>
      <c r="S52" s="700">
        <f t="shared" si="101"/>
        <v>0</v>
      </c>
      <c r="T52" s="700">
        <f t="shared" si="101"/>
        <v>0</v>
      </c>
      <c r="U52" s="700">
        <f t="shared" si="101"/>
        <v>0</v>
      </c>
      <c r="X52" s="1252"/>
      <c r="Y52" s="1252"/>
      <c r="Z52" s="1252"/>
      <c r="AA52" s="1252"/>
      <c r="AB52" s="1252"/>
      <c r="AC52" s="1252"/>
      <c r="AD52" s="1252"/>
      <c r="AE52" s="1252"/>
      <c r="AF52" s="1252"/>
      <c r="AG52" s="1252"/>
      <c r="AH52" s="1252"/>
      <c r="AI52" s="1252"/>
      <c r="AJ52" s="1252"/>
      <c r="AK52" s="1252"/>
      <c r="AL52" s="1252"/>
      <c r="AM52" s="1252"/>
      <c r="AN52" s="1252"/>
      <c r="AO52" s="1252"/>
      <c r="AP52" s="1252"/>
      <c r="AQ52" s="1252"/>
      <c r="AR52" s="1252"/>
      <c r="AS52" s="1252"/>
      <c r="AT52" s="1252"/>
      <c r="AU52" s="1252"/>
      <c r="AV52" s="1252"/>
      <c r="AW52" s="1252"/>
      <c r="AX52" s="1252"/>
      <c r="AY52" s="1252"/>
      <c r="AZ52" s="1252"/>
      <c r="BA52" s="1252"/>
      <c r="BB52" s="1252"/>
      <c r="CF52" s="314"/>
    </row>
    <row r="53" ht="19.5" customHeight="1">
      <c r="B53" s="1594"/>
      <c r="C53" s="1595"/>
      <c r="D53" s="1596" t="str">
        <f>'League Stats'!AB31</f>
        <v/>
      </c>
      <c r="E53" s="1597" t="str">
        <f>'League Stats'!AC31</f>
        <v/>
      </c>
      <c r="F53" s="1598" t="str">
        <f>IF(OR(D53="-",D53=""),"",F51)</f>
        <v/>
      </c>
      <c r="G53" s="1599" t="str">
        <f>'League Stats'!AE31</f>
        <v/>
      </c>
      <c r="H53" s="1600" t="str">
        <f>'League Stats'!AF31</f>
        <v/>
      </c>
      <c r="I53" s="1598" t="str">
        <f>IF(OR(G53="-",G53=""),"",I51)</f>
        <v/>
      </c>
      <c r="J53" s="1601" t="str">
        <f>'League Stats'!AH31</f>
        <v/>
      </c>
      <c r="K53" s="1602" t="str">
        <f>'League Stats'!AI31</f>
        <v/>
      </c>
      <c r="L53" s="1603" t="str">
        <f>IF(OR(J53="-",J53=""),"",L51)</f>
        <v/>
      </c>
      <c r="M53" s="13" t="s">
        <v>1097</v>
      </c>
      <c r="N53" s="700">
        <f t="shared" ref="N53:U53" si="102">IFERROR(IF($M53="YES",IF($D51=N$4,$F51,0)+IF($G51=N$4,$I51,0)+IF($J51=N$4,$L51,0),0),0)</f>
        <v>1</v>
      </c>
      <c r="O53" s="700">
        <f t="shared" si="102"/>
        <v>0</v>
      </c>
      <c r="P53" s="700">
        <f t="shared" si="102"/>
        <v>0</v>
      </c>
      <c r="Q53" s="700">
        <f t="shared" si="102"/>
        <v>0</v>
      </c>
      <c r="R53" s="700">
        <f t="shared" si="102"/>
        <v>0</v>
      </c>
      <c r="S53" s="700">
        <f t="shared" si="102"/>
        <v>0</v>
      </c>
      <c r="T53" s="700">
        <f t="shared" si="102"/>
        <v>0</v>
      </c>
      <c r="U53" s="700">
        <f t="shared" si="102"/>
        <v>0</v>
      </c>
      <c r="X53" s="1252"/>
      <c r="Y53" s="1252"/>
      <c r="Z53" s="1252"/>
      <c r="AA53" s="1252"/>
      <c r="AB53" s="1252"/>
      <c r="AC53" s="1252"/>
      <c r="AD53" s="1252"/>
      <c r="AE53" s="1252"/>
      <c r="AF53" s="1252"/>
      <c r="AG53" s="1252"/>
      <c r="AH53" s="1252"/>
      <c r="AI53" s="1252"/>
      <c r="AJ53" s="1252"/>
      <c r="AK53" s="1252"/>
      <c r="AL53" s="1252"/>
      <c r="AM53" s="1252"/>
      <c r="AN53" s="1252"/>
      <c r="AO53" s="1252"/>
      <c r="AP53" s="1252"/>
      <c r="AQ53" s="1252"/>
      <c r="AR53" s="1252"/>
      <c r="AS53" s="1252"/>
      <c r="AT53" s="1252"/>
      <c r="AU53" s="1252"/>
      <c r="AV53" s="1252"/>
      <c r="AW53" s="1252"/>
      <c r="AX53" s="1252"/>
      <c r="AY53" s="1252"/>
      <c r="AZ53" s="1252"/>
      <c r="BA53" s="1252"/>
      <c r="BB53" s="1252"/>
      <c r="CF53" s="314"/>
    </row>
    <row r="54" ht="19.5" customHeight="1">
      <c r="B54" s="1594"/>
      <c r="C54" s="1595"/>
      <c r="D54" s="1596" t="str">
        <f>'League Stats'!AB32</f>
        <v/>
      </c>
      <c r="E54" s="1597" t="str">
        <f>'League Stats'!AC32</f>
        <v/>
      </c>
      <c r="F54" s="1598" t="str">
        <f>IF(OR(D54="-",D54=""),"",F51)</f>
        <v/>
      </c>
      <c r="G54" s="1599" t="str">
        <f>'League Stats'!AE32</f>
        <v/>
      </c>
      <c r="H54" s="1600" t="str">
        <f>'League Stats'!AF32</f>
        <v/>
      </c>
      <c r="I54" s="1598" t="str">
        <f>IF(OR(G54="-",G54=""),"",I51)</f>
        <v/>
      </c>
      <c r="J54" s="1601" t="str">
        <f>'League Stats'!AH32</f>
        <v/>
      </c>
      <c r="K54" s="1602" t="str">
        <f>'League Stats'!AI32</f>
        <v/>
      </c>
      <c r="L54" s="1603" t="str">
        <f>IF(OR(J54="-",J54=""),"",L51)</f>
        <v/>
      </c>
      <c r="M54" s="13" t="s">
        <v>1097</v>
      </c>
      <c r="N54" s="700">
        <f t="shared" ref="N54:U54" si="103">IFERROR(IF($M54="YES",IF($D52=N$4,$F52,0)+IF($G52=N$4,$I52,0)+IF($J52=N$4,$L52,0),0),0)</f>
        <v>0</v>
      </c>
      <c r="O54" s="700">
        <f t="shared" si="103"/>
        <v>0</v>
      </c>
      <c r="P54" s="700">
        <f t="shared" si="103"/>
        <v>0</v>
      </c>
      <c r="Q54" s="700">
        <f t="shared" si="103"/>
        <v>0</v>
      </c>
      <c r="R54" s="700">
        <f t="shared" si="103"/>
        <v>0</v>
      </c>
      <c r="S54" s="700">
        <f t="shared" si="103"/>
        <v>0</v>
      </c>
      <c r="T54" s="700">
        <f t="shared" si="103"/>
        <v>0</v>
      </c>
      <c r="U54" s="700">
        <f t="shared" si="103"/>
        <v>0</v>
      </c>
      <c r="X54" s="1252"/>
      <c r="Y54" s="1252"/>
      <c r="Z54" s="1252"/>
      <c r="AA54" s="1252"/>
      <c r="AB54" s="1252"/>
      <c r="AC54" s="1252"/>
      <c r="AD54" s="1252"/>
      <c r="AE54" s="1252"/>
      <c r="AF54" s="1252"/>
      <c r="AG54" s="1252"/>
      <c r="AH54" s="1252"/>
      <c r="AI54" s="1252"/>
      <c r="AJ54" s="1252"/>
      <c r="AK54" s="1252"/>
      <c r="AL54" s="1252"/>
      <c r="AM54" s="1252"/>
      <c r="AN54" s="1252"/>
      <c r="AO54" s="1252"/>
      <c r="AP54" s="1252"/>
      <c r="AQ54" s="1252"/>
      <c r="AR54" s="1252"/>
      <c r="AS54" s="1252"/>
      <c r="AT54" s="1252"/>
      <c r="AU54" s="1252"/>
      <c r="AV54" s="1252"/>
      <c r="AW54" s="1252"/>
      <c r="AX54" s="1252"/>
      <c r="AY54" s="1252"/>
      <c r="AZ54" s="1252"/>
      <c r="BA54" s="1252"/>
      <c r="BB54" s="1252"/>
      <c r="CF54" s="314"/>
    </row>
    <row r="55" ht="19.5" customHeight="1">
      <c r="B55" s="1594"/>
      <c r="C55" s="1595"/>
      <c r="D55" s="1596" t="str">
        <f>'League Stats'!AB33</f>
        <v/>
      </c>
      <c r="E55" s="1597" t="str">
        <f>'League Stats'!AC33</f>
        <v/>
      </c>
      <c r="F55" s="1598" t="str">
        <f>IF(OR(D55="-",D55=""),"",F51)</f>
        <v/>
      </c>
      <c r="G55" s="1599" t="str">
        <f>'League Stats'!AE33</f>
        <v/>
      </c>
      <c r="H55" s="1600" t="str">
        <f>'League Stats'!AF33</f>
        <v/>
      </c>
      <c r="I55" s="1598" t="str">
        <f>IF(OR(G55="-",G55=""),"",I51)</f>
        <v/>
      </c>
      <c r="J55" s="1601" t="str">
        <f>'League Stats'!AH33</f>
        <v/>
      </c>
      <c r="K55" s="1602" t="str">
        <f>'League Stats'!AI33</f>
        <v/>
      </c>
      <c r="L55" s="1603" t="str">
        <f>IF(OR(J55="-",J55=""),"",L51)</f>
        <v/>
      </c>
      <c r="M55" s="13" t="s">
        <v>1097</v>
      </c>
      <c r="N55" s="700">
        <f t="shared" ref="N55:U55" si="104">IFERROR(IF($M55="YES",IF($D53=N$4,$F53,0)+IF($G53=N$4,$I53,0)+IF($J53=N$4,$L53,0),0),0)</f>
        <v>0</v>
      </c>
      <c r="O55" s="700">
        <f t="shared" si="104"/>
        <v>0</v>
      </c>
      <c r="P55" s="700">
        <f t="shared" si="104"/>
        <v>0</v>
      </c>
      <c r="Q55" s="700">
        <f t="shared" si="104"/>
        <v>0</v>
      </c>
      <c r="R55" s="700">
        <f t="shared" si="104"/>
        <v>0</v>
      </c>
      <c r="S55" s="700">
        <f t="shared" si="104"/>
        <v>0</v>
      </c>
      <c r="T55" s="700">
        <f t="shared" si="104"/>
        <v>0</v>
      </c>
      <c r="U55" s="700">
        <f t="shared" si="104"/>
        <v>0</v>
      </c>
      <c r="X55" s="1252"/>
      <c r="Y55" s="1252"/>
      <c r="Z55" s="1252"/>
      <c r="AA55" s="1252"/>
      <c r="AB55" s="1252"/>
      <c r="AC55" s="1252"/>
      <c r="AD55" s="1252"/>
      <c r="AE55" s="1252"/>
      <c r="AF55" s="1252"/>
      <c r="AG55" s="1252"/>
      <c r="AH55" s="1252"/>
      <c r="AI55" s="1252"/>
      <c r="AJ55" s="1252"/>
      <c r="AK55" s="1252"/>
      <c r="AL55" s="1252"/>
      <c r="AM55" s="1252"/>
      <c r="AN55" s="1252"/>
      <c r="AO55" s="1252"/>
      <c r="AP55" s="1252"/>
      <c r="AQ55" s="1252"/>
      <c r="AR55" s="1252"/>
      <c r="AS55" s="1252"/>
      <c r="AT55" s="1252"/>
      <c r="AU55" s="1252"/>
      <c r="AV55" s="1252"/>
      <c r="AW55" s="1252"/>
      <c r="AX55" s="1252"/>
      <c r="AY55" s="1252"/>
      <c r="AZ55" s="1252"/>
      <c r="BA55" s="1252"/>
      <c r="BB55" s="1252"/>
      <c r="CF55" s="314"/>
    </row>
    <row r="56" ht="19.5" customHeight="1">
      <c r="B56" s="1594"/>
      <c r="C56" s="1595"/>
      <c r="D56" s="1596" t="str">
        <f>'League Stats'!AB34</f>
        <v/>
      </c>
      <c r="E56" s="1597" t="str">
        <f>'League Stats'!AC34</f>
        <v/>
      </c>
      <c r="F56" s="1598" t="str">
        <f>IF(OR(D56="-",D56=""),"",F51)</f>
        <v/>
      </c>
      <c r="G56" s="1599" t="str">
        <f>'League Stats'!AE34</f>
        <v/>
      </c>
      <c r="H56" s="1600" t="str">
        <f>'League Stats'!AF34</f>
        <v/>
      </c>
      <c r="I56" s="1598" t="str">
        <f>IF(OR(G56="-",G56=""),"",I51)</f>
        <v/>
      </c>
      <c r="J56" s="1601" t="str">
        <f>'League Stats'!AH34</f>
        <v/>
      </c>
      <c r="K56" s="1602" t="str">
        <f>'League Stats'!AI34</f>
        <v/>
      </c>
      <c r="L56" s="1603" t="str">
        <f>IF(OR(J56="-",J56=""),"",L51)</f>
        <v/>
      </c>
      <c r="M56" s="13" t="s">
        <v>1097</v>
      </c>
      <c r="N56" s="700">
        <f t="shared" ref="N56:U56" si="105">IFERROR(IF($M56="YES",IF($D54=N$4,$F54,0)+IF($G54=N$4,$I54,0)+IF($J54=N$4,$L54,0),0),0)</f>
        <v>0</v>
      </c>
      <c r="O56" s="700">
        <f t="shared" si="105"/>
        <v>0</v>
      </c>
      <c r="P56" s="700">
        <f t="shared" si="105"/>
        <v>0</v>
      </c>
      <c r="Q56" s="700">
        <f t="shared" si="105"/>
        <v>0</v>
      </c>
      <c r="R56" s="700">
        <f t="shared" si="105"/>
        <v>0</v>
      </c>
      <c r="S56" s="700">
        <f t="shared" si="105"/>
        <v>0</v>
      </c>
      <c r="T56" s="700">
        <f t="shared" si="105"/>
        <v>0</v>
      </c>
      <c r="U56" s="700">
        <f t="shared" si="105"/>
        <v>0</v>
      </c>
      <c r="X56" s="1252"/>
      <c r="Y56" s="1252"/>
      <c r="Z56" s="1252"/>
      <c r="AA56" s="1252"/>
      <c r="AB56" s="1252"/>
      <c r="AC56" s="1252"/>
      <c r="AD56" s="1252"/>
      <c r="AE56" s="1252"/>
      <c r="AF56" s="1252"/>
      <c r="AG56" s="1252"/>
      <c r="AH56" s="1252"/>
      <c r="AI56" s="1252"/>
      <c r="AJ56" s="1252"/>
      <c r="AK56" s="1252"/>
      <c r="AL56" s="1252"/>
      <c r="AM56" s="1252"/>
      <c r="AN56" s="1252"/>
      <c r="AO56" s="1252"/>
      <c r="AP56" s="1252"/>
      <c r="AQ56" s="1252"/>
      <c r="AR56" s="1252"/>
      <c r="AS56" s="1252"/>
      <c r="AT56" s="1252"/>
      <c r="AU56" s="1252"/>
      <c r="AV56" s="1252"/>
      <c r="AW56" s="1252"/>
      <c r="AX56" s="1252"/>
      <c r="AY56" s="1252"/>
      <c r="AZ56" s="1252"/>
      <c r="BA56" s="1252"/>
      <c r="BB56" s="1252"/>
      <c r="CF56" s="314"/>
    </row>
    <row r="57" ht="19.5" customHeight="1">
      <c r="B57" s="1594"/>
      <c r="C57" s="1595"/>
      <c r="D57" s="1596" t="str">
        <f>'League Stats'!AB37</f>
        <v/>
      </c>
      <c r="E57" s="1597" t="str">
        <f>'League Stats'!AC37</f>
        <v/>
      </c>
      <c r="F57" s="1598" t="str">
        <f>IF(OR(D57="-",D57=""),"",F51)</f>
        <v/>
      </c>
      <c r="G57" s="1599" t="str">
        <f>'League Stats'!AE37</f>
        <v/>
      </c>
      <c r="H57" s="1600" t="str">
        <f>'League Stats'!AF37</f>
        <v/>
      </c>
      <c r="I57" s="1598" t="str">
        <f>IF(OR(G57="-",G57=""),"",I51)</f>
        <v/>
      </c>
      <c r="J57" s="1601" t="str">
        <f>'League Stats'!AH37</f>
        <v/>
      </c>
      <c r="K57" s="1602" t="str">
        <f>'League Stats'!AI37</f>
        <v/>
      </c>
      <c r="L57" s="1603" t="str">
        <f>IF(OR(J57="-",J57=""),"",L51)</f>
        <v/>
      </c>
      <c r="M57" s="13" t="s">
        <v>1097</v>
      </c>
      <c r="N57" s="700">
        <f t="shared" ref="N57:U57" si="106">IFERROR(IF($M57="YES",IF($D55=N$4,$F55,0)+IF($G55=N$4,$I55,0)+IF($J55=N$4,$L55,0),0),0)</f>
        <v>0</v>
      </c>
      <c r="O57" s="700">
        <f t="shared" si="106"/>
        <v>0</v>
      </c>
      <c r="P57" s="700">
        <f t="shared" si="106"/>
        <v>0</v>
      </c>
      <c r="Q57" s="700">
        <f t="shared" si="106"/>
        <v>0</v>
      </c>
      <c r="R57" s="700">
        <f t="shared" si="106"/>
        <v>0</v>
      </c>
      <c r="S57" s="700">
        <f t="shared" si="106"/>
        <v>0</v>
      </c>
      <c r="T57" s="700">
        <f t="shared" si="106"/>
        <v>0</v>
      </c>
      <c r="U57" s="700">
        <f t="shared" si="106"/>
        <v>0</v>
      </c>
      <c r="X57" s="1252"/>
      <c r="Y57" s="1252"/>
      <c r="Z57" s="1252"/>
      <c r="AA57" s="1252"/>
      <c r="AB57" s="1252"/>
      <c r="AC57" s="1252"/>
      <c r="AD57" s="1252"/>
      <c r="AE57" s="1252"/>
      <c r="AF57" s="1252"/>
      <c r="AG57" s="1252"/>
      <c r="AH57" s="1252"/>
      <c r="AI57" s="1252"/>
      <c r="AJ57" s="1252"/>
      <c r="AK57" s="1252"/>
      <c r="AL57" s="1252"/>
      <c r="AM57" s="1252"/>
      <c r="AN57" s="1252"/>
      <c r="AO57" s="1252"/>
      <c r="AP57" s="1252"/>
      <c r="AQ57" s="1252"/>
      <c r="AR57" s="1252"/>
      <c r="AS57" s="1252"/>
      <c r="AT57" s="1252"/>
      <c r="AU57" s="1252"/>
      <c r="AV57" s="1252"/>
      <c r="AW57" s="1252"/>
      <c r="AX57" s="1252"/>
      <c r="AY57" s="1252"/>
      <c r="AZ57" s="1252"/>
      <c r="BA57" s="1252"/>
      <c r="BB57" s="1252"/>
      <c r="CF57" s="314"/>
    </row>
    <row r="58" ht="19.5" customHeight="1">
      <c r="B58" s="1594"/>
      <c r="C58" s="1595"/>
      <c r="D58" s="1596" t="str">
        <f>'League Stats'!AB38</f>
        <v/>
      </c>
      <c r="E58" s="1597" t="str">
        <f>'League Stats'!AC38</f>
        <v/>
      </c>
      <c r="F58" s="1598" t="str">
        <f>IF(OR(D58="-",D58=""),"",F51)</f>
        <v/>
      </c>
      <c r="G58" s="1599" t="str">
        <f>'League Stats'!AE38</f>
        <v/>
      </c>
      <c r="H58" s="1600" t="str">
        <f>'League Stats'!AF38</f>
        <v/>
      </c>
      <c r="I58" s="1598" t="str">
        <f>IF(OR(G58="-",G58=""),"",I51)</f>
        <v/>
      </c>
      <c r="J58" s="1601" t="str">
        <f>'League Stats'!AH38</f>
        <v/>
      </c>
      <c r="K58" s="1602" t="str">
        <f>'League Stats'!AI38</f>
        <v/>
      </c>
      <c r="L58" s="1603" t="str">
        <f>IF(OR(J58="-",J58=""),"",L51)</f>
        <v/>
      </c>
      <c r="M58" s="13" t="s">
        <v>1097</v>
      </c>
      <c r="N58" s="700">
        <f t="shared" ref="N58:U58" si="107">IFERROR(IF($M58="YES",IF($D56=N$4,$F56,0)+IF($G56=N$4,$I56,0)+IF($J56=N$4,$L56,0),0),0)</f>
        <v>0</v>
      </c>
      <c r="O58" s="700">
        <f t="shared" si="107"/>
        <v>0</v>
      </c>
      <c r="P58" s="700">
        <f t="shared" si="107"/>
        <v>0</v>
      </c>
      <c r="Q58" s="700">
        <f t="shared" si="107"/>
        <v>0</v>
      </c>
      <c r="R58" s="700">
        <f t="shared" si="107"/>
        <v>0</v>
      </c>
      <c r="S58" s="700">
        <f t="shared" si="107"/>
        <v>0</v>
      </c>
      <c r="T58" s="700">
        <f t="shared" si="107"/>
        <v>0</v>
      </c>
      <c r="U58" s="700">
        <f t="shared" si="107"/>
        <v>0</v>
      </c>
      <c r="X58" s="1252"/>
      <c r="Y58" s="1252"/>
      <c r="Z58" s="1252"/>
      <c r="AA58" s="1252"/>
      <c r="AB58" s="1252"/>
      <c r="AC58" s="1252"/>
      <c r="AD58" s="1252"/>
      <c r="AE58" s="1252"/>
      <c r="AF58" s="1252"/>
      <c r="AG58" s="1252"/>
      <c r="AH58" s="1252"/>
      <c r="AI58" s="1252"/>
      <c r="AJ58" s="1252"/>
      <c r="AK58" s="1252"/>
      <c r="AL58" s="1252"/>
      <c r="AM58" s="1252"/>
      <c r="AN58" s="1252"/>
      <c r="AO58" s="1252"/>
      <c r="AP58" s="1252"/>
      <c r="AQ58" s="1252"/>
      <c r="AR58" s="1252"/>
      <c r="AS58" s="1252"/>
      <c r="AT58" s="1252"/>
      <c r="AU58" s="1252"/>
      <c r="AV58" s="1252"/>
      <c r="AW58" s="1252"/>
      <c r="AX58" s="1252"/>
      <c r="AY58" s="1252"/>
      <c r="AZ58" s="1252"/>
      <c r="BA58" s="1252"/>
      <c r="BB58" s="1252"/>
      <c r="CF58" s="314"/>
    </row>
    <row r="59" ht="19.5" customHeight="1">
      <c r="B59" s="1594"/>
      <c r="C59" s="1604" t="s">
        <v>1782</v>
      </c>
      <c r="D59" s="1605" t="str">
        <f>'League Stats'!AB41</f>
        <v>EAGLES</v>
      </c>
      <c r="E59" s="1606">
        <f>'League Stats'!AC41</f>
        <v>50.28</v>
      </c>
      <c r="F59" s="1607">
        <v>2.0</v>
      </c>
      <c r="G59" s="1608" t="str">
        <f>'League Stats'!AE41</f>
        <v>GREEN</v>
      </c>
      <c r="H59" s="1609">
        <f>'League Stats'!AF41</f>
        <v>45.26</v>
      </c>
      <c r="I59" s="1607">
        <v>1.0</v>
      </c>
      <c r="J59" s="1610" t="str">
        <f>'League Stats'!AH41</f>
        <v>KINGS</v>
      </c>
      <c r="K59" s="1611">
        <f>'League Stats'!AI41</f>
        <v>41.28</v>
      </c>
      <c r="L59" s="1612">
        <v>0.5</v>
      </c>
      <c r="M59" s="13" t="s">
        <v>1097</v>
      </c>
      <c r="N59" s="700">
        <f t="shared" ref="N59:U59" si="108">IFERROR(IF($M59="YES",IF($D57=N$4,$F57,0)+IF($G57=N$4,$I57,0)+IF($J57=N$4,$L57,0),0),0)</f>
        <v>0</v>
      </c>
      <c r="O59" s="700">
        <f t="shared" si="108"/>
        <v>0</v>
      </c>
      <c r="P59" s="700">
        <f t="shared" si="108"/>
        <v>0</v>
      </c>
      <c r="Q59" s="700">
        <f t="shared" si="108"/>
        <v>0</v>
      </c>
      <c r="R59" s="700">
        <f t="shared" si="108"/>
        <v>0</v>
      </c>
      <c r="S59" s="700">
        <f t="shared" si="108"/>
        <v>0</v>
      </c>
      <c r="T59" s="700">
        <f t="shared" si="108"/>
        <v>0</v>
      </c>
      <c r="U59" s="700">
        <f t="shared" si="108"/>
        <v>0</v>
      </c>
      <c r="X59" s="1252"/>
      <c r="Y59" s="1252"/>
      <c r="Z59" s="1252"/>
      <c r="AA59" s="1252"/>
      <c r="AB59" s="1252"/>
      <c r="AC59" s="1252"/>
      <c r="AD59" s="1252"/>
      <c r="AE59" s="1252"/>
      <c r="AF59" s="1252"/>
      <c r="AG59" s="1252"/>
      <c r="AH59" s="1252"/>
      <c r="AI59" s="1252"/>
      <c r="AJ59" s="1252"/>
      <c r="AK59" s="1252"/>
      <c r="AL59" s="1252"/>
      <c r="AM59" s="1252"/>
      <c r="AN59" s="1252"/>
      <c r="AO59" s="1252"/>
      <c r="AP59" s="1252"/>
      <c r="AQ59" s="1252"/>
      <c r="AR59" s="1252"/>
      <c r="AS59" s="1252"/>
      <c r="AT59" s="1252"/>
      <c r="AU59" s="1252"/>
      <c r="AV59" s="1252"/>
      <c r="AW59" s="1252"/>
      <c r="AX59" s="1252"/>
      <c r="AY59" s="1252"/>
      <c r="AZ59" s="1252"/>
      <c r="BA59" s="1252"/>
      <c r="BB59" s="1252"/>
      <c r="CF59" s="314"/>
    </row>
    <row r="60" ht="19.5" customHeight="1">
      <c r="B60" s="1594"/>
      <c r="C60" s="1604"/>
      <c r="D60" s="1605" t="str">
        <f>'League Stats'!AB42</f>
        <v/>
      </c>
      <c r="E60" s="1606" t="str">
        <f>'League Stats'!AC42</f>
        <v/>
      </c>
      <c r="F60" s="1598" t="str">
        <f>IF(OR(D60="-",D60=""),"",F59)</f>
        <v/>
      </c>
      <c r="G60" s="1608" t="str">
        <f>'League Stats'!AE42</f>
        <v/>
      </c>
      <c r="H60" s="1609" t="str">
        <f>'League Stats'!AF42</f>
        <v/>
      </c>
      <c r="I60" s="1598" t="str">
        <f>IF(OR(G60="-",G60=""),"",I59)</f>
        <v/>
      </c>
      <c r="J60" s="1610" t="str">
        <f>'League Stats'!AH42</f>
        <v/>
      </c>
      <c r="K60" s="1611" t="str">
        <f>'League Stats'!AI42</f>
        <v/>
      </c>
      <c r="L60" s="1603" t="str">
        <f>IF(OR(J60="-",J60=""),"",L59)</f>
        <v/>
      </c>
      <c r="M60" s="13" t="s">
        <v>1097</v>
      </c>
      <c r="N60" s="700">
        <f t="shared" ref="N60:U60" si="109">IFERROR(IF($M60="YES",IF($D58=N$4,$F58,0)+IF($G58=N$4,$I58,0)+IF($J58=N$4,$L58,0),0),0)</f>
        <v>0</v>
      </c>
      <c r="O60" s="700">
        <f t="shared" si="109"/>
        <v>0</v>
      </c>
      <c r="P60" s="700">
        <f t="shared" si="109"/>
        <v>0</v>
      </c>
      <c r="Q60" s="700">
        <f t="shared" si="109"/>
        <v>0</v>
      </c>
      <c r="R60" s="700">
        <f t="shared" si="109"/>
        <v>0</v>
      </c>
      <c r="S60" s="700">
        <f t="shared" si="109"/>
        <v>0</v>
      </c>
      <c r="T60" s="700">
        <f t="shared" si="109"/>
        <v>0</v>
      </c>
      <c r="U60" s="700">
        <f t="shared" si="109"/>
        <v>0</v>
      </c>
      <c r="X60" s="1252"/>
      <c r="Y60" s="1252"/>
      <c r="Z60" s="1252"/>
      <c r="AA60" s="1252"/>
      <c r="AB60" s="1252"/>
      <c r="AC60" s="1252"/>
      <c r="AD60" s="1252"/>
      <c r="AE60" s="1252"/>
      <c r="AF60" s="1252"/>
      <c r="AG60" s="1252"/>
      <c r="AH60" s="1252"/>
      <c r="AI60" s="1252"/>
      <c r="AJ60" s="1252"/>
      <c r="AK60" s="1252"/>
      <c r="AL60" s="1252"/>
      <c r="AM60" s="1252"/>
      <c r="AN60" s="1252"/>
      <c r="AO60" s="1252"/>
      <c r="AP60" s="1252"/>
      <c r="AQ60" s="1252"/>
      <c r="AR60" s="1252"/>
      <c r="AS60" s="1252"/>
      <c r="AT60" s="1252"/>
      <c r="AU60" s="1252"/>
      <c r="AV60" s="1252"/>
      <c r="AW60" s="1252"/>
      <c r="AX60" s="1252"/>
      <c r="AY60" s="1252"/>
      <c r="AZ60" s="1252"/>
      <c r="BA60" s="1252"/>
      <c r="BB60" s="1252"/>
      <c r="CF60" s="314"/>
    </row>
    <row r="61" ht="19.5" customHeight="1">
      <c r="B61" s="1594"/>
      <c r="C61" s="1604"/>
      <c r="D61" s="1605" t="str">
        <f>'League Stats'!AB43</f>
        <v/>
      </c>
      <c r="E61" s="1606" t="str">
        <f>'League Stats'!AC43</f>
        <v/>
      </c>
      <c r="F61" s="1598" t="str">
        <f>IF(OR(D61="-",D61=""),"",F59)</f>
        <v/>
      </c>
      <c r="G61" s="1608" t="str">
        <f>'League Stats'!AE43</f>
        <v/>
      </c>
      <c r="H61" s="1609" t="str">
        <f>'League Stats'!AF43</f>
        <v/>
      </c>
      <c r="I61" s="1598" t="str">
        <f>IF(OR(G61="-",G61=""),"",I59)</f>
        <v/>
      </c>
      <c r="J61" s="1610" t="str">
        <f>'League Stats'!AH43</f>
        <v/>
      </c>
      <c r="K61" s="1611" t="str">
        <f>'League Stats'!AI43</f>
        <v/>
      </c>
      <c r="L61" s="1603" t="str">
        <f>IF(OR(J61="-",J61=""),"",L59)</f>
        <v/>
      </c>
      <c r="M61" s="13" t="s">
        <v>1097</v>
      </c>
      <c r="N61" s="700">
        <f t="shared" ref="N61:U61" si="110">IFERROR(IF($M61="YES",IF($D59=N$4,$F59,0)+IF($G59=N$4,$I59,0)+IF($J59=N$4,$L59,0),0),0)</f>
        <v>0</v>
      </c>
      <c r="O61" s="700">
        <f t="shared" si="110"/>
        <v>0</v>
      </c>
      <c r="P61" s="700">
        <f t="shared" si="110"/>
        <v>1</v>
      </c>
      <c r="Q61" s="700">
        <f t="shared" si="110"/>
        <v>0</v>
      </c>
      <c r="R61" s="700">
        <f t="shared" si="110"/>
        <v>0</v>
      </c>
      <c r="S61" s="700">
        <f t="shared" si="110"/>
        <v>0</v>
      </c>
      <c r="T61" s="700">
        <f t="shared" si="110"/>
        <v>0</v>
      </c>
      <c r="U61" s="700">
        <f t="shared" si="110"/>
        <v>0</v>
      </c>
      <c r="X61" s="1252"/>
      <c r="Y61" s="1252"/>
      <c r="Z61" s="1252"/>
      <c r="AA61" s="1252"/>
      <c r="AB61" s="1252"/>
      <c r="AC61" s="1252"/>
      <c r="AD61" s="1252"/>
      <c r="AE61" s="1252"/>
      <c r="AF61" s="1252"/>
      <c r="AG61" s="1252"/>
      <c r="AH61" s="1252"/>
      <c r="AI61" s="1252"/>
      <c r="AJ61" s="1252"/>
      <c r="AK61" s="1252"/>
      <c r="AL61" s="1252"/>
      <c r="AM61" s="1252"/>
      <c r="AN61" s="1252"/>
      <c r="AO61" s="1252"/>
      <c r="AP61" s="1252"/>
      <c r="AQ61" s="1252"/>
      <c r="AR61" s="1252"/>
      <c r="AS61" s="1252"/>
      <c r="AT61" s="1252"/>
      <c r="AU61" s="1252"/>
      <c r="AV61" s="1252"/>
      <c r="AW61" s="1252"/>
      <c r="AX61" s="1252"/>
      <c r="AY61" s="1252"/>
      <c r="AZ61" s="1252"/>
      <c r="BA61" s="1252"/>
      <c r="BB61" s="1252"/>
      <c r="CF61" s="314"/>
    </row>
    <row r="62" ht="19.5" customHeight="1">
      <c r="B62" s="1594"/>
      <c r="C62" s="1604"/>
      <c r="D62" s="1605" t="str">
        <f>'League Stats'!AB44</f>
        <v/>
      </c>
      <c r="E62" s="1606" t="str">
        <f>'League Stats'!AC44</f>
        <v/>
      </c>
      <c r="F62" s="1598" t="str">
        <f>IF(OR(D62="-",D62=""),"",F59)</f>
        <v/>
      </c>
      <c r="G62" s="1608" t="str">
        <f>'League Stats'!AE44</f>
        <v/>
      </c>
      <c r="H62" s="1609" t="str">
        <f>'League Stats'!AF44</f>
        <v/>
      </c>
      <c r="I62" s="1598" t="str">
        <f>IF(OR(G62="-",G62=""),"",I59)</f>
        <v/>
      </c>
      <c r="J62" s="1610" t="str">
        <f>'League Stats'!AH44</f>
        <v/>
      </c>
      <c r="K62" s="1611" t="str">
        <f>'League Stats'!AI44</f>
        <v/>
      </c>
      <c r="L62" s="1603" t="str">
        <f>IF(OR(J62="-",J62=""),"",L59)</f>
        <v/>
      </c>
      <c r="M62" s="13" t="s">
        <v>1097</v>
      </c>
      <c r="N62" s="700">
        <f t="shared" ref="N62:U62" si="111">IFERROR(IF($M62="YES",IF($D60=N$4,$F60,0)+IF($G60=N$4,$I60,0)+IF($J60=N$4,$L60,0),0),0)</f>
        <v>0</v>
      </c>
      <c r="O62" s="700">
        <f t="shared" si="111"/>
        <v>0</v>
      </c>
      <c r="P62" s="700">
        <f t="shared" si="111"/>
        <v>0</v>
      </c>
      <c r="Q62" s="700">
        <f t="shared" si="111"/>
        <v>0</v>
      </c>
      <c r="R62" s="700">
        <f t="shared" si="111"/>
        <v>0</v>
      </c>
      <c r="S62" s="700">
        <f t="shared" si="111"/>
        <v>0</v>
      </c>
      <c r="T62" s="700">
        <f t="shared" si="111"/>
        <v>0</v>
      </c>
      <c r="U62" s="700">
        <f t="shared" si="111"/>
        <v>0</v>
      </c>
      <c r="X62" s="1252"/>
      <c r="Y62" s="1252"/>
      <c r="Z62" s="1252"/>
      <c r="AA62" s="1252"/>
      <c r="AB62" s="1252"/>
      <c r="AC62" s="1252"/>
      <c r="AD62" s="1252"/>
      <c r="AE62" s="1252"/>
      <c r="AF62" s="1252"/>
      <c r="AG62" s="1252"/>
      <c r="AH62" s="1252"/>
      <c r="AI62" s="1252"/>
      <c r="AJ62" s="1252"/>
      <c r="AK62" s="1252"/>
      <c r="AL62" s="1252"/>
      <c r="AM62" s="1252"/>
      <c r="AN62" s="1252"/>
      <c r="AO62" s="1252"/>
      <c r="AP62" s="1252"/>
      <c r="AQ62" s="1252"/>
      <c r="AR62" s="1252"/>
      <c r="AS62" s="1252"/>
      <c r="AT62" s="1252"/>
      <c r="AU62" s="1252"/>
      <c r="AV62" s="1252"/>
      <c r="AW62" s="1252"/>
      <c r="AX62" s="1252"/>
      <c r="AY62" s="1252"/>
      <c r="AZ62" s="1252"/>
      <c r="BA62" s="1252"/>
      <c r="BB62" s="1252"/>
      <c r="CF62" s="314"/>
    </row>
    <row r="63" ht="19.5" customHeight="1">
      <c r="B63" s="1594"/>
      <c r="C63" s="1604"/>
      <c r="D63" s="1605" t="str">
        <f>'League Stats'!AB45</f>
        <v/>
      </c>
      <c r="E63" s="1606" t="str">
        <f>'League Stats'!AC45</f>
        <v/>
      </c>
      <c r="F63" s="1598" t="str">
        <f>IF(OR(D63="-",D63=""),"",F59)</f>
        <v/>
      </c>
      <c r="G63" s="1608" t="str">
        <f>'League Stats'!AE45</f>
        <v/>
      </c>
      <c r="H63" s="1609" t="str">
        <f>'League Stats'!AF45</f>
        <v/>
      </c>
      <c r="I63" s="1598" t="str">
        <f>IF(OR(G63="-",G63=""),"",I59)</f>
        <v/>
      </c>
      <c r="J63" s="1610" t="str">
        <f>'League Stats'!AH45</f>
        <v/>
      </c>
      <c r="K63" s="1611" t="str">
        <f>'League Stats'!AI45</f>
        <v/>
      </c>
      <c r="L63" s="1603" t="str">
        <f>IF(OR(J63="-",J63=""),"",L59)</f>
        <v/>
      </c>
      <c r="M63" s="13" t="s">
        <v>1097</v>
      </c>
      <c r="N63" s="700">
        <f t="shared" ref="N63:U63" si="112">IFERROR(IF($M63="YES",IF($D61=N$4,$F61,0)+IF($G61=N$4,$I61,0)+IF($J61=N$4,$L61,0),0),0)</f>
        <v>0</v>
      </c>
      <c r="O63" s="700">
        <f t="shared" si="112"/>
        <v>0</v>
      </c>
      <c r="P63" s="700">
        <f t="shared" si="112"/>
        <v>0</v>
      </c>
      <c r="Q63" s="700">
        <f t="shared" si="112"/>
        <v>0</v>
      </c>
      <c r="R63" s="700">
        <f t="shared" si="112"/>
        <v>0</v>
      </c>
      <c r="S63" s="700">
        <f t="shared" si="112"/>
        <v>0</v>
      </c>
      <c r="T63" s="700">
        <f t="shared" si="112"/>
        <v>0</v>
      </c>
      <c r="U63" s="700">
        <f t="shared" si="112"/>
        <v>0</v>
      </c>
      <c r="X63" s="1252"/>
      <c r="Y63" s="1252"/>
      <c r="Z63" s="1252"/>
      <c r="AA63" s="1252"/>
      <c r="AB63" s="1252"/>
      <c r="AC63" s="1252"/>
      <c r="AD63" s="1252"/>
      <c r="AE63" s="1252"/>
      <c r="AF63" s="1252"/>
      <c r="AG63" s="1252"/>
      <c r="AH63" s="1252"/>
      <c r="AI63" s="1252"/>
      <c r="AJ63" s="1252"/>
      <c r="AK63" s="1252"/>
      <c r="AL63" s="1252"/>
      <c r="AM63" s="1252"/>
      <c r="AN63" s="1252"/>
      <c r="AO63" s="1252"/>
      <c r="AP63" s="1252"/>
      <c r="AQ63" s="1252"/>
      <c r="AR63" s="1252"/>
      <c r="AS63" s="1252"/>
      <c r="AT63" s="1252"/>
      <c r="AU63" s="1252"/>
      <c r="AV63" s="1252"/>
      <c r="AW63" s="1252"/>
      <c r="AX63" s="1252"/>
      <c r="AY63" s="1252"/>
      <c r="AZ63" s="1252"/>
      <c r="BA63" s="1252"/>
      <c r="BB63" s="1252"/>
      <c r="CF63" s="314"/>
    </row>
    <row r="64" ht="19.5" customHeight="1">
      <c r="B64" s="1594"/>
      <c r="C64" s="1604"/>
      <c r="D64" s="1605" t="str">
        <f>'League Stats'!AB46</f>
        <v/>
      </c>
      <c r="E64" s="1606" t="str">
        <f>'League Stats'!AC46</f>
        <v/>
      </c>
      <c r="F64" s="1598" t="str">
        <f>IF(OR(D64="-",D64=""),"",F59)</f>
        <v/>
      </c>
      <c r="G64" s="1608" t="str">
        <f>'League Stats'!AE46</f>
        <v/>
      </c>
      <c r="H64" s="1609" t="str">
        <f>'League Stats'!AF46</f>
        <v/>
      </c>
      <c r="I64" s="1598" t="str">
        <f>IF(OR(G64="-",G64=""),"",I59)</f>
        <v/>
      </c>
      <c r="J64" s="1610" t="str">
        <f>'League Stats'!AH46</f>
        <v/>
      </c>
      <c r="K64" s="1611" t="str">
        <f>'League Stats'!AI46</f>
        <v/>
      </c>
      <c r="L64" s="1603" t="str">
        <f>IF(OR(J64="-",J64=""),"",L59)</f>
        <v/>
      </c>
      <c r="M64" s="13" t="s">
        <v>1097</v>
      </c>
      <c r="N64" s="700">
        <f t="shared" ref="N64:U64" si="113">IFERROR(IF($M64="YES",IF($D62=N$4,$F62,0)+IF($G62=N$4,$I62,0)+IF($J62=N$4,$L62,0),0),0)</f>
        <v>0</v>
      </c>
      <c r="O64" s="700">
        <f t="shared" si="113"/>
        <v>0</v>
      </c>
      <c r="P64" s="700">
        <f t="shared" si="113"/>
        <v>0</v>
      </c>
      <c r="Q64" s="700">
        <f t="shared" si="113"/>
        <v>0</v>
      </c>
      <c r="R64" s="700">
        <f t="shared" si="113"/>
        <v>0</v>
      </c>
      <c r="S64" s="700">
        <f t="shared" si="113"/>
        <v>0</v>
      </c>
      <c r="T64" s="700">
        <f t="shared" si="113"/>
        <v>0</v>
      </c>
      <c r="U64" s="700">
        <f t="shared" si="113"/>
        <v>0</v>
      </c>
      <c r="X64" s="1252"/>
      <c r="Y64" s="1252"/>
      <c r="Z64" s="1252"/>
      <c r="AA64" s="1252"/>
      <c r="AB64" s="1252"/>
      <c r="AC64" s="1252"/>
      <c r="AD64" s="1252"/>
      <c r="AE64" s="1252"/>
      <c r="AF64" s="1252"/>
      <c r="AG64" s="1252"/>
      <c r="AH64" s="1252"/>
      <c r="AI64" s="1252"/>
      <c r="AJ64" s="1252"/>
      <c r="AK64" s="1252"/>
      <c r="AL64" s="1252"/>
      <c r="AM64" s="1252"/>
      <c r="AN64" s="1252"/>
      <c r="AO64" s="1252"/>
      <c r="AP64" s="1252"/>
      <c r="AQ64" s="1252"/>
      <c r="AR64" s="1252"/>
      <c r="AS64" s="1252"/>
      <c r="AT64" s="1252"/>
      <c r="AU64" s="1252"/>
      <c r="AV64" s="1252"/>
      <c r="AW64" s="1252"/>
      <c r="AX64" s="1252"/>
      <c r="AY64" s="1252"/>
      <c r="AZ64" s="1252"/>
      <c r="BA64" s="1252"/>
      <c r="BB64" s="1252"/>
      <c r="CF64" s="314"/>
    </row>
    <row r="65" ht="19.5" customHeight="1">
      <c r="B65" s="1594"/>
      <c r="C65" s="1604"/>
      <c r="D65" s="1605" t="str">
        <f>'League Stats'!AB47</f>
        <v/>
      </c>
      <c r="E65" s="1606" t="str">
        <f>'League Stats'!AC47</f>
        <v/>
      </c>
      <c r="F65" s="1598" t="str">
        <f>IF(OR(D65="-",D65=""),"",F59)</f>
        <v/>
      </c>
      <c r="G65" s="1608" t="str">
        <f>'League Stats'!AE47</f>
        <v/>
      </c>
      <c r="H65" s="1609" t="str">
        <f>'League Stats'!AF47</f>
        <v/>
      </c>
      <c r="I65" s="1598" t="str">
        <f>IF(OR(G65="-",G65=""),"",I59)</f>
        <v/>
      </c>
      <c r="J65" s="1610" t="str">
        <f>'League Stats'!AH47</f>
        <v/>
      </c>
      <c r="K65" s="1611" t="str">
        <f>'League Stats'!AI47</f>
        <v/>
      </c>
      <c r="L65" s="1603" t="str">
        <f>IF(OR(J65="-",J65=""),"",L59)</f>
        <v/>
      </c>
      <c r="M65" s="13" t="s">
        <v>1097</v>
      </c>
      <c r="N65" s="700">
        <f t="shared" ref="N65:U65" si="114">IFERROR(IF($M65="YES",IF($D63=N$4,$F63,0)+IF($G63=N$4,$I63,0)+IF($J63=N$4,$L63,0),0),0)</f>
        <v>0</v>
      </c>
      <c r="O65" s="700">
        <f t="shared" si="114"/>
        <v>0</v>
      </c>
      <c r="P65" s="700">
        <f t="shared" si="114"/>
        <v>0</v>
      </c>
      <c r="Q65" s="700">
        <f t="shared" si="114"/>
        <v>0</v>
      </c>
      <c r="R65" s="700">
        <f t="shared" si="114"/>
        <v>0</v>
      </c>
      <c r="S65" s="700">
        <f t="shared" si="114"/>
        <v>0</v>
      </c>
      <c r="T65" s="700">
        <f t="shared" si="114"/>
        <v>0</v>
      </c>
      <c r="U65" s="700">
        <f t="shared" si="114"/>
        <v>0</v>
      </c>
      <c r="X65" s="1252"/>
      <c r="Y65" s="1252"/>
      <c r="Z65" s="1252"/>
      <c r="AA65" s="1252"/>
      <c r="AB65" s="1252"/>
      <c r="AC65" s="1252"/>
      <c r="AD65" s="1252"/>
      <c r="AE65" s="1252"/>
      <c r="AF65" s="1252"/>
      <c r="AG65" s="1252"/>
      <c r="AH65" s="1252"/>
      <c r="AI65" s="1252"/>
      <c r="AJ65" s="1252"/>
      <c r="AK65" s="1252"/>
      <c r="AL65" s="1252"/>
      <c r="AM65" s="1252"/>
      <c r="AN65" s="1252"/>
      <c r="AO65" s="1252"/>
      <c r="AP65" s="1252"/>
      <c r="AQ65" s="1252"/>
      <c r="AR65" s="1252"/>
      <c r="AS65" s="1252"/>
      <c r="AT65" s="1252"/>
      <c r="AU65" s="1252"/>
      <c r="AV65" s="1252"/>
      <c r="AW65" s="1252"/>
      <c r="AX65" s="1252"/>
      <c r="AY65" s="1252"/>
      <c r="AZ65" s="1252"/>
      <c r="BA65" s="1252"/>
      <c r="BB65" s="1252"/>
      <c r="CF65" s="314"/>
    </row>
    <row r="66" ht="19.5" customHeight="1">
      <c r="B66" s="1613"/>
      <c r="C66" s="1614"/>
      <c r="D66" s="1615" t="str">
        <f>'League Stats'!AB50</f>
        <v/>
      </c>
      <c r="E66" s="1616" t="str">
        <f>'League Stats'!AC50</f>
        <v/>
      </c>
      <c r="F66" s="1617" t="str">
        <f>IF(OR(D66="-",D66=""),"",F59)</f>
        <v/>
      </c>
      <c r="G66" s="1618" t="str">
        <f>'League Stats'!AE50</f>
        <v/>
      </c>
      <c r="H66" s="1619" t="str">
        <f>'League Stats'!AF50</f>
        <v/>
      </c>
      <c r="I66" s="1617" t="str">
        <f>IF(OR(G66="-",G66=""),"",I59)</f>
        <v/>
      </c>
      <c r="J66" s="1620" t="str">
        <f>'League Stats'!AH50</f>
        <v/>
      </c>
      <c r="K66" s="1621" t="str">
        <f>'League Stats'!AI50</f>
        <v/>
      </c>
      <c r="L66" s="1622" t="str">
        <f>IF(OR(J66="-",J66=""),"",L59)</f>
        <v/>
      </c>
      <c r="M66" s="13" t="s">
        <v>1097</v>
      </c>
      <c r="N66" s="700">
        <f t="shared" ref="N66:U66" si="115">IFERROR(IF($M66="YES",IF($D64=N$4,$F64,0)+IF($G64=N$4,$I64,0)+IF($J64=N$4,$L64,0),0),0)</f>
        <v>0</v>
      </c>
      <c r="O66" s="700">
        <f t="shared" si="115"/>
        <v>0</v>
      </c>
      <c r="P66" s="700">
        <f t="shared" si="115"/>
        <v>0</v>
      </c>
      <c r="Q66" s="700">
        <f t="shared" si="115"/>
        <v>0</v>
      </c>
      <c r="R66" s="700">
        <f t="shared" si="115"/>
        <v>0</v>
      </c>
      <c r="S66" s="700">
        <f t="shared" si="115"/>
        <v>0</v>
      </c>
      <c r="T66" s="700">
        <f t="shared" si="115"/>
        <v>0</v>
      </c>
      <c r="U66" s="700">
        <f t="shared" si="115"/>
        <v>0</v>
      </c>
      <c r="X66" s="1252"/>
      <c r="Y66" s="1252"/>
      <c r="Z66" s="1252"/>
      <c r="AA66" s="1252"/>
      <c r="AB66" s="1252"/>
      <c r="AC66" s="1252"/>
      <c r="AD66" s="1252"/>
      <c r="AE66" s="1252"/>
      <c r="AF66" s="1252"/>
      <c r="AG66" s="1252"/>
      <c r="AH66" s="1252"/>
      <c r="AI66" s="1252"/>
      <c r="AJ66" s="1252"/>
      <c r="AK66" s="1252"/>
      <c r="AL66" s="1252"/>
      <c r="AM66" s="1252"/>
      <c r="AN66" s="1252"/>
      <c r="AO66" s="1252"/>
      <c r="AP66" s="1252"/>
      <c r="AQ66" s="1252"/>
      <c r="AR66" s="1252"/>
      <c r="AS66" s="1252"/>
      <c r="AT66" s="1252"/>
      <c r="AU66" s="1252"/>
      <c r="AV66" s="1252"/>
      <c r="AW66" s="1252"/>
      <c r="AX66" s="1252"/>
      <c r="AY66" s="1252"/>
      <c r="AZ66" s="1252"/>
      <c r="BA66" s="1252"/>
      <c r="BB66" s="1252"/>
      <c r="CF66" s="314"/>
    </row>
    <row r="67" ht="19.5" customHeight="1">
      <c r="B67" s="1623" t="s">
        <v>106</v>
      </c>
      <c r="C67" s="1624" t="s">
        <v>202</v>
      </c>
      <c r="D67" s="1586" t="str">
        <f>'League Stats'!#REF!</f>
        <v>#ERROR!</v>
      </c>
      <c r="E67" s="1587" t="str">
        <f>'League Stats'!#REF!</f>
        <v>#ERROR!</v>
      </c>
      <c r="F67" s="1588">
        <v>4.0</v>
      </c>
      <c r="G67" s="1589" t="str">
        <f>'League Stats'!#REF!</f>
        <v>#ERROR!</v>
      </c>
      <c r="H67" s="1590" t="str">
        <f>'League Stats'!#REF!</f>
        <v>#ERROR!</v>
      </c>
      <c r="I67" s="1588">
        <v>2.0</v>
      </c>
      <c r="J67" s="1591" t="str">
        <f>'League Stats'!#REF!</f>
        <v>#ERROR!</v>
      </c>
      <c r="K67" s="1592" t="str">
        <f>'League Stats'!#REF!</f>
        <v>#ERROR!</v>
      </c>
      <c r="L67" s="1593">
        <v>1.0</v>
      </c>
      <c r="M67" s="13" t="s">
        <v>1097</v>
      </c>
      <c r="N67" s="700">
        <f t="shared" ref="N67:U67" si="116">IFERROR(IF($M67="YES",IF($D65=N$4,$F65,0)+IF($G65=N$4,$I65,0)+IF($J65=N$4,$L65,0),0),0)</f>
        <v>0</v>
      </c>
      <c r="O67" s="700">
        <f t="shared" si="116"/>
        <v>0</v>
      </c>
      <c r="P67" s="700">
        <f t="shared" si="116"/>
        <v>0</v>
      </c>
      <c r="Q67" s="700">
        <f t="shared" si="116"/>
        <v>0</v>
      </c>
      <c r="R67" s="700">
        <f t="shared" si="116"/>
        <v>0</v>
      </c>
      <c r="S67" s="700">
        <f t="shared" si="116"/>
        <v>0</v>
      </c>
      <c r="T67" s="700">
        <f t="shared" si="116"/>
        <v>0</v>
      </c>
      <c r="U67" s="700">
        <f t="shared" si="116"/>
        <v>0</v>
      </c>
      <c r="X67" s="1252"/>
      <c r="Y67" s="1252"/>
      <c r="Z67" s="1252"/>
      <c r="AA67" s="1252"/>
      <c r="AB67" s="1252"/>
      <c r="AC67" s="1252"/>
      <c r="AD67" s="1252"/>
      <c r="AE67" s="1252"/>
      <c r="AF67" s="1252"/>
      <c r="AG67" s="1252"/>
      <c r="AH67" s="1252"/>
      <c r="AI67" s="1252"/>
      <c r="AJ67" s="1252"/>
      <c r="AK67" s="1252"/>
      <c r="AL67" s="1252"/>
      <c r="AM67" s="1252"/>
      <c r="AN67" s="1252"/>
      <c r="AO67" s="1252"/>
      <c r="AP67" s="1252"/>
      <c r="AQ67" s="1252"/>
      <c r="AR67" s="1252"/>
      <c r="AS67" s="1252"/>
      <c r="AT67" s="1252"/>
      <c r="AU67" s="1252"/>
      <c r="AV67" s="1252"/>
      <c r="AW67" s="1252"/>
      <c r="AX67" s="1252"/>
      <c r="AY67" s="1252"/>
      <c r="AZ67" s="1252"/>
      <c r="BA67" s="1252"/>
      <c r="BB67" s="1252"/>
      <c r="CF67" s="314"/>
    </row>
    <row r="68" ht="19.5" customHeight="1">
      <c r="B68" s="1594"/>
      <c r="C68" s="1625"/>
      <c r="D68" s="1596" t="str">
        <f>'League Stats'!#REF!</f>
        <v>#ERROR!</v>
      </c>
      <c r="E68" s="1597" t="str">
        <f>'League Stats'!#REF!</f>
        <v>#ERROR!</v>
      </c>
      <c r="F68" s="1598" t="str">
        <f>IF(OR(D68="-",D68=""),"",F67)</f>
        <v>#ERROR!</v>
      </c>
      <c r="G68" s="1599" t="str">
        <f>'League Stats'!#REF!</f>
        <v>#ERROR!</v>
      </c>
      <c r="H68" s="1600" t="str">
        <f>'League Stats'!#REF!</f>
        <v>#ERROR!</v>
      </c>
      <c r="I68" s="1598" t="str">
        <f>IF(OR(G68="-",G68=""),"",I67)</f>
        <v>#ERROR!</v>
      </c>
      <c r="J68" s="1601" t="str">
        <f>'League Stats'!#REF!</f>
        <v>#ERROR!</v>
      </c>
      <c r="K68" s="1602" t="str">
        <f>'League Stats'!#REF!</f>
        <v>#ERROR!</v>
      </c>
      <c r="L68" s="1603" t="str">
        <f>IF(OR(J68="-",J68=""),"",L67)</f>
        <v>#ERROR!</v>
      </c>
      <c r="M68" s="13" t="s">
        <v>1097</v>
      </c>
      <c r="N68" s="700">
        <f t="shared" ref="N68:U68" si="117">IFERROR(IF($M68="YES",IF($D66=N$4,$F66,0)+IF($G66=N$4,$I66,0)+IF($J66=N$4,$L66,0),0),0)</f>
        <v>0</v>
      </c>
      <c r="O68" s="700">
        <f t="shared" si="117"/>
        <v>0</v>
      </c>
      <c r="P68" s="700">
        <f t="shared" si="117"/>
        <v>0</v>
      </c>
      <c r="Q68" s="700">
        <f t="shared" si="117"/>
        <v>0</v>
      </c>
      <c r="R68" s="700">
        <f t="shared" si="117"/>
        <v>0</v>
      </c>
      <c r="S68" s="700">
        <f t="shared" si="117"/>
        <v>0</v>
      </c>
      <c r="T68" s="700">
        <f t="shared" si="117"/>
        <v>0</v>
      </c>
      <c r="U68" s="700">
        <f t="shared" si="117"/>
        <v>0</v>
      </c>
      <c r="X68" s="1252"/>
      <c r="Y68" s="1252"/>
      <c r="Z68" s="1252"/>
      <c r="AA68" s="1252"/>
      <c r="AB68" s="1252"/>
      <c r="AC68" s="1252"/>
      <c r="AD68" s="1252"/>
      <c r="AE68" s="1252"/>
      <c r="AF68" s="1252"/>
      <c r="AG68" s="1252"/>
      <c r="AH68" s="1252"/>
      <c r="AI68" s="1252"/>
      <c r="AJ68" s="1252"/>
      <c r="AK68" s="1252"/>
      <c r="AL68" s="1252"/>
      <c r="AM68" s="1252"/>
      <c r="AN68" s="1252"/>
      <c r="AO68" s="1252"/>
      <c r="AP68" s="1252"/>
      <c r="AQ68" s="1252"/>
      <c r="AR68" s="1252"/>
      <c r="AS68" s="1252"/>
      <c r="AT68" s="1252"/>
      <c r="AU68" s="1252"/>
      <c r="AV68" s="1252"/>
      <c r="AW68" s="1252"/>
      <c r="AX68" s="1252"/>
      <c r="AY68" s="1252"/>
      <c r="AZ68" s="1252"/>
      <c r="BA68" s="1252"/>
      <c r="BB68" s="1252"/>
      <c r="CF68" s="314"/>
    </row>
    <row r="69" ht="19.5" customHeight="1">
      <c r="B69" s="1594"/>
      <c r="C69" s="1625"/>
      <c r="D69" s="1596" t="str">
        <f>'League Stats'!#REF!</f>
        <v>#ERROR!</v>
      </c>
      <c r="E69" s="1597" t="str">
        <f>'League Stats'!#REF!</f>
        <v>#ERROR!</v>
      </c>
      <c r="F69" s="1598" t="str">
        <f>IF(OR(D69="-",D69=""),"",F67)</f>
        <v>#ERROR!</v>
      </c>
      <c r="G69" s="1599" t="str">
        <f>'League Stats'!#REF!</f>
        <v>#ERROR!</v>
      </c>
      <c r="H69" s="1600" t="str">
        <f>'League Stats'!#REF!</f>
        <v>#ERROR!</v>
      </c>
      <c r="I69" s="1598" t="str">
        <f>IF(OR(G69="-",G69=""),"",I67)</f>
        <v>#ERROR!</v>
      </c>
      <c r="J69" s="1601" t="str">
        <f>'League Stats'!#REF!</f>
        <v>#ERROR!</v>
      </c>
      <c r="K69" s="1602" t="str">
        <f>'League Stats'!#REF!</f>
        <v>#ERROR!</v>
      </c>
      <c r="L69" s="1603" t="str">
        <f>IF(OR(J69="-",J69=""),"",L67)</f>
        <v>#ERROR!</v>
      </c>
      <c r="M69" s="13" t="s">
        <v>1097</v>
      </c>
      <c r="N69" s="700">
        <f t="shared" ref="N69:U69" si="118">IFERROR(IF($M69="YES",IF($D67=N$4,$F67,0)+IF($G67=N$4,$I67,0)+IF($J67=N$4,$L67,0),0),0)</f>
        <v>0</v>
      </c>
      <c r="O69" s="700">
        <f t="shared" si="118"/>
        <v>0</v>
      </c>
      <c r="P69" s="700">
        <f t="shared" si="118"/>
        <v>0</v>
      </c>
      <c r="Q69" s="700">
        <f t="shared" si="118"/>
        <v>0</v>
      </c>
      <c r="R69" s="700">
        <f t="shared" si="118"/>
        <v>0</v>
      </c>
      <c r="S69" s="700">
        <f t="shared" si="118"/>
        <v>0</v>
      </c>
      <c r="T69" s="700">
        <f t="shared" si="118"/>
        <v>0</v>
      </c>
      <c r="U69" s="700">
        <f t="shared" si="118"/>
        <v>0</v>
      </c>
      <c r="X69" s="1252"/>
      <c r="Y69" s="1252"/>
      <c r="Z69" s="1252"/>
      <c r="AA69" s="1252"/>
      <c r="AB69" s="1252"/>
      <c r="AC69" s="1252"/>
      <c r="AD69" s="1252"/>
      <c r="AE69" s="1252"/>
      <c r="AF69" s="1252"/>
      <c r="AG69" s="1252"/>
      <c r="AH69" s="1252"/>
      <c r="AI69" s="1252"/>
      <c r="AJ69" s="1252"/>
      <c r="AK69" s="1252"/>
      <c r="AL69" s="1252"/>
      <c r="AM69" s="1252"/>
      <c r="AN69" s="1252"/>
      <c r="AO69" s="1252"/>
      <c r="AP69" s="1252"/>
      <c r="AQ69" s="1252"/>
      <c r="AR69" s="1252"/>
      <c r="AS69" s="1252"/>
      <c r="AT69" s="1252"/>
      <c r="AU69" s="1252"/>
      <c r="AV69" s="1252"/>
      <c r="AW69" s="1252"/>
      <c r="AX69" s="1252"/>
      <c r="AY69" s="1252"/>
      <c r="AZ69" s="1252"/>
      <c r="BA69" s="1252"/>
      <c r="BB69" s="1252"/>
      <c r="CF69" s="314"/>
    </row>
    <row r="70" ht="19.5" customHeight="1">
      <c r="B70" s="1594"/>
      <c r="C70" s="1625"/>
      <c r="D70" s="1596" t="str">
        <f>'League Stats'!#REF!</f>
        <v>#ERROR!</v>
      </c>
      <c r="E70" s="1597" t="str">
        <f>'League Stats'!#REF!</f>
        <v>#ERROR!</v>
      </c>
      <c r="F70" s="1598" t="str">
        <f>IF(OR(D70="-",D70=""),"",F67)</f>
        <v>#ERROR!</v>
      </c>
      <c r="G70" s="1599" t="str">
        <f>'League Stats'!#REF!</f>
        <v>#ERROR!</v>
      </c>
      <c r="H70" s="1600" t="str">
        <f>'League Stats'!#REF!</f>
        <v>#ERROR!</v>
      </c>
      <c r="I70" s="1598" t="str">
        <f>IF(OR(G70="-",G70=""),"",I67)</f>
        <v>#ERROR!</v>
      </c>
      <c r="J70" s="1601" t="str">
        <f>'League Stats'!#REF!</f>
        <v>#ERROR!</v>
      </c>
      <c r="K70" s="1602" t="str">
        <f>'League Stats'!#REF!</f>
        <v>#ERROR!</v>
      </c>
      <c r="L70" s="1603" t="str">
        <f>IF(OR(J70="-",J70=""),"",L67)</f>
        <v>#ERROR!</v>
      </c>
      <c r="M70" s="13" t="s">
        <v>1097</v>
      </c>
      <c r="N70" s="700">
        <f t="shared" ref="N70:U70" si="119">IFERROR(IF($M70="YES",IF($D68=N$4,$F68,0)+IF($G68=N$4,$I68,0)+IF($J68=N$4,$L68,0),0),0)</f>
        <v>0</v>
      </c>
      <c r="O70" s="700">
        <f t="shared" si="119"/>
        <v>0</v>
      </c>
      <c r="P70" s="700">
        <f t="shared" si="119"/>
        <v>0</v>
      </c>
      <c r="Q70" s="700">
        <f t="shared" si="119"/>
        <v>0</v>
      </c>
      <c r="R70" s="700">
        <f t="shared" si="119"/>
        <v>0</v>
      </c>
      <c r="S70" s="700">
        <f t="shared" si="119"/>
        <v>0</v>
      </c>
      <c r="T70" s="700">
        <f t="shared" si="119"/>
        <v>0</v>
      </c>
      <c r="U70" s="700">
        <f t="shared" si="119"/>
        <v>0</v>
      </c>
      <c r="X70" s="1252"/>
      <c r="Y70" s="1252"/>
      <c r="Z70" s="1252"/>
      <c r="AA70" s="1252"/>
      <c r="AB70" s="1252"/>
      <c r="AC70" s="1252"/>
      <c r="AD70" s="1252"/>
      <c r="AE70" s="1252"/>
      <c r="AF70" s="1252"/>
      <c r="AG70" s="1252"/>
      <c r="AH70" s="1252"/>
      <c r="AI70" s="1252"/>
      <c r="AJ70" s="1252"/>
      <c r="AK70" s="1252"/>
      <c r="AL70" s="1252"/>
      <c r="AM70" s="1252"/>
      <c r="AN70" s="1252"/>
      <c r="AO70" s="1252"/>
      <c r="AP70" s="1252"/>
      <c r="AQ70" s="1252"/>
      <c r="AR70" s="1252"/>
      <c r="AS70" s="1252"/>
      <c r="AT70" s="1252"/>
      <c r="AU70" s="1252"/>
      <c r="AV70" s="1252"/>
      <c r="AW70" s="1252"/>
      <c r="AX70" s="1252"/>
      <c r="AY70" s="1252"/>
      <c r="AZ70" s="1252"/>
      <c r="BA70" s="1252"/>
      <c r="BB70" s="1252"/>
      <c r="CF70" s="314"/>
    </row>
    <row r="71" ht="19.5" customHeight="1">
      <c r="B71" s="1594"/>
      <c r="C71" s="1625"/>
      <c r="D71" s="1596" t="str">
        <f>'League Stats'!#REF!</f>
        <v>#ERROR!</v>
      </c>
      <c r="E71" s="1597" t="str">
        <f>'League Stats'!#REF!</f>
        <v>#ERROR!</v>
      </c>
      <c r="F71" s="1598" t="str">
        <f>IF(OR(D71="-",D71=""),"",F67)</f>
        <v>#ERROR!</v>
      </c>
      <c r="G71" s="1599" t="str">
        <f>'League Stats'!#REF!</f>
        <v>#ERROR!</v>
      </c>
      <c r="H71" s="1600" t="str">
        <f>'League Stats'!#REF!</f>
        <v>#ERROR!</v>
      </c>
      <c r="I71" s="1598" t="str">
        <f>IF(OR(G71="-",G71=""),"",I67)</f>
        <v>#ERROR!</v>
      </c>
      <c r="J71" s="1601" t="str">
        <f>'League Stats'!#REF!</f>
        <v>#ERROR!</v>
      </c>
      <c r="K71" s="1602" t="str">
        <f>'League Stats'!#REF!</f>
        <v>#ERROR!</v>
      </c>
      <c r="L71" s="1603" t="str">
        <f>IF(OR(J71="-",J71=""),"",L67)</f>
        <v>#ERROR!</v>
      </c>
      <c r="M71" s="13" t="s">
        <v>1097</v>
      </c>
      <c r="N71" s="700">
        <f t="shared" ref="N71:U71" si="120">IFERROR(IF($M71="YES",IF($D69=N$4,$F69,0)+IF($G69=N$4,$I69,0)+IF($J69=N$4,$L69,0),0),0)</f>
        <v>0</v>
      </c>
      <c r="O71" s="700">
        <f t="shared" si="120"/>
        <v>0</v>
      </c>
      <c r="P71" s="700">
        <f t="shared" si="120"/>
        <v>0</v>
      </c>
      <c r="Q71" s="700">
        <f t="shared" si="120"/>
        <v>0</v>
      </c>
      <c r="R71" s="700">
        <f t="shared" si="120"/>
        <v>0</v>
      </c>
      <c r="S71" s="700">
        <f t="shared" si="120"/>
        <v>0</v>
      </c>
      <c r="T71" s="700">
        <f t="shared" si="120"/>
        <v>0</v>
      </c>
      <c r="U71" s="700">
        <f t="shared" si="120"/>
        <v>0</v>
      </c>
      <c r="X71" s="1252"/>
      <c r="Y71" s="1252"/>
      <c r="Z71" s="1252"/>
      <c r="AA71" s="1252"/>
      <c r="AB71" s="1252"/>
      <c r="AC71" s="1252"/>
      <c r="AD71" s="1252"/>
      <c r="AE71" s="1252"/>
      <c r="AF71" s="1252"/>
      <c r="AG71" s="1252"/>
      <c r="AH71" s="1252"/>
      <c r="AI71" s="1252"/>
      <c r="AJ71" s="1252"/>
      <c r="AK71" s="1252"/>
      <c r="AL71" s="1252"/>
      <c r="AM71" s="1252"/>
      <c r="AN71" s="1252"/>
      <c r="AO71" s="1252"/>
      <c r="AP71" s="1252"/>
      <c r="AQ71" s="1252"/>
      <c r="AR71" s="1252"/>
      <c r="AS71" s="1252"/>
      <c r="AT71" s="1252"/>
      <c r="AU71" s="1252"/>
      <c r="AV71" s="1252"/>
      <c r="AW71" s="1252"/>
      <c r="AX71" s="1252"/>
      <c r="AY71" s="1252"/>
      <c r="AZ71" s="1252"/>
      <c r="BA71" s="1252"/>
      <c r="BB71" s="1252"/>
      <c r="CF71" s="314"/>
    </row>
    <row r="72" ht="19.5" customHeight="1">
      <c r="B72" s="1594"/>
      <c r="C72" s="1625"/>
      <c r="D72" s="1596" t="str">
        <f>'League Stats'!#REF!</f>
        <v>#ERROR!</v>
      </c>
      <c r="E72" s="1597" t="str">
        <f>'League Stats'!#REF!</f>
        <v>#ERROR!</v>
      </c>
      <c r="F72" s="1598" t="str">
        <f>IF(OR(D72="-",D72=""),"",F67)</f>
        <v>#ERROR!</v>
      </c>
      <c r="G72" s="1599" t="str">
        <f>'League Stats'!#REF!</f>
        <v>#ERROR!</v>
      </c>
      <c r="H72" s="1600" t="str">
        <f>'League Stats'!#REF!</f>
        <v>#ERROR!</v>
      </c>
      <c r="I72" s="1598" t="str">
        <f>IF(OR(G72="-",G72=""),"",I67)</f>
        <v>#ERROR!</v>
      </c>
      <c r="J72" s="1601" t="str">
        <f>'League Stats'!#REF!</f>
        <v>#ERROR!</v>
      </c>
      <c r="K72" s="1602" t="str">
        <f>'League Stats'!#REF!</f>
        <v>#ERROR!</v>
      </c>
      <c r="L72" s="1603" t="str">
        <f>IF(OR(J72="-",J72=""),"",L67)</f>
        <v>#ERROR!</v>
      </c>
      <c r="M72" s="13" t="s">
        <v>1097</v>
      </c>
      <c r="N72" s="700">
        <f t="shared" ref="N72:U72" si="121">IFERROR(IF($M72="YES",IF($D70=N$4,$F70,0)+IF($G70=N$4,$I70,0)+IF($J70=N$4,$L70,0),0),0)</f>
        <v>0</v>
      </c>
      <c r="O72" s="700">
        <f t="shared" si="121"/>
        <v>0</v>
      </c>
      <c r="P72" s="700">
        <f t="shared" si="121"/>
        <v>0</v>
      </c>
      <c r="Q72" s="700">
        <f t="shared" si="121"/>
        <v>0</v>
      </c>
      <c r="R72" s="700">
        <f t="shared" si="121"/>
        <v>0</v>
      </c>
      <c r="S72" s="700">
        <f t="shared" si="121"/>
        <v>0</v>
      </c>
      <c r="T72" s="700">
        <f t="shared" si="121"/>
        <v>0</v>
      </c>
      <c r="U72" s="700">
        <f t="shared" si="121"/>
        <v>0</v>
      </c>
      <c r="X72" s="1252"/>
      <c r="Y72" s="1252"/>
      <c r="Z72" s="1252"/>
      <c r="AA72" s="1252"/>
      <c r="AB72" s="1252"/>
      <c r="AC72" s="1252"/>
      <c r="AD72" s="1252"/>
      <c r="AE72" s="1252"/>
      <c r="AF72" s="1252"/>
      <c r="AG72" s="1252"/>
      <c r="AH72" s="1252"/>
      <c r="AI72" s="1252"/>
      <c r="AJ72" s="1252"/>
      <c r="AK72" s="1252"/>
      <c r="AL72" s="1252"/>
      <c r="AM72" s="1252"/>
      <c r="AN72" s="1252"/>
      <c r="AO72" s="1252"/>
      <c r="AP72" s="1252"/>
      <c r="AQ72" s="1252"/>
      <c r="AR72" s="1252"/>
      <c r="AS72" s="1252"/>
      <c r="AT72" s="1252"/>
      <c r="AU72" s="1252"/>
      <c r="AV72" s="1252"/>
      <c r="AW72" s="1252"/>
      <c r="AX72" s="1252"/>
      <c r="AY72" s="1252"/>
      <c r="AZ72" s="1252"/>
      <c r="BA72" s="1252"/>
      <c r="BB72" s="1252"/>
      <c r="CF72" s="314"/>
    </row>
    <row r="73" ht="19.5" customHeight="1">
      <c r="B73" s="1594"/>
      <c r="C73" s="1625"/>
      <c r="D73" s="1596" t="str">
        <f>'League Stats'!#REF!</f>
        <v>#ERROR!</v>
      </c>
      <c r="E73" s="1597" t="str">
        <f>'League Stats'!#REF!</f>
        <v>#ERROR!</v>
      </c>
      <c r="F73" s="1598" t="str">
        <f>IF(OR(D73="-",D73=""),"",F67)</f>
        <v>#ERROR!</v>
      </c>
      <c r="G73" s="1599" t="str">
        <f>'League Stats'!#REF!</f>
        <v>#ERROR!</v>
      </c>
      <c r="H73" s="1600" t="str">
        <f>'League Stats'!#REF!</f>
        <v>#ERROR!</v>
      </c>
      <c r="I73" s="1598" t="str">
        <f>IF(OR(G73="-",G73=""),"",I67)</f>
        <v>#ERROR!</v>
      </c>
      <c r="J73" s="1601" t="str">
        <f>'League Stats'!#REF!</f>
        <v>#ERROR!</v>
      </c>
      <c r="K73" s="1602" t="str">
        <f>'League Stats'!#REF!</f>
        <v>#ERROR!</v>
      </c>
      <c r="L73" s="1603" t="str">
        <f>IF(OR(J73="-",J73=""),"",L67)</f>
        <v>#ERROR!</v>
      </c>
      <c r="M73" s="13" t="s">
        <v>1097</v>
      </c>
      <c r="N73" s="700">
        <f t="shared" ref="N73:U73" si="122">IFERROR(IF($M73="YES",IF($D71=N$4,$F71,0)+IF($G71=N$4,$I71,0)+IF($J71=N$4,$L71,0),0),0)</f>
        <v>0</v>
      </c>
      <c r="O73" s="700">
        <f t="shared" si="122"/>
        <v>0</v>
      </c>
      <c r="P73" s="700">
        <f t="shared" si="122"/>
        <v>0</v>
      </c>
      <c r="Q73" s="700">
        <f t="shared" si="122"/>
        <v>0</v>
      </c>
      <c r="R73" s="700">
        <f t="shared" si="122"/>
        <v>0</v>
      </c>
      <c r="S73" s="700">
        <f t="shared" si="122"/>
        <v>0</v>
      </c>
      <c r="T73" s="700">
        <f t="shared" si="122"/>
        <v>0</v>
      </c>
      <c r="U73" s="700">
        <f t="shared" si="122"/>
        <v>0</v>
      </c>
      <c r="X73" s="1252"/>
      <c r="Y73" s="1252"/>
      <c r="Z73" s="1252"/>
      <c r="AA73" s="1252"/>
      <c r="AB73" s="1252"/>
      <c r="AC73" s="1252"/>
      <c r="AD73" s="1252"/>
      <c r="AE73" s="1252"/>
      <c r="AF73" s="1252"/>
      <c r="AG73" s="1252"/>
      <c r="AH73" s="1252"/>
      <c r="AI73" s="1252"/>
      <c r="AJ73" s="1252"/>
      <c r="AK73" s="1252"/>
      <c r="AL73" s="1252"/>
      <c r="AM73" s="1252"/>
      <c r="AN73" s="1252"/>
      <c r="AO73" s="1252"/>
      <c r="AP73" s="1252"/>
      <c r="AQ73" s="1252"/>
      <c r="AR73" s="1252"/>
      <c r="AS73" s="1252"/>
      <c r="AT73" s="1252"/>
      <c r="AU73" s="1252"/>
      <c r="AV73" s="1252"/>
      <c r="AW73" s="1252"/>
      <c r="AX73" s="1252"/>
      <c r="AY73" s="1252"/>
      <c r="AZ73" s="1252"/>
      <c r="BA73" s="1252"/>
      <c r="BB73" s="1252"/>
      <c r="CF73" s="314"/>
    </row>
    <row r="74" ht="19.5" customHeight="1">
      <c r="B74" s="1594"/>
      <c r="C74" s="1625"/>
      <c r="D74" s="1596" t="str">
        <f>'League Stats'!#REF!</f>
        <v>#ERROR!</v>
      </c>
      <c r="E74" s="1597" t="str">
        <f>'League Stats'!#REF!</f>
        <v>#ERROR!</v>
      </c>
      <c r="F74" s="1598" t="str">
        <f>IF(OR(D74="-",D74=""),"",F67)</f>
        <v>#ERROR!</v>
      </c>
      <c r="G74" s="1599" t="str">
        <f>'League Stats'!#REF!</f>
        <v>#ERROR!</v>
      </c>
      <c r="H74" s="1600" t="str">
        <f>'League Stats'!#REF!</f>
        <v>#ERROR!</v>
      </c>
      <c r="I74" s="1598" t="str">
        <f>IF(OR(G74="-",G74=""),"",I67)</f>
        <v>#ERROR!</v>
      </c>
      <c r="J74" s="1601" t="str">
        <f>'League Stats'!#REF!</f>
        <v>#ERROR!</v>
      </c>
      <c r="K74" s="1602" t="str">
        <f>'League Stats'!#REF!</f>
        <v>#ERROR!</v>
      </c>
      <c r="L74" s="1603" t="str">
        <f>IF(OR(J74="-",J74=""),"",L67)</f>
        <v>#ERROR!</v>
      </c>
      <c r="M74" s="13" t="s">
        <v>1097</v>
      </c>
      <c r="N74" s="700">
        <f t="shared" ref="N74:U74" si="123">IFERROR(IF($M74="YES",IF($D72=N$4,$F72,0)+IF($G72=N$4,$I72,0)+IF($J72=N$4,$L72,0),0),0)</f>
        <v>0</v>
      </c>
      <c r="O74" s="700">
        <f t="shared" si="123"/>
        <v>0</v>
      </c>
      <c r="P74" s="700">
        <f t="shared" si="123"/>
        <v>0</v>
      </c>
      <c r="Q74" s="700">
        <f t="shared" si="123"/>
        <v>0</v>
      </c>
      <c r="R74" s="700">
        <f t="shared" si="123"/>
        <v>0</v>
      </c>
      <c r="S74" s="700">
        <f t="shared" si="123"/>
        <v>0</v>
      </c>
      <c r="T74" s="700">
        <f t="shared" si="123"/>
        <v>0</v>
      </c>
      <c r="U74" s="700">
        <f t="shared" si="123"/>
        <v>0</v>
      </c>
      <c r="X74" s="1252"/>
      <c r="Y74" s="1252"/>
      <c r="Z74" s="1252"/>
      <c r="AA74" s="1252"/>
      <c r="AB74" s="1252"/>
      <c r="AC74" s="1252"/>
      <c r="AD74" s="1252"/>
      <c r="AE74" s="1252"/>
      <c r="AF74" s="1252"/>
      <c r="AG74" s="1252"/>
      <c r="AH74" s="1252"/>
      <c r="AI74" s="1252"/>
      <c r="AJ74" s="1252"/>
      <c r="AK74" s="1252"/>
      <c r="AL74" s="1252"/>
      <c r="AM74" s="1252"/>
      <c r="AN74" s="1252"/>
      <c r="AO74" s="1252"/>
      <c r="AP74" s="1252"/>
      <c r="AQ74" s="1252"/>
      <c r="AR74" s="1252"/>
      <c r="AS74" s="1252"/>
      <c r="AT74" s="1252"/>
      <c r="AU74" s="1252"/>
      <c r="AV74" s="1252"/>
      <c r="AW74" s="1252"/>
      <c r="AX74" s="1252"/>
      <c r="AY74" s="1252"/>
      <c r="AZ74" s="1252"/>
      <c r="BA74" s="1252"/>
      <c r="BB74" s="1252"/>
      <c r="CF74" s="314"/>
    </row>
    <row r="75" ht="19.5" customHeight="1">
      <c r="B75" s="1594"/>
      <c r="C75" s="1626" t="s">
        <v>1782</v>
      </c>
      <c r="D75" s="1605" t="str">
        <f>'League Stats'!#REF!</f>
        <v>#ERROR!</v>
      </c>
      <c r="E75" s="1606" t="str">
        <f>'League Stats'!#REF!</f>
        <v>#ERROR!</v>
      </c>
      <c r="F75" s="1607">
        <v>2.0</v>
      </c>
      <c r="G75" s="1608" t="str">
        <f>'League Stats'!#REF!</f>
        <v>#ERROR!</v>
      </c>
      <c r="H75" s="1609" t="str">
        <f>'League Stats'!#REF!</f>
        <v>#ERROR!</v>
      </c>
      <c r="I75" s="1607">
        <v>1.0</v>
      </c>
      <c r="J75" s="1610" t="str">
        <f>'League Stats'!#REF!</f>
        <v>#ERROR!</v>
      </c>
      <c r="K75" s="1611" t="str">
        <f>'League Stats'!#REF!</f>
        <v>#ERROR!</v>
      </c>
      <c r="L75" s="1612">
        <v>0.5</v>
      </c>
      <c r="M75" s="13" t="s">
        <v>1097</v>
      </c>
      <c r="N75" s="700">
        <f t="shared" ref="N75:U75" si="124">IFERROR(IF($M75="YES",IF($D73=N$4,$F73,0)+IF($G73=N$4,$I73,0)+IF($J73=N$4,$L73,0),0),0)</f>
        <v>0</v>
      </c>
      <c r="O75" s="700">
        <f t="shared" si="124"/>
        <v>0</v>
      </c>
      <c r="P75" s="700">
        <f t="shared" si="124"/>
        <v>0</v>
      </c>
      <c r="Q75" s="700">
        <f t="shared" si="124"/>
        <v>0</v>
      </c>
      <c r="R75" s="700">
        <f t="shared" si="124"/>
        <v>0</v>
      </c>
      <c r="S75" s="700">
        <f t="shared" si="124"/>
        <v>0</v>
      </c>
      <c r="T75" s="700">
        <f t="shared" si="124"/>
        <v>0</v>
      </c>
      <c r="U75" s="700">
        <f t="shared" si="124"/>
        <v>0</v>
      </c>
      <c r="X75" s="1252"/>
      <c r="Y75" s="1252"/>
      <c r="Z75" s="1252"/>
      <c r="AA75" s="1252"/>
      <c r="AB75" s="1252"/>
      <c r="AC75" s="1252"/>
      <c r="AD75" s="1252"/>
      <c r="AE75" s="1252"/>
      <c r="AF75" s="1252"/>
      <c r="AG75" s="1252"/>
      <c r="AH75" s="1252"/>
      <c r="AI75" s="1252"/>
      <c r="AJ75" s="1252"/>
      <c r="AK75" s="1252"/>
      <c r="AL75" s="1252"/>
      <c r="AM75" s="1252"/>
      <c r="AN75" s="1252"/>
      <c r="AO75" s="1252"/>
      <c r="AP75" s="1252"/>
      <c r="AQ75" s="1252"/>
      <c r="AR75" s="1252"/>
      <c r="AS75" s="1252"/>
      <c r="AT75" s="1252"/>
      <c r="AU75" s="1252"/>
      <c r="AV75" s="1252"/>
      <c r="AW75" s="1252"/>
      <c r="AX75" s="1252"/>
      <c r="AY75" s="1252"/>
      <c r="AZ75" s="1252"/>
      <c r="BA75" s="1252"/>
      <c r="BB75" s="1252"/>
      <c r="CF75" s="314"/>
    </row>
    <row r="76" ht="19.5" customHeight="1">
      <c r="B76" s="1594"/>
      <c r="C76" s="1626"/>
      <c r="D76" s="1605" t="str">
        <f>'League Stats'!#REF!</f>
        <v>#ERROR!</v>
      </c>
      <c r="E76" s="1606" t="str">
        <f>'League Stats'!#REF!</f>
        <v>#ERROR!</v>
      </c>
      <c r="F76" s="1598" t="str">
        <f>IF(OR(D76="-",D76=""),"",F75)</f>
        <v>#ERROR!</v>
      </c>
      <c r="G76" s="1608" t="str">
        <f>'League Stats'!#REF!</f>
        <v>#ERROR!</v>
      </c>
      <c r="H76" s="1609" t="str">
        <f>'League Stats'!#REF!</f>
        <v>#ERROR!</v>
      </c>
      <c r="I76" s="1598" t="str">
        <f>IF(OR(G76="-",G76=""),"",I75)</f>
        <v>#ERROR!</v>
      </c>
      <c r="J76" s="1610" t="str">
        <f>'League Stats'!#REF!</f>
        <v>#ERROR!</v>
      </c>
      <c r="K76" s="1611" t="str">
        <f>'League Stats'!#REF!</f>
        <v>#ERROR!</v>
      </c>
      <c r="L76" s="1603" t="str">
        <f>IF(OR(J76="-",J76=""),"",L75)</f>
        <v>#ERROR!</v>
      </c>
      <c r="M76" s="13" t="s">
        <v>1097</v>
      </c>
      <c r="N76" s="700">
        <f t="shared" ref="N76:U76" si="125">IFERROR(IF($M76="YES",IF($D74=N$4,$F74,0)+IF($G74=N$4,$I74,0)+IF($J74=N$4,$L74,0),0),0)</f>
        <v>0</v>
      </c>
      <c r="O76" s="700">
        <f t="shared" si="125"/>
        <v>0</v>
      </c>
      <c r="P76" s="700">
        <f t="shared" si="125"/>
        <v>0</v>
      </c>
      <c r="Q76" s="700">
        <f t="shared" si="125"/>
        <v>0</v>
      </c>
      <c r="R76" s="700">
        <f t="shared" si="125"/>
        <v>0</v>
      </c>
      <c r="S76" s="700">
        <f t="shared" si="125"/>
        <v>0</v>
      </c>
      <c r="T76" s="700">
        <f t="shared" si="125"/>
        <v>0</v>
      </c>
      <c r="U76" s="700">
        <f t="shared" si="125"/>
        <v>0</v>
      </c>
      <c r="X76" s="1252"/>
      <c r="Y76" s="1252"/>
      <c r="Z76" s="1252"/>
      <c r="AA76" s="1252"/>
      <c r="AB76" s="1252"/>
      <c r="AC76" s="1252"/>
      <c r="AD76" s="1252"/>
      <c r="AE76" s="1252"/>
      <c r="AF76" s="1252"/>
      <c r="AG76" s="1252"/>
      <c r="AH76" s="1252"/>
      <c r="AI76" s="1252"/>
      <c r="AJ76" s="1252"/>
      <c r="AK76" s="1252"/>
      <c r="AL76" s="1252"/>
      <c r="AM76" s="1252"/>
      <c r="AN76" s="1252"/>
      <c r="AO76" s="1252"/>
      <c r="AP76" s="1252"/>
      <c r="AQ76" s="1252"/>
      <c r="AR76" s="1252"/>
      <c r="AS76" s="1252"/>
      <c r="AT76" s="1252"/>
      <c r="AU76" s="1252"/>
      <c r="AV76" s="1252"/>
      <c r="AW76" s="1252"/>
      <c r="AX76" s="1252"/>
      <c r="AY76" s="1252"/>
      <c r="AZ76" s="1252"/>
      <c r="BA76" s="1252"/>
      <c r="BB76" s="1252"/>
      <c r="CF76" s="314"/>
    </row>
    <row r="77" ht="19.5" customHeight="1">
      <c r="B77" s="1594"/>
      <c r="C77" s="1626"/>
      <c r="D77" s="1605" t="str">
        <f>'League Stats'!#REF!</f>
        <v>#ERROR!</v>
      </c>
      <c r="E77" s="1606" t="str">
        <f>'League Stats'!#REF!</f>
        <v>#ERROR!</v>
      </c>
      <c r="F77" s="1598" t="str">
        <f>IF(OR(D77="-",D77=""),"",F75)</f>
        <v>#ERROR!</v>
      </c>
      <c r="G77" s="1608" t="str">
        <f>'League Stats'!#REF!</f>
        <v>#ERROR!</v>
      </c>
      <c r="H77" s="1609" t="str">
        <f>'League Stats'!#REF!</f>
        <v>#ERROR!</v>
      </c>
      <c r="I77" s="1598" t="str">
        <f>IF(OR(G77="-",G77=""),"",I75)</f>
        <v>#ERROR!</v>
      </c>
      <c r="J77" s="1610" t="str">
        <f>'League Stats'!#REF!</f>
        <v>#ERROR!</v>
      </c>
      <c r="K77" s="1611" t="str">
        <f>'League Stats'!#REF!</f>
        <v>#ERROR!</v>
      </c>
      <c r="L77" s="1603" t="str">
        <f>IF(OR(J77="-",J77=""),"",L75)</f>
        <v>#ERROR!</v>
      </c>
      <c r="M77" s="13" t="s">
        <v>1097</v>
      </c>
      <c r="N77" s="700">
        <f t="shared" ref="N77:U77" si="126">IFERROR(IF($M77="YES",IF($D75=N$4,$F75,0)+IF($G75=N$4,$I75,0)+IF($J75=N$4,$L75,0),0),0)</f>
        <v>0</v>
      </c>
      <c r="O77" s="700">
        <f t="shared" si="126"/>
        <v>0</v>
      </c>
      <c r="P77" s="700">
        <f t="shared" si="126"/>
        <v>0</v>
      </c>
      <c r="Q77" s="700">
        <f t="shared" si="126"/>
        <v>0</v>
      </c>
      <c r="R77" s="700">
        <f t="shared" si="126"/>
        <v>0</v>
      </c>
      <c r="S77" s="700">
        <f t="shared" si="126"/>
        <v>0</v>
      </c>
      <c r="T77" s="700">
        <f t="shared" si="126"/>
        <v>0</v>
      </c>
      <c r="U77" s="700">
        <f t="shared" si="126"/>
        <v>0</v>
      </c>
      <c r="X77" s="1252"/>
      <c r="Y77" s="1252"/>
      <c r="Z77" s="1252"/>
      <c r="AA77" s="1252"/>
      <c r="AB77" s="1252"/>
      <c r="AC77" s="1252"/>
      <c r="AD77" s="1252"/>
      <c r="AE77" s="1252"/>
      <c r="AF77" s="1252"/>
      <c r="AG77" s="1252"/>
      <c r="AH77" s="1252"/>
      <c r="AI77" s="1252"/>
      <c r="AJ77" s="1252"/>
      <c r="AK77" s="1252"/>
      <c r="AL77" s="1252"/>
      <c r="AM77" s="1252"/>
      <c r="AN77" s="1252"/>
      <c r="AO77" s="1252"/>
      <c r="AP77" s="1252"/>
      <c r="AQ77" s="1252"/>
      <c r="AR77" s="1252"/>
      <c r="AS77" s="1252"/>
      <c r="AT77" s="1252"/>
      <c r="AU77" s="1252"/>
      <c r="AV77" s="1252"/>
      <c r="AW77" s="1252"/>
      <c r="AX77" s="1252"/>
      <c r="AY77" s="1252"/>
      <c r="AZ77" s="1252"/>
      <c r="BA77" s="1252"/>
      <c r="BB77" s="1252"/>
      <c r="CF77" s="314"/>
    </row>
    <row r="78" ht="19.5" customHeight="1">
      <c r="B78" s="1594"/>
      <c r="C78" s="1626"/>
      <c r="D78" s="1605" t="str">
        <f>'League Stats'!#REF!</f>
        <v>#ERROR!</v>
      </c>
      <c r="E78" s="1606" t="str">
        <f>'League Stats'!#REF!</f>
        <v>#ERROR!</v>
      </c>
      <c r="F78" s="1598" t="str">
        <f>IF(OR(D78="-",D78=""),"",F75)</f>
        <v>#ERROR!</v>
      </c>
      <c r="G78" s="1608" t="str">
        <f>'League Stats'!#REF!</f>
        <v>#ERROR!</v>
      </c>
      <c r="H78" s="1609" t="str">
        <f>'League Stats'!#REF!</f>
        <v>#ERROR!</v>
      </c>
      <c r="I78" s="1598" t="str">
        <f>IF(OR(G78="-",G78=""),"",I75)</f>
        <v>#ERROR!</v>
      </c>
      <c r="J78" s="1610" t="str">
        <f>'League Stats'!#REF!</f>
        <v>#ERROR!</v>
      </c>
      <c r="K78" s="1611" t="str">
        <f>'League Stats'!#REF!</f>
        <v>#ERROR!</v>
      </c>
      <c r="L78" s="1603" t="str">
        <f>IF(OR(J78="-",J78=""),"",L75)</f>
        <v>#ERROR!</v>
      </c>
      <c r="M78" s="13" t="s">
        <v>1097</v>
      </c>
      <c r="N78" s="700">
        <f t="shared" ref="N78:U78" si="127">IFERROR(IF($M78="YES",IF($D76=N$4,$F76,0)+IF($G76=N$4,$I76,0)+IF($J76=N$4,$L76,0),0),0)</f>
        <v>0</v>
      </c>
      <c r="O78" s="700">
        <f t="shared" si="127"/>
        <v>0</v>
      </c>
      <c r="P78" s="700">
        <f t="shared" si="127"/>
        <v>0</v>
      </c>
      <c r="Q78" s="700">
        <f t="shared" si="127"/>
        <v>0</v>
      </c>
      <c r="R78" s="700">
        <f t="shared" si="127"/>
        <v>0</v>
      </c>
      <c r="S78" s="700">
        <f t="shared" si="127"/>
        <v>0</v>
      </c>
      <c r="T78" s="700">
        <f t="shared" si="127"/>
        <v>0</v>
      </c>
      <c r="U78" s="700">
        <f t="shared" si="127"/>
        <v>0</v>
      </c>
      <c r="X78" s="1252"/>
      <c r="Y78" s="1252"/>
      <c r="Z78" s="1252"/>
      <c r="AA78" s="1252"/>
      <c r="AB78" s="1252"/>
      <c r="AC78" s="1252"/>
      <c r="AD78" s="1252"/>
      <c r="AE78" s="1252"/>
      <c r="AF78" s="1252"/>
      <c r="AG78" s="1252"/>
      <c r="AH78" s="1252"/>
      <c r="AI78" s="1252"/>
      <c r="AJ78" s="1252"/>
      <c r="AK78" s="1252"/>
      <c r="AL78" s="1252"/>
      <c r="AM78" s="1252"/>
      <c r="AN78" s="1252"/>
      <c r="AO78" s="1252"/>
      <c r="AP78" s="1252"/>
      <c r="AQ78" s="1252"/>
      <c r="AR78" s="1252"/>
      <c r="AS78" s="1252"/>
      <c r="AT78" s="1252"/>
      <c r="AU78" s="1252"/>
      <c r="AV78" s="1252"/>
      <c r="AW78" s="1252"/>
      <c r="AX78" s="1252"/>
      <c r="AY78" s="1252"/>
      <c r="AZ78" s="1252"/>
      <c r="BA78" s="1252"/>
      <c r="BB78" s="1252"/>
      <c r="CF78" s="314"/>
    </row>
    <row r="79" ht="19.5" customHeight="1">
      <c r="B79" s="1594"/>
      <c r="C79" s="1626"/>
      <c r="D79" s="1605" t="str">
        <f>'League Stats'!#REF!</f>
        <v>#ERROR!</v>
      </c>
      <c r="E79" s="1606" t="str">
        <f>'League Stats'!#REF!</f>
        <v>#ERROR!</v>
      </c>
      <c r="F79" s="1598" t="str">
        <f>IF(OR(D79="-",D79=""),"",F75)</f>
        <v>#ERROR!</v>
      </c>
      <c r="G79" s="1608" t="str">
        <f>'League Stats'!#REF!</f>
        <v>#ERROR!</v>
      </c>
      <c r="H79" s="1609" t="str">
        <f>'League Stats'!#REF!</f>
        <v>#ERROR!</v>
      </c>
      <c r="I79" s="1598" t="str">
        <f>IF(OR(G79="-",G79=""),"",I75)</f>
        <v>#ERROR!</v>
      </c>
      <c r="J79" s="1610" t="str">
        <f>'League Stats'!#REF!</f>
        <v>#ERROR!</v>
      </c>
      <c r="K79" s="1611" t="str">
        <f>'League Stats'!#REF!</f>
        <v>#ERROR!</v>
      </c>
      <c r="L79" s="1603" t="str">
        <f>IF(OR(J79="-",J79=""),"",L75)</f>
        <v>#ERROR!</v>
      </c>
      <c r="M79" s="13" t="s">
        <v>1097</v>
      </c>
      <c r="N79" s="700">
        <f t="shared" ref="N79:U79" si="128">IFERROR(IF($M79="YES",IF($D77=N$4,$F77,0)+IF($G77=N$4,$I77,0)+IF($J77=N$4,$L77,0),0),0)</f>
        <v>0</v>
      </c>
      <c r="O79" s="700">
        <f t="shared" si="128"/>
        <v>0</v>
      </c>
      <c r="P79" s="700">
        <f t="shared" si="128"/>
        <v>0</v>
      </c>
      <c r="Q79" s="700">
        <f t="shared" si="128"/>
        <v>0</v>
      </c>
      <c r="R79" s="700">
        <f t="shared" si="128"/>
        <v>0</v>
      </c>
      <c r="S79" s="700">
        <f t="shared" si="128"/>
        <v>0</v>
      </c>
      <c r="T79" s="700">
        <f t="shared" si="128"/>
        <v>0</v>
      </c>
      <c r="U79" s="700">
        <f t="shared" si="128"/>
        <v>0</v>
      </c>
      <c r="X79" s="1252"/>
      <c r="Y79" s="1252"/>
      <c r="Z79" s="1252"/>
      <c r="AA79" s="1252"/>
      <c r="AB79" s="1252"/>
      <c r="AC79" s="1252"/>
      <c r="AD79" s="1252"/>
      <c r="AE79" s="1252"/>
      <c r="AF79" s="1252"/>
      <c r="AG79" s="1252"/>
      <c r="AH79" s="1252"/>
      <c r="AI79" s="1252"/>
      <c r="AJ79" s="1252"/>
      <c r="AK79" s="1252"/>
      <c r="AL79" s="1252"/>
      <c r="AM79" s="1252"/>
      <c r="AN79" s="1252"/>
      <c r="AO79" s="1252"/>
      <c r="AP79" s="1252"/>
      <c r="AQ79" s="1252"/>
      <c r="AR79" s="1252"/>
      <c r="AS79" s="1252"/>
      <c r="AT79" s="1252"/>
      <c r="AU79" s="1252"/>
      <c r="AV79" s="1252"/>
      <c r="AW79" s="1252"/>
      <c r="AX79" s="1252"/>
      <c r="AY79" s="1252"/>
      <c r="AZ79" s="1252"/>
      <c r="BA79" s="1252"/>
      <c r="BB79" s="1252"/>
      <c r="CF79" s="314"/>
    </row>
    <row r="80" ht="19.5" customHeight="1">
      <c r="B80" s="1594"/>
      <c r="C80" s="1626"/>
      <c r="D80" s="1605" t="str">
        <f>'League Stats'!#REF!</f>
        <v>#ERROR!</v>
      </c>
      <c r="E80" s="1606" t="str">
        <f>'League Stats'!#REF!</f>
        <v>#ERROR!</v>
      </c>
      <c r="F80" s="1598" t="str">
        <f>IF(OR(D80="-",D80=""),"",F75)</f>
        <v>#ERROR!</v>
      </c>
      <c r="G80" s="1608" t="str">
        <f>'League Stats'!#REF!</f>
        <v>#ERROR!</v>
      </c>
      <c r="H80" s="1609" t="str">
        <f>'League Stats'!#REF!</f>
        <v>#ERROR!</v>
      </c>
      <c r="I80" s="1598" t="str">
        <f>IF(OR(G80="-",G80=""),"",I75)</f>
        <v>#ERROR!</v>
      </c>
      <c r="J80" s="1610" t="str">
        <f>'League Stats'!#REF!</f>
        <v>#ERROR!</v>
      </c>
      <c r="K80" s="1611" t="str">
        <f>'League Stats'!#REF!</f>
        <v>#ERROR!</v>
      </c>
      <c r="L80" s="1603" t="str">
        <f>IF(OR(J80="-",J80=""),"",L75)</f>
        <v>#ERROR!</v>
      </c>
      <c r="M80" s="13" t="s">
        <v>1097</v>
      </c>
      <c r="N80" s="700">
        <f t="shared" ref="N80:U80" si="129">IFERROR(IF($M80="YES",IF($D78=N$4,$F78,0)+IF($G78=N$4,$I78,0)+IF($J78=N$4,$L78,0),0),0)</f>
        <v>0</v>
      </c>
      <c r="O80" s="700">
        <f t="shared" si="129"/>
        <v>0</v>
      </c>
      <c r="P80" s="700">
        <f t="shared" si="129"/>
        <v>0</v>
      </c>
      <c r="Q80" s="700">
        <f t="shared" si="129"/>
        <v>0</v>
      </c>
      <c r="R80" s="700">
        <f t="shared" si="129"/>
        <v>0</v>
      </c>
      <c r="S80" s="700">
        <f t="shared" si="129"/>
        <v>0</v>
      </c>
      <c r="T80" s="700">
        <f t="shared" si="129"/>
        <v>0</v>
      </c>
      <c r="U80" s="700">
        <f t="shared" si="129"/>
        <v>0</v>
      </c>
      <c r="X80" s="1252"/>
      <c r="Y80" s="1252"/>
      <c r="Z80" s="1252"/>
      <c r="AA80" s="1252"/>
      <c r="AB80" s="1252"/>
      <c r="AC80" s="1252"/>
      <c r="AD80" s="1252"/>
      <c r="AE80" s="1252"/>
      <c r="AF80" s="1252"/>
      <c r="AG80" s="1252"/>
      <c r="AH80" s="1252"/>
      <c r="AI80" s="1252"/>
      <c r="AJ80" s="1252"/>
      <c r="AK80" s="1252"/>
      <c r="AL80" s="1252"/>
      <c r="AM80" s="1252"/>
      <c r="AN80" s="1252"/>
      <c r="AO80" s="1252"/>
      <c r="AP80" s="1252"/>
      <c r="AQ80" s="1252"/>
      <c r="AR80" s="1252"/>
      <c r="AS80" s="1252"/>
      <c r="AT80" s="1252"/>
      <c r="AU80" s="1252"/>
      <c r="AV80" s="1252"/>
      <c r="AW80" s="1252"/>
      <c r="AX80" s="1252"/>
      <c r="AY80" s="1252"/>
      <c r="AZ80" s="1252"/>
      <c r="BA80" s="1252"/>
      <c r="BB80" s="1252"/>
      <c r="CF80" s="314"/>
    </row>
    <row r="81" ht="19.5" customHeight="1">
      <c r="B81" s="1594"/>
      <c r="C81" s="1626"/>
      <c r="D81" s="1605" t="str">
        <f>'League Stats'!#REF!</f>
        <v>#ERROR!</v>
      </c>
      <c r="E81" s="1606" t="str">
        <f>'League Stats'!#REF!</f>
        <v>#ERROR!</v>
      </c>
      <c r="F81" s="1598" t="str">
        <f>IF(OR(D81="-",D81=""),"",F75)</f>
        <v>#ERROR!</v>
      </c>
      <c r="G81" s="1608" t="str">
        <f>'League Stats'!#REF!</f>
        <v>#ERROR!</v>
      </c>
      <c r="H81" s="1609" t="str">
        <f>'League Stats'!#REF!</f>
        <v>#ERROR!</v>
      </c>
      <c r="I81" s="1598" t="str">
        <f>IF(OR(G81="-",G81=""),"",I75)</f>
        <v>#ERROR!</v>
      </c>
      <c r="J81" s="1610" t="str">
        <f>'League Stats'!#REF!</f>
        <v>#ERROR!</v>
      </c>
      <c r="K81" s="1611" t="str">
        <f>'League Stats'!#REF!</f>
        <v>#ERROR!</v>
      </c>
      <c r="L81" s="1603" t="str">
        <f>IF(OR(J81="-",J81=""),"",L75)</f>
        <v>#ERROR!</v>
      </c>
      <c r="M81" s="13" t="s">
        <v>1097</v>
      </c>
      <c r="N81" s="700">
        <f t="shared" ref="N81:U81" si="130">IFERROR(IF($M81="YES",IF($D79=N$4,$F79,0)+IF($G79=N$4,$I79,0)+IF($J79=N$4,$L79,0),0),0)</f>
        <v>0</v>
      </c>
      <c r="O81" s="700">
        <f t="shared" si="130"/>
        <v>0</v>
      </c>
      <c r="P81" s="700">
        <f t="shared" si="130"/>
        <v>0</v>
      </c>
      <c r="Q81" s="700">
        <f t="shared" si="130"/>
        <v>0</v>
      </c>
      <c r="R81" s="700">
        <f t="shared" si="130"/>
        <v>0</v>
      </c>
      <c r="S81" s="700">
        <f t="shared" si="130"/>
        <v>0</v>
      </c>
      <c r="T81" s="700">
        <f t="shared" si="130"/>
        <v>0</v>
      </c>
      <c r="U81" s="700">
        <f t="shared" si="130"/>
        <v>0</v>
      </c>
      <c r="V81" s="336"/>
      <c r="W81" s="336"/>
      <c r="X81" s="1252"/>
      <c r="Y81" s="1252"/>
      <c r="Z81" s="1252"/>
      <c r="AA81" s="1252"/>
      <c r="AB81" s="1252"/>
      <c r="AC81" s="1252"/>
      <c r="AD81" s="1252"/>
      <c r="AE81" s="1252"/>
      <c r="AF81" s="1252"/>
      <c r="AG81" s="1252"/>
      <c r="AH81" s="1252"/>
      <c r="AI81" s="1252"/>
      <c r="AJ81" s="1252"/>
      <c r="AK81" s="1252"/>
      <c r="AL81" s="1252"/>
      <c r="AM81" s="1252"/>
      <c r="AN81" s="1252"/>
      <c r="AO81" s="1252"/>
      <c r="AP81" s="1252"/>
      <c r="AQ81" s="1252"/>
      <c r="AR81" s="1252"/>
      <c r="AS81" s="1252"/>
      <c r="AT81" s="1252"/>
      <c r="AU81" s="1252"/>
      <c r="AV81" s="1252"/>
      <c r="AW81" s="1252"/>
      <c r="AX81" s="1252"/>
      <c r="AY81" s="1252"/>
      <c r="AZ81" s="1252"/>
      <c r="BA81" s="1252"/>
      <c r="BB81" s="1252"/>
      <c r="CF81" s="314"/>
    </row>
    <row r="82" ht="19.5" customHeight="1">
      <c r="B82" s="1613"/>
      <c r="C82" s="1627"/>
      <c r="D82" s="1615" t="str">
        <f>'League Stats'!#REF!</f>
        <v>#ERROR!</v>
      </c>
      <c r="E82" s="1616" t="str">
        <f>'League Stats'!#REF!</f>
        <v>#ERROR!</v>
      </c>
      <c r="F82" s="1617" t="str">
        <f>IF(OR(D82="-",D82=""),"",F75)</f>
        <v>#ERROR!</v>
      </c>
      <c r="G82" s="1618" t="str">
        <f>'League Stats'!#REF!</f>
        <v>#ERROR!</v>
      </c>
      <c r="H82" s="1619" t="str">
        <f>'League Stats'!#REF!</f>
        <v>#ERROR!</v>
      </c>
      <c r="I82" s="1617" t="str">
        <f>IF(OR(G82="-",G82=""),"",I75)</f>
        <v>#ERROR!</v>
      </c>
      <c r="J82" s="1620" t="str">
        <f>'League Stats'!#REF!</f>
        <v>#ERROR!</v>
      </c>
      <c r="K82" s="1621" t="str">
        <f>'League Stats'!#REF!</f>
        <v>#ERROR!</v>
      </c>
      <c r="L82" s="1622" t="str">
        <f>IF(OR(J82="-",J82=""),"",L75)</f>
        <v>#ERROR!</v>
      </c>
      <c r="M82" s="13" t="s">
        <v>1097</v>
      </c>
      <c r="N82" s="700">
        <f t="shared" ref="N82:U82" si="131">IFERROR(IF($M82="YES",IF($D80=N$4,$F80,0)+IF($G80=N$4,$I80,0)+IF($J80=N$4,$L80,0),0),0)</f>
        <v>0</v>
      </c>
      <c r="O82" s="700">
        <f t="shared" si="131"/>
        <v>0</v>
      </c>
      <c r="P82" s="700">
        <f t="shared" si="131"/>
        <v>0</v>
      </c>
      <c r="Q82" s="700">
        <f t="shared" si="131"/>
        <v>0</v>
      </c>
      <c r="R82" s="700">
        <f t="shared" si="131"/>
        <v>0</v>
      </c>
      <c r="S82" s="700">
        <f t="shared" si="131"/>
        <v>0</v>
      </c>
      <c r="T82" s="700">
        <f t="shared" si="131"/>
        <v>0</v>
      </c>
      <c r="U82" s="700">
        <f t="shared" si="131"/>
        <v>0</v>
      </c>
      <c r="V82" s="336"/>
      <c r="W82" s="336"/>
      <c r="X82" s="1252"/>
      <c r="Y82" s="1252"/>
      <c r="Z82" s="1252"/>
      <c r="AA82" s="1252"/>
      <c r="AB82" s="1252"/>
      <c r="AC82" s="1252"/>
      <c r="AD82" s="1252"/>
      <c r="AE82" s="1252"/>
      <c r="AF82" s="1252"/>
      <c r="AG82" s="1252"/>
      <c r="AH82" s="1252"/>
      <c r="AI82" s="1252"/>
      <c r="AJ82" s="1252"/>
      <c r="AK82" s="1252"/>
      <c r="AL82" s="1252"/>
      <c r="AM82" s="1252"/>
      <c r="AN82" s="1252"/>
      <c r="AO82" s="1252"/>
      <c r="AP82" s="1252"/>
      <c r="AQ82" s="1252"/>
      <c r="AR82" s="1252"/>
      <c r="AS82" s="1252"/>
      <c r="AT82" s="1252"/>
      <c r="AU82" s="1252"/>
      <c r="AV82" s="1252"/>
      <c r="AW82" s="1252"/>
      <c r="AX82" s="1252"/>
      <c r="AY82" s="1252"/>
      <c r="AZ82" s="1252"/>
      <c r="BA82" s="1252"/>
      <c r="BB82" s="1252"/>
      <c r="CF82" s="314"/>
    </row>
    <row r="83" ht="19.5" customHeight="1">
      <c r="B83" s="1628" t="s">
        <v>117</v>
      </c>
      <c r="C83" s="1624" t="s">
        <v>202</v>
      </c>
      <c r="D83" s="1586" t="str">
        <f>'League Stats'!#REF!</f>
        <v>#ERROR!</v>
      </c>
      <c r="E83" s="1587" t="str">
        <f>'League Stats'!#REF!</f>
        <v>#ERROR!</v>
      </c>
      <c r="F83" s="1588">
        <v>5.0</v>
      </c>
      <c r="G83" s="1589" t="str">
        <f>'League Stats'!#REF!</f>
        <v>#ERROR!</v>
      </c>
      <c r="H83" s="1590" t="str">
        <f>'League Stats'!#REF!</f>
        <v>#ERROR!</v>
      </c>
      <c r="I83" s="1588">
        <v>2.5</v>
      </c>
      <c r="J83" s="1591" t="str">
        <f>'League Stats'!#REF!</f>
        <v>#ERROR!</v>
      </c>
      <c r="K83" s="1592" t="str">
        <f>'League Stats'!#REF!</f>
        <v>#ERROR!</v>
      </c>
      <c r="L83" s="1593">
        <v>1.25</v>
      </c>
      <c r="M83" s="13" t="s">
        <v>1097</v>
      </c>
      <c r="N83" s="700">
        <f t="shared" ref="N83:U83" si="132">IFERROR(IF($M83="YES",IF($D81=N$4,$F81,0)+IF($G81=N$4,$I81,0)+IF($J81=N$4,$L81,0),0),0)</f>
        <v>0</v>
      </c>
      <c r="O83" s="700">
        <f t="shared" si="132"/>
        <v>0</v>
      </c>
      <c r="P83" s="700">
        <f t="shared" si="132"/>
        <v>0</v>
      </c>
      <c r="Q83" s="700">
        <f t="shared" si="132"/>
        <v>0</v>
      </c>
      <c r="R83" s="700">
        <f t="shared" si="132"/>
        <v>0</v>
      </c>
      <c r="S83" s="700">
        <f t="shared" si="132"/>
        <v>0</v>
      </c>
      <c r="T83" s="700">
        <f t="shared" si="132"/>
        <v>0</v>
      </c>
      <c r="U83" s="700">
        <f t="shared" si="132"/>
        <v>0</v>
      </c>
      <c r="V83" s="336"/>
      <c r="W83" s="336"/>
      <c r="X83" s="1252"/>
      <c r="Y83" s="1252"/>
      <c r="Z83" s="1252"/>
      <c r="AA83" s="1252"/>
      <c r="AB83" s="1252"/>
      <c r="AC83" s="1252"/>
      <c r="AD83" s="1252"/>
      <c r="AE83" s="1252"/>
      <c r="AF83" s="1252"/>
      <c r="AG83" s="1252"/>
      <c r="AH83" s="1252"/>
      <c r="AI83" s="1252"/>
      <c r="AJ83" s="1252"/>
      <c r="AK83" s="1252"/>
      <c r="AL83" s="1252"/>
      <c r="AM83" s="1252"/>
      <c r="AN83" s="1252"/>
      <c r="AO83" s="1252"/>
      <c r="AP83" s="1252"/>
      <c r="AQ83" s="1252"/>
      <c r="AR83" s="1252"/>
      <c r="AS83" s="1252"/>
      <c r="AT83" s="1252"/>
      <c r="AU83" s="1252"/>
      <c r="AV83" s="1252"/>
      <c r="AW83" s="1252"/>
      <c r="AX83" s="1252"/>
      <c r="AY83" s="1252"/>
      <c r="AZ83" s="1252"/>
      <c r="BA83" s="1252"/>
      <c r="BB83" s="1252"/>
      <c r="CF83" s="314"/>
    </row>
    <row r="84" ht="19.5" customHeight="1">
      <c r="B84" s="1594"/>
      <c r="C84" s="1625"/>
      <c r="D84" s="1596" t="str">
        <f>'League Stats'!#REF!</f>
        <v>#ERROR!</v>
      </c>
      <c r="E84" s="1597" t="str">
        <f>'League Stats'!#REF!</f>
        <v>#ERROR!</v>
      </c>
      <c r="F84" s="1598" t="str">
        <f>IF(OR(D84="-",D84=""),"",F83)</f>
        <v>#ERROR!</v>
      </c>
      <c r="G84" s="1599" t="str">
        <f>'League Stats'!#REF!</f>
        <v>#ERROR!</v>
      </c>
      <c r="H84" s="1600" t="str">
        <f>'League Stats'!#REF!</f>
        <v>#ERROR!</v>
      </c>
      <c r="I84" s="1598" t="str">
        <f>IF(OR(G84="-",G84=""),"",I83)</f>
        <v>#ERROR!</v>
      </c>
      <c r="J84" s="1601" t="str">
        <f>'League Stats'!#REF!</f>
        <v>#ERROR!</v>
      </c>
      <c r="K84" s="1602" t="str">
        <f>'League Stats'!#REF!</f>
        <v>#ERROR!</v>
      </c>
      <c r="L84" s="1603" t="str">
        <f>IF(OR(J84="-",J84=""),"",L83)</f>
        <v>#ERROR!</v>
      </c>
      <c r="M84" s="13" t="s">
        <v>1097</v>
      </c>
      <c r="N84" s="700">
        <f t="shared" ref="N84:U84" si="133">IFERROR(IF($M84="YES",IF($D82=N$4,$F82,0)+IF($G82=N$4,$I82,0)+IF($J82=N$4,$L82,0),0),0)</f>
        <v>0</v>
      </c>
      <c r="O84" s="700">
        <f t="shared" si="133"/>
        <v>0</v>
      </c>
      <c r="P84" s="700">
        <f t="shared" si="133"/>
        <v>0</v>
      </c>
      <c r="Q84" s="700">
        <f t="shared" si="133"/>
        <v>0</v>
      </c>
      <c r="R84" s="700">
        <f t="shared" si="133"/>
        <v>0</v>
      </c>
      <c r="S84" s="700">
        <f t="shared" si="133"/>
        <v>0</v>
      </c>
      <c r="T84" s="700">
        <f t="shared" si="133"/>
        <v>0</v>
      </c>
      <c r="U84" s="700">
        <f t="shared" si="133"/>
        <v>0</v>
      </c>
      <c r="V84" s="336"/>
      <c r="W84" s="336"/>
      <c r="X84" s="1252"/>
      <c r="Y84" s="1252"/>
      <c r="Z84" s="1252"/>
      <c r="AA84" s="1252"/>
      <c r="AB84" s="1252"/>
      <c r="AC84" s="1252"/>
      <c r="AD84" s="1252"/>
      <c r="AE84" s="1252"/>
      <c r="AF84" s="1252"/>
      <c r="AG84" s="1252"/>
      <c r="AH84" s="1252"/>
      <c r="AI84" s="1252"/>
      <c r="AJ84" s="1252"/>
      <c r="AK84" s="1252"/>
      <c r="AL84" s="1252"/>
      <c r="AM84" s="1252"/>
      <c r="AN84" s="1252"/>
      <c r="AO84" s="1252"/>
      <c r="AP84" s="1252"/>
      <c r="AQ84" s="1252"/>
      <c r="AR84" s="1252"/>
      <c r="AS84" s="1252"/>
      <c r="AT84" s="1252"/>
      <c r="AU84" s="1252"/>
      <c r="AV84" s="1252"/>
      <c r="AW84" s="1252"/>
      <c r="AX84" s="1252"/>
      <c r="AY84" s="1252"/>
      <c r="AZ84" s="1252"/>
      <c r="BA84" s="1252"/>
      <c r="BB84" s="1252"/>
      <c r="CF84" s="314"/>
    </row>
    <row r="85" ht="19.5" customHeight="1">
      <c r="B85" s="1594"/>
      <c r="C85" s="1625"/>
      <c r="D85" s="1596" t="str">
        <f>'League Stats'!#REF!</f>
        <v>#ERROR!</v>
      </c>
      <c r="E85" s="1597" t="str">
        <f>'League Stats'!#REF!</f>
        <v>#ERROR!</v>
      </c>
      <c r="F85" s="1598" t="str">
        <f>IF(OR(D85="-",D85=""),"",F83)</f>
        <v>#ERROR!</v>
      </c>
      <c r="G85" s="1599" t="str">
        <f>'League Stats'!#REF!</f>
        <v>#ERROR!</v>
      </c>
      <c r="H85" s="1600" t="str">
        <f>'League Stats'!#REF!</f>
        <v>#ERROR!</v>
      </c>
      <c r="I85" s="1598" t="str">
        <f>IF(OR(G85="-",G85=""),"",I83)</f>
        <v>#ERROR!</v>
      </c>
      <c r="J85" s="1601" t="str">
        <f>'League Stats'!#REF!</f>
        <v>#ERROR!</v>
      </c>
      <c r="K85" s="1602" t="str">
        <f>'League Stats'!#REF!</f>
        <v>#ERROR!</v>
      </c>
      <c r="L85" s="1603" t="str">
        <f>IF(OR(J85="-",J85=""),"",L83)</f>
        <v>#ERROR!</v>
      </c>
      <c r="M85" s="13" t="s">
        <v>1097</v>
      </c>
      <c r="N85" s="700">
        <f t="shared" ref="N85:U85" si="134">IFERROR(IF($M85="YES",IF($D83=N$4,$F83,0)+IF($G83=N$4,$I83,0)+IF($J83=N$4,$L83,0),0),0)</f>
        <v>0</v>
      </c>
      <c r="O85" s="700">
        <f t="shared" si="134"/>
        <v>0</v>
      </c>
      <c r="P85" s="700">
        <f t="shared" si="134"/>
        <v>0</v>
      </c>
      <c r="Q85" s="700">
        <f t="shared" si="134"/>
        <v>0</v>
      </c>
      <c r="R85" s="700">
        <f t="shared" si="134"/>
        <v>0</v>
      </c>
      <c r="S85" s="700">
        <f t="shared" si="134"/>
        <v>0</v>
      </c>
      <c r="T85" s="700">
        <f t="shared" si="134"/>
        <v>0</v>
      </c>
      <c r="U85" s="700">
        <f t="shared" si="134"/>
        <v>0</v>
      </c>
      <c r="X85" s="1252"/>
      <c r="Y85" s="1252"/>
      <c r="Z85" s="1252"/>
      <c r="AA85" s="1252"/>
      <c r="AB85" s="1252"/>
      <c r="AC85" s="1252"/>
      <c r="AD85" s="1252"/>
      <c r="AE85" s="1252"/>
      <c r="AF85" s="1252"/>
      <c r="AG85" s="1252"/>
      <c r="AH85" s="1252"/>
      <c r="AI85" s="1252"/>
      <c r="AJ85" s="1252"/>
      <c r="AK85" s="1252"/>
      <c r="AL85" s="1252"/>
      <c r="AM85" s="1252"/>
      <c r="AN85" s="1252"/>
      <c r="AO85" s="1252"/>
      <c r="AP85" s="1252"/>
      <c r="AQ85" s="1252"/>
      <c r="AR85" s="1252"/>
      <c r="AS85" s="1252"/>
      <c r="AT85" s="1252"/>
      <c r="AU85" s="1252"/>
      <c r="AV85" s="1252"/>
      <c r="AW85" s="1252"/>
      <c r="AX85" s="1252"/>
      <c r="AY85" s="1252"/>
      <c r="AZ85" s="1252"/>
      <c r="BA85" s="1252"/>
      <c r="BB85" s="1252"/>
      <c r="CF85" s="314"/>
    </row>
    <row r="86" ht="19.5" customHeight="1">
      <c r="B86" s="1594"/>
      <c r="C86" s="1625"/>
      <c r="D86" s="1596" t="str">
        <f>'League Stats'!#REF!</f>
        <v>#ERROR!</v>
      </c>
      <c r="E86" s="1597" t="str">
        <f>'League Stats'!#REF!</f>
        <v>#ERROR!</v>
      </c>
      <c r="F86" s="1598" t="str">
        <f>IF(OR(D86="-",D86=""),"",F83)</f>
        <v>#ERROR!</v>
      </c>
      <c r="G86" s="1599" t="str">
        <f>'League Stats'!#REF!</f>
        <v>#ERROR!</v>
      </c>
      <c r="H86" s="1600" t="str">
        <f>'League Stats'!#REF!</f>
        <v>#ERROR!</v>
      </c>
      <c r="I86" s="1598" t="str">
        <f>IF(OR(G86="-",G86=""),"",I83)</f>
        <v>#ERROR!</v>
      </c>
      <c r="J86" s="1601" t="str">
        <f>'League Stats'!#REF!</f>
        <v>#ERROR!</v>
      </c>
      <c r="K86" s="1602" t="str">
        <f>'League Stats'!#REF!</f>
        <v>#ERROR!</v>
      </c>
      <c r="L86" s="1603" t="str">
        <f>IF(OR(J86="-",J86=""),"",L83)</f>
        <v>#ERROR!</v>
      </c>
      <c r="M86" s="13" t="s">
        <v>1097</v>
      </c>
      <c r="N86" s="700">
        <f t="shared" ref="N86:U86" si="135">IFERROR(IF($M86="YES",IF($D84=N$4,$F84,0)+IF($G84=N$4,$I84,0)+IF($J84=N$4,$L84,0),0),0)</f>
        <v>0</v>
      </c>
      <c r="O86" s="700">
        <f t="shared" si="135"/>
        <v>0</v>
      </c>
      <c r="P86" s="700">
        <f t="shared" si="135"/>
        <v>0</v>
      </c>
      <c r="Q86" s="700">
        <f t="shared" si="135"/>
        <v>0</v>
      </c>
      <c r="R86" s="700">
        <f t="shared" si="135"/>
        <v>0</v>
      </c>
      <c r="S86" s="700">
        <f t="shared" si="135"/>
        <v>0</v>
      </c>
      <c r="T86" s="700">
        <f t="shared" si="135"/>
        <v>0</v>
      </c>
      <c r="U86" s="700">
        <f t="shared" si="135"/>
        <v>0</v>
      </c>
      <c r="X86" s="1252"/>
      <c r="Y86" s="1252"/>
      <c r="Z86" s="1252"/>
      <c r="AA86" s="1252"/>
      <c r="AB86" s="1252"/>
      <c r="AC86" s="1252"/>
      <c r="AD86" s="1252"/>
      <c r="AE86" s="1252"/>
      <c r="AF86" s="1252"/>
      <c r="AG86" s="1252"/>
      <c r="AH86" s="1252"/>
      <c r="AI86" s="1252"/>
      <c r="AJ86" s="1252"/>
      <c r="AK86" s="1252"/>
      <c r="AL86" s="1252"/>
      <c r="AM86" s="1252"/>
      <c r="AN86" s="1252"/>
      <c r="AO86" s="1252"/>
      <c r="AP86" s="1252"/>
      <c r="AQ86" s="1252"/>
      <c r="AR86" s="1252"/>
      <c r="AS86" s="1252"/>
      <c r="AT86" s="1252"/>
      <c r="AU86" s="1252"/>
      <c r="AV86" s="1252"/>
      <c r="AW86" s="1252"/>
      <c r="AX86" s="1252"/>
      <c r="AY86" s="1252"/>
      <c r="AZ86" s="1252"/>
      <c r="BA86" s="1252"/>
      <c r="BB86" s="1252"/>
      <c r="CF86" s="314"/>
    </row>
    <row r="87" ht="19.5" customHeight="1">
      <c r="B87" s="1594"/>
      <c r="C87" s="1625"/>
      <c r="D87" s="1596" t="str">
        <f>'League Stats'!#REF!</f>
        <v>#ERROR!</v>
      </c>
      <c r="E87" s="1597" t="str">
        <f>'League Stats'!#REF!</f>
        <v>#ERROR!</v>
      </c>
      <c r="F87" s="1598" t="str">
        <f>IF(OR(D87="-",D87=""),"",F83)</f>
        <v>#ERROR!</v>
      </c>
      <c r="G87" s="1599" t="str">
        <f>'League Stats'!#REF!</f>
        <v>#ERROR!</v>
      </c>
      <c r="H87" s="1600" t="str">
        <f>'League Stats'!#REF!</f>
        <v>#ERROR!</v>
      </c>
      <c r="I87" s="1598" t="str">
        <f>IF(OR(G87="-",G87=""),"",I83)</f>
        <v>#ERROR!</v>
      </c>
      <c r="J87" s="1601" t="str">
        <f>'League Stats'!#REF!</f>
        <v>#ERROR!</v>
      </c>
      <c r="K87" s="1602" t="str">
        <f>'League Stats'!#REF!</f>
        <v>#ERROR!</v>
      </c>
      <c r="L87" s="1603" t="str">
        <f>IF(OR(J87="-",J87=""),"",L83)</f>
        <v>#ERROR!</v>
      </c>
      <c r="M87" s="13" t="s">
        <v>1097</v>
      </c>
      <c r="N87" s="700">
        <f t="shared" ref="N87:U87" si="136">IFERROR(IF($M87="YES",IF($D85=N$4,$F85,0)+IF($G85=N$4,$I85,0)+IF($J85=N$4,$L85,0),0),0)</f>
        <v>0</v>
      </c>
      <c r="O87" s="700">
        <f t="shared" si="136"/>
        <v>0</v>
      </c>
      <c r="P87" s="700">
        <f t="shared" si="136"/>
        <v>0</v>
      </c>
      <c r="Q87" s="700">
        <f t="shared" si="136"/>
        <v>0</v>
      </c>
      <c r="R87" s="700">
        <f t="shared" si="136"/>
        <v>0</v>
      </c>
      <c r="S87" s="700">
        <f t="shared" si="136"/>
        <v>0</v>
      </c>
      <c r="T87" s="700">
        <f t="shared" si="136"/>
        <v>0</v>
      </c>
      <c r="U87" s="700">
        <f t="shared" si="136"/>
        <v>0</v>
      </c>
      <c r="X87" s="1252"/>
      <c r="Y87" s="1252"/>
      <c r="Z87" s="1252"/>
      <c r="AA87" s="1252"/>
      <c r="AB87" s="1252"/>
      <c r="AC87" s="1252"/>
      <c r="AD87" s="1252"/>
      <c r="AE87" s="1252"/>
      <c r="AF87" s="1252"/>
      <c r="AG87" s="1252"/>
      <c r="AH87" s="1252"/>
      <c r="AI87" s="1252"/>
      <c r="AJ87" s="1252"/>
      <c r="AK87" s="1252"/>
      <c r="AL87" s="1252"/>
      <c r="AM87" s="1252"/>
      <c r="AN87" s="1252"/>
      <c r="AO87" s="1252"/>
      <c r="AP87" s="1252"/>
      <c r="AQ87" s="1252"/>
      <c r="AR87" s="1252"/>
      <c r="AS87" s="1252"/>
      <c r="AT87" s="1252"/>
      <c r="AU87" s="1252"/>
      <c r="AV87" s="1252"/>
      <c r="AW87" s="1252"/>
      <c r="AX87" s="1252"/>
      <c r="AY87" s="1252"/>
      <c r="AZ87" s="1252"/>
      <c r="BA87" s="1252"/>
      <c r="BB87" s="1252"/>
      <c r="CF87" s="314"/>
    </row>
    <row r="88" ht="19.5" customHeight="1">
      <c r="B88" s="1594"/>
      <c r="C88" s="1625"/>
      <c r="D88" s="1596" t="str">
        <f>'League Stats'!#REF!</f>
        <v>#ERROR!</v>
      </c>
      <c r="E88" s="1597" t="str">
        <f>'League Stats'!#REF!</f>
        <v>#ERROR!</v>
      </c>
      <c r="F88" s="1598" t="str">
        <f>IF(OR(D88="-",D88=""),"",F83)</f>
        <v>#ERROR!</v>
      </c>
      <c r="G88" s="1599" t="str">
        <f>'League Stats'!#REF!</f>
        <v>#ERROR!</v>
      </c>
      <c r="H88" s="1600" t="str">
        <f>'League Stats'!#REF!</f>
        <v>#ERROR!</v>
      </c>
      <c r="I88" s="1598" t="str">
        <f>IF(OR(G88="-",G88=""),"",I83)</f>
        <v>#ERROR!</v>
      </c>
      <c r="J88" s="1601" t="str">
        <f>'League Stats'!#REF!</f>
        <v>#ERROR!</v>
      </c>
      <c r="K88" s="1602" t="str">
        <f>'League Stats'!#REF!</f>
        <v>#ERROR!</v>
      </c>
      <c r="L88" s="1603" t="str">
        <f>IF(OR(J88="-",J88=""),"",L83)</f>
        <v>#ERROR!</v>
      </c>
      <c r="M88" s="13" t="s">
        <v>1097</v>
      </c>
      <c r="N88" s="700">
        <f t="shared" ref="N88:U88" si="137">IFERROR(IF($M88="YES",IF($D86=N$4,$F86,0)+IF($G86=N$4,$I86,0)+IF($J86=N$4,$L86,0),0),0)</f>
        <v>0</v>
      </c>
      <c r="O88" s="700">
        <f t="shared" si="137"/>
        <v>0</v>
      </c>
      <c r="P88" s="700">
        <f t="shared" si="137"/>
        <v>0</v>
      </c>
      <c r="Q88" s="700">
        <f t="shared" si="137"/>
        <v>0</v>
      </c>
      <c r="R88" s="700">
        <f t="shared" si="137"/>
        <v>0</v>
      </c>
      <c r="S88" s="700">
        <f t="shared" si="137"/>
        <v>0</v>
      </c>
      <c r="T88" s="700">
        <f t="shared" si="137"/>
        <v>0</v>
      </c>
      <c r="U88" s="700">
        <f t="shared" si="137"/>
        <v>0</v>
      </c>
      <c r="X88" s="1252"/>
      <c r="Y88" s="1252"/>
      <c r="Z88" s="1252"/>
      <c r="AA88" s="1252"/>
      <c r="AB88" s="1252"/>
      <c r="AC88" s="1252"/>
      <c r="AD88" s="1252"/>
      <c r="AE88" s="1252"/>
      <c r="AF88" s="1252"/>
      <c r="AG88" s="1252"/>
      <c r="AH88" s="1252"/>
      <c r="AI88" s="1252"/>
      <c r="AJ88" s="1252"/>
      <c r="AK88" s="1252"/>
      <c r="AL88" s="1252"/>
      <c r="AM88" s="1252"/>
      <c r="AN88" s="1252"/>
      <c r="AO88" s="1252"/>
      <c r="AP88" s="1252"/>
      <c r="AQ88" s="1252"/>
      <c r="AR88" s="1252"/>
      <c r="AS88" s="1252"/>
      <c r="AT88" s="1252"/>
      <c r="AU88" s="1252"/>
      <c r="AV88" s="1252"/>
      <c r="AW88" s="1252"/>
      <c r="AX88" s="1252"/>
      <c r="AY88" s="1252"/>
      <c r="AZ88" s="1252"/>
      <c r="BA88" s="1252"/>
      <c r="BB88" s="1252"/>
      <c r="CF88" s="314"/>
    </row>
    <row r="89" ht="19.5" customHeight="1">
      <c r="B89" s="1594"/>
      <c r="C89" s="1625"/>
      <c r="D89" s="1596" t="str">
        <f>'League Stats'!#REF!</f>
        <v>#ERROR!</v>
      </c>
      <c r="E89" s="1597" t="str">
        <f>'League Stats'!#REF!</f>
        <v>#ERROR!</v>
      </c>
      <c r="F89" s="1598" t="str">
        <f>IF(OR(D89="-",D89=""),"",F83)</f>
        <v>#ERROR!</v>
      </c>
      <c r="G89" s="1599" t="str">
        <f>'League Stats'!#REF!</f>
        <v>#ERROR!</v>
      </c>
      <c r="H89" s="1600" t="str">
        <f>'League Stats'!#REF!</f>
        <v>#ERROR!</v>
      </c>
      <c r="I89" s="1598" t="str">
        <f>IF(OR(G89="-",G89=""),"",I83)</f>
        <v>#ERROR!</v>
      </c>
      <c r="J89" s="1601" t="str">
        <f>'League Stats'!#REF!</f>
        <v>#ERROR!</v>
      </c>
      <c r="K89" s="1602" t="str">
        <f>'League Stats'!#REF!</f>
        <v>#ERROR!</v>
      </c>
      <c r="L89" s="1603" t="str">
        <f>IF(OR(J89="-",J89=""),"",L83)</f>
        <v>#ERROR!</v>
      </c>
      <c r="M89" s="13" t="s">
        <v>1097</v>
      </c>
      <c r="N89" s="700">
        <f t="shared" ref="N89:U89" si="138">IFERROR(IF($M89="YES",IF($D87=N$4,$F87,0)+IF($G87=N$4,$I87,0)+IF($J87=N$4,$L87,0),0),0)</f>
        <v>0</v>
      </c>
      <c r="O89" s="700">
        <f t="shared" si="138"/>
        <v>0</v>
      </c>
      <c r="P89" s="700">
        <f t="shared" si="138"/>
        <v>0</v>
      </c>
      <c r="Q89" s="700">
        <f t="shared" si="138"/>
        <v>0</v>
      </c>
      <c r="R89" s="700">
        <f t="shared" si="138"/>
        <v>0</v>
      </c>
      <c r="S89" s="700">
        <f t="shared" si="138"/>
        <v>0</v>
      </c>
      <c r="T89" s="700">
        <f t="shared" si="138"/>
        <v>0</v>
      </c>
      <c r="U89" s="700">
        <f t="shared" si="138"/>
        <v>0</v>
      </c>
      <c r="X89" s="1252"/>
      <c r="Y89" s="1252"/>
      <c r="Z89" s="1252"/>
      <c r="AA89" s="1252"/>
      <c r="AB89" s="1252"/>
      <c r="AC89" s="1252"/>
      <c r="AD89" s="1252"/>
      <c r="AE89" s="1252"/>
      <c r="AF89" s="1252"/>
      <c r="AG89" s="1252"/>
      <c r="AH89" s="1252"/>
      <c r="AI89" s="1252"/>
      <c r="AJ89" s="1252"/>
      <c r="AK89" s="1252"/>
      <c r="AL89" s="1252"/>
      <c r="AM89" s="1252"/>
      <c r="AN89" s="1252"/>
      <c r="AO89" s="1252"/>
      <c r="AP89" s="1252"/>
      <c r="AQ89" s="1252"/>
      <c r="AR89" s="1252"/>
      <c r="AS89" s="1252"/>
      <c r="AT89" s="1252"/>
      <c r="AU89" s="1252"/>
      <c r="AV89" s="1252"/>
      <c r="AW89" s="1252"/>
      <c r="AX89" s="1252"/>
      <c r="AY89" s="1252"/>
      <c r="AZ89" s="1252"/>
      <c r="BA89" s="1252"/>
      <c r="BB89" s="1252"/>
      <c r="CF89" s="314"/>
    </row>
    <row r="90" ht="19.5" customHeight="1">
      <c r="B90" s="1594"/>
      <c r="C90" s="1625"/>
      <c r="D90" s="1596" t="str">
        <f>'League Stats'!#REF!</f>
        <v>#ERROR!</v>
      </c>
      <c r="E90" s="1597" t="str">
        <f>'League Stats'!#REF!</f>
        <v>#ERROR!</v>
      </c>
      <c r="F90" s="1598" t="str">
        <f>IF(OR(D90="-",D90=""),"",F83)</f>
        <v>#ERROR!</v>
      </c>
      <c r="G90" s="1599" t="str">
        <f>'League Stats'!#REF!</f>
        <v>#ERROR!</v>
      </c>
      <c r="H90" s="1600" t="str">
        <f>'League Stats'!#REF!</f>
        <v>#ERROR!</v>
      </c>
      <c r="I90" s="1598" t="str">
        <f>IF(OR(G90="-",G90=""),"",I83)</f>
        <v>#ERROR!</v>
      </c>
      <c r="J90" s="1601" t="str">
        <f>'League Stats'!#REF!</f>
        <v>#ERROR!</v>
      </c>
      <c r="K90" s="1602" t="str">
        <f>'League Stats'!#REF!</f>
        <v>#ERROR!</v>
      </c>
      <c r="L90" s="1603" t="str">
        <f>IF(OR(J90="-",J90=""),"",L83)</f>
        <v>#ERROR!</v>
      </c>
      <c r="M90" s="13" t="s">
        <v>1097</v>
      </c>
      <c r="N90" s="700">
        <f t="shared" ref="N90:U90" si="139">IFERROR(IF($M90="YES",IF($D88=N$4,$F88,0)+IF($G88=N$4,$I88,0)+IF($J88=N$4,$L88,0),0),0)</f>
        <v>0</v>
      </c>
      <c r="O90" s="700">
        <f t="shared" si="139"/>
        <v>0</v>
      </c>
      <c r="P90" s="700">
        <f t="shared" si="139"/>
        <v>0</v>
      </c>
      <c r="Q90" s="700">
        <f t="shared" si="139"/>
        <v>0</v>
      </c>
      <c r="R90" s="700">
        <f t="shared" si="139"/>
        <v>0</v>
      </c>
      <c r="S90" s="700">
        <f t="shared" si="139"/>
        <v>0</v>
      </c>
      <c r="T90" s="700">
        <f t="shared" si="139"/>
        <v>0</v>
      </c>
      <c r="U90" s="700">
        <f t="shared" si="139"/>
        <v>0</v>
      </c>
      <c r="X90" s="1252"/>
      <c r="Y90" s="1252"/>
      <c r="Z90" s="1252"/>
      <c r="AA90" s="1252"/>
      <c r="AB90" s="1252"/>
      <c r="AC90" s="1252"/>
      <c r="AD90" s="1252"/>
      <c r="AE90" s="1252"/>
      <c r="AF90" s="1252"/>
      <c r="AG90" s="1252"/>
      <c r="AH90" s="1252"/>
      <c r="AI90" s="1252"/>
      <c r="AJ90" s="1252"/>
      <c r="AK90" s="1252"/>
      <c r="AL90" s="1252"/>
      <c r="AM90" s="1252"/>
      <c r="AN90" s="1252"/>
      <c r="AO90" s="1252"/>
      <c r="AP90" s="1252"/>
      <c r="AQ90" s="1252"/>
      <c r="AR90" s="1252"/>
      <c r="AS90" s="1252"/>
      <c r="AT90" s="1252"/>
      <c r="AU90" s="1252"/>
      <c r="AV90" s="1252"/>
      <c r="AW90" s="1252"/>
      <c r="AX90" s="1252"/>
      <c r="AY90" s="1252"/>
      <c r="AZ90" s="1252"/>
      <c r="BA90" s="1252"/>
      <c r="BB90" s="1252"/>
      <c r="CF90" s="314"/>
    </row>
    <row r="91" ht="19.5" customHeight="1">
      <c r="B91" s="1594"/>
      <c r="C91" s="1626" t="s">
        <v>1782</v>
      </c>
      <c r="D91" s="1605" t="str">
        <f>'League Stats'!#REF!</f>
        <v>#ERROR!</v>
      </c>
      <c r="E91" s="1606" t="str">
        <f>'League Stats'!#REF!</f>
        <v>#ERROR!</v>
      </c>
      <c r="F91" s="1607">
        <v>2.0</v>
      </c>
      <c r="G91" s="1608" t="str">
        <f>'League Stats'!#REF!</f>
        <v>#ERROR!</v>
      </c>
      <c r="H91" s="1609" t="str">
        <f>'League Stats'!#REF!</f>
        <v>#ERROR!</v>
      </c>
      <c r="I91" s="1607">
        <v>1.0</v>
      </c>
      <c r="J91" s="1610" t="str">
        <f>'League Stats'!#REF!</f>
        <v>#ERROR!</v>
      </c>
      <c r="K91" s="1611" t="str">
        <f>'League Stats'!#REF!</f>
        <v>#ERROR!</v>
      </c>
      <c r="L91" s="1612">
        <v>0.5</v>
      </c>
      <c r="M91" s="13" t="s">
        <v>1097</v>
      </c>
      <c r="N91" s="700">
        <f t="shared" ref="N91:U91" si="140">IFERROR(IF($M91="YES",IF($D89=N$4,$F89,0)+IF($G89=N$4,$I89,0)+IF($J89=N$4,$L89,0),0),0)</f>
        <v>0</v>
      </c>
      <c r="O91" s="700">
        <f t="shared" si="140"/>
        <v>0</v>
      </c>
      <c r="P91" s="700">
        <f t="shared" si="140"/>
        <v>0</v>
      </c>
      <c r="Q91" s="700">
        <f t="shared" si="140"/>
        <v>0</v>
      </c>
      <c r="R91" s="700">
        <f t="shared" si="140"/>
        <v>0</v>
      </c>
      <c r="S91" s="700">
        <f t="shared" si="140"/>
        <v>0</v>
      </c>
      <c r="T91" s="700">
        <f t="shared" si="140"/>
        <v>0</v>
      </c>
      <c r="U91" s="700">
        <f t="shared" si="140"/>
        <v>0</v>
      </c>
      <c r="X91" s="1252"/>
      <c r="Y91" s="1252"/>
      <c r="Z91" s="1252"/>
      <c r="AA91" s="1252"/>
      <c r="AB91" s="1252"/>
      <c r="AC91" s="1252"/>
      <c r="AD91" s="1252"/>
      <c r="AE91" s="1252"/>
      <c r="AF91" s="1252"/>
      <c r="AG91" s="1252"/>
      <c r="AH91" s="1252"/>
      <c r="AI91" s="1252"/>
      <c r="AJ91" s="1252"/>
      <c r="AK91" s="1252"/>
      <c r="AL91" s="1252"/>
      <c r="AM91" s="1252"/>
      <c r="AN91" s="1252"/>
      <c r="AO91" s="1252"/>
      <c r="AP91" s="1252"/>
      <c r="AQ91" s="1252"/>
      <c r="AR91" s="1252"/>
      <c r="AS91" s="1252"/>
      <c r="AT91" s="1252"/>
      <c r="AU91" s="1252"/>
      <c r="AV91" s="1252"/>
      <c r="AW91" s="1252"/>
      <c r="AX91" s="1252"/>
      <c r="AY91" s="1252"/>
      <c r="AZ91" s="1252"/>
      <c r="BA91" s="1252"/>
      <c r="BB91" s="1252"/>
      <c r="CF91" s="314"/>
    </row>
    <row r="92" ht="19.5" customHeight="1">
      <c r="B92" s="1594"/>
      <c r="C92" s="1626"/>
      <c r="D92" s="1605" t="str">
        <f>'League Stats'!#REF!</f>
        <v>#ERROR!</v>
      </c>
      <c r="E92" s="1606" t="str">
        <f>'League Stats'!#REF!</f>
        <v>#ERROR!</v>
      </c>
      <c r="F92" s="1598" t="str">
        <f>IF(OR(D92="-",D92=""),"",F91)</f>
        <v>#ERROR!</v>
      </c>
      <c r="G92" s="1608" t="str">
        <f>'League Stats'!#REF!</f>
        <v>#ERROR!</v>
      </c>
      <c r="H92" s="1609" t="str">
        <f>'League Stats'!#REF!</f>
        <v>#ERROR!</v>
      </c>
      <c r="I92" s="1598" t="str">
        <f>IF(OR(G92="-",G92=""),"",I91)</f>
        <v>#ERROR!</v>
      </c>
      <c r="J92" s="1610" t="str">
        <f>'League Stats'!#REF!</f>
        <v>#ERROR!</v>
      </c>
      <c r="K92" s="1611" t="str">
        <f>'League Stats'!#REF!</f>
        <v>#ERROR!</v>
      </c>
      <c r="L92" s="1603" t="str">
        <f>IF(OR(J92="-",J92=""),"",L91)</f>
        <v>#ERROR!</v>
      </c>
      <c r="M92" s="13" t="s">
        <v>1097</v>
      </c>
      <c r="N92" s="700">
        <f t="shared" ref="N92:U92" si="141">IFERROR(IF($M92="YES",IF($D90=N$4,$F90,0)+IF($G90=N$4,$I90,0)+IF($J90=N$4,$L90,0),0),0)</f>
        <v>0</v>
      </c>
      <c r="O92" s="700">
        <f t="shared" si="141"/>
        <v>0</v>
      </c>
      <c r="P92" s="700">
        <f t="shared" si="141"/>
        <v>0</v>
      </c>
      <c r="Q92" s="700">
        <f t="shared" si="141"/>
        <v>0</v>
      </c>
      <c r="R92" s="700">
        <f t="shared" si="141"/>
        <v>0</v>
      </c>
      <c r="S92" s="700">
        <f t="shared" si="141"/>
        <v>0</v>
      </c>
      <c r="T92" s="700">
        <f t="shared" si="141"/>
        <v>0</v>
      </c>
      <c r="U92" s="700">
        <f t="shared" si="141"/>
        <v>0</v>
      </c>
      <c r="X92" s="1252"/>
      <c r="Y92" s="1252"/>
      <c r="Z92" s="1252"/>
      <c r="AA92" s="1252"/>
      <c r="AB92" s="1252"/>
      <c r="AC92" s="1252"/>
      <c r="AD92" s="1252"/>
      <c r="AE92" s="1252"/>
      <c r="AF92" s="1252"/>
      <c r="AG92" s="1252"/>
      <c r="AH92" s="1252"/>
      <c r="AI92" s="1252"/>
      <c r="AJ92" s="1252"/>
      <c r="AK92" s="1252"/>
      <c r="AL92" s="1252"/>
      <c r="AM92" s="1252"/>
      <c r="AN92" s="1252"/>
      <c r="AO92" s="1252"/>
      <c r="AP92" s="1252"/>
      <c r="AQ92" s="1252"/>
      <c r="AR92" s="1252"/>
      <c r="AS92" s="1252"/>
      <c r="AT92" s="1252"/>
      <c r="AU92" s="1252"/>
      <c r="AV92" s="1252"/>
      <c r="AW92" s="1252"/>
      <c r="AX92" s="1252"/>
      <c r="AY92" s="1252"/>
      <c r="AZ92" s="1252"/>
      <c r="BA92" s="1252"/>
      <c r="BB92" s="1252"/>
      <c r="CF92" s="314"/>
    </row>
    <row r="93" ht="19.5" customHeight="1">
      <c r="B93" s="1594"/>
      <c r="C93" s="1626"/>
      <c r="D93" s="1605" t="str">
        <f>'League Stats'!#REF!</f>
        <v>#ERROR!</v>
      </c>
      <c r="E93" s="1606" t="str">
        <f>'League Stats'!#REF!</f>
        <v>#ERROR!</v>
      </c>
      <c r="F93" s="1598" t="str">
        <f>IF(OR(D93="-",D93=""),"",F91)</f>
        <v>#ERROR!</v>
      </c>
      <c r="G93" s="1608" t="str">
        <f>'League Stats'!#REF!</f>
        <v>#ERROR!</v>
      </c>
      <c r="H93" s="1609" t="str">
        <f>'League Stats'!#REF!</f>
        <v>#ERROR!</v>
      </c>
      <c r="I93" s="1598" t="str">
        <f>IF(OR(G93="-",G93=""),"",I91)</f>
        <v>#ERROR!</v>
      </c>
      <c r="J93" s="1610" t="str">
        <f>'League Stats'!#REF!</f>
        <v>#ERROR!</v>
      </c>
      <c r="K93" s="1611" t="str">
        <f>'League Stats'!#REF!</f>
        <v>#ERROR!</v>
      </c>
      <c r="L93" s="1603" t="str">
        <f>IF(OR(J93="-",J93=""),"",L91)</f>
        <v>#ERROR!</v>
      </c>
      <c r="M93" s="13" t="s">
        <v>1097</v>
      </c>
      <c r="N93" s="700">
        <f t="shared" ref="N93:U93" si="142">IFERROR(IF($M93="YES",IF($D91=N$4,$F91,0)+IF($G91=N$4,$I91,0)+IF($J91=N$4,$L91,0),0),0)</f>
        <v>0</v>
      </c>
      <c r="O93" s="700">
        <f t="shared" si="142"/>
        <v>0</v>
      </c>
      <c r="P93" s="700">
        <f t="shared" si="142"/>
        <v>0</v>
      </c>
      <c r="Q93" s="700">
        <f t="shared" si="142"/>
        <v>0</v>
      </c>
      <c r="R93" s="700">
        <f t="shared" si="142"/>
        <v>0</v>
      </c>
      <c r="S93" s="700">
        <f t="shared" si="142"/>
        <v>0</v>
      </c>
      <c r="T93" s="700">
        <f t="shared" si="142"/>
        <v>0</v>
      </c>
      <c r="U93" s="700">
        <f t="shared" si="142"/>
        <v>0</v>
      </c>
      <c r="X93" s="1252"/>
      <c r="Y93" s="1252"/>
      <c r="Z93" s="1252"/>
      <c r="AA93" s="1252"/>
      <c r="AB93" s="1252"/>
      <c r="AC93" s="1252"/>
      <c r="AD93" s="1252"/>
      <c r="AE93" s="1252"/>
      <c r="AF93" s="1252"/>
      <c r="AG93" s="1252"/>
      <c r="AH93" s="1252"/>
      <c r="AI93" s="1252"/>
      <c r="AJ93" s="1252"/>
      <c r="AK93" s="1252"/>
      <c r="AL93" s="1252"/>
      <c r="AM93" s="1252"/>
      <c r="AN93" s="1252"/>
      <c r="AO93" s="1252"/>
      <c r="AP93" s="1252"/>
      <c r="AQ93" s="1252"/>
      <c r="AR93" s="1252"/>
      <c r="AS93" s="1252"/>
      <c r="AT93" s="1252"/>
      <c r="AU93" s="1252"/>
      <c r="AV93" s="1252"/>
      <c r="AW93" s="1252"/>
      <c r="AX93" s="1252"/>
      <c r="AY93" s="1252"/>
      <c r="AZ93" s="1252"/>
      <c r="BA93" s="1252"/>
      <c r="BB93" s="1252"/>
      <c r="CF93" s="314"/>
    </row>
    <row r="94" ht="19.5" customHeight="1">
      <c r="B94" s="1594"/>
      <c r="C94" s="1626"/>
      <c r="D94" s="1605" t="str">
        <f>'League Stats'!#REF!</f>
        <v>#ERROR!</v>
      </c>
      <c r="E94" s="1606" t="str">
        <f>'League Stats'!#REF!</f>
        <v>#ERROR!</v>
      </c>
      <c r="F94" s="1598" t="str">
        <f>IF(OR(D94="-",D94=""),"",F91)</f>
        <v>#ERROR!</v>
      </c>
      <c r="G94" s="1608" t="str">
        <f>'League Stats'!#REF!</f>
        <v>#ERROR!</v>
      </c>
      <c r="H94" s="1609" t="str">
        <f>'League Stats'!#REF!</f>
        <v>#ERROR!</v>
      </c>
      <c r="I94" s="1598" t="str">
        <f>IF(OR(G94="-",G94=""),"",I91)</f>
        <v>#ERROR!</v>
      </c>
      <c r="J94" s="1610" t="str">
        <f>'League Stats'!#REF!</f>
        <v>#ERROR!</v>
      </c>
      <c r="K94" s="1611" t="str">
        <f>'League Stats'!#REF!</f>
        <v>#ERROR!</v>
      </c>
      <c r="L94" s="1603" t="str">
        <f>IF(OR(J94="-",J94=""),"",L91)</f>
        <v>#ERROR!</v>
      </c>
      <c r="M94" s="13" t="s">
        <v>1097</v>
      </c>
      <c r="N94" s="700">
        <f t="shared" ref="N94:U94" si="143">IFERROR(IF($M94="YES",IF($D92=N$4,$F92,0)+IF($G92=N$4,$I92,0)+IF($J92=N$4,$L92,0),0),0)</f>
        <v>0</v>
      </c>
      <c r="O94" s="700">
        <f t="shared" si="143"/>
        <v>0</v>
      </c>
      <c r="P94" s="700">
        <f t="shared" si="143"/>
        <v>0</v>
      </c>
      <c r="Q94" s="700">
        <f t="shared" si="143"/>
        <v>0</v>
      </c>
      <c r="R94" s="700">
        <f t="shared" si="143"/>
        <v>0</v>
      </c>
      <c r="S94" s="700">
        <f t="shared" si="143"/>
        <v>0</v>
      </c>
      <c r="T94" s="700">
        <f t="shared" si="143"/>
        <v>0</v>
      </c>
      <c r="U94" s="700">
        <f t="shared" si="143"/>
        <v>0</v>
      </c>
      <c r="X94" s="1252"/>
      <c r="Y94" s="1252"/>
      <c r="Z94" s="1252"/>
      <c r="AA94" s="1252"/>
      <c r="AB94" s="1252"/>
      <c r="AC94" s="1252"/>
      <c r="AD94" s="1252"/>
      <c r="AE94" s="1252"/>
      <c r="AF94" s="1252"/>
      <c r="AG94" s="1252"/>
      <c r="AH94" s="1252"/>
      <c r="AI94" s="1252"/>
      <c r="AJ94" s="1252"/>
      <c r="AK94" s="1252"/>
      <c r="AL94" s="1252"/>
      <c r="AM94" s="1252"/>
      <c r="AN94" s="1252"/>
      <c r="AO94" s="1252"/>
      <c r="AP94" s="1252"/>
      <c r="AQ94" s="1252"/>
      <c r="AR94" s="1252"/>
      <c r="AS94" s="1252"/>
      <c r="AT94" s="1252"/>
      <c r="AU94" s="1252"/>
      <c r="AV94" s="1252"/>
      <c r="AW94" s="1252"/>
      <c r="AX94" s="1252"/>
      <c r="AY94" s="1252"/>
      <c r="AZ94" s="1252"/>
      <c r="BA94" s="1252"/>
      <c r="BB94" s="1252"/>
      <c r="CF94" s="314"/>
    </row>
    <row r="95" ht="19.5" customHeight="1">
      <c r="B95" s="1594"/>
      <c r="C95" s="1626"/>
      <c r="D95" s="1605" t="str">
        <f>'League Stats'!#REF!</f>
        <v>#ERROR!</v>
      </c>
      <c r="E95" s="1606" t="str">
        <f>'League Stats'!#REF!</f>
        <v>#ERROR!</v>
      </c>
      <c r="F95" s="1598" t="str">
        <f>IF(OR(D95="-",D95=""),"",F91)</f>
        <v>#ERROR!</v>
      </c>
      <c r="G95" s="1608" t="str">
        <f>'League Stats'!#REF!</f>
        <v>#ERROR!</v>
      </c>
      <c r="H95" s="1609" t="str">
        <f>'League Stats'!#REF!</f>
        <v>#ERROR!</v>
      </c>
      <c r="I95" s="1598" t="str">
        <f>IF(OR(G95="-",G95=""),"",I91)</f>
        <v>#ERROR!</v>
      </c>
      <c r="J95" s="1610" t="str">
        <f>'League Stats'!#REF!</f>
        <v>#ERROR!</v>
      </c>
      <c r="K95" s="1611" t="str">
        <f>'League Stats'!#REF!</f>
        <v>#ERROR!</v>
      </c>
      <c r="L95" s="1603" t="str">
        <f>IF(OR(J95="-",J95=""),"",L91)</f>
        <v>#ERROR!</v>
      </c>
      <c r="M95" s="13" t="s">
        <v>1097</v>
      </c>
      <c r="N95" s="700">
        <f t="shared" ref="N95:U95" si="144">IFERROR(IF($M95="YES",IF($D93=N$4,$F93,0)+IF($G93=N$4,$I93,0)+IF($J93=N$4,$L93,0),0),0)</f>
        <v>0</v>
      </c>
      <c r="O95" s="700">
        <f t="shared" si="144"/>
        <v>0</v>
      </c>
      <c r="P95" s="700">
        <f t="shared" si="144"/>
        <v>0</v>
      </c>
      <c r="Q95" s="700">
        <f t="shared" si="144"/>
        <v>0</v>
      </c>
      <c r="R95" s="700">
        <f t="shared" si="144"/>
        <v>0</v>
      </c>
      <c r="S95" s="700">
        <f t="shared" si="144"/>
        <v>0</v>
      </c>
      <c r="T95" s="700">
        <f t="shared" si="144"/>
        <v>0</v>
      </c>
      <c r="U95" s="700">
        <f t="shared" si="144"/>
        <v>0</v>
      </c>
      <c r="X95" s="1252"/>
      <c r="Y95" s="1252"/>
      <c r="Z95" s="1252"/>
      <c r="AA95" s="1252"/>
      <c r="AB95" s="1252"/>
      <c r="AC95" s="1252"/>
      <c r="AD95" s="1252"/>
      <c r="AE95" s="1252"/>
      <c r="AF95" s="1252"/>
      <c r="AG95" s="1252"/>
      <c r="AH95" s="1252"/>
      <c r="AI95" s="1252"/>
      <c r="AJ95" s="1252"/>
      <c r="AK95" s="1252"/>
      <c r="AL95" s="1252"/>
      <c r="AM95" s="1252"/>
      <c r="AN95" s="1252"/>
      <c r="AO95" s="1252"/>
      <c r="AP95" s="1252"/>
      <c r="AQ95" s="1252"/>
      <c r="AR95" s="1252"/>
      <c r="AS95" s="1252"/>
      <c r="AT95" s="1252"/>
      <c r="AU95" s="1252"/>
      <c r="AV95" s="1252"/>
      <c r="AW95" s="1252"/>
      <c r="AX95" s="1252"/>
      <c r="AY95" s="1252"/>
      <c r="AZ95" s="1252"/>
      <c r="BA95" s="1252"/>
      <c r="BB95" s="1252"/>
      <c r="CF95" s="314"/>
    </row>
    <row r="96" ht="19.5" customHeight="1">
      <c r="B96" s="1594"/>
      <c r="C96" s="1626"/>
      <c r="D96" s="1605" t="str">
        <f>'League Stats'!#REF!</f>
        <v>#ERROR!</v>
      </c>
      <c r="E96" s="1606" t="str">
        <f>'League Stats'!#REF!</f>
        <v>#ERROR!</v>
      </c>
      <c r="F96" s="1598" t="str">
        <f>IF(OR(D96="-",D96=""),"",F91)</f>
        <v>#ERROR!</v>
      </c>
      <c r="G96" s="1608" t="str">
        <f>'League Stats'!#REF!</f>
        <v>#ERROR!</v>
      </c>
      <c r="H96" s="1609" t="str">
        <f>'League Stats'!#REF!</f>
        <v>#ERROR!</v>
      </c>
      <c r="I96" s="1598" t="str">
        <f>IF(OR(G96="-",G96=""),"",I91)</f>
        <v>#ERROR!</v>
      </c>
      <c r="J96" s="1610" t="str">
        <f>'League Stats'!#REF!</f>
        <v>#ERROR!</v>
      </c>
      <c r="K96" s="1611" t="str">
        <f>'League Stats'!#REF!</f>
        <v>#ERROR!</v>
      </c>
      <c r="L96" s="1603" t="str">
        <f>IF(OR(J96="-",J96=""),"",L91)</f>
        <v>#ERROR!</v>
      </c>
      <c r="M96" s="13" t="s">
        <v>1097</v>
      </c>
      <c r="N96" s="700">
        <f t="shared" ref="N96:U96" si="145">IFERROR(IF($M96="YES",IF($D94=N$4,$F94,0)+IF($G94=N$4,$I94,0)+IF($J94=N$4,$L94,0),0),0)</f>
        <v>0</v>
      </c>
      <c r="O96" s="700">
        <f t="shared" si="145"/>
        <v>0</v>
      </c>
      <c r="P96" s="700">
        <f t="shared" si="145"/>
        <v>0</v>
      </c>
      <c r="Q96" s="700">
        <f t="shared" si="145"/>
        <v>0</v>
      </c>
      <c r="R96" s="700">
        <f t="shared" si="145"/>
        <v>0</v>
      </c>
      <c r="S96" s="700">
        <f t="shared" si="145"/>
        <v>0</v>
      </c>
      <c r="T96" s="700">
        <f t="shared" si="145"/>
        <v>0</v>
      </c>
      <c r="U96" s="700">
        <f t="shared" si="145"/>
        <v>0</v>
      </c>
      <c r="X96" s="1252"/>
      <c r="Y96" s="1252"/>
      <c r="Z96" s="1252"/>
      <c r="AA96" s="1252"/>
      <c r="AB96" s="1252"/>
      <c r="AC96" s="1252"/>
      <c r="AD96" s="1252"/>
      <c r="AE96" s="1252"/>
      <c r="AF96" s="1252"/>
      <c r="AG96" s="1252"/>
      <c r="AH96" s="1252"/>
      <c r="AI96" s="1252"/>
      <c r="AJ96" s="1252"/>
      <c r="AK96" s="1252"/>
      <c r="AL96" s="1252"/>
      <c r="AM96" s="1252"/>
      <c r="AN96" s="1252"/>
      <c r="AO96" s="1252"/>
      <c r="AP96" s="1252"/>
      <c r="AQ96" s="1252"/>
      <c r="AR96" s="1252"/>
      <c r="AS96" s="1252"/>
      <c r="AT96" s="1252"/>
      <c r="AU96" s="1252"/>
      <c r="AV96" s="1252"/>
      <c r="AW96" s="1252"/>
      <c r="AX96" s="1252"/>
      <c r="AY96" s="1252"/>
      <c r="AZ96" s="1252"/>
      <c r="BA96" s="1252"/>
      <c r="BB96" s="1252"/>
      <c r="CF96" s="314"/>
    </row>
    <row r="97" ht="19.5" customHeight="1">
      <c r="B97" s="1594"/>
      <c r="C97" s="1626"/>
      <c r="D97" s="1605" t="str">
        <f>'League Stats'!#REF!</f>
        <v>#ERROR!</v>
      </c>
      <c r="E97" s="1606" t="str">
        <f>'League Stats'!#REF!</f>
        <v>#ERROR!</v>
      </c>
      <c r="F97" s="1598" t="str">
        <f>IF(OR(D97="-",D97=""),"",F91)</f>
        <v>#ERROR!</v>
      </c>
      <c r="G97" s="1608" t="str">
        <f>'League Stats'!#REF!</f>
        <v>#ERROR!</v>
      </c>
      <c r="H97" s="1609" t="str">
        <f>'League Stats'!#REF!</f>
        <v>#ERROR!</v>
      </c>
      <c r="I97" s="1598" t="str">
        <f>IF(OR(G97="-",G97=""),"",I91)</f>
        <v>#ERROR!</v>
      </c>
      <c r="J97" s="1610" t="str">
        <f>'League Stats'!#REF!</f>
        <v>#ERROR!</v>
      </c>
      <c r="K97" s="1611" t="str">
        <f>'League Stats'!#REF!</f>
        <v>#ERROR!</v>
      </c>
      <c r="L97" s="1603" t="str">
        <f>IF(OR(J97="-",J97=""),"",L91)</f>
        <v>#ERROR!</v>
      </c>
      <c r="M97" s="13" t="s">
        <v>1097</v>
      </c>
      <c r="N97" s="700">
        <f t="shared" ref="N97:U97" si="146">IFERROR(IF($M97="YES",IF($D95=N$4,$F95,0)+IF($G95=N$4,$I95,0)+IF($J95=N$4,$L95,0),0),0)</f>
        <v>0</v>
      </c>
      <c r="O97" s="700">
        <f t="shared" si="146"/>
        <v>0</v>
      </c>
      <c r="P97" s="700">
        <f t="shared" si="146"/>
        <v>0</v>
      </c>
      <c r="Q97" s="700">
        <f t="shared" si="146"/>
        <v>0</v>
      </c>
      <c r="R97" s="700">
        <f t="shared" si="146"/>
        <v>0</v>
      </c>
      <c r="S97" s="700">
        <f t="shared" si="146"/>
        <v>0</v>
      </c>
      <c r="T97" s="700">
        <f t="shared" si="146"/>
        <v>0</v>
      </c>
      <c r="U97" s="700">
        <f t="shared" si="146"/>
        <v>0</v>
      </c>
      <c r="X97" s="1252"/>
      <c r="Y97" s="1252"/>
      <c r="Z97" s="1252"/>
      <c r="AA97" s="1252"/>
      <c r="AB97" s="1252"/>
      <c r="AC97" s="1252"/>
      <c r="AD97" s="1252"/>
      <c r="AE97" s="1252"/>
      <c r="AF97" s="1252"/>
      <c r="AG97" s="1252"/>
      <c r="AH97" s="1252"/>
      <c r="AI97" s="1252"/>
      <c r="AJ97" s="1252"/>
      <c r="AK97" s="1252"/>
      <c r="AL97" s="1252"/>
      <c r="AM97" s="1252"/>
      <c r="AN97" s="1252"/>
      <c r="AO97" s="1252"/>
      <c r="AP97" s="1252"/>
      <c r="AQ97" s="1252"/>
      <c r="AR97" s="1252"/>
      <c r="AS97" s="1252"/>
      <c r="AT97" s="1252"/>
      <c r="AU97" s="1252"/>
      <c r="AV97" s="1252"/>
      <c r="AW97" s="1252"/>
      <c r="AX97" s="1252"/>
      <c r="AY97" s="1252"/>
      <c r="AZ97" s="1252"/>
      <c r="BA97" s="1252"/>
      <c r="BB97" s="1252"/>
      <c r="CF97" s="314"/>
    </row>
    <row r="98" ht="19.5" customHeight="1">
      <c r="B98" s="1613"/>
      <c r="C98" s="1627"/>
      <c r="D98" s="1615" t="str">
        <f>'League Stats'!#REF!</f>
        <v>#ERROR!</v>
      </c>
      <c r="E98" s="1616" t="str">
        <f>'League Stats'!#REF!</f>
        <v>#ERROR!</v>
      </c>
      <c r="F98" s="1617" t="str">
        <f>IF(OR(D98="-",D98=""),"",F91)</f>
        <v>#ERROR!</v>
      </c>
      <c r="G98" s="1618" t="str">
        <f>'League Stats'!#REF!</f>
        <v>#ERROR!</v>
      </c>
      <c r="H98" s="1619" t="str">
        <f>'League Stats'!#REF!</f>
        <v>#ERROR!</v>
      </c>
      <c r="I98" s="1617" t="str">
        <f>IF(OR(G98="-",G98=""),"",I91)</f>
        <v>#ERROR!</v>
      </c>
      <c r="J98" s="1620" t="str">
        <f>'League Stats'!#REF!</f>
        <v>#ERROR!</v>
      </c>
      <c r="K98" s="1621" t="str">
        <f>'League Stats'!#REF!</f>
        <v>#ERROR!</v>
      </c>
      <c r="L98" s="1622" t="str">
        <f>IF(OR(J98="-",J98=""),"",L91)</f>
        <v>#ERROR!</v>
      </c>
      <c r="M98" s="13" t="s">
        <v>1097</v>
      </c>
      <c r="N98" s="700">
        <f t="shared" ref="N98:U98" si="147">IFERROR(IF($M98="YES",IF($D96=N$4,$F96,0)+IF($G96=N$4,$I96,0)+IF($J96=N$4,$L96,0),0),0)</f>
        <v>0</v>
      </c>
      <c r="O98" s="700">
        <f t="shared" si="147"/>
        <v>0</v>
      </c>
      <c r="P98" s="700">
        <f t="shared" si="147"/>
        <v>0</v>
      </c>
      <c r="Q98" s="700">
        <f t="shared" si="147"/>
        <v>0</v>
      </c>
      <c r="R98" s="700">
        <f t="shared" si="147"/>
        <v>0</v>
      </c>
      <c r="S98" s="700">
        <f t="shared" si="147"/>
        <v>0</v>
      </c>
      <c r="T98" s="700">
        <f t="shared" si="147"/>
        <v>0</v>
      </c>
      <c r="U98" s="700">
        <f t="shared" si="147"/>
        <v>0</v>
      </c>
      <c r="X98" s="1252"/>
      <c r="Y98" s="1252"/>
      <c r="Z98" s="1252"/>
      <c r="AA98" s="1252"/>
      <c r="AB98" s="1252"/>
      <c r="AC98" s="1252"/>
      <c r="AD98" s="1252"/>
      <c r="AE98" s="1252"/>
      <c r="AF98" s="1252"/>
      <c r="AG98" s="1252"/>
      <c r="AH98" s="1252"/>
      <c r="AI98" s="1252"/>
      <c r="AJ98" s="1252"/>
      <c r="AK98" s="1252"/>
      <c r="AL98" s="1252"/>
      <c r="AM98" s="1252"/>
      <c r="AN98" s="1252"/>
      <c r="AO98" s="1252"/>
      <c r="AP98" s="1252"/>
      <c r="AQ98" s="1252"/>
      <c r="AR98" s="1252"/>
      <c r="AS98" s="1252"/>
      <c r="AT98" s="1252"/>
      <c r="AU98" s="1252"/>
      <c r="AV98" s="1252"/>
      <c r="AW98" s="1252"/>
      <c r="AX98" s="1252"/>
      <c r="AY98" s="1252"/>
      <c r="AZ98" s="1252"/>
      <c r="BA98" s="1252"/>
      <c r="BB98" s="1252"/>
      <c r="CF98" s="314"/>
    </row>
    <row r="99" ht="19.5" customHeight="1">
      <c r="B99" s="1630" t="s">
        <v>132</v>
      </c>
      <c r="C99" s="1624" t="s">
        <v>202</v>
      </c>
      <c r="D99" s="1586" t="str">
        <f>'League Stats'!#REF!</f>
        <v>#ERROR!</v>
      </c>
      <c r="E99" s="1587" t="str">
        <f>'League Stats'!#REF!</f>
        <v>#ERROR!</v>
      </c>
      <c r="F99" s="1588">
        <v>2.0</v>
      </c>
      <c r="G99" s="1589" t="str">
        <f>'League Stats'!#REF!</f>
        <v>#ERROR!</v>
      </c>
      <c r="H99" s="1590" t="str">
        <f>'League Stats'!#REF!</f>
        <v>#ERROR!</v>
      </c>
      <c r="I99" s="1588">
        <v>1.0</v>
      </c>
      <c r="J99" s="1591" t="str">
        <f>'League Stats'!#REF!</f>
        <v>#ERROR!</v>
      </c>
      <c r="K99" s="1592" t="str">
        <f>'League Stats'!#REF!</f>
        <v>#ERROR!</v>
      </c>
      <c r="L99" s="1593">
        <v>0.5</v>
      </c>
      <c r="M99" s="13" t="s">
        <v>1097</v>
      </c>
      <c r="N99" s="700">
        <f t="shared" ref="N99:U99" si="148">IFERROR(IF($M99="YES",IF($D97=N$4,$F97,0)+IF($G97=N$4,$I97,0)+IF($J97=N$4,$L97,0),0),0)</f>
        <v>0</v>
      </c>
      <c r="O99" s="700">
        <f t="shared" si="148"/>
        <v>0</v>
      </c>
      <c r="P99" s="700">
        <f t="shared" si="148"/>
        <v>0</v>
      </c>
      <c r="Q99" s="700">
        <f t="shared" si="148"/>
        <v>0</v>
      </c>
      <c r="R99" s="700">
        <f t="shared" si="148"/>
        <v>0</v>
      </c>
      <c r="S99" s="700">
        <f t="shared" si="148"/>
        <v>0</v>
      </c>
      <c r="T99" s="700">
        <f t="shared" si="148"/>
        <v>0</v>
      </c>
      <c r="U99" s="700">
        <f t="shared" si="148"/>
        <v>0</v>
      </c>
      <c r="X99" s="1252"/>
      <c r="Y99" s="1252"/>
      <c r="Z99" s="1252"/>
      <c r="AA99" s="1252"/>
      <c r="AB99" s="1252"/>
      <c r="AC99" s="1252"/>
      <c r="AD99" s="1252"/>
      <c r="AE99" s="1252"/>
      <c r="AF99" s="1252"/>
      <c r="AG99" s="1252"/>
      <c r="AH99" s="1252"/>
      <c r="AI99" s="1252"/>
      <c r="AJ99" s="1252"/>
      <c r="AK99" s="1252"/>
      <c r="AL99" s="1252"/>
      <c r="AM99" s="1252"/>
      <c r="AN99" s="1252"/>
      <c r="AO99" s="1252"/>
      <c r="AP99" s="1252"/>
      <c r="AQ99" s="1252"/>
      <c r="AR99" s="1252"/>
      <c r="AS99" s="1252"/>
      <c r="AT99" s="1252"/>
      <c r="AU99" s="1252"/>
      <c r="AV99" s="1252"/>
      <c r="AW99" s="1252"/>
      <c r="AX99" s="1252"/>
      <c r="AY99" s="1252"/>
      <c r="AZ99" s="1252"/>
      <c r="BA99" s="1252"/>
      <c r="BB99" s="1252"/>
      <c r="CF99" s="314"/>
    </row>
    <row r="100" ht="19.5" customHeight="1">
      <c r="B100" s="1594"/>
      <c r="C100" s="1625"/>
      <c r="D100" s="1596" t="str">
        <f>'League Stats'!#REF!</f>
        <v>#ERROR!</v>
      </c>
      <c r="E100" s="1597" t="str">
        <f>'League Stats'!#REF!</f>
        <v>#ERROR!</v>
      </c>
      <c r="F100" s="1598" t="str">
        <f>IF(OR(D100="-",D100=""),"",F99)</f>
        <v>#ERROR!</v>
      </c>
      <c r="G100" s="1599" t="str">
        <f>'League Stats'!#REF!</f>
        <v>#ERROR!</v>
      </c>
      <c r="H100" s="1600" t="str">
        <f>'League Stats'!#REF!</f>
        <v>#ERROR!</v>
      </c>
      <c r="I100" s="1598" t="str">
        <f>IF(OR(G100="-",G100=""),"",I99)</f>
        <v>#ERROR!</v>
      </c>
      <c r="J100" s="1601" t="str">
        <f>'League Stats'!#REF!</f>
        <v>#ERROR!</v>
      </c>
      <c r="K100" s="1602" t="str">
        <f>'League Stats'!#REF!</f>
        <v>#ERROR!</v>
      </c>
      <c r="L100" s="1603" t="str">
        <f>IF(OR(J100="-",J100=""),"",L99)</f>
        <v>#ERROR!</v>
      </c>
      <c r="M100" s="13" t="s">
        <v>1097</v>
      </c>
      <c r="N100" s="700">
        <f t="shared" ref="N100:U100" si="149">IFERROR(IF($M100="YES",IF($D98=N$4,$F98,0)+IF($G98=N$4,$I98,0)+IF($J98=N$4,$L98,0),0),0)</f>
        <v>0</v>
      </c>
      <c r="O100" s="700">
        <f t="shared" si="149"/>
        <v>0</v>
      </c>
      <c r="P100" s="700">
        <f t="shared" si="149"/>
        <v>0</v>
      </c>
      <c r="Q100" s="700">
        <f t="shared" si="149"/>
        <v>0</v>
      </c>
      <c r="R100" s="700">
        <f t="shared" si="149"/>
        <v>0</v>
      </c>
      <c r="S100" s="700">
        <f t="shared" si="149"/>
        <v>0</v>
      </c>
      <c r="T100" s="700">
        <f t="shared" si="149"/>
        <v>0</v>
      </c>
      <c r="U100" s="700">
        <f t="shared" si="149"/>
        <v>0</v>
      </c>
      <c r="X100" s="1252"/>
      <c r="Y100" s="1252"/>
      <c r="Z100" s="1252"/>
      <c r="AA100" s="1252"/>
      <c r="AB100" s="1252"/>
      <c r="AC100" s="1252"/>
      <c r="AD100" s="1252"/>
      <c r="AE100" s="1252"/>
      <c r="AF100" s="1252"/>
      <c r="AG100" s="1252"/>
      <c r="AH100" s="1252"/>
      <c r="AI100" s="1252"/>
      <c r="AJ100" s="1252"/>
      <c r="AK100" s="1252"/>
      <c r="AL100" s="1252"/>
      <c r="AM100" s="1252"/>
      <c r="AN100" s="1252"/>
      <c r="AO100" s="1252"/>
      <c r="AP100" s="1252"/>
      <c r="AQ100" s="1252"/>
      <c r="AR100" s="1252"/>
      <c r="AS100" s="1252"/>
      <c r="AT100" s="1252"/>
      <c r="AU100" s="1252"/>
      <c r="AV100" s="1252"/>
      <c r="AW100" s="1252"/>
      <c r="AX100" s="1252"/>
      <c r="AY100" s="1252"/>
      <c r="AZ100" s="1252"/>
      <c r="BA100" s="1252"/>
      <c r="BB100" s="1252"/>
      <c r="CF100" s="314"/>
    </row>
    <row r="101" ht="19.5" customHeight="1">
      <c r="B101" s="1594"/>
      <c r="C101" s="1625"/>
      <c r="D101" s="1596" t="str">
        <f>'League Stats'!#REF!</f>
        <v>#ERROR!</v>
      </c>
      <c r="E101" s="1597" t="str">
        <f>'League Stats'!#REF!</f>
        <v>#ERROR!</v>
      </c>
      <c r="F101" s="1598" t="str">
        <f>IF(OR(D101="-",D101=""),"",F99)</f>
        <v>#ERROR!</v>
      </c>
      <c r="G101" s="1599" t="str">
        <f>'League Stats'!#REF!</f>
        <v>#ERROR!</v>
      </c>
      <c r="H101" s="1600" t="str">
        <f>'League Stats'!#REF!</f>
        <v>#ERROR!</v>
      </c>
      <c r="I101" s="1598" t="str">
        <f>IF(OR(G101="-",G101=""),"",I99)</f>
        <v>#ERROR!</v>
      </c>
      <c r="J101" s="1601" t="str">
        <f>'League Stats'!#REF!</f>
        <v>#ERROR!</v>
      </c>
      <c r="K101" s="1602" t="str">
        <f>'League Stats'!#REF!</f>
        <v>#ERROR!</v>
      </c>
      <c r="L101" s="1603" t="str">
        <f>IF(OR(J101="-",J101=""),"",L99)</f>
        <v>#ERROR!</v>
      </c>
      <c r="M101" s="13" t="s">
        <v>1097</v>
      </c>
      <c r="N101" s="700">
        <f t="shared" ref="N101:U101" si="150">IFERROR(IF($M101="YES",IF($D99=N$4,$F99,0)+IF($G99=N$4,$I99,0)+IF($J99=N$4,$L99,0),0),0)</f>
        <v>0</v>
      </c>
      <c r="O101" s="700">
        <f t="shared" si="150"/>
        <v>0</v>
      </c>
      <c r="P101" s="700">
        <f t="shared" si="150"/>
        <v>0</v>
      </c>
      <c r="Q101" s="700">
        <f t="shared" si="150"/>
        <v>0</v>
      </c>
      <c r="R101" s="700">
        <f t="shared" si="150"/>
        <v>0</v>
      </c>
      <c r="S101" s="700">
        <f t="shared" si="150"/>
        <v>0</v>
      </c>
      <c r="T101" s="700">
        <f t="shared" si="150"/>
        <v>0</v>
      </c>
      <c r="U101" s="700">
        <f t="shared" si="150"/>
        <v>0</v>
      </c>
      <c r="X101" s="1252"/>
      <c r="Y101" s="1252"/>
      <c r="Z101" s="1252"/>
      <c r="AA101" s="1252"/>
      <c r="AB101" s="1252"/>
      <c r="AC101" s="1252"/>
      <c r="AD101" s="1252"/>
      <c r="AE101" s="1252"/>
      <c r="AF101" s="1252"/>
      <c r="AG101" s="1252"/>
      <c r="AH101" s="1252"/>
      <c r="AI101" s="1252"/>
      <c r="AJ101" s="1252"/>
      <c r="AK101" s="1252"/>
      <c r="AL101" s="1252"/>
      <c r="AM101" s="1252"/>
      <c r="AN101" s="1252"/>
      <c r="AO101" s="1252"/>
      <c r="AP101" s="1252"/>
      <c r="AQ101" s="1252"/>
      <c r="AR101" s="1252"/>
      <c r="AS101" s="1252"/>
      <c r="AT101" s="1252"/>
      <c r="AU101" s="1252"/>
      <c r="AV101" s="1252"/>
      <c r="AW101" s="1252"/>
      <c r="AX101" s="1252"/>
      <c r="AY101" s="1252"/>
      <c r="AZ101" s="1252"/>
      <c r="BA101" s="1252"/>
      <c r="BB101" s="1252"/>
      <c r="CF101" s="314"/>
    </row>
    <row r="102" ht="19.5" customHeight="1">
      <c r="B102" s="1594"/>
      <c r="C102" s="1625"/>
      <c r="D102" s="1596" t="str">
        <f>'League Stats'!#REF!</f>
        <v>#ERROR!</v>
      </c>
      <c r="E102" s="1597" t="str">
        <f>'League Stats'!#REF!</f>
        <v>#ERROR!</v>
      </c>
      <c r="F102" s="1598" t="str">
        <f>IF(OR(D102="-",D102=""),"",F99)</f>
        <v>#ERROR!</v>
      </c>
      <c r="G102" s="1599" t="str">
        <f>'League Stats'!#REF!</f>
        <v>#ERROR!</v>
      </c>
      <c r="H102" s="1600" t="str">
        <f>'League Stats'!#REF!</f>
        <v>#ERROR!</v>
      </c>
      <c r="I102" s="1598" t="str">
        <f>IF(OR(G102="-",G102=""),"",I99)</f>
        <v>#ERROR!</v>
      </c>
      <c r="J102" s="1601" t="str">
        <f>'League Stats'!#REF!</f>
        <v>#ERROR!</v>
      </c>
      <c r="K102" s="1602" t="str">
        <f>'League Stats'!#REF!</f>
        <v>#ERROR!</v>
      </c>
      <c r="L102" s="1603" t="str">
        <f>IF(OR(J102="-",J102=""),"",L99)</f>
        <v>#ERROR!</v>
      </c>
      <c r="M102" s="13" t="s">
        <v>1097</v>
      </c>
      <c r="N102" s="700">
        <f t="shared" ref="N102:U102" si="151">IFERROR(IF($M102="YES",IF($D100=N$4,$F100,0)+IF($G100=N$4,$I100,0)+IF($J100=N$4,$L100,0),0),0)</f>
        <v>0</v>
      </c>
      <c r="O102" s="700">
        <f t="shared" si="151"/>
        <v>0</v>
      </c>
      <c r="P102" s="700">
        <f t="shared" si="151"/>
        <v>0</v>
      </c>
      <c r="Q102" s="700">
        <f t="shared" si="151"/>
        <v>0</v>
      </c>
      <c r="R102" s="700">
        <f t="shared" si="151"/>
        <v>0</v>
      </c>
      <c r="S102" s="700">
        <f t="shared" si="151"/>
        <v>0</v>
      </c>
      <c r="T102" s="700">
        <f t="shared" si="151"/>
        <v>0</v>
      </c>
      <c r="U102" s="700">
        <f t="shared" si="151"/>
        <v>0</v>
      </c>
      <c r="X102" s="1252"/>
      <c r="Y102" s="1252"/>
      <c r="Z102" s="1252"/>
      <c r="AA102" s="1252"/>
      <c r="AB102" s="1252"/>
      <c r="AC102" s="1252"/>
      <c r="AD102" s="1252"/>
      <c r="AE102" s="1252"/>
      <c r="AF102" s="1252"/>
      <c r="AG102" s="1252"/>
      <c r="AH102" s="1252"/>
      <c r="AI102" s="1252"/>
      <c r="AJ102" s="1252"/>
      <c r="AK102" s="1252"/>
      <c r="AL102" s="1252"/>
      <c r="AM102" s="1252"/>
      <c r="AN102" s="1252"/>
      <c r="AO102" s="1252"/>
      <c r="AP102" s="1252"/>
      <c r="AQ102" s="1252"/>
      <c r="AR102" s="1252"/>
      <c r="AS102" s="1252"/>
      <c r="AT102" s="1252"/>
      <c r="AU102" s="1252"/>
      <c r="AV102" s="1252"/>
      <c r="AW102" s="1252"/>
      <c r="AX102" s="1252"/>
      <c r="AY102" s="1252"/>
      <c r="AZ102" s="1252"/>
      <c r="BA102" s="1252"/>
      <c r="BB102" s="1252"/>
      <c r="CF102" s="314"/>
    </row>
    <row r="103" ht="19.5" customHeight="1">
      <c r="B103" s="1594"/>
      <c r="C103" s="1625"/>
      <c r="D103" s="1596" t="str">
        <f>'League Stats'!#REF!</f>
        <v>#ERROR!</v>
      </c>
      <c r="E103" s="1597" t="str">
        <f>'League Stats'!#REF!</f>
        <v>#ERROR!</v>
      </c>
      <c r="F103" s="1598" t="str">
        <f>IF(OR(D103="-",D103=""),"",F99)</f>
        <v>#ERROR!</v>
      </c>
      <c r="G103" s="1599" t="str">
        <f>'League Stats'!#REF!</f>
        <v>#ERROR!</v>
      </c>
      <c r="H103" s="1600" t="str">
        <f>'League Stats'!#REF!</f>
        <v>#ERROR!</v>
      </c>
      <c r="I103" s="1598" t="str">
        <f>IF(OR(G103="-",G103=""),"",I99)</f>
        <v>#ERROR!</v>
      </c>
      <c r="J103" s="1601" t="str">
        <f>'League Stats'!#REF!</f>
        <v>#ERROR!</v>
      </c>
      <c r="K103" s="1602" t="str">
        <f>'League Stats'!#REF!</f>
        <v>#ERROR!</v>
      </c>
      <c r="L103" s="1603" t="str">
        <f>IF(OR(J103="-",J103=""),"",L99)</f>
        <v>#ERROR!</v>
      </c>
      <c r="M103" s="13" t="s">
        <v>1097</v>
      </c>
      <c r="N103" s="700">
        <f t="shared" ref="N103:U103" si="152">IFERROR(IF($M103="YES",IF($D101=N$4,$F101,0)+IF($G101=N$4,$I101,0)+IF($J101=N$4,$L101,0),0),0)</f>
        <v>0</v>
      </c>
      <c r="O103" s="700">
        <f t="shared" si="152"/>
        <v>0</v>
      </c>
      <c r="P103" s="700">
        <f t="shared" si="152"/>
        <v>0</v>
      </c>
      <c r="Q103" s="700">
        <f t="shared" si="152"/>
        <v>0</v>
      </c>
      <c r="R103" s="700">
        <f t="shared" si="152"/>
        <v>0</v>
      </c>
      <c r="S103" s="700">
        <f t="shared" si="152"/>
        <v>0</v>
      </c>
      <c r="T103" s="700">
        <f t="shared" si="152"/>
        <v>0</v>
      </c>
      <c r="U103" s="700">
        <f t="shared" si="152"/>
        <v>0</v>
      </c>
      <c r="X103" s="1252"/>
      <c r="Y103" s="1252"/>
      <c r="Z103" s="1252"/>
      <c r="AA103" s="1252"/>
      <c r="AB103" s="1252"/>
      <c r="AC103" s="1252"/>
      <c r="AD103" s="1252"/>
      <c r="AE103" s="1252"/>
      <c r="AF103" s="1252"/>
      <c r="AG103" s="1252"/>
      <c r="AH103" s="1252"/>
      <c r="AI103" s="1252"/>
      <c r="AJ103" s="1252"/>
      <c r="AK103" s="1252"/>
      <c r="AL103" s="1252"/>
      <c r="AM103" s="1252"/>
      <c r="AN103" s="1252"/>
      <c r="AO103" s="1252"/>
      <c r="AP103" s="1252"/>
      <c r="AQ103" s="1252"/>
      <c r="AR103" s="1252"/>
      <c r="AS103" s="1252"/>
      <c r="AT103" s="1252"/>
      <c r="AU103" s="1252"/>
      <c r="AV103" s="1252"/>
      <c r="AW103" s="1252"/>
      <c r="AX103" s="1252"/>
      <c r="AY103" s="1252"/>
      <c r="AZ103" s="1252"/>
      <c r="BA103" s="1252"/>
      <c r="BB103" s="1252"/>
      <c r="CF103" s="314"/>
    </row>
    <row r="104" ht="19.5" customHeight="1">
      <c r="B104" s="1594"/>
      <c r="C104" s="1625"/>
      <c r="D104" s="1596" t="str">
        <f>'League Stats'!#REF!</f>
        <v>#ERROR!</v>
      </c>
      <c r="E104" s="1597" t="str">
        <f>'League Stats'!#REF!</f>
        <v>#ERROR!</v>
      </c>
      <c r="F104" s="1598" t="str">
        <f>IF(OR(D104="-",D104=""),"",F99)</f>
        <v>#ERROR!</v>
      </c>
      <c r="G104" s="1599" t="str">
        <f>'League Stats'!#REF!</f>
        <v>#ERROR!</v>
      </c>
      <c r="H104" s="1600" t="str">
        <f>'League Stats'!#REF!</f>
        <v>#ERROR!</v>
      </c>
      <c r="I104" s="1598" t="str">
        <f>IF(OR(G104="-",G104=""),"",I99)</f>
        <v>#ERROR!</v>
      </c>
      <c r="J104" s="1601" t="str">
        <f>'League Stats'!#REF!</f>
        <v>#ERROR!</v>
      </c>
      <c r="K104" s="1602" t="str">
        <f>'League Stats'!#REF!</f>
        <v>#ERROR!</v>
      </c>
      <c r="L104" s="1603" t="str">
        <f>IF(OR(J104="-",J104=""),"",L99)</f>
        <v>#ERROR!</v>
      </c>
      <c r="M104" s="13" t="s">
        <v>1097</v>
      </c>
      <c r="N104" s="700">
        <f t="shared" ref="N104:U104" si="153">IFERROR(IF($M104="YES",IF($D102=N$4,$F102,0)+IF($G102=N$4,$I102,0)+IF($J102=N$4,$L102,0),0),0)</f>
        <v>0</v>
      </c>
      <c r="O104" s="700">
        <f t="shared" si="153"/>
        <v>0</v>
      </c>
      <c r="P104" s="700">
        <f t="shared" si="153"/>
        <v>0</v>
      </c>
      <c r="Q104" s="700">
        <f t="shared" si="153"/>
        <v>0</v>
      </c>
      <c r="R104" s="700">
        <f t="shared" si="153"/>
        <v>0</v>
      </c>
      <c r="S104" s="700">
        <f t="shared" si="153"/>
        <v>0</v>
      </c>
      <c r="T104" s="700">
        <f t="shared" si="153"/>
        <v>0</v>
      </c>
      <c r="U104" s="700">
        <f t="shared" si="153"/>
        <v>0</v>
      </c>
      <c r="X104" s="1252"/>
      <c r="Y104" s="1252"/>
      <c r="Z104" s="1252"/>
      <c r="AA104" s="1252"/>
      <c r="AB104" s="1252"/>
      <c r="AC104" s="1252"/>
      <c r="AD104" s="1252"/>
      <c r="AE104" s="1252"/>
      <c r="AF104" s="1252"/>
      <c r="AG104" s="1252"/>
      <c r="AH104" s="1252"/>
      <c r="AI104" s="1252"/>
      <c r="AJ104" s="1252"/>
      <c r="AK104" s="1252"/>
      <c r="AL104" s="1252"/>
      <c r="AM104" s="1252"/>
      <c r="AN104" s="1252"/>
      <c r="AO104" s="1252"/>
      <c r="AP104" s="1252"/>
      <c r="AQ104" s="1252"/>
      <c r="AR104" s="1252"/>
      <c r="AS104" s="1252"/>
      <c r="AT104" s="1252"/>
      <c r="AU104" s="1252"/>
      <c r="AV104" s="1252"/>
      <c r="AW104" s="1252"/>
      <c r="AX104" s="1252"/>
      <c r="AY104" s="1252"/>
      <c r="AZ104" s="1252"/>
      <c r="BA104" s="1252"/>
      <c r="BB104" s="1252"/>
      <c r="CF104" s="314"/>
    </row>
    <row r="105" ht="19.5" customHeight="1">
      <c r="B105" s="1594"/>
      <c r="C105" s="1625"/>
      <c r="D105" s="1596" t="str">
        <f>'League Stats'!#REF!</f>
        <v>#ERROR!</v>
      </c>
      <c r="E105" s="1597" t="str">
        <f>'League Stats'!#REF!</f>
        <v>#ERROR!</v>
      </c>
      <c r="F105" s="1598" t="str">
        <f>IF(OR(D105="-",D105=""),"",F99)</f>
        <v>#ERROR!</v>
      </c>
      <c r="G105" s="1599" t="str">
        <f>'League Stats'!#REF!</f>
        <v>#ERROR!</v>
      </c>
      <c r="H105" s="1600" t="str">
        <f>'League Stats'!#REF!</f>
        <v>#ERROR!</v>
      </c>
      <c r="I105" s="1598" t="str">
        <f>IF(OR(G105="-",G105=""),"",I99)</f>
        <v>#ERROR!</v>
      </c>
      <c r="J105" s="1601" t="str">
        <f>'League Stats'!#REF!</f>
        <v>#ERROR!</v>
      </c>
      <c r="K105" s="1602" t="str">
        <f>'League Stats'!#REF!</f>
        <v>#ERROR!</v>
      </c>
      <c r="L105" s="1603" t="str">
        <f>IF(OR(J105="-",J105=""),"",L99)</f>
        <v>#ERROR!</v>
      </c>
      <c r="M105" s="13" t="s">
        <v>1097</v>
      </c>
      <c r="N105" s="700">
        <f t="shared" ref="N105:U105" si="154">IFERROR(IF($M105="YES",IF($D103=N$4,$F103,0)+IF($G103=N$4,$I103,0)+IF($J103=N$4,$L103,0),0),0)</f>
        <v>0</v>
      </c>
      <c r="O105" s="700">
        <f t="shared" si="154"/>
        <v>0</v>
      </c>
      <c r="P105" s="700">
        <f t="shared" si="154"/>
        <v>0</v>
      </c>
      <c r="Q105" s="700">
        <f t="shared" si="154"/>
        <v>0</v>
      </c>
      <c r="R105" s="700">
        <f t="shared" si="154"/>
        <v>0</v>
      </c>
      <c r="S105" s="700">
        <f t="shared" si="154"/>
        <v>0</v>
      </c>
      <c r="T105" s="700">
        <f t="shared" si="154"/>
        <v>0</v>
      </c>
      <c r="U105" s="700">
        <f t="shared" si="154"/>
        <v>0</v>
      </c>
      <c r="X105" s="1252"/>
      <c r="Y105" s="1252"/>
      <c r="Z105" s="1252"/>
      <c r="AA105" s="1252"/>
      <c r="AB105" s="1252"/>
      <c r="AC105" s="1252"/>
      <c r="AD105" s="1252"/>
      <c r="AE105" s="1252"/>
      <c r="AF105" s="1252"/>
      <c r="AG105" s="1252"/>
      <c r="AH105" s="1252"/>
      <c r="AI105" s="1252"/>
      <c r="AJ105" s="1252"/>
      <c r="AK105" s="1252"/>
      <c r="AL105" s="1252"/>
      <c r="AM105" s="1252"/>
      <c r="AN105" s="1252"/>
      <c r="AO105" s="1252"/>
      <c r="AP105" s="1252"/>
      <c r="AQ105" s="1252"/>
      <c r="AR105" s="1252"/>
      <c r="AS105" s="1252"/>
      <c r="AT105" s="1252"/>
      <c r="AU105" s="1252"/>
      <c r="AV105" s="1252"/>
      <c r="AW105" s="1252"/>
      <c r="AX105" s="1252"/>
      <c r="AY105" s="1252"/>
      <c r="AZ105" s="1252"/>
      <c r="BA105" s="1252"/>
      <c r="BB105" s="1252"/>
      <c r="CF105" s="314"/>
    </row>
    <row r="106" ht="19.5" customHeight="1">
      <c r="B106" s="1594"/>
      <c r="C106" s="1625"/>
      <c r="D106" s="1596" t="str">
        <f>'League Stats'!#REF!</f>
        <v>#ERROR!</v>
      </c>
      <c r="E106" s="1597" t="str">
        <f>'League Stats'!#REF!</f>
        <v>#ERROR!</v>
      </c>
      <c r="F106" s="1598" t="str">
        <f>IF(OR(D106="-",D106=""),"",F99)</f>
        <v>#ERROR!</v>
      </c>
      <c r="G106" s="1599" t="str">
        <f>'League Stats'!#REF!</f>
        <v>#ERROR!</v>
      </c>
      <c r="H106" s="1600" t="str">
        <f>'League Stats'!#REF!</f>
        <v>#ERROR!</v>
      </c>
      <c r="I106" s="1598" t="str">
        <f>IF(OR(G106="-",G106=""),"",I99)</f>
        <v>#ERROR!</v>
      </c>
      <c r="J106" s="1601" t="str">
        <f>'League Stats'!#REF!</f>
        <v>#ERROR!</v>
      </c>
      <c r="K106" s="1602" t="str">
        <f>'League Stats'!#REF!</f>
        <v>#ERROR!</v>
      </c>
      <c r="L106" s="1603" t="str">
        <f>IF(OR(J106="-",J106=""),"",L99)</f>
        <v>#ERROR!</v>
      </c>
      <c r="M106" s="13" t="s">
        <v>1097</v>
      </c>
      <c r="N106" s="700">
        <f t="shared" ref="N106:U106" si="155">IFERROR(IF($M106="YES",IF($D104=N$4,$F104,0)+IF($G104=N$4,$I104,0)+IF($J104=N$4,$L104,0),0),0)</f>
        <v>0</v>
      </c>
      <c r="O106" s="700">
        <f t="shared" si="155"/>
        <v>0</v>
      </c>
      <c r="P106" s="700">
        <f t="shared" si="155"/>
        <v>0</v>
      </c>
      <c r="Q106" s="700">
        <f t="shared" si="155"/>
        <v>0</v>
      </c>
      <c r="R106" s="700">
        <f t="shared" si="155"/>
        <v>0</v>
      </c>
      <c r="S106" s="700">
        <f t="shared" si="155"/>
        <v>0</v>
      </c>
      <c r="T106" s="700">
        <f t="shared" si="155"/>
        <v>0</v>
      </c>
      <c r="U106" s="700">
        <f t="shared" si="155"/>
        <v>0</v>
      </c>
      <c r="X106" s="1252"/>
      <c r="Y106" s="1252"/>
      <c r="Z106" s="1252"/>
      <c r="AA106" s="1252"/>
      <c r="AB106" s="1252"/>
      <c r="AC106" s="1252"/>
      <c r="AD106" s="1252"/>
      <c r="AE106" s="1252"/>
      <c r="AF106" s="1252"/>
      <c r="AG106" s="1252"/>
      <c r="AH106" s="1252"/>
      <c r="AI106" s="1252"/>
      <c r="AJ106" s="1252"/>
      <c r="AK106" s="1252"/>
      <c r="AL106" s="1252"/>
      <c r="AM106" s="1252"/>
      <c r="AN106" s="1252"/>
      <c r="AO106" s="1252"/>
      <c r="AP106" s="1252"/>
      <c r="AQ106" s="1252"/>
      <c r="AR106" s="1252"/>
      <c r="AS106" s="1252"/>
      <c r="AT106" s="1252"/>
      <c r="AU106" s="1252"/>
      <c r="AV106" s="1252"/>
      <c r="AW106" s="1252"/>
      <c r="AX106" s="1252"/>
      <c r="AY106" s="1252"/>
      <c r="AZ106" s="1252"/>
      <c r="BA106" s="1252"/>
      <c r="BB106" s="1252"/>
      <c r="CF106" s="314"/>
    </row>
    <row r="107" ht="19.5" customHeight="1">
      <c r="B107" s="1594"/>
      <c r="C107" s="1626" t="s">
        <v>1782</v>
      </c>
      <c r="D107" s="1605" t="str">
        <f>'League Stats'!#REF!</f>
        <v>#ERROR!</v>
      </c>
      <c r="E107" s="1606" t="str">
        <f>'League Stats'!#REF!</f>
        <v>#ERROR!</v>
      </c>
      <c r="F107" s="1607">
        <v>2.0</v>
      </c>
      <c r="G107" s="1608" t="str">
        <f>'League Stats'!#REF!</f>
        <v>#ERROR!</v>
      </c>
      <c r="H107" s="1609" t="str">
        <f>'League Stats'!#REF!</f>
        <v>#ERROR!</v>
      </c>
      <c r="I107" s="1607">
        <v>1.0</v>
      </c>
      <c r="J107" s="1610" t="str">
        <f>'League Stats'!#REF!</f>
        <v>#ERROR!</v>
      </c>
      <c r="K107" s="1611" t="str">
        <f>'League Stats'!#REF!</f>
        <v>#ERROR!</v>
      </c>
      <c r="L107" s="1612">
        <v>0.5</v>
      </c>
      <c r="M107" s="13" t="s">
        <v>1097</v>
      </c>
      <c r="N107" s="700">
        <f t="shared" ref="N107:U107" si="156">IFERROR(IF($M107="YES",IF($D105=N$4,$F105,0)+IF($G105=N$4,$I105,0)+IF($J105=N$4,$L105,0),0),0)</f>
        <v>0</v>
      </c>
      <c r="O107" s="700">
        <f t="shared" si="156"/>
        <v>0</v>
      </c>
      <c r="P107" s="700">
        <f t="shared" si="156"/>
        <v>0</v>
      </c>
      <c r="Q107" s="700">
        <f t="shared" si="156"/>
        <v>0</v>
      </c>
      <c r="R107" s="700">
        <f t="shared" si="156"/>
        <v>0</v>
      </c>
      <c r="S107" s="700">
        <f t="shared" si="156"/>
        <v>0</v>
      </c>
      <c r="T107" s="700">
        <f t="shared" si="156"/>
        <v>0</v>
      </c>
      <c r="U107" s="700">
        <f t="shared" si="156"/>
        <v>0</v>
      </c>
      <c r="X107" s="1252"/>
      <c r="Y107" s="1252"/>
      <c r="Z107" s="1252"/>
      <c r="AA107" s="1252"/>
      <c r="AB107" s="1252"/>
      <c r="AC107" s="1252"/>
      <c r="AD107" s="1252"/>
      <c r="AE107" s="1252"/>
      <c r="AF107" s="1252"/>
      <c r="AG107" s="1252"/>
      <c r="AH107" s="1252"/>
      <c r="AI107" s="1252"/>
      <c r="AJ107" s="1252"/>
      <c r="AK107" s="1252"/>
      <c r="AL107" s="1252"/>
      <c r="AM107" s="1252"/>
      <c r="AN107" s="1252"/>
      <c r="AO107" s="1252"/>
      <c r="AP107" s="1252"/>
      <c r="AQ107" s="1252"/>
      <c r="AR107" s="1252"/>
      <c r="AS107" s="1252"/>
      <c r="AT107" s="1252"/>
      <c r="AU107" s="1252"/>
      <c r="AV107" s="1252"/>
      <c r="AW107" s="1252"/>
      <c r="AX107" s="1252"/>
      <c r="AY107" s="1252"/>
      <c r="AZ107" s="1252"/>
      <c r="BA107" s="1252"/>
      <c r="BB107" s="1252"/>
      <c r="CF107" s="314"/>
    </row>
    <row r="108" ht="19.5" customHeight="1">
      <c r="B108" s="1594"/>
      <c r="C108" s="1626"/>
      <c r="D108" s="1605" t="str">
        <f>'League Stats'!#REF!</f>
        <v>#ERROR!</v>
      </c>
      <c r="E108" s="1606" t="str">
        <f>'League Stats'!#REF!</f>
        <v>#ERROR!</v>
      </c>
      <c r="F108" s="1598" t="str">
        <f>IF(OR(D108="-",D108=""),"",F107)</f>
        <v>#ERROR!</v>
      </c>
      <c r="G108" s="1608" t="str">
        <f>'League Stats'!#REF!</f>
        <v>#ERROR!</v>
      </c>
      <c r="H108" s="1609" t="str">
        <f>'League Stats'!#REF!</f>
        <v>#ERROR!</v>
      </c>
      <c r="I108" s="1598" t="str">
        <f>IF(OR(G108="-",G108=""),"",I107)</f>
        <v>#ERROR!</v>
      </c>
      <c r="J108" s="1610" t="str">
        <f>'League Stats'!#REF!</f>
        <v>#ERROR!</v>
      </c>
      <c r="K108" s="1611" t="str">
        <f>'League Stats'!#REF!</f>
        <v>#ERROR!</v>
      </c>
      <c r="L108" s="1603" t="str">
        <f>IF(OR(J108="-",J108=""),"",L107)</f>
        <v>#ERROR!</v>
      </c>
      <c r="M108" s="13" t="s">
        <v>1097</v>
      </c>
      <c r="N108" s="700">
        <f t="shared" ref="N108:U108" si="157">IFERROR(IF($M108="YES",IF($D106=N$4,$F106,0)+IF($G106=N$4,$I106,0)+IF($J106=N$4,$L106,0),0),0)</f>
        <v>0</v>
      </c>
      <c r="O108" s="700">
        <f t="shared" si="157"/>
        <v>0</v>
      </c>
      <c r="P108" s="700">
        <f t="shared" si="157"/>
        <v>0</v>
      </c>
      <c r="Q108" s="700">
        <f t="shared" si="157"/>
        <v>0</v>
      </c>
      <c r="R108" s="700">
        <f t="shared" si="157"/>
        <v>0</v>
      </c>
      <c r="S108" s="700">
        <f t="shared" si="157"/>
        <v>0</v>
      </c>
      <c r="T108" s="700">
        <f t="shared" si="157"/>
        <v>0</v>
      </c>
      <c r="U108" s="700">
        <f t="shared" si="157"/>
        <v>0</v>
      </c>
      <c r="X108" s="1252"/>
      <c r="Y108" s="1252"/>
      <c r="Z108" s="1252"/>
      <c r="AA108" s="1252"/>
      <c r="AB108" s="1252"/>
      <c r="AC108" s="1252"/>
      <c r="AD108" s="1252"/>
      <c r="AE108" s="1252"/>
      <c r="AF108" s="1252"/>
      <c r="AG108" s="1252"/>
      <c r="AH108" s="1252"/>
      <c r="AI108" s="1252"/>
      <c r="AJ108" s="1252"/>
      <c r="AK108" s="1252"/>
      <c r="AL108" s="1252"/>
      <c r="AM108" s="1252"/>
      <c r="AN108" s="1252"/>
      <c r="AO108" s="1252"/>
      <c r="AP108" s="1252"/>
      <c r="AQ108" s="1252"/>
      <c r="AR108" s="1252"/>
      <c r="AS108" s="1252"/>
      <c r="AT108" s="1252"/>
      <c r="AU108" s="1252"/>
      <c r="AV108" s="1252"/>
      <c r="AW108" s="1252"/>
      <c r="AX108" s="1252"/>
      <c r="AY108" s="1252"/>
      <c r="AZ108" s="1252"/>
      <c r="BA108" s="1252"/>
      <c r="BB108" s="1252"/>
      <c r="CF108" s="314"/>
    </row>
    <row r="109" ht="19.5" customHeight="1">
      <c r="B109" s="1594"/>
      <c r="C109" s="1626"/>
      <c r="D109" s="1605" t="str">
        <f>'League Stats'!#REF!</f>
        <v>#ERROR!</v>
      </c>
      <c r="E109" s="1606" t="str">
        <f>'League Stats'!#REF!</f>
        <v>#ERROR!</v>
      </c>
      <c r="F109" s="1598" t="str">
        <f>IF(OR(D109="-",D109=""),"",F107)</f>
        <v>#ERROR!</v>
      </c>
      <c r="G109" s="1608" t="str">
        <f>'League Stats'!#REF!</f>
        <v>#ERROR!</v>
      </c>
      <c r="H109" s="1609" t="str">
        <f>'League Stats'!#REF!</f>
        <v>#ERROR!</v>
      </c>
      <c r="I109" s="1598" t="str">
        <f>IF(OR(G109="-",G109=""),"",I107)</f>
        <v>#ERROR!</v>
      </c>
      <c r="J109" s="1610" t="str">
        <f>'League Stats'!#REF!</f>
        <v>#ERROR!</v>
      </c>
      <c r="K109" s="1611" t="str">
        <f>'League Stats'!#REF!</f>
        <v>#ERROR!</v>
      </c>
      <c r="L109" s="1603" t="str">
        <f>IF(OR(J109="-",J109=""),"",L107)</f>
        <v>#ERROR!</v>
      </c>
      <c r="M109" s="13" t="s">
        <v>1097</v>
      </c>
      <c r="N109" s="700">
        <f t="shared" ref="N109:U109" si="158">IFERROR(IF($M109="YES",IF($D107=N$4,$F107,0)+IF($G107=N$4,$I107,0)+IF($J107=N$4,$L107,0),0),0)</f>
        <v>0</v>
      </c>
      <c r="O109" s="700">
        <f t="shared" si="158"/>
        <v>0</v>
      </c>
      <c r="P109" s="700">
        <f t="shared" si="158"/>
        <v>0</v>
      </c>
      <c r="Q109" s="700">
        <f t="shared" si="158"/>
        <v>0</v>
      </c>
      <c r="R109" s="700">
        <f t="shared" si="158"/>
        <v>0</v>
      </c>
      <c r="S109" s="700">
        <f t="shared" si="158"/>
        <v>0</v>
      </c>
      <c r="T109" s="700">
        <f t="shared" si="158"/>
        <v>0</v>
      </c>
      <c r="U109" s="700">
        <f t="shared" si="158"/>
        <v>0</v>
      </c>
      <c r="X109" s="1252"/>
      <c r="Y109" s="1252"/>
      <c r="Z109" s="1252"/>
      <c r="AA109" s="1252"/>
      <c r="AB109" s="1252"/>
      <c r="AC109" s="1252"/>
      <c r="AD109" s="1252"/>
      <c r="AE109" s="1252"/>
      <c r="AF109" s="1252"/>
      <c r="AG109" s="1252"/>
      <c r="AH109" s="1252"/>
      <c r="AI109" s="1252"/>
      <c r="AJ109" s="1252"/>
      <c r="AK109" s="1252"/>
      <c r="AL109" s="1252"/>
      <c r="AM109" s="1252"/>
      <c r="AN109" s="1252"/>
      <c r="AO109" s="1252"/>
      <c r="AP109" s="1252"/>
      <c r="AQ109" s="1252"/>
      <c r="AR109" s="1252"/>
      <c r="AS109" s="1252"/>
      <c r="AT109" s="1252"/>
      <c r="AU109" s="1252"/>
      <c r="AV109" s="1252"/>
      <c r="AW109" s="1252"/>
      <c r="AX109" s="1252"/>
      <c r="AY109" s="1252"/>
      <c r="AZ109" s="1252"/>
      <c r="BA109" s="1252"/>
      <c r="BB109" s="1252"/>
      <c r="CF109" s="314"/>
    </row>
    <row r="110" ht="19.5" customHeight="1">
      <c r="B110" s="1594"/>
      <c r="C110" s="1626"/>
      <c r="D110" s="1605" t="str">
        <f>'League Stats'!#REF!</f>
        <v>#ERROR!</v>
      </c>
      <c r="E110" s="1606" t="str">
        <f>'League Stats'!#REF!</f>
        <v>#ERROR!</v>
      </c>
      <c r="F110" s="1598" t="str">
        <f>IF(OR(D110="-",D110=""),"",F107)</f>
        <v>#ERROR!</v>
      </c>
      <c r="G110" s="1608" t="str">
        <f>'League Stats'!#REF!</f>
        <v>#ERROR!</v>
      </c>
      <c r="H110" s="1609" t="str">
        <f>'League Stats'!#REF!</f>
        <v>#ERROR!</v>
      </c>
      <c r="I110" s="1598" t="str">
        <f>IF(OR(G110="-",G110=""),"",I107)</f>
        <v>#ERROR!</v>
      </c>
      <c r="J110" s="1610" t="str">
        <f>'League Stats'!#REF!</f>
        <v>#ERROR!</v>
      </c>
      <c r="K110" s="1611" t="str">
        <f>'League Stats'!#REF!</f>
        <v>#ERROR!</v>
      </c>
      <c r="L110" s="1603" t="str">
        <f>IF(OR(J110="-",J110=""),"",L107)</f>
        <v>#ERROR!</v>
      </c>
      <c r="M110" s="13" t="s">
        <v>1097</v>
      </c>
      <c r="N110" s="700">
        <f t="shared" ref="N110:U110" si="159">IFERROR(IF($M110="YES",IF($D108=N$4,$F108,0)+IF($G108=N$4,$I108,0)+IF($J108=N$4,$L108,0),0),0)</f>
        <v>0</v>
      </c>
      <c r="O110" s="700">
        <f t="shared" si="159"/>
        <v>0</v>
      </c>
      <c r="P110" s="700">
        <f t="shared" si="159"/>
        <v>0</v>
      </c>
      <c r="Q110" s="700">
        <f t="shared" si="159"/>
        <v>0</v>
      </c>
      <c r="R110" s="700">
        <f t="shared" si="159"/>
        <v>0</v>
      </c>
      <c r="S110" s="700">
        <f t="shared" si="159"/>
        <v>0</v>
      </c>
      <c r="T110" s="700">
        <f t="shared" si="159"/>
        <v>0</v>
      </c>
      <c r="U110" s="700">
        <f t="shared" si="159"/>
        <v>0</v>
      </c>
      <c r="X110" s="1252"/>
      <c r="Y110" s="1252"/>
      <c r="Z110" s="1252"/>
      <c r="AA110" s="1252"/>
      <c r="AB110" s="1252"/>
      <c r="AC110" s="1252"/>
      <c r="AD110" s="1252"/>
      <c r="AE110" s="1252"/>
      <c r="AF110" s="1252"/>
      <c r="AG110" s="1252"/>
      <c r="AH110" s="1252"/>
      <c r="AI110" s="1252"/>
      <c r="AJ110" s="1252"/>
      <c r="AK110" s="1252"/>
      <c r="AL110" s="1252"/>
      <c r="AM110" s="1252"/>
      <c r="AN110" s="1252"/>
      <c r="AO110" s="1252"/>
      <c r="AP110" s="1252"/>
      <c r="AQ110" s="1252"/>
      <c r="AR110" s="1252"/>
      <c r="AS110" s="1252"/>
      <c r="AT110" s="1252"/>
      <c r="AU110" s="1252"/>
      <c r="AV110" s="1252"/>
      <c r="AW110" s="1252"/>
      <c r="AX110" s="1252"/>
      <c r="AY110" s="1252"/>
      <c r="AZ110" s="1252"/>
      <c r="BA110" s="1252"/>
      <c r="BB110" s="1252"/>
      <c r="CF110" s="314"/>
    </row>
    <row r="111" ht="19.5" customHeight="1">
      <c r="B111" s="1594"/>
      <c r="C111" s="1626"/>
      <c r="D111" s="1605" t="str">
        <f>'League Stats'!#REF!</f>
        <v>#ERROR!</v>
      </c>
      <c r="E111" s="1606" t="str">
        <f>'League Stats'!#REF!</f>
        <v>#ERROR!</v>
      </c>
      <c r="F111" s="1598" t="str">
        <f>IF(OR(D111="-",D111=""),"",F107)</f>
        <v>#ERROR!</v>
      </c>
      <c r="G111" s="1608" t="str">
        <f>'League Stats'!#REF!</f>
        <v>#ERROR!</v>
      </c>
      <c r="H111" s="1609" t="str">
        <f>'League Stats'!#REF!</f>
        <v>#ERROR!</v>
      </c>
      <c r="I111" s="1598" t="str">
        <f>IF(OR(G111="-",G111=""),"",I107)</f>
        <v>#ERROR!</v>
      </c>
      <c r="J111" s="1610" t="str">
        <f>'League Stats'!#REF!</f>
        <v>#ERROR!</v>
      </c>
      <c r="K111" s="1611" t="str">
        <f>'League Stats'!#REF!</f>
        <v>#ERROR!</v>
      </c>
      <c r="L111" s="1603" t="str">
        <f>IF(OR(J111="-",J111=""),"",L107)</f>
        <v>#ERROR!</v>
      </c>
      <c r="M111" s="13" t="s">
        <v>1097</v>
      </c>
      <c r="N111" s="700">
        <f t="shared" ref="N111:U111" si="160">IFERROR(IF($M111="YES",IF($D109=N$4,$F109,0)+IF($G109=N$4,$I109,0)+IF($J109=N$4,$L109,0),0),0)</f>
        <v>0</v>
      </c>
      <c r="O111" s="700">
        <f t="shared" si="160"/>
        <v>0</v>
      </c>
      <c r="P111" s="700">
        <f t="shared" si="160"/>
        <v>0</v>
      </c>
      <c r="Q111" s="700">
        <f t="shared" si="160"/>
        <v>0</v>
      </c>
      <c r="R111" s="700">
        <f t="shared" si="160"/>
        <v>0</v>
      </c>
      <c r="S111" s="700">
        <f t="shared" si="160"/>
        <v>0</v>
      </c>
      <c r="T111" s="700">
        <f t="shared" si="160"/>
        <v>0</v>
      </c>
      <c r="U111" s="700">
        <f t="shared" si="160"/>
        <v>0</v>
      </c>
      <c r="X111" s="1252"/>
      <c r="Y111" s="1252"/>
      <c r="Z111" s="1252"/>
      <c r="AA111" s="1252"/>
      <c r="AB111" s="1252"/>
      <c r="AC111" s="1252"/>
      <c r="AD111" s="1252"/>
      <c r="AE111" s="1252"/>
      <c r="AF111" s="1252"/>
      <c r="AG111" s="1252"/>
      <c r="AH111" s="1252"/>
      <c r="AI111" s="1252"/>
      <c r="AJ111" s="1252"/>
      <c r="AK111" s="1252"/>
      <c r="AL111" s="1252"/>
      <c r="AM111" s="1252"/>
      <c r="AN111" s="1252"/>
      <c r="AO111" s="1252"/>
      <c r="AP111" s="1252"/>
      <c r="AQ111" s="1252"/>
      <c r="AR111" s="1252"/>
      <c r="AS111" s="1252"/>
      <c r="AT111" s="1252"/>
      <c r="AU111" s="1252"/>
      <c r="AV111" s="1252"/>
      <c r="AW111" s="1252"/>
      <c r="AX111" s="1252"/>
      <c r="AY111" s="1252"/>
      <c r="AZ111" s="1252"/>
      <c r="BA111" s="1252"/>
      <c r="BB111" s="1252"/>
      <c r="CF111" s="314"/>
    </row>
    <row r="112" ht="19.5" customHeight="1">
      <c r="B112" s="1594"/>
      <c r="C112" s="1626"/>
      <c r="D112" s="1605" t="str">
        <f>'League Stats'!#REF!</f>
        <v>#ERROR!</v>
      </c>
      <c r="E112" s="1606" t="str">
        <f>'League Stats'!#REF!</f>
        <v>#ERROR!</v>
      </c>
      <c r="F112" s="1598" t="str">
        <f>IF(OR(D112="-",D112=""),"",F107)</f>
        <v>#ERROR!</v>
      </c>
      <c r="G112" s="1608" t="str">
        <f>'League Stats'!#REF!</f>
        <v>#ERROR!</v>
      </c>
      <c r="H112" s="1609" t="str">
        <f>'League Stats'!#REF!</f>
        <v>#ERROR!</v>
      </c>
      <c r="I112" s="1598" t="str">
        <f>IF(OR(G112="-",G112=""),"",I107)</f>
        <v>#ERROR!</v>
      </c>
      <c r="J112" s="1610" t="str">
        <f>'League Stats'!#REF!</f>
        <v>#ERROR!</v>
      </c>
      <c r="K112" s="1611" t="str">
        <f>'League Stats'!#REF!</f>
        <v>#ERROR!</v>
      </c>
      <c r="L112" s="1603" t="str">
        <f>IF(OR(J112="-",J112=""),"",L107)</f>
        <v>#ERROR!</v>
      </c>
      <c r="M112" s="13" t="s">
        <v>1097</v>
      </c>
      <c r="N112" s="700">
        <f t="shared" ref="N112:U112" si="161">IFERROR(IF($M112="YES",IF($D110=N$4,$F110,0)+IF($G110=N$4,$I110,0)+IF($J110=N$4,$L110,0),0),0)</f>
        <v>0</v>
      </c>
      <c r="O112" s="700">
        <f t="shared" si="161"/>
        <v>0</v>
      </c>
      <c r="P112" s="700">
        <f t="shared" si="161"/>
        <v>0</v>
      </c>
      <c r="Q112" s="700">
        <f t="shared" si="161"/>
        <v>0</v>
      </c>
      <c r="R112" s="700">
        <f t="shared" si="161"/>
        <v>0</v>
      </c>
      <c r="S112" s="700">
        <f t="shared" si="161"/>
        <v>0</v>
      </c>
      <c r="T112" s="700">
        <f t="shared" si="161"/>
        <v>0</v>
      </c>
      <c r="U112" s="700">
        <f t="shared" si="161"/>
        <v>0</v>
      </c>
      <c r="X112" s="1252"/>
      <c r="Y112" s="1252"/>
      <c r="Z112" s="1252"/>
      <c r="AA112" s="1252"/>
      <c r="AB112" s="1252"/>
      <c r="AC112" s="1252"/>
      <c r="AD112" s="1252"/>
      <c r="AE112" s="1252"/>
      <c r="AF112" s="1252"/>
      <c r="AG112" s="1252"/>
      <c r="AH112" s="1252"/>
      <c r="AI112" s="1252"/>
      <c r="AJ112" s="1252"/>
      <c r="AK112" s="1252"/>
      <c r="AL112" s="1252"/>
      <c r="AM112" s="1252"/>
      <c r="AN112" s="1252"/>
      <c r="AO112" s="1252"/>
      <c r="AP112" s="1252"/>
      <c r="AQ112" s="1252"/>
      <c r="AR112" s="1252"/>
      <c r="AS112" s="1252"/>
      <c r="AT112" s="1252"/>
      <c r="AU112" s="1252"/>
      <c r="AV112" s="1252"/>
      <c r="AW112" s="1252"/>
      <c r="AX112" s="1252"/>
      <c r="AY112" s="1252"/>
      <c r="AZ112" s="1252"/>
      <c r="BA112" s="1252"/>
      <c r="BB112" s="1252"/>
      <c r="CF112" s="314"/>
    </row>
    <row r="113" ht="19.5" customHeight="1">
      <c r="B113" s="1594"/>
      <c r="C113" s="1626"/>
      <c r="D113" s="1605" t="str">
        <f>'League Stats'!#REF!</f>
        <v>#ERROR!</v>
      </c>
      <c r="E113" s="1606" t="str">
        <f>'League Stats'!#REF!</f>
        <v>#ERROR!</v>
      </c>
      <c r="F113" s="1598" t="str">
        <f>IF(OR(D113="-",D113=""),"",F107)</f>
        <v>#ERROR!</v>
      </c>
      <c r="G113" s="1608" t="str">
        <f>'League Stats'!#REF!</f>
        <v>#ERROR!</v>
      </c>
      <c r="H113" s="1609" t="str">
        <f>'League Stats'!#REF!</f>
        <v>#ERROR!</v>
      </c>
      <c r="I113" s="1598" t="str">
        <f>IF(OR(G113="-",G113=""),"",I107)</f>
        <v>#ERROR!</v>
      </c>
      <c r="J113" s="1610" t="str">
        <f>'League Stats'!#REF!</f>
        <v>#ERROR!</v>
      </c>
      <c r="K113" s="1611" t="str">
        <f>'League Stats'!#REF!</f>
        <v>#ERROR!</v>
      </c>
      <c r="L113" s="1603" t="str">
        <f>IF(OR(J113="-",J113=""),"",L107)</f>
        <v>#ERROR!</v>
      </c>
      <c r="M113" s="13" t="s">
        <v>1097</v>
      </c>
      <c r="N113" s="700">
        <f t="shared" ref="N113:U113" si="162">IFERROR(IF($M113="YES",IF($D111=N$4,$F111,0)+IF($G111=N$4,$I111,0)+IF($J111=N$4,$L111,0),0),0)</f>
        <v>0</v>
      </c>
      <c r="O113" s="700">
        <f t="shared" si="162"/>
        <v>0</v>
      </c>
      <c r="P113" s="700">
        <f t="shared" si="162"/>
        <v>0</v>
      </c>
      <c r="Q113" s="700">
        <f t="shared" si="162"/>
        <v>0</v>
      </c>
      <c r="R113" s="700">
        <f t="shared" si="162"/>
        <v>0</v>
      </c>
      <c r="S113" s="700">
        <f t="shared" si="162"/>
        <v>0</v>
      </c>
      <c r="T113" s="700">
        <f t="shared" si="162"/>
        <v>0</v>
      </c>
      <c r="U113" s="700">
        <f t="shared" si="162"/>
        <v>0</v>
      </c>
      <c r="X113" s="1252"/>
      <c r="Y113" s="1252"/>
      <c r="Z113" s="1252"/>
      <c r="AA113" s="1252"/>
      <c r="AB113" s="1252"/>
      <c r="AC113" s="1252"/>
      <c r="AD113" s="1252"/>
      <c r="AE113" s="1252"/>
      <c r="AF113" s="1252"/>
      <c r="AG113" s="1252"/>
      <c r="AH113" s="1252"/>
      <c r="AI113" s="1252"/>
      <c r="AJ113" s="1252"/>
      <c r="AK113" s="1252"/>
      <c r="AL113" s="1252"/>
      <c r="AM113" s="1252"/>
      <c r="AN113" s="1252"/>
      <c r="AO113" s="1252"/>
      <c r="AP113" s="1252"/>
      <c r="AQ113" s="1252"/>
      <c r="AR113" s="1252"/>
      <c r="AS113" s="1252"/>
      <c r="AT113" s="1252"/>
      <c r="AU113" s="1252"/>
      <c r="AV113" s="1252"/>
      <c r="AW113" s="1252"/>
      <c r="AX113" s="1252"/>
      <c r="AY113" s="1252"/>
      <c r="AZ113" s="1252"/>
      <c r="BA113" s="1252"/>
      <c r="BB113" s="1252"/>
      <c r="CF113" s="314"/>
    </row>
    <row r="114" ht="19.5" customHeight="1">
      <c r="B114" s="1613"/>
      <c r="C114" s="1627"/>
      <c r="D114" s="1615" t="str">
        <f>'League Stats'!#REF!</f>
        <v>#ERROR!</v>
      </c>
      <c r="E114" s="1616" t="str">
        <f>'League Stats'!#REF!</f>
        <v>#ERROR!</v>
      </c>
      <c r="F114" s="1617" t="str">
        <f>IF(OR(D114="-",D114=""),"",F107)</f>
        <v>#ERROR!</v>
      </c>
      <c r="G114" s="1618" t="str">
        <f>'League Stats'!#REF!</f>
        <v>#ERROR!</v>
      </c>
      <c r="H114" s="1619" t="str">
        <f>'League Stats'!#REF!</f>
        <v>#ERROR!</v>
      </c>
      <c r="I114" s="1617" t="str">
        <f>IF(OR(G114="-",G114=""),"",I107)</f>
        <v>#ERROR!</v>
      </c>
      <c r="J114" s="1620" t="str">
        <f>'League Stats'!#REF!</f>
        <v>#ERROR!</v>
      </c>
      <c r="K114" s="1621" t="str">
        <f>'League Stats'!#REF!</f>
        <v>#ERROR!</v>
      </c>
      <c r="L114" s="1622" t="str">
        <f>IF(OR(J114="-",J114=""),"",L107)</f>
        <v>#ERROR!</v>
      </c>
      <c r="M114" s="13" t="s">
        <v>1097</v>
      </c>
      <c r="N114" s="700">
        <f t="shared" ref="N114:U114" si="163">IFERROR(IF($M114="YES",IF($D112=N$4,$F112,0)+IF($G112=N$4,$I112,0)+IF($J112=N$4,$L112,0),0),0)</f>
        <v>0</v>
      </c>
      <c r="O114" s="700">
        <f t="shared" si="163"/>
        <v>0</v>
      </c>
      <c r="P114" s="700">
        <f t="shared" si="163"/>
        <v>0</v>
      </c>
      <c r="Q114" s="700">
        <f t="shared" si="163"/>
        <v>0</v>
      </c>
      <c r="R114" s="700">
        <f t="shared" si="163"/>
        <v>0</v>
      </c>
      <c r="S114" s="700">
        <f t="shared" si="163"/>
        <v>0</v>
      </c>
      <c r="T114" s="700">
        <f t="shared" si="163"/>
        <v>0</v>
      </c>
      <c r="U114" s="700">
        <f t="shared" si="163"/>
        <v>0</v>
      </c>
      <c r="X114" s="1252"/>
      <c r="Y114" s="1252"/>
      <c r="Z114" s="1252"/>
      <c r="AA114" s="1252"/>
      <c r="AB114" s="1252"/>
      <c r="AC114" s="1252"/>
      <c r="AD114" s="1252"/>
      <c r="AE114" s="1252"/>
      <c r="AF114" s="1252"/>
      <c r="AG114" s="1252"/>
      <c r="AH114" s="1252"/>
      <c r="AI114" s="1252"/>
      <c r="AJ114" s="1252"/>
      <c r="AK114" s="1252"/>
      <c r="AL114" s="1252"/>
      <c r="AM114" s="1252"/>
      <c r="AN114" s="1252"/>
      <c r="AO114" s="1252"/>
      <c r="AP114" s="1252"/>
      <c r="AQ114" s="1252"/>
      <c r="AR114" s="1252"/>
      <c r="AS114" s="1252"/>
      <c r="AT114" s="1252"/>
      <c r="AU114" s="1252"/>
      <c r="AV114" s="1252"/>
      <c r="AW114" s="1252"/>
      <c r="AX114" s="1252"/>
      <c r="AY114" s="1252"/>
      <c r="AZ114" s="1252"/>
      <c r="BA114" s="1252"/>
      <c r="BB114" s="1252"/>
      <c r="CF114" s="314"/>
    </row>
    <row r="115" ht="19.5" customHeight="1">
      <c r="B115" s="1631" t="s">
        <v>136</v>
      </c>
      <c r="C115" s="1624" t="s">
        <v>202</v>
      </c>
      <c r="D115" s="1586" t="str">
        <f>'League Stats'!#REF!</f>
        <v>#ERROR!</v>
      </c>
      <c r="E115" s="1587" t="str">
        <f>'League Stats'!#REF!</f>
        <v>#ERROR!</v>
      </c>
      <c r="F115" s="1588">
        <v>2.0</v>
      </c>
      <c r="G115" s="1589" t="str">
        <f>'League Stats'!#REF!</f>
        <v>#ERROR!</v>
      </c>
      <c r="H115" s="1590" t="str">
        <f>'League Stats'!#REF!</f>
        <v>#ERROR!</v>
      </c>
      <c r="I115" s="1588">
        <v>1.0</v>
      </c>
      <c r="J115" s="1591" t="str">
        <f>'League Stats'!#REF!</f>
        <v>#ERROR!</v>
      </c>
      <c r="K115" s="1592" t="str">
        <f>'League Stats'!#REF!</f>
        <v>#ERROR!</v>
      </c>
      <c r="L115" s="1593">
        <v>0.5</v>
      </c>
      <c r="M115" s="13" t="s">
        <v>1097</v>
      </c>
      <c r="N115" s="700">
        <f t="shared" ref="N115:U115" si="164">IFERROR(IF($M115="YES",IF($D113=N$4,$F113,0)+IF($G113=N$4,$I113,0)+IF($J113=N$4,$L113,0),0),0)</f>
        <v>0</v>
      </c>
      <c r="O115" s="700">
        <f t="shared" si="164"/>
        <v>0</v>
      </c>
      <c r="P115" s="700">
        <f t="shared" si="164"/>
        <v>0</v>
      </c>
      <c r="Q115" s="700">
        <f t="shared" si="164"/>
        <v>0</v>
      </c>
      <c r="R115" s="700">
        <f t="shared" si="164"/>
        <v>0</v>
      </c>
      <c r="S115" s="700">
        <f t="shared" si="164"/>
        <v>0</v>
      </c>
      <c r="T115" s="700">
        <f t="shared" si="164"/>
        <v>0</v>
      </c>
      <c r="U115" s="700">
        <f t="shared" si="164"/>
        <v>0</v>
      </c>
      <c r="X115" s="1252"/>
      <c r="Y115" s="1252"/>
      <c r="Z115" s="1252"/>
      <c r="AA115" s="1252"/>
      <c r="AB115" s="1252"/>
      <c r="AC115" s="1252"/>
      <c r="AD115" s="1252"/>
      <c r="AE115" s="1252"/>
      <c r="AF115" s="1252"/>
      <c r="AG115" s="1252"/>
      <c r="AH115" s="1252"/>
      <c r="AI115" s="1252"/>
      <c r="AJ115" s="1252"/>
      <c r="AK115" s="1252"/>
      <c r="AL115" s="1252"/>
      <c r="AM115" s="1252"/>
      <c r="AN115" s="1252"/>
      <c r="AO115" s="1252"/>
      <c r="AP115" s="1252"/>
      <c r="AQ115" s="1252"/>
      <c r="AR115" s="1252"/>
      <c r="AS115" s="1252"/>
      <c r="AT115" s="1252"/>
      <c r="AU115" s="1252"/>
      <c r="AV115" s="1252"/>
      <c r="AW115" s="1252"/>
      <c r="AX115" s="1252"/>
      <c r="AY115" s="1252"/>
      <c r="AZ115" s="1252"/>
      <c r="BA115" s="1252"/>
      <c r="BB115" s="1252"/>
      <c r="CF115" s="314"/>
    </row>
    <row r="116" ht="19.5" customHeight="1">
      <c r="B116" s="1594"/>
      <c r="C116" s="1625"/>
      <c r="D116" s="1596" t="str">
        <f>'League Stats'!#REF!</f>
        <v>#ERROR!</v>
      </c>
      <c r="E116" s="1597" t="str">
        <f>'League Stats'!#REF!</f>
        <v>#ERROR!</v>
      </c>
      <c r="F116" s="1598" t="str">
        <f>IF(OR(D116="-",D116=""),"",F115)</f>
        <v>#ERROR!</v>
      </c>
      <c r="G116" s="1599" t="str">
        <f>'League Stats'!#REF!</f>
        <v>#ERROR!</v>
      </c>
      <c r="H116" s="1600" t="str">
        <f>'League Stats'!#REF!</f>
        <v>#ERROR!</v>
      </c>
      <c r="I116" s="1598" t="str">
        <f>IF(OR(G116="-",G116=""),"",I115)</f>
        <v>#ERROR!</v>
      </c>
      <c r="J116" s="1601" t="str">
        <f>'League Stats'!#REF!</f>
        <v>#ERROR!</v>
      </c>
      <c r="K116" s="1602" t="str">
        <f>'League Stats'!#REF!</f>
        <v>#ERROR!</v>
      </c>
      <c r="L116" s="1603" t="str">
        <f>IF(OR(J116="-",J116=""),"",L115)</f>
        <v>#ERROR!</v>
      </c>
      <c r="M116" s="13" t="s">
        <v>1097</v>
      </c>
      <c r="N116" s="700">
        <f t="shared" ref="N116:U116" si="165">IFERROR(IF($M116="YES",IF($D114=N$4,$F114,0)+IF($G114=N$4,$I114,0)+IF($J114=N$4,$L114,0),0),0)</f>
        <v>0</v>
      </c>
      <c r="O116" s="700">
        <f t="shared" si="165"/>
        <v>0</v>
      </c>
      <c r="P116" s="700">
        <f t="shared" si="165"/>
        <v>0</v>
      </c>
      <c r="Q116" s="700">
        <f t="shared" si="165"/>
        <v>0</v>
      </c>
      <c r="R116" s="700">
        <f t="shared" si="165"/>
        <v>0</v>
      </c>
      <c r="S116" s="700">
        <f t="shared" si="165"/>
        <v>0</v>
      </c>
      <c r="T116" s="700">
        <f t="shared" si="165"/>
        <v>0</v>
      </c>
      <c r="U116" s="700">
        <f t="shared" si="165"/>
        <v>0</v>
      </c>
      <c r="X116" s="1252"/>
      <c r="Y116" s="1252"/>
      <c r="Z116" s="1252"/>
      <c r="AA116" s="1252"/>
      <c r="AB116" s="1252"/>
      <c r="AC116" s="1252"/>
      <c r="AD116" s="1252"/>
      <c r="AE116" s="1252"/>
      <c r="AF116" s="1252"/>
      <c r="AG116" s="1252"/>
      <c r="AH116" s="1252"/>
      <c r="AI116" s="1252"/>
      <c r="AJ116" s="1252"/>
      <c r="AK116" s="1252"/>
      <c r="AL116" s="1252"/>
      <c r="AM116" s="1252"/>
      <c r="AN116" s="1252"/>
      <c r="AO116" s="1252"/>
      <c r="AP116" s="1252"/>
      <c r="AQ116" s="1252"/>
      <c r="AR116" s="1252"/>
      <c r="AS116" s="1252"/>
      <c r="AT116" s="1252"/>
      <c r="AU116" s="1252"/>
      <c r="AV116" s="1252"/>
      <c r="AW116" s="1252"/>
      <c r="AX116" s="1252"/>
      <c r="AY116" s="1252"/>
      <c r="AZ116" s="1252"/>
      <c r="BA116" s="1252"/>
      <c r="BB116" s="1252"/>
      <c r="CF116" s="314"/>
    </row>
    <row r="117" ht="19.5" customHeight="1">
      <c r="B117" s="1594"/>
      <c r="C117" s="1625"/>
      <c r="D117" s="1596" t="str">
        <f>'League Stats'!#REF!</f>
        <v>#ERROR!</v>
      </c>
      <c r="E117" s="1597" t="str">
        <f>'League Stats'!#REF!</f>
        <v>#ERROR!</v>
      </c>
      <c r="F117" s="1598" t="str">
        <f>IF(OR(D117="-",D117=""),"",F115)</f>
        <v>#ERROR!</v>
      </c>
      <c r="G117" s="1599" t="str">
        <f>'League Stats'!#REF!</f>
        <v>#ERROR!</v>
      </c>
      <c r="H117" s="1600" t="str">
        <f>'League Stats'!#REF!</f>
        <v>#ERROR!</v>
      </c>
      <c r="I117" s="1598" t="str">
        <f>IF(OR(G117="-",G117=""),"",I115)</f>
        <v>#ERROR!</v>
      </c>
      <c r="J117" s="1601" t="str">
        <f>'League Stats'!#REF!</f>
        <v>#ERROR!</v>
      </c>
      <c r="K117" s="1602" t="str">
        <f>'League Stats'!#REF!</f>
        <v>#ERROR!</v>
      </c>
      <c r="L117" s="1603" t="str">
        <f>IF(OR(J117="-",J117=""),"",L115)</f>
        <v>#ERROR!</v>
      </c>
      <c r="M117" s="13" t="s">
        <v>1097</v>
      </c>
      <c r="N117" s="700">
        <f t="shared" ref="N117:U117" si="166">IFERROR(IF($M117="YES",IF($D115=N$4,$F115,0)+IF($G115=N$4,$I115,0)+IF($J115=N$4,$L115,0),0),0)</f>
        <v>0</v>
      </c>
      <c r="O117" s="700">
        <f t="shared" si="166"/>
        <v>0</v>
      </c>
      <c r="P117" s="700">
        <f t="shared" si="166"/>
        <v>0</v>
      </c>
      <c r="Q117" s="700">
        <f t="shared" si="166"/>
        <v>0</v>
      </c>
      <c r="R117" s="700">
        <f t="shared" si="166"/>
        <v>0</v>
      </c>
      <c r="S117" s="700">
        <f t="shared" si="166"/>
        <v>0</v>
      </c>
      <c r="T117" s="700">
        <f t="shared" si="166"/>
        <v>0</v>
      </c>
      <c r="U117" s="700">
        <f t="shared" si="166"/>
        <v>0</v>
      </c>
      <c r="X117" s="1252"/>
      <c r="Y117" s="1252"/>
      <c r="Z117" s="1252"/>
      <c r="AA117" s="1252"/>
      <c r="AB117" s="1252"/>
      <c r="AC117" s="1252"/>
      <c r="AD117" s="1252"/>
      <c r="AE117" s="1252"/>
      <c r="AF117" s="1252"/>
      <c r="AG117" s="1252"/>
      <c r="AH117" s="1252"/>
      <c r="AI117" s="1252"/>
      <c r="AJ117" s="1252"/>
      <c r="AK117" s="1252"/>
      <c r="AL117" s="1252"/>
      <c r="AM117" s="1252"/>
      <c r="AN117" s="1252"/>
      <c r="AO117" s="1252"/>
      <c r="AP117" s="1252"/>
      <c r="AQ117" s="1252"/>
      <c r="AR117" s="1252"/>
      <c r="AS117" s="1252"/>
      <c r="AT117" s="1252"/>
      <c r="AU117" s="1252"/>
      <c r="AV117" s="1252"/>
      <c r="AW117" s="1252"/>
      <c r="AX117" s="1252"/>
      <c r="AY117" s="1252"/>
      <c r="AZ117" s="1252"/>
      <c r="BA117" s="1252"/>
      <c r="BB117" s="1252"/>
      <c r="CF117" s="314"/>
    </row>
    <row r="118" ht="19.5" customHeight="1">
      <c r="B118" s="1594"/>
      <c r="C118" s="1625"/>
      <c r="D118" s="1596" t="str">
        <f>'League Stats'!#REF!</f>
        <v>#ERROR!</v>
      </c>
      <c r="E118" s="1597" t="str">
        <f>'League Stats'!#REF!</f>
        <v>#ERROR!</v>
      </c>
      <c r="F118" s="1598" t="str">
        <f>IF(OR(D118="-",D118=""),"",F115)</f>
        <v>#ERROR!</v>
      </c>
      <c r="G118" s="1599" t="str">
        <f>'League Stats'!#REF!</f>
        <v>#ERROR!</v>
      </c>
      <c r="H118" s="1600" t="str">
        <f>'League Stats'!#REF!</f>
        <v>#ERROR!</v>
      </c>
      <c r="I118" s="1598" t="str">
        <f>IF(OR(G118="-",G118=""),"",I115)</f>
        <v>#ERROR!</v>
      </c>
      <c r="J118" s="1601" t="str">
        <f>'League Stats'!#REF!</f>
        <v>#ERROR!</v>
      </c>
      <c r="K118" s="1602" t="str">
        <f>'League Stats'!#REF!</f>
        <v>#ERROR!</v>
      </c>
      <c r="L118" s="1603" t="str">
        <f>IF(OR(J118="-",J118=""),"",L115)</f>
        <v>#ERROR!</v>
      </c>
      <c r="M118" s="13" t="s">
        <v>1097</v>
      </c>
      <c r="N118" s="700">
        <f t="shared" ref="N118:U118" si="167">IFERROR(IF($M118="YES",IF($D116=N$4,$F116,0)+IF($G116=N$4,$I116,0)+IF($J116=N$4,$L116,0),0),0)</f>
        <v>0</v>
      </c>
      <c r="O118" s="700">
        <f t="shared" si="167"/>
        <v>0</v>
      </c>
      <c r="P118" s="700">
        <f t="shared" si="167"/>
        <v>0</v>
      </c>
      <c r="Q118" s="700">
        <f t="shared" si="167"/>
        <v>0</v>
      </c>
      <c r="R118" s="700">
        <f t="shared" si="167"/>
        <v>0</v>
      </c>
      <c r="S118" s="700">
        <f t="shared" si="167"/>
        <v>0</v>
      </c>
      <c r="T118" s="700">
        <f t="shared" si="167"/>
        <v>0</v>
      </c>
      <c r="U118" s="700">
        <f t="shared" si="167"/>
        <v>0</v>
      </c>
      <c r="X118" s="1252"/>
      <c r="Y118" s="1252"/>
      <c r="Z118" s="1252"/>
      <c r="AA118" s="1252"/>
      <c r="AB118" s="1252"/>
      <c r="AC118" s="1252"/>
      <c r="AD118" s="1252"/>
      <c r="AE118" s="1252"/>
      <c r="AF118" s="1252"/>
      <c r="AG118" s="1252"/>
      <c r="AH118" s="1252"/>
      <c r="AI118" s="1252"/>
      <c r="AJ118" s="1252"/>
      <c r="AK118" s="1252"/>
      <c r="AL118" s="1252"/>
      <c r="AM118" s="1252"/>
      <c r="AN118" s="1252"/>
      <c r="AO118" s="1252"/>
      <c r="AP118" s="1252"/>
      <c r="AQ118" s="1252"/>
      <c r="AR118" s="1252"/>
      <c r="AS118" s="1252"/>
      <c r="AT118" s="1252"/>
      <c r="AU118" s="1252"/>
      <c r="AV118" s="1252"/>
      <c r="AW118" s="1252"/>
      <c r="AX118" s="1252"/>
      <c r="AY118" s="1252"/>
      <c r="AZ118" s="1252"/>
      <c r="BA118" s="1252"/>
      <c r="BB118" s="1252"/>
      <c r="CF118" s="314"/>
    </row>
    <row r="119" ht="19.5" customHeight="1">
      <c r="B119" s="1594"/>
      <c r="C119" s="1625"/>
      <c r="D119" s="1596" t="str">
        <f>'League Stats'!#REF!</f>
        <v>#ERROR!</v>
      </c>
      <c r="E119" s="1597" t="str">
        <f>'League Stats'!#REF!</f>
        <v>#ERROR!</v>
      </c>
      <c r="F119" s="1598" t="str">
        <f>IF(OR(D119="-",D119=""),"",F115)</f>
        <v>#ERROR!</v>
      </c>
      <c r="G119" s="1599" t="str">
        <f>'League Stats'!#REF!</f>
        <v>#ERROR!</v>
      </c>
      <c r="H119" s="1600" t="str">
        <f>'League Stats'!#REF!</f>
        <v>#ERROR!</v>
      </c>
      <c r="I119" s="1598" t="str">
        <f>IF(OR(G119="-",G119=""),"",I115)</f>
        <v>#ERROR!</v>
      </c>
      <c r="J119" s="1601" t="str">
        <f>'League Stats'!#REF!</f>
        <v>#ERROR!</v>
      </c>
      <c r="K119" s="1602" t="str">
        <f>'League Stats'!#REF!</f>
        <v>#ERROR!</v>
      </c>
      <c r="L119" s="1603" t="str">
        <f>IF(OR(J119="-",J119=""),"",L115)</f>
        <v>#ERROR!</v>
      </c>
      <c r="M119" s="13" t="s">
        <v>1097</v>
      </c>
      <c r="N119" s="700">
        <f t="shared" ref="N119:U119" si="168">IFERROR(IF($M119="YES",IF($D117=N$4,$F117,0)+IF($G117=N$4,$I117,0)+IF($J117=N$4,$L117,0),0),0)</f>
        <v>0</v>
      </c>
      <c r="O119" s="700">
        <f t="shared" si="168"/>
        <v>0</v>
      </c>
      <c r="P119" s="700">
        <f t="shared" si="168"/>
        <v>0</v>
      </c>
      <c r="Q119" s="700">
        <f t="shared" si="168"/>
        <v>0</v>
      </c>
      <c r="R119" s="700">
        <f t="shared" si="168"/>
        <v>0</v>
      </c>
      <c r="S119" s="700">
        <f t="shared" si="168"/>
        <v>0</v>
      </c>
      <c r="T119" s="700">
        <f t="shared" si="168"/>
        <v>0</v>
      </c>
      <c r="U119" s="700">
        <f t="shared" si="168"/>
        <v>0</v>
      </c>
      <c r="X119" s="1252"/>
      <c r="Y119" s="1252"/>
      <c r="Z119" s="1252"/>
      <c r="AA119" s="1252"/>
      <c r="AB119" s="1252"/>
      <c r="AC119" s="1252"/>
      <c r="AD119" s="1252"/>
      <c r="AE119" s="1252"/>
      <c r="AF119" s="1252"/>
      <c r="AG119" s="1252"/>
      <c r="AH119" s="1252"/>
      <c r="AI119" s="1252"/>
      <c r="AJ119" s="1252"/>
      <c r="AK119" s="1252"/>
      <c r="AL119" s="1252"/>
      <c r="AM119" s="1252"/>
      <c r="AN119" s="1252"/>
      <c r="AO119" s="1252"/>
      <c r="AP119" s="1252"/>
      <c r="AQ119" s="1252"/>
      <c r="AR119" s="1252"/>
      <c r="AS119" s="1252"/>
      <c r="AT119" s="1252"/>
      <c r="AU119" s="1252"/>
      <c r="AV119" s="1252"/>
      <c r="AW119" s="1252"/>
      <c r="AX119" s="1252"/>
      <c r="AY119" s="1252"/>
      <c r="AZ119" s="1252"/>
      <c r="BA119" s="1252"/>
      <c r="BB119" s="1252"/>
      <c r="CF119" s="314"/>
    </row>
    <row r="120" ht="19.5" customHeight="1">
      <c r="B120" s="1594"/>
      <c r="C120" s="1625"/>
      <c r="D120" s="1596" t="str">
        <f>'League Stats'!#REF!</f>
        <v>#ERROR!</v>
      </c>
      <c r="E120" s="1597" t="str">
        <f>'League Stats'!#REF!</f>
        <v>#ERROR!</v>
      </c>
      <c r="F120" s="1598" t="str">
        <f>IF(OR(D120="-",D120=""),"",F115)</f>
        <v>#ERROR!</v>
      </c>
      <c r="G120" s="1599" t="str">
        <f>'League Stats'!#REF!</f>
        <v>#ERROR!</v>
      </c>
      <c r="H120" s="1600" t="str">
        <f>'League Stats'!#REF!</f>
        <v>#ERROR!</v>
      </c>
      <c r="I120" s="1598" t="str">
        <f>IF(OR(G120="-",G120=""),"",I115)</f>
        <v>#ERROR!</v>
      </c>
      <c r="J120" s="1601" t="str">
        <f>'League Stats'!#REF!</f>
        <v>#ERROR!</v>
      </c>
      <c r="K120" s="1602" t="str">
        <f>'League Stats'!#REF!</f>
        <v>#ERROR!</v>
      </c>
      <c r="L120" s="1603" t="str">
        <f>IF(OR(J120="-",J120=""),"",L115)</f>
        <v>#ERROR!</v>
      </c>
      <c r="M120" s="13" t="s">
        <v>1097</v>
      </c>
      <c r="N120" s="700">
        <f t="shared" ref="N120:U120" si="169">IFERROR(IF($M120="YES",IF($D118=N$4,$F118,0)+IF($G118=N$4,$I118,0)+IF($J118=N$4,$L118,0),0),0)</f>
        <v>0</v>
      </c>
      <c r="O120" s="700">
        <f t="shared" si="169"/>
        <v>0</v>
      </c>
      <c r="P120" s="700">
        <f t="shared" si="169"/>
        <v>0</v>
      </c>
      <c r="Q120" s="700">
        <f t="shared" si="169"/>
        <v>0</v>
      </c>
      <c r="R120" s="700">
        <f t="shared" si="169"/>
        <v>0</v>
      </c>
      <c r="S120" s="700">
        <f t="shared" si="169"/>
        <v>0</v>
      </c>
      <c r="T120" s="700">
        <f t="shared" si="169"/>
        <v>0</v>
      </c>
      <c r="U120" s="700">
        <f t="shared" si="169"/>
        <v>0</v>
      </c>
      <c r="X120" s="1252"/>
      <c r="Y120" s="1252"/>
      <c r="Z120" s="1252"/>
      <c r="AA120" s="1252"/>
      <c r="AB120" s="1252"/>
      <c r="AC120" s="1252"/>
      <c r="AD120" s="1252"/>
      <c r="AE120" s="1252"/>
      <c r="AF120" s="1252"/>
      <c r="AG120" s="1252"/>
      <c r="AH120" s="1252"/>
      <c r="AI120" s="1252"/>
      <c r="AJ120" s="1252"/>
      <c r="AK120" s="1252"/>
      <c r="AL120" s="1252"/>
      <c r="AM120" s="1252"/>
      <c r="AN120" s="1252"/>
      <c r="AO120" s="1252"/>
      <c r="AP120" s="1252"/>
      <c r="AQ120" s="1252"/>
      <c r="AR120" s="1252"/>
      <c r="AS120" s="1252"/>
      <c r="AT120" s="1252"/>
      <c r="AU120" s="1252"/>
      <c r="AV120" s="1252"/>
      <c r="AW120" s="1252"/>
      <c r="AX120" s="1252"/>
      <c r="AY120" s="1252"/>
      <c r="AZ120" s="1252"/>
      <c r="BA120" s="1252"/>
      <c r="BB120" s="1252"/>
      <c r="CF120" s="314"/>
    </row>
    <row r="121" ht="19.5" customHeight="1">
      <c r="B121" s="1594"/>
      <c r="C121" s="1625"/>
      <c r="D121" s="1596" t="str">
        <f>'League Stats'!#REF!</f>
        <v>#ERROR!</v>
      </c>
      <c r="E121" s="1597" t="str">
        <f>'League Stats'!#REF!</f>
        <v>#ERROR!</v>
      </c>
      <c r="F121" s="1598" t="str">
        <f>IF(OR(D121="-",D121=""),"",F115)</f>
        <v>#ERROR!</v>
      </c>
      <c r="G121" s="1599" t="str">
        <f>'League Stats'!#REF!</f>
        <v>#ERROR!</v>
      </c>
      <c r="H121" s="1600" t="str">
        <f>'League Stats'!#REF!</f>
        <v>#ERROR!</v>
      </c>
      <c r="I121" s="1598" t="str">
        <f>IF(OR(G121="-",G121=""),"",I115)</f>
        <v>#ERROR!</v>
      </c>
      <c r="J121" s="1601" t="str">
        <f>'League Stats'!#REF!</f>
        <v>#ERROR!</v>
      </c>
      <c r="K121" s="1602" t="str">
        <f>'League Stats'!#REF!</f>
        <v>#ERROR!</v>
      </c>
      <c r="L121" s="1603" t="str">
        <f>IF(OR(J121="-",J121=""),"",L115)</f>
        <v>#ERROR!</v>
      </c>
      <c r="M121" s="13" t="s">
        <v>1097</v>
      </c>
      <c r="N121" s="700">
        <f t="shared" ref="N121:U121" si="170">IFERROR(IF($M121="YES",IF($D119=N$4,$F119,0)+IF($G119=N$4,$I119,0)+IF($J119=N$4,$L119,0),0),0)</f>
        <v>0</v>
      </c>
      <c r="O121" s="700">
        <f t="shared" si="170"/>
        <v>0</v>
      </c>
      <c r="P121" s="700">
        <f t="shared" si="170"/>
        <v>0</v>
      </c>
      <c r="Q121" s="700">
        <f t="shared" si="170"/>
        <v>0</v>
      </c>
      <c r="R121" s="700">
        <f t="shared" si="170"/>
        <v>0</v>
      </c>
      <c r="S121" s="700">
        <f t="shared" si="170"/>
        <v>0</v>
      </c>
      <c r="T121" s="700">
        <f t="shared" si="170"/>
        <v>0</v>
      </c>
      <c r="U121" s="700">
        <f t="shared" si="170"/>
        <v>0</v>
      </c>
      <c r="X121" s="1252"/>
      <c r="Y121" s="1252"/>
      <c r="Z121" s="1252"/>
      <c r="AA121" s="1252"/>
      <c r="AB121" s="1252"/>
      <c r="AC121" s="1252"/>
      <c r="AD121" s="1252"/>
      <c r="AE121" s="1252"/>
      <c r="AF121" s="1252"/>
      <c r="AG121" s="1252"/>
      <c r="AH121" s="1252"/>
      <c r="AI121" s="1252"/>
      <c r="AJ121" s="1252"/>
      <c r="AK121" s="1252"/>
      <c r="AL121" s="1252"/>
      <c r="AM121" s="1252"/>
      <c r="AN121" s="1252"/>
      <c r="AO121" s="1252"/>
      <c r="AP121" s="1252"/>
      <c r="AQ121" s="1252"/>
      <c r="AR121" s="1252"/>
      <c r="AS121" s="1252"/>
      <c r="AT121" s="1252"/>
      <c r="AU121" s="1252"/>
      <c r="AV121" s="1252"/>
      <c r="AW121" s="1252"/>
      <c r="AX121" s="1252"/>
      <c r="AY121" s="1252"/>
      <c r="AZ121" s="1252"/>
      <c r="BA121" s="1252"/>
      <c r="BB121" s="1252"/>
      <c r="CF121" s="314"/>
    </row>
    <row r="122" ht="19.5" customHeight="1">
      <c r="B122" s="1594"/>
      <c r="C122" s="1625"/>
      <c r="D122" s="1596" t="str">
        <f>'League Stats'!#REF!</f>
        <v>#ERROR!</v>
      </c>
      <c r="E122" s="1597" t="str">
        <f>'League Stats'!#REF!</f>
        <v>#ERROR!</v>
      </c>
      <c r="F122" s="1598" t="str">
        <f>IF(OR(D122="-",D122=""),"",F115)</f>
        <v>#ERROR!</v>
      </c>
      <c r="G122" s="1599" t="str">
        <f>'League Stats'!#REF!</f>
        <v>#ERROR!</v>
      </c>
      <c r="H122" s="1600" t="str">
        <f>'League Stats'!#REF!</f>
        <v>#ERROR!</v>
      </c>
      <c r="I122" s="1598" t="str">
        <f>IF(OR(G122="-",G122=""),"",I115)</f>
        <v>#ERROR!</v>
      </c>
      <c r="J122" s="1601" t="str">
        <f>'League Stats'!#REF!</f>
        <v>#ERROR!</v>
      </c>
      <c r="K122" s="1602" t="str">
        <f>'League Stats'!#REF!</f>
        <v>#ERROR!</v>
      </c>
      <c r="L122" s="1603" t="str">
        <f>IF(OR(J122="-",J122=""),"",L115)</f>
        <v>#ERROR!</v>
      </c>
      <c r="M122" s="13" t="s">
        <v>1097</v>
      </c>
      <c r="N122" s="700">
        <f t="shared" ref="N122:U122" si="171">IFERROR(IF($M122="YES",IF($D120=N$4,$F120,0)+IF($G120=N$4,$I120,0)+IF($J120=N$4,$L120,0),0),0)</f>
        <v>0</v>
      </c>
      <c r="O122" s="700">
        <f t="shared" si="171"/>
        <v>0</v>
      </c>
      <c r="P122" s="700">
        <f t="shared" si="171"/>
        <v>0</v>
      </c>
      <c r="Q122" s="700">
        <f t="shared" si="171"/>
        <v>0</v>
      </c>
      <c r="R122" s="700">
        <f t="shared" si="171"/>
        <v>0</v>
      </c>
      <c r="S122" s="700">
        <f t="shared" si="171"/>
        <v>0</v>
      </c>
      <c r="T122" s="700">
        <f t="shared" si="171"/>
        <v>0</v>
      </c>
      <c r="U122" s="700">
        <f t="shared" si="171"/>
        <v>0</v>
      </c>
      <c r="X122" s="1252"/>
      <c r="Y122" s="1252"/>
      <c r="Z122" s="1252"/>
      <c r="AA122" s="1252"/>
      <c r="AB122" s="1252"/>
      <c r="AC122" s="1252"/>
      <c r="AD122" s="1252"/>
      <c r="AE122" s="1252"/>
      <c r="AF122" s="1252"/>
      <c r="AG122" s="1252"/>
      <c r="AH122" s="1252"/>
      <c r="AI122" s="1252"/>
      <c r="AJ122" s="1252"/>
      <c r="AK122" s="1252"/>
      <c r="AL122" s="1252"/>
      <c r="AM122" s="1252"/>
      <c r="AN122" s="1252"/>
      <c r="AO122" s="1252"/>
      <c r="AP122" s="1252"/>
      <c r="AQ122" s="1252"/>
      <c r="AR122" s="1252"/>
      <c r="AS122" s="1252"/>
      <c r="AT122" s="1252"/>
      <c r="AU122" s="1252"/>
      <c r="AV122" s="1252"/>
      <c r="AW122" s="1252"/>
      <c r="AX122" s="1252"/>
      <c r="AY122" s="1252"/>
      <c r="AZ122" s="1252"/>
      <c r="BA122" s="1252"/>
      <c r="BB122" s="1252"/>
      <c r="CF122" s="314"/>
    </row>
    <row r="123" ht="19.5" customHeight="1">
      <c r="B123" s="1594"/>
      <c r="C123" s="1626" t="s">
        <v>1782</v>
      </c>
      <c r="D123" s="1605" t="str">
        <f>'League Stats'!#REF!</f>
        <v>#ERROR!</v>
      </c>
      <c r="E123" s="1606" t="str">
        <f>'League Stats'!#REF!</f>
        <v>#ERROR!</v>
      </c>
      <c r="F123" s="1607">
        <v>2.0</v>
      </c>
      <c r="G123" s="1608" t="str">
        <f>'League Stats'!#REF!</f>
        <v>#ERROR!</v>
      </c>
      <c r="H123" s="1609" t="str">
        <f>'League Stats'!#REF!</f>
        <v>#ERROR!</v>
      </c>
      <c r="I123" s="1607">
        <v>1.0</v>
      </c>
      <c r="J123" s="1610" t="str">
        <f>'League Stats'!#REF!</f>
        <v>#ERROR!</v>
      </c>
      <c r="K123" s="1611" t="str">
        <f>'League Stats'!#REF!</f>
        <v>#ERROR!</v>
      </c>
      <c r="L123" s="1612">
        <v>0.5</v>
      </c>
      <c r="M123" s="13" t="s">
        <v>1097</v>
      </c>
      <c r="N123" s="700">
        <f t="shared" ref="N123:U123" si="172">IFERROR(IF($M123="YES",IF($D121=N$4,$F121,0)+IF($G121=N$4,$I121,0)+IF($J121=N$4,$L121,0),0),0)</f>
        <v>0</v>
      </c>
      <c r="O123" s="700">
        <f t="shared" si="172"/>
        <v>0</v>
      </c>
      <c r="P123" s="700">
        <f t="shared" si="172"/>
        <v>0</v>
      </c>
      <c r="Q123" s="700">
        <f t="shared" si="172"/>
        <v>0</v>
      </c>
      <c r="R123" s="700">
        <f t="shared" si="172"/>
        <v>0</v>
      </c>
      <c r="S123" s="700">
        <f t="shared" si="172"/>
        <v>0</v>
      </c>
      <c r="T123" s="700">
        <f t="shared" si="172"/>
        <v>0</v>
      </c>
      <c r="U123" s="700">
        <f t="shared" si="172"/>
        <v>0</v>
      </c>
      <c r="X123" s="1252"/>
      <c r="Y123" s="1252"/>
      <c r="Z123" s="1252"/>
      <c r="AA123" s="1252"/>
      <c r="AB123" s="1252"/>
      <c r="AC123" s="1252"/>
      <c r="AD123" s="1252"/>
      <c r="AE123" s="1252"/>
      <c r="AF123" s="1252"/>
      <c r="AG123" s="1252"/>
      <c r="AH123" s="1252"/>
      <c r="AI123" s="1252"/>
      <c r="AJ123" s="1252"/>
      <c r="AK123" s="1252"/>
      <c r="AL123" s="1252"/>
      <c r="AM123" s="1252"/>
      <c r="AN123" s="1252"/>
      <c r="AO123" s="1252"/>
      <c r="AP123" s="1252"/>
      <c r="AQ123" s="1252"/>
      <c r="AR123" s="1252"/>
      <c r="AS123" s="1252"/>
      <c r="AT123" s="1252"/>
      <c r="AU123" s="1252"/>
      <c r="AV123" s="1252"/>
      <c r="AW123" s="1252"/>
      <c r="AX123" s="1252"/>
      <c r="AY123" s="1252"/>
      <c r="AZ123" s="1252"/>
      <c r="BA123" s="1252"/>
      <c r="BB123" s="1252"/>
      <c r="CF123" s="314"/>
    </row>
    <row r="124" ht="19.5" customHeight="1">
      <c r="B124" s="1594"/>
      <c r="C124" s="1626"/>
      <c r="D124" s="1605" t="str">
        <f>'League Stats'!#REF!</f>
        <v>#ERROR!</v>
      </c>
      <c r="E124" s="1606" t="str">
        <f>'League Stats'!#REF!</f>
        <v>#ERROR!</v>
      </c>
      <c r="F124" s="1598" t="str">
        <f>IF(OR(D124="-",D124=""),"",F123)</f>
        <v>#ERROR!</v>
      </c>
      <c r="G124" s="1608" t="str">
        <f>'League Stats'!#REF!</f>
        <v>#ERROR!</v>
      </c>
      <c r="H124" s="1609" t="str">
        <f>'League Stats'!#REF!</f>
        <v>#ERROR!</v>
      </c>
      <c r="I124" s="1598" t="str">
        <f>IF(OR(G124="-",G124=""),"",I123)</f>
        <v>#ERROR!</v>
      </c>
      <c r="J124" s="1610" t="str">
        <f>'League Stats'!#REF!</f>
        <v>#ERROR!</v>
      </c>
      <c r="K124" s="1611" t="str">
        <f>'League Stats'!#REF!</f>
        <v>#ERROR!</v>
      </c>
      <c r="L124" s="1603" t="str">
        <f>IF(OR(J124="-",J124=""),"",L123)</f>
        <v>#ERROR!</v>
      </c>
      <c r="M124" s="13" t="s">
        <v>1097</v>
      </c>
      <c r="N124" s="700">
        <f t="shared" ref="N124:U124" si="173">IFERROR(IF($M124="YES",IF($D122=N$4,$F122,0)+IF($G122=N$4,$I122,0)+IF($J122=N$4,$L122,0),0),0)</f>
        <v>0</v>
      </c>
      <c r="O124" s="700">
        <f t="shared" si="173"/>
        <v>0</v>
      </c>
      <c r="P124" s="700">
        <f t="shared" si="173"/>
        <v>0</v>
      </c>
      <c r="Q124" s="700">
        <f t="shared" si="173"/>
        <v>0</v>
      </c>
      <c r="R124" s="700">
        <f t="shared" si="173"/>
        <v>0</v>
      </c>
      <c r="S124" s="700">
        <f t="shared" si="173"/>
        <v>0</v>
      </c>
      <c r="T124" s="700">
        <f t="shared" si="173"/>
        <v>0</v>
      </c>
      <c r="U124" s="700">
        <f t="shared" si="173"/>
        <v>0</v>
      </c>
      <c r="X124" s="1252"/>
      <c r="Y124" s="1252"/>
      <c r="Z124" s="1252"/>
      <c r="AA124" s="1252"/>
      <c r="AB124" s="1252"/>
      <c r="AC124" s="1252"/>
      <c r="AD124" s="1252"/>
      <c r="AE124" s="1252"/>
      <c r="AF124" s="1252"/>
      <c r="AG124" s="1252"/>
      <c r="AH124" s="1252"/>
      <c r="AI124" s="1252"/>
      <c r="AJ124" s="1252"/>
      <c r="AK124" s="1252"/>
      <c r="AL124" s="1252"/>
      <c r="AM124" s="1252"/>
      <c r="AN124" s="1252"/>
      <c r="AO124" s="1252"/>
      <c r="AP124" s="1252"/>
      <c r="AQ124" s="1252"/>
      <c r="AR124" s="1252"/>
      <c r="AS124" s="1252"/>
      <c r="AT124" s="1252"/>
      <c r="AU124" s="1252"/>
      <c r="AV124" s="1252"/>
      <c r="AW124" s="1252"/>
      <c r="AX124" s="1252"/>
      <c r="AY124" s="1252"/>
      <c r="AZ124" s="1252"/>
      <c r="BA124" s="1252"/>
      <c r="BB124" s="1252"/>
      <c r="CF124" s="314"/>
    </row>
    <row r="125" ht="19.5" customHeight="1">
      <c r="B125" s="1594"/>
      <c r="C125" s="1626"/>
      <c r="D125" s="1605" t="str">
        <f>'League Stats'!#REF!</f>
        <v>#ERROR!</v>
      </c>
      <c r="E125" s="1606" t="str">
        <f>'League Stats'!#REF!</f>
        <v>#ERROR!</v>
      </c>
      <c r="F125" s="1598" t="str">
        <f>IF(OR(D125="-",D125=""),"",F123)</f>
        <v>#ERROR!</v>
      </c>
      <c r="G125" s="1608" t="str">
        <f>'League Stats'!#REF!</f>
        <v>#ERROR!</v>
      </c>
      <c r="H125" s="1609" t="str">
        <f>'League Stats'!#REF!</f>
        <v>#ERROR!</v>
      </c>
      <c r="I125" s="1598" t="str">
        <f>IF(OR(G125="-",G125=""),"",I123)</f>
        <v>#ERROR!</v>
      </c>
      <c r="J125" s="1610" t="str">
        <f>'League Stats'!#REF!</f>
        <v>#ERROR!</v>
      </c>
      <c r="K125" s="1611" t="str">
        <f>'League Stats'!#REF!</f>
        <v>#ERROR!</v>
      </c>
      <c r="L125" s="1603" t="str">
        <f>IF(OR(J125="-",J125=""),"",L123)</f>
        <v>#ERROR!</v>
      </c>
      <c r="M125" s="13" t="s">
        <v>1097</v>
      </c>
      <c r="N125" s="700">
        <f t="shared" ref="N125:U125" si="174">IFERROR(IF($M125="YES",IF($D123=N$4,$F123,0)+IF($G123=N$4,$I123,0)+IF($J123=N$4,$L123,0),0),0)</f>
        <v>0</v>
      </c>
      <c r="O125" s="700">
        <f t="shared" si="174"/>
        <v>0</v>
      </c>
      <c r="P125" s="700">
        <f t="shared" si="174"/>
        <v>0</v>
      </c>
      <c r="Q125" s="700">
        <f t="shared" si="174"/>
        <v>0</v>
      </c>
      <c r="R125" s="700">
        <f t="shared" si="174"/>
        <v>0</v>
      </c>
      <c r="S125" s="700">
        <f t="shared" si="174"/>
        <v>0</v>
      </c>
      <c r="T125" s="700">
        <f t="shared" si="174"/>
        <v>0</v>
      </c>
      <c r="U125" s="700">
        <f t="shared" si="174"/>
        <v>0</v>
      </c>
      <c r="X125" s="1252"/>
      <c r="Y125" s="1252"/>
      <c r="Z125" s="1252"/>
      <c r="AA125" s="1252"/>
      <c r="AB125" s="1252"/>
      <c r="AC125" s="1252"/>
      <c r="AD125" s="1252"/>
      <c r="AE125" s="1252"/>
      <c r="AF125" s="1252"/>
      <c r="AG125" s="1252"/>
      <c r="AH125" s="1252"/>
      <c r="AI125" s="1252"/>
      <c r="AJ125" s="1252"/>
      <c r="AK125" s="1252"/>
      <c r="AL125" s="1252"/>
      <c r="AM125" s="1252"/>
      <c r="AN125" s="1252"/>
      <c r="AO125" s="1252"/>
      <c r="AP125" s="1252"/>
      <c r="AQ125" s="1252"/>
      <c r="AR125" s="1252"/>
      <c r="AS125" s="1252"/>
      <c r="AT125" s="1252"/>
      <c r="AU125" s="1252"/>
      <c r="AV125" s="1252"/>
      <c r="AW125" s="1252"/>
      <c r="AX125" s="1252"/>
      <c r="AY125" s="1252"/>
      <c r="AZ125" s="1252"/>
      <c r="BA125" s="1252"/>
      <c r="BB125" s="1252"/>
      <c r="CF125" s="314"/>
    </row>
    <row r="126" ht="19.5" customHeight="1">
      <c r="B126" s="1594"/>
      <c r="C126" s="1626"/>
      <c r="D126" s="1605" t="str">
        <f>'League Stats'!#REF!</f>
        <v>#ERROR!</v>
      </c>
      <c r="E126" s="1606" t="str">
        <f>'League Stats'!#REF!</f>
        <v>#ERROR!</v>
      </c>
      <c r="F126" s="1598" t="str">
        <f>IF(OR(D126="-",D126=""),"",F123)</f>
        <v>#ERROR!</v>
      </c>
      <c r="G126" s="1608" t="str">
        <f>'League Stats'!#REF!</f>
        <v>#ERROR!</v>
      </c>
      <c r="H126" s="1609" t="str">
        <f>'League Stats'!#REF!</f>
        <v>#ERROR!</v>
      </c>
      <c r="I126" s="1598" t="str">
        <f>IF(OR(G126="-",G126=""),"",I123)</f>
        <v>#ERROR!</v>
      </c>
      <c r="J126" s="1610" t="str">
        <f>'League Stats'!#REF!</f>
        <v>#ERROR!</v>
      </c>
      <c r="K126" s="1611" t="str">
        <f>'League Stats'!#REF!</f>
        <v>#ERROR!</v>
      </c>
      <c r="L126" s="1603" t="str">
        <f>IF(OR(J126="-",J126=""),"",L123)</f>
        <v>#ERROR!</v>
      </c>
      <c r="M126" s="13" t="s">
        <v>1097</v>
      </c>
      <c r="N126" s="700">
        <f t="shared" ref="N126:U126" si="175">IFERROR(IF($M126="YES",IF($D124=N$4,$F124,0)+IF($G124=N$4,$I124,0)+IF($J124=N$4,$L124,0),0),0)</f>
        <v>0</v>
      </c>
      <c r="O126" s="700">
        <f t="shared" si="175"/>
        <v>0</v>
      </c>
      <c r="P126" s="700">
        <f t="shared" si="175"/>
        <v>0</v>
      </c>
      <c r="Q126" s="700">
        <f t="shared" si="175"/>
        <v>0</v>
      </c>
      <c r="R126" s="700">
        <f t="shared" si="175"/>
        <v>0</v>
      </c>
      <c r="S126" s="700">
        <f t="shared" si="175"/>
        <v>0</v>
      </c>
      <c r="T126" s="700">
        <f t="shared" si="175"/>
        <v>0</v>
      </c>
      <c r="U126" s="700">
        <f t="shared" si="175"/>
        <v>0</v>
      </c>
      <c r="X126" s="1252"/>
      <c r="Y126" s="1252"/>
      <c r="Z126" s="1252"/>
      <c r="AA126" s="1252"/>
      <c r="AB126" s="1252"/>
      <c r="AC126" s="1252"/>
      <c r="AD126" s="1252"/>
      <c r="AE126" s="1252"/>
      <c r="AF126" s="1252"/>
      <c r="AG126" s="1252"/>
      <c r="AH126" s="1252"/>
      <c r="AI126" s="1252"/>
      <c r="AJ126" s="1252"/>
      <c r="AK126" s="1252"/>
      <c r="AL126" s="1252"/>
      <c r="AM126" s="1252"/>
      <c r="AN126" s="1252"/>
      <c r="AO126" s="1252"/>
      <c r="AP126" s="1252"/>
      <c r="AQ126" s="1252"/>
      <c r="AR126" s="1252"/>
      <c r="AS126" s="1252"/>
      <c r="AT126" s="1252"/>
      <c r="AU126" s="1252"/>
      <c r="AV126" s="1252"/>
      <c r="AW126" s="1252"/>
      <c r="AX126" s="1252"/>
      <c r="AY126" s="1252"/>
      <c r="AZ126" s="1252"/>
      <c r="BA126" s="1252"/>
      <c r="BB126" s="1252"/>
      <c r="CF126" s="314"/>
    </row>
    <row r="127" ht="19.5" customHeight="1">
      <c r="B127" s="1594"/>
      <c r="C127" s="1626"/>
      <c r="D127" s="1605" t="str">
        <f>'League Stats'!#REF!</f>
        <v>#ERROR!</v>
      </c>
      <c r="E127" s="1606" t="str">
        <f>'League Stats'!#REF!</f>
        <v>#ERROR!</v>
      </c>
      <c r="F127" s="1598" t="str">
        <f>IF(OR(D127="-",D127=""),"",F123)</f>
        <v>#ERROR!</v>
      </c>
      <c r="G127" s="1608" t="str">
        <f>'League Stats'!#REF!</f>
        <v>#ERROR!</v>
      </c>
      <c r="H127" s="1609" t="str">
        <f>'League Stats'!#REF!</f>
        <v>#ERROR!</v>
      </c>
      <c r="I127" s="1598" t="str">
        <f>IF(OR(G127="-",G127=""),"",I123)</f>
        <v>#ERROR!</v>
      </c>
      <c r="J127" s="1610" t="str">
        <f>'League Stats'!#REF!</f>
        <v>#ERROR!</v>
      </c>
      <c r="K127" s="1611" t="str">
        <f>'League Stats'!#REF!</f>
        <v>#ERROR!</v>
      </c>
      <c r="L127" s="1603" t="str">
        <f>IF(OR(J127="-",J127=""),"",L123)</f>
        <v>#ERROR!</v>
      </c>
      <c r="M127" s="13" t="s">
        <v>1097</v>
      </c>
      <c r="N127" s="700">
        <f t="shared" ref="N127:U127" si="176">IFERROR(IF($M127="YES",IF($D125=N$4,$F125,0)+IF($G125=N$4,$I125,0)+IF($J125=N$4,$L125,0),0),0)</f>
        <v>0</v>
      </c>
      <c r="O127" s="700">
        <f t="shared" si="176"/>
        <v>0</v>
      </c>
      <c r="P127" s="700">
        <f t="shared" si="176"/>
        <v>0</v>
      </c>
      <c r="Q127" s="700">
        <f t="shared" si="176"/>
        <v>0</v>
      </c>
      <c r="R127" s="700">
        <f t="shared" si="176"/>
        <v>0</v>
      </c>
      <c r="S127" s="700">
        <f t="shared" si="176"/>
        <v>0</v>
      </c>
      <c r="T127" s="700">
        <f t="shared" si="176"/>
        <v>0</v>
      </c>
      <c r="U127" s="700">
        <f t="shared" si="176"/>
        <v>0</v>
      </c>
      <c r="X127" s="1252"/>
      <c r="Y127" s="1252"/>
      <c r="Z127" s="1252"/>
      <c r="AA127" s="1252"/>
      <c r="AB127" s="1252"/>
      <c r="AC127" s="1252"/>
      <c r="AD127" s="1252"/>
      <c r="AE127" s="1252"/>
      <c r="AF127" s="1252"/>
      <c r="AG127" s="1252"/>
      <c r="AH127" s="1252"/>
      <c r="AI127" s="1252"/>
      <c r="AJ127" s="1252"/>
      <c r="AK127" s="1252"/>
      <c r="AL127" s="1252"/>
      <c r="AM127" s="1252"/>
      <c r="AN127" s="1252"/>
      <c r="AO127" s="1252"/>
      <c r="AP127" s="1252"/>
      <c r="AQ127" s="1252"/>
      <c r="AR127" s="1252"/>
      <c r="AS127" s="1252"/>
      <c r="AT127" s="1252"/>
      <c r="AU127" s="1252"/>
      <c r="AV127" s="1252"/>
      <c r="AW127" s="1252"/>
      <c r="AX127" s="1252"/>
      <c r="AY127" s="1252"/>
      <c r="AZ127" s="1252"/>
      <c r="BA127" s="1252"/>
      <c r="BB127" s="1252"/>
      <c r="CF127" s="314"/>
    </row>
    <row r="128" ht="19.5" customHeight="1">
      <c r="B128" s="1594"/>
      <c r="C128" s="1626"/>
      <c r="D128" s="1605" t="str">
        <f>'League Stats'!#REF!</f>
        <v>#ERROR!</v>
      </c>
      <c r="E128" s="1606" t="str">
        <f>'League Stats'!#REF!</f>
        <v>#ERROR!</v>
      </c>
      <c r="F128" s="1598" t="str">
        <f>IF(OR(D128="-",D128=""),"",F123)</f>
        <v>#ERROR!</v>
      </c>
      <c r="G128" s="1608" t="str">
        <f>'League Stats'!#REF!</f>
        <v>#ERROR!</v>
      </c>
      <c r="H128" s="1609" t="str">
        <f>'League Stats'!#REF!</f>
        <v>#ERROR!</v>
      </c>
      <c r="I128" s="1598" t="str">
        <f>IF(OR(G128="-",G128=""),"",I123)</f>
        <v>#ERROR!</v>
      </c>
      <c r="J128" s="1610" t="str">
        <f>'League Stats'!#REF!</f>
        <v>#ERROR!</v>
      </c>
      <c r="K128" s="1611" t="str">
        <f>'League Stats'!#REF!</f>
        <v>#ERROR!</v>
      </c>
      <c r="L128" s="1603" t="str">
        <f>IF(OR(J128="-",J128=""),"",L123)</f>
        <v>#ERROR!</v>
      </c>
      <c r="M128" s="13" t="s">
        <v>1097</v>
      </c>
      <c r="N128" s="700">
        <f t="shared" ref="N128:U128" si="177">IFERROR(IF($M128="YES",IF($D126=N$4,$F126,0)+IF($G126=N$4,$I126,0)+IF($J126=N$4,$L126,0),0),0)</f>
        <v>0</v>
      </c>
      <c r="O128" s="700">
        <f t="shared" si="177"/>
        <v>0</v>
      </c>
      <c r="P128" s="700">
        <f t="shared" si="177"/>
        <v>0</v>
      </c>
      <c r="Q128" s="700">
        <f t="shared" si="177"/>
        <v>0</v>
      </c>
      <c r="R128" s="700">
        <f t="shared" si="177"/>
        <v>0</v>
      </c>
      <c r="S128" s="700">
        <f t="shared" si="177"/>
        <v>0</v>
      </c>
      <c r="T128" s="700">
        <f t="shared" si="177"/>
        <v>0</v>
      </c>
      <c r="U128" s="700">
        <f t="shared" si="177"/>
        <v>0</v>
      </c>
      <c r="X128" s="1252"/>
      <c r="Y128" s="1252"/>
      <c r="Z128" s="1252"/>
      <c r="AA128" s="1252"/>
      <c r="AB128" s="1252"/>
      <c r="AC128" s="1252"/>
      <c r="AD128" s="1252"/>
      <c r="AE128" s="1252"/>
      <c r="AF128" s="1252"/>
      <c r="AG128" s="1252"/>
      <c r="AH128" s="1252"/>
      <c r="AI128" s="1252"/>
      <c r="AJ128" s="1252"/>
      <c r="AK128" s="1252"/>
      <c r="AL128" s="1252"/>
      <c r="AM128" s="1252"/>
      <c r="AN128" s="1252"/>
      <c r="AO128" s="1252"/>
      <c r="AP128" s="1252"/>
      <c r="AQ128" s="1252"/>
      <c r="AR128" s="1252"/>
      <c r="AS128" s="1252"/>
      <c r="AT128" s="1252"/>
      <c r="AU128" s="1252"/>
      <c r="AV128" s="1252"/>
      <c r="AW128" s="1252"/>
      <c r="AX128" s="1252"/>
      <c r="AY128" s="1252"/>
      <c r="AZ128" s="1252"/>
      <c r="BA128" s="1252"/>
      <c r="BB128" s="1252"/>
      <c r="CF128" s="314"/>
    </row>
    <row r="129" ht="19.5" customHeight="1">
      <c r="B129" s="1594"/>
      <c r="C129" s="1626"/>
      <c r="D129" s="1605" t="str">
        <f>'League Stats'!#REF!</f>
        <v>#ERROR!</v>
      </c>
      <c r="E129" s="1606" t="str">
        <f>'League Stats'!#REF!</f>
        <v>#ERROR!</v>
      </c>
      <c r="F129" s="1598" t="str">
        <f>IF(OR(D129="-",D129=""),"",F123)</f>
        <v>#ERROR!</v>
      </c>
      <c r="G129" s="1608" t="str">
        <f>'League Stats'!#REF!</f>
        <v>#ERROR!</v>
      </c>
      <c r="H129" s="1609" t="str">
        <f>'League Stats'!#REF!</f>
        <v>#ERROR!</v>
      </c>
      <c r="I129" s="1598" t="str">
        <f>IF(OR(G129="-",G129=""),"",I123)</f>
        <v>#ERROR!</v>
      </c>
      <c r="J129" s="1610" t="str">
        <f>'League Stats'!#REF!</f>
        <v>#ERROR!</v>
      </c>
      <c r="K129" s="1611" t="str">
        <f>'League Stats'!#REF!</f>
        <v>#ERROR!</v>
      </c>
      <c r="L129" s="1603" t="str">
        <f>IF(OR(J129="-",J129=""),"",L123)</f>
        <v>#ERROR!</v>
      </c>
      <c r="M129" s="13" t="s">
        <v>1097</v>
      </c>
      <c r="N129" s="700">
        <f t="shared" ref="N129:U129" si="178">IFERROR(IF($M129="YES",IF($D127=N$4,$F127,0)+IF($G127=N$4,$I127,0)+IF($J127=N$4,$L127,0),0),0)</f>
        <v>0</v>
      </c>
      <c r="O129" s="700">
        <f t="shared" si="178"/>
        <v>0</v>
      </c>
      <c r="P129" s="700">
        <f t="shared" si="178"/>
        <v>0</v>
      </c>
      <c r="Q129" s="700">
        <f t="shared" si="178"/>
        <v>0</v>
      </c>
      <c r="R129" s="700">
        <f t="shared" si="178"/>
        <v>0</v>
      </c>
      <c r="S129" s="700">
        <f t="shared" si="178"/>
        <v>0</v>
      </c>
      <c r="T129" s="700">
        <f t="shared" si="178"/>
        <v>0</v>
      </c>
      <c r="U129" s="700">
        <f t="shared" si="178"/>
        <v>0</v>
      </c>
      <c r="X129" s="1252"/>
      <c r="Y129" s="1252"/>
      <c r="Z129" s="1252"/>
      <c r="AA129" s="1252"/>
      <c r="AB129" s="1252"/>
      <c r="AC129" s="1252"/>
      <c r="AD129" s="1252"/>
      <c r="AE129" s="1252"/>
      <c r="AF129" s="1252"/>
      <c r="AG129" s="1252"/>
      <c r="AH129" s="1252"/>
      <c r="AI129" s="1252"/>
      <c r="AJ129" s="1252"/>
      <c r="AK129" s="1252"/>
      <c r="AL129" s="1252"/>
      <c r="AM129" s="1252"/>
      <c r="AN129" s="1252"/>
      <c r="AO129" s="1252"/>
      <c r="AP129" s="1252"/>
      <c r="AQ129" s="1252"/>
      <c r="AR129" s="1252"/>
      <c r="AS129" s="1252"/>
      <c r="AT129" s="1252"/>
      <c r="AU129" s="1252"/>
      <c r="AV129" s="1252"/>
      <c r="AW129" s="1252"/>
      <c r="AX129" s="1252"/>
      <c r="AY129" s="1252"/>
      <c r="AZ129" s="1252"/>
      <c r="BA129" s="1252"/>
      <c r="BB129" s="1252"/>
      <c r="CF129" s="314"/>
    </row>
    <row r="130" ht="19.5" customHeight="1">
      <c r="B130" s="1613"/>
      <c r="C130" s="1627"/>
      <c r="D130" s="1615" t="str">
        <f>'League Stats'!#REF!</f>
        <v>#ERROR!</v>
      </c>
      <c r="E130" s="1616" t="str">
        <f>'League Stats'!#REF!</f>
        <v>#ERROR!</v>
      </c>
      <c r="F130" s="1617" t="str">
        <f>IF(OR(D130="-",D130=""),"",F123)</f>
        <v>#ERROR!</v>
      </c>
      <c r="G130" s="1618" t="str">
        <f>'League Stats'!#REF!</f>
        <v>#ERROR!</v>
      </c>
      <c r="H130" s="1619" t="str">
        <f>'League Stats'!#REF!</f>
        <v>#ERROR!</v>
      </c>
      <c r="I130" s="1617" t="str">
        <f>IF(OR(G130="-",G130=""),"",I123)</f>
        <v>#ERROR!</v>
      </c>
      <c r="J130" s="1620" t="str">
        <f>'League Stats'!#REF!</f>
        <v>#ERROR!</v>
      </c>
      <c r="K130" s="1621" t="str">
        <f>'League Stats'!#REF!</f>
        <v>#ERROR!</v>
      </c>
      <c r="L130" s="1622" t="str">
        <f>IF(OR(J130="-",J130=""),"",L123)</f>
        <v>#ERROR!</v>
      </c>
      <c r="M130" s="13" t="s">
        <v>1097</v>
      </c>
      <c r="N130" s="700">
        <f t="shared" ref="N130:U130" si="179">IFERROR(IF($M130="YES",IF($D128=N$4,$F128,0)+IF($G128=N$4,$I128,0)+IF($J128=N$4,$L128,0),0),0)</f>
        <v>0</v>
      </c>
      <c r="O130" s="700">
        <f t="shared" si="179"/>
        <v>0</v>
      </c>
      <c r="P130" s="700">
        <f t="shared" si="179"/>
        <v>0</v>
      </c>
      <c r="Q130" s="700">
        <f t="shared" si="179"/>
        <v>0</v>
      </c>
      <c r="R130" s="700">
        <f t="shared" si="179"/>
        <v>0</v>
      </c>
      <c r="S130" s="700">
        <f t="shared" si="179"/>
        <v>0</v>
      </c>
      <c r="T130" s="700">
        <f t="shared" si="179"/>
        <v>0</v>
      </c>
      <c r="U130" s="700">
        <f t="shared" si="179"/>
        <v>0</v>
      </c>
      <c r="X130" s="1252"/>
      <c r="Y130" s="1252"/>
      <c r="Z130" s="1252"/>
      <c r="AA130" s="1252"/>
      <c r="AB130" s="1252"/>
      <c r="AC130" s="1252"/>
      <c r="AD130" s="1252"/>
      <c r="AE130" s="1252"/>
      <c r="AF130" s="1252"/>
      <c r="AG130" s="1252"/>
      <c r="AH130" s="1252"/>
      <c r="AI130" s="1252"/>
      <c r="AJ130" s="1252"/>
      <c r="AK130" s="1252"/>
      <c r="AL130" s="1252"/>
      <c r="AM130" s="1252"/>
      <c r="AN130" s="1252"/>
      <c r="AO130" s="1252"/>
      <c r="AP130" s="1252"/>
      <c r="AQ130" s="1252"/>
      <c r="AR130" s="1252"/>
      <c r="AS130" s="1252"/>
      <c r="AT130" s="1252"/>
      <c r="AU130" s="1252"/>
      <c r="AV130" s="1252"/>
      <c r="AW130" s="1252"/>
      <c r="AX130" s="1252"/>
      <c r="AY130" s="1252"/>
      <c r="AZ130" s="1252"/>
      <c r="BA130" s="1252"/>
      <c r="BB130" s="1252"/>
      <c r="CF130" s="314"/>
    </row>
    <row r="131" ht="19.5" customHeight="1">
      <c r="B131" s="1632" t="s">
        <v>139</v>
      </c>
      <c r="C131" s="1624" t="s">
        <v>202</v>
      </c>
      <c r="D131" s="1586" t="str">
        <f>'League Stats'!#REF!</f>
        <v>#ERROR!</v>
      </c>
      <c r="E131" s="1587" t="str">
        <f>'League Stats'!#REF!</f>
        <v>#ERROR!</v>
      </c>
      <c r="F131" s="1588">
        <v>2.0</v>
      </c>
      <c r="G131" s="1589" t="str">
        <f>'League Stats'!#REF!</f>
        <v>#ERROR!</v>
      </c>
      <c r="H131" s="1590" t="str">
        <f>'League Stats'!#REF!</f>
        <v>#ERROR!</v>
      </c>
      <c r="I131" s="1588">
        <v>1.0</v>
      </c>
      <c r="J131" s="1591" t="str">
        <f>'League Stats'!#REF!</f>
        <v>#ERROR!</v>
      </c>
      <c r="K131" s="1592" t="str">
        <f>'League Stats'!#REF!</f>
        <v>#ERROR!</v>
      </c>
      <c r="L131" s="1593">
        <v>0.5</v>
      </c>
      <c r="M131" s="13" t="s">
        <v>1097</v>
      </c>
      <c r="N131" s="700">
        <f t="shared" ref="N131:U131" si="180">IFERROR(IF($M131="YES",IF($D129=N$4,$F129,0)+IF($G129=N$4,$I129,0)+IF($J129=N$4,$L129,0),0),0)</f>
        <v>0</v>
      </c>
      <c r="O131" s="700">
        <f t="shared" si="180"/>
        <v>0</v>
      </c>
      <c r="P131" s="700">
        <f t="shared" si="180"/>
        <v>0</v>
      </c>
      <c r="Q131" s="700">
        <f t="shared" si="180"/>
        <v>0</v>
      </c>
      <c r="R131" s="700">
        <f t="shared" si="180"/>
        <v>0</v>
      </c>
      <c r="S131" s="700">
        <f t="shared" si="180"/>
        <v>0</v>
      </c>
      <c r="T131" s="700">
        <f t="shared" si="180"/>
        <v>0</v>
      </c>
      <c r="U131" s="700">
        <f t="shared" si="180"/>
        <v>0</v>
      </c>
      <c r="X131" s="1252"/>
      <c r="Y131" s="1252"/>
      <c r="Z131" s="1252"/>
      <c r="AA131" s="1252"/>
      <c r="AB131" s="1252"/>
      <c r="AC131" s="1252"/>
      <c r="AD131" s="1252"/>
      <c r="AE131" s="1252"/>
      <c r="AF131" s="1252"/>
      <c r="AG131" s="1252"/>
      <c r="AH131" s="1252"/>
      <c r="AI131" s="1252"/>
      <c r="AJ131" s="1252"/>
      <c r="AK131" s="1252"/>
      <c r="AL131" s="1252"/>
      <c r="AM131" s="1252"/>
      <c r="AN131" s="1252"/>
      <c r="AO131" s="1252"/>
      <c r="AP131" s="1252"/>
      <c r="AQ131" s="1252"/>
      <c r="AR131" s="1252"/>
      <c r="AS131" s="1252"/>
      <c r="AT131" s="1252"/>
      <c r="AU131" s="1252"/>
      <c r="AV131" s="1252"/>
      <c r="AW131" s="1252"/>
      <c r="AX131" s="1252"/>
      <c r="AY131" s="1252"/>
      <c r="AZ131" s="1252"/>
      <c r="BA131" s="1252"/>
      <c r="BB131" s="1252"/>
      <c r="CF131" s="314"/>
    </row>
    <row r="132" ht="19.5" customHeight="1">
      <c r="B132" s="1594"/>
      <c r="C132" s="1625"/>
      <c r="D132" s="1596" t="str">
        <f>'League Stats'!#REF!</f>
        <v>#ERROR!</v>
      </c>
      <c r="E132" s="1597" t="str">
        <f>'League Stats'!#REF!</f>
        <v>#ERROR!</v>
      </c>
      <c r="F132" s="1598" t="str">
        <f>IF(OR(D132="-",D132=""),"",F131)</f>
        <v>#ERROR!</v>
      </c>
      <c r="G132" s="1599" t="str">
        <f>'League Stats'!#REF!</f>
        <v>#ERROR!</v>
      </c>
      <c r="H132" s="1600" t="str">
        <f>'League Stats'!#REF!</f>
        <v>#ERROR!</v>
      </c>
      <c r="I132" s="1598" t="str">
        <f>IF(OR(G132="-",G132=""),"",I131)</f>
        <v>#ERROR!</v>
      </c>
      <c r="J132" s="1601" t="str">
        <f>'League Stats'!#REF!</f>
        <v>#ERROR!</v>
      </c>
      <c r="K132" s="1602" t="str">
        <f>'League Stats'!#REF!</f>
        <v>#ERROR!</v>
      </c>
      <c r="L132" s="1603" t="str">
        <f>IF(OR(J132="-",J132=""),"",L131)</f>
        <v>#ERROR!</v>
      </c>
      <c r="M132" s="13" t="s">
        <v>1097</v>
      </c>
      <c r="N132" s="700">
        <f t="shared" ref="N132:U132" si="181">IFERROR(IF($M132="YES",IF($D130=N$4,$F130,0)+IF($G130=N$4,$I130,0)+IF($J130=N$4,$L130,0),0),0)</f>
        <v>0</v>
      </c>
      <c r="O132" s="700">
        <f t="shared" si="181"/>
        <v>0</v>
      </c>
      <c r="P132" s="700">
        <f t="shared" si="181"/>
        <v>0</v>
      </c>
      <c r="Q132" s="700">
        <f t="shared" si="181"/>
        <v>0</v>
      </c>
      <c r="R132" s="700">
        <f t="shared" si="181"/>
        <v>0</v>
      </c>
      <c r="S132" s="700">
        <f t="shared" si="181"/>
        <v>0</v>
      </c>
      <c r="T132" s="700">
        <f t="shared" si="181"/>
        <v>0</v>
      </c>
      <c r="U132" s="700">
        <f t="shared" si="181"/>
        <v>0</v>
      </c>
      <c r="X132" s="1252"/>
      <c r="Y132" s="1252"/>
      <c r="Z132" s="1252"/>
      <c r="AA132" s="1252"/>
      <c r="AB132" s="1252"/>
      <c r="AC132" s="1252"/>
      <c r="AD132" s="1252"/>
      <c r="AE132" s="1252"/>
      <c r="AF132" s="1252"/>
      <c r="AG132" s="1252"/>
      <c r="AH132" s="1252"/>
      <c r="AI132" s="1252"/>
      <c r="AJ132" s="1252"/>
      <c r="AK132" s="1252"/>
      <c r="AL132" s="1252"/>
      <c r="AM132" s="1252"/>
      <c r="AN132" s="1252"/>
      <c r="AO132" s="1252"/>
      <c r="AP132" s="1252"/>
      <c r="AQ132" s="1252"/>
      <c r="AR132" s="1252"/>
      <c r="AS132" s="1252"/>
      <c r="AT132" s="1252"/>
      <c r="AU132" s="1252"/>
      <c r="AV132" s="1252"/>
      <c r="AW132" s="1252"/>
      <c r="AX132" s="1252"/>
      <c r="AY132" s="1252"/>
      <c r="AZ132" s="1252"/>
      <c r="BA132" s="1252"/>
      <c r="BB132" s="1252"/>
      <c r="CF132" s="314"/>
    </row>
    <row r="133" ht="19.5" customHeight="1">
      <c r="B133" s="1594"/>
      <c r="C133" s="1625"/>
      <c r="D133" s="1596" t="str">
        <f>'League Stats'!#REF!</f>
        <v>#ERROR!</v>
      </c>
      <c r="E133" s="1597" t="str">
        <f>'League Stats'!#REF!</f>
        <v>#ERROR!</v>
      </c>
      <c r="F133" s="1598" t="str">
        <f>IF(OR(D133="-",D133=""),"",F131)</f>
        <v>#ERROR!</v>
      </c>
      <c r="G133" s="1599" t="str">
        <f>'League Stats'!#REF!</f>
        <v>#ERROR!</v>
      </c>
      <c r="H133" s="1600" t="str">
        <f>'League Stats'!#REF!</f>
        <v>#ERROR!</v>
      </c>
      <c r="I133" s="1598" t="str">
        <f>IF(OR(G133="-",G133=""),"",I131)</f>
        <v>#ERROR!</v>
      </c>
      <c r="J133" s="1601" t="str">
        <f>'League Stats'!#REF!</f>
        <v>#ERROR!</v>
      </c>
      <c r="K133" s="1602" t="str">
        <f>'League Stats'!#REF!</f>
        <v>#ERROR!</v>
      </c>
      <c r="L133" s="1603" t="str">
        <f>IF(OR(J133="-",J133=""),"",L131)</f>
        <v>#ERROR!</v>
      </c>
      <c r="M133" s="13" t="s">
        <v>1097</v>
      </c>
      <c r="N133" s="700">
        <f t="shared" ref="N133:U133" si="182">IFERROR(IF($M133="YES",IF($D131=N$4,$F131,0)+IF($G131=N$4,$I131,0)+IF($J131=N$4,$L131,0),0),0)</f>
        <v>0</v>
      </c>
      <c r="O133" s="700">
        <f t="shared" si="182"/>
        <v>0</v>
      </c>
      <c r="P133" s="700">
        <f t="shared" si="182"/>
        <v>0</v>
      </c>
      <c r="Q133" s="700">
        <f t="shared" si="182"/>
        <v>0</v>
      </c>
      <c r="R133" s="700">
        <f t="shared" si="182"/>
        <v>0</v>
      </c>
      <c r="S133" s="700">
        <f t="shared" si="182"/>
        <v>0</v>
      </c>
      <c r="T133" s="700">
        <f t="shared" si="182"/>
        <v>0</v>
      </c>
      <c r="U133" s="700">
        <f t="shared" si="182"/>
        <v>0</v>
      </c>
      <c r="X133" s="1252"/>
      <c r="Y133" s="1252"/>
      <c r="Z133" s="1252"/>
      <c r="AA133" s="1252"/>
      <c r="AB133" s="1252"/>
      <c r="AC133" s="1252"/>
      <c r="AD133" s="1252"/>
      <c r="AE133" s="1252"/>
      <c r="AF133" s="1252"/>
      <c r="AG133" s="1252"/>
      <c r="AH133" s="1252"/>
      <c r="AI133" s="1252"/>
      <c r="AJ133" s="1252"/>
      <c r="AK133" s="1252"/>
      <c r="AL133" s="1252"/>
      <c r="AM133" s="1252"/>
      <c r="AN133" s="1252"/>
      <c r="AO133" s="1252"/>
      <c r="AP133" s="1252"/>
      <c r="AQ133" s="1252"/>
      <c r="AR133" s="1252"/>
      <c r="AS133" s="1252"/>
      <c r="AT133" s="1252"/>
      <c r="AU133" s="1252"/>
      <c r="AV133" s="1252"/>
      <c r="AW133" s="1252"/>
      <c r="AX133" s="1252"/>
      <c r="AY133" s="1252"/>
      <c r="AZ133" s="1252"/>
      <c r="BA133" s="1252"/>
      <c r="BB133" s="1252"/>
      <c r="CF133" s="314"/>
    </row>
    <row r="134" ht="19.5" customHeight="1">
      <c r="B134" s="1594"/>
      <c r="C134" s="1625"/>
      <c r="D134" s="1596" t="str">
        <f>'League Stats'!#REF!</f>
        <v>#ERROR!</v>
      </c>
      <c r="E134" s="1597" t="str">
        <f>'League Stats'!#REF!</f>
        <v>#ERROR!</v>
      </c>
      <c r="F134" s="1598" t="str">
        <f>IF(OR(D134="-",D134=""),"",F131)</f>
        <v>#ERROR!</v>
      </c>
      <c r="G134" s="1599" t="str">
        <f>'League Stats'!#REF!</f>
        <v>#ERROR!</v>
      </c>
      <c r="H134" s="1600" t="str">
        <f>'League Stats'!#REF!</f>
        <v>#ERROR!</v>
      </c>
      <c r="I134" s="1598" t="str">
        <f>IF(OR(G134="-",G134=""),"",I131)</f>
        <v>#ERROR!</v>
      </c>
      <c r="J134" s="1601" t="str">
        <f>'League Stats'!#REF!</f>
        <v>#ERROR!</v>
      </c>
      <c r="K134" s="1602" t="str">
        <f>'League Stats'!#REF!</f>
        <v>#ERROR!</v>
      </c>
      <c r="L134" s="1603" t="str">
        <f>IF(OR(J134="-",J134=""),"",L131)</f>
        <v>#ERROR!</v>
      </c>
      <c r="M134" s="13" t="s">
        <v>1097</v>
      </c>
      <c r="N134" s="700">
        <f t="shared" ref="N134:U134" si="183">IFERROR(IF($M134="YES",IF($D132=N$4,$F132,0)+IF($G132=N$4,$I132,0)+IF($J132=N$4,$L132,0),0),0)</f>
        <v>0</v>
      </c>
      <c r="O134" s="700">
        <f t="shared" si="183"/>
        <v>0</v>
      </c>
      <c r="P134" s="700">
        <f t="shared" si="183"/>
        <v>0</v>
      </c>
      <c r="Q134" s="700">
        <f t="shared" si="183"/>
        <v>0</v>
      </c>
      <c r="R134" s="700">
        <f t="shared" si="183"/>
        <v>0</v>
      </c>
      <c r="S134" s="700">
        <f t="shared" si="183"/>
        <v>0</v>
      </c>
      <c r="T134" s="700">
        <f t="shared" si="183"/>
        <v>0</v>
      </c>
      <c r="U134" s="700">
        <f t="shared" si="183"/>
        <v>0</v>
      </c>
      <c r="X134" s="1252"/>
      <c r="Y134" s="1252"/>
      <c r="Z134" s="1252"/>
      <c r="AA134" s="1252"/>
      <c r="AB134" s="1252"/>
      <c r="AC134" s="1252"/>
      <c r="AD134" s="1252"/>
      <c r="AE134" s="1252"/>
      <c r="AF134" s="1252"/>
      <c r="AG134" s="1252"/>
      <c r="AH134" s="1252"/>
      <c r="AI134" s="1252"/>
      <c r="AJ134" s="1252"/>
      <c r="AK134" s="1252"/>
      <c r="AL134" s="1252"/>
      <c r="AM134" s="1252"/>
      <c r="AN134" s="1252"/>
      <c r="AO134" s="1252"/>
      <c r="AP134" s="1252"/>
      <c r="AQ134" s="1252"/>
      <c r="AR134" s="1252"/>
      <c r="AS134" s="1252"/>
      <c r="AT134" s="1252"/>
      <c r="AU134" s="1252"/>
      <c r="AV134" s="1252"/>
      <c r="AW134" s="1252"/>
      <c r="AX134" s="1252"/>
      <c r="AY134" s="1252"/>
      <c r="AZ134" s="1252"/>
      <c r="BA134" s="1252"/>
      <c r="BB134" s="1252"/>
      <c r="CF134" s="314"/>
    </row>
    <row r="135" ht="19.5" customHeight="1">
      <c r="B135" s="1594"/>
      <c r="C135" s="1625"/>
      <c r="D135" s="1596" t="str">
        <f>'League Stats'!#REF!</f>
        <v>#ERROR!</v>
      </c>
      <c r="E135" s="1597" t="str">
        <f>'League Stats'!#REF!</f>
        <v>#ERROR!</v>
      </c>
      <c r="F135" s="1598" t="str">
        <f>IF(OR(D135="-",D135=""),"",F131)</f>
        <v>#ERROR!</v>
      </c>
      <c r="G135" s="1599" t="str">
        <f>'League Stats'!#REF!</f>
        <v>#ERROR!</v>
      </c>
      <c r="H135" s="1600" t="str">
        <f>'League Stats'!#REF!</f>
        <v>#ERROR!</v>
      </c>
      <c r="I135" s="1598" t="str">
        <f>IF(OR(G135="-",G135=""),"",I131)</f>
        <v>#ERROR!</v>
      </c>
      <c r="J135" s="1601" t="str">
        <f>'League Stats'!#REF!</f>
        <v>#ERROR!</v>
      </c>
      <c r="K135" s="1602" t="str">
        <f>'League Stats'!#REF!</f>
        <v>#ERROR!</v>
      </c>
      <c r="L135" s="1603" t="str">
        <f>IF(OR(J135="-",J135=""),"",L131)</f>
        <v>#ERROR!</v>
      </c>
      <c r="M135" s="13" t="s">
        <v>1097</v>
      </c>
      <c r="N135" s="700">
        <f t="shared" ref="N135:U135" si="184">IFERROR(IF($M135="YES",IF($D133=N$4,$F133,0)+IF($G133=N$4,$I133,0)+IF($J133=N$4,$L133,0),0),0)</f>
        <v>0</v>
      </c>
      <c r="O135" s="700">
        <f t="shared" si="184"/>
        <v>0</v>
      </c>
      <c r="P135" s="700">
        <f t="shared" si="184"/>
        <v>0</v>
      </c>
      <c r="Q135" s="700">
        <f t="shared" si="184"/>
        <v>0</v>
      </c>
      <c r="R135" s="700">
        <f t="shared" si="184"/>
        <v>0</v>
      </c>
      <c r="S135" s="700">
        <f t="shared" si="184"/>
        <v>0</v>
      </c>
      <c r="T135" s="700">
        <f t="shared" si="184"/>
        <v>0</v>
      </c>
      <c r="U135" s="700">
        <f t="shared" si="184"/>
        <v>0</v>
      </c>
      <c r="X135" s="1252"/>
      <c r="Y135" s="1252"/>
      <c r="Z135" s="1252"/>
      <c r="AA135" s="1252"/>
      <c r="AB135" s="1252"/>
      <c r="AC135" s="1252"/>
      <c r="AD135" s="1252"/>
      <c r="AE135" s="1252"/>
      <c r="AF135" s="1252"/>
      <c r="AG135" s="1252"/>
      <c r="AH135" s="1252"/>
      <c r="AI135" s="1252"/>
      <c r="AJ135" s="1252"/>
      <c r="AK135" s="1252"/>
      <c r="AL135" s="1252"/>
      <c r="AM135" s="1252"/>
      <c r="AN135" s="1252"/>
      <c r="AO135" s="1252"/>
      <c r="AP135" s="1252"/>
      <c r="AQ135" s="1252"/>
      <c r="AR135" s="1252"/>
      <c r="AS135" s="1252"/>
      <c r="AT135" s="1252"/>
      <c r="AU135" s="1252"/>
      <c r="AV135" s="1252"/>
      <c r="AW135" s="1252"/>
      <c r="AX135" s="1252"/>
      <c r="AY135" s="1252"/>
      <c r="AZ135" s="1252"/>
      <c r="BA135" s="1252"/>
      <c r="BB135" s="1252"/>
      <c r="CF135" s="314"/>
    </row>
    <row r="136" ht="19.5" customHeight="1">
      <c r="B136" s="1594"/>
      <c r="C136" s="1625"/>
      <c r="D136" s="1596" t="str">
        <f>'League Stats'!#REF!</f>
        <v>#ERROR!</v>
      </c>
      <c r="E136" s="1597" t="str">
        <f>'League Stats'!#REF!</f>
        <v>#ERROR!</v>
      </c>
      <c r="F136" s="1598" t="str">
        <f>IF(OR(D136="-",D136=""),"",F131)</f>
        <v>#ERROR!</v>
      </c>
      <c r="G136" s="1599" t="str">
        <f>'League Stats'!#REF!</f>
        <v>#ERROR!</v>
      </c>
      <c r="H136" s="1600" t="str">
        <f>'League Stats'!#REF!</f>
        <v>#ERROR!</v>
      </c>
      <c r="I136" s="1598" t="str">
        <f>IF(OR(G136="-",G136=""),"",I131)</f>
        <v>#ERROR!</v>
      </c>
      <c r="J136" s="1601" t="str">
        <f>'League Stats'!#REF!</f>
        <v>#ERROR!</v>
      </c>
      <c r="K136" s="1602" t="str">
        <f>'League Stats'!#REF!</f>
        <v>#ERROR!</v>
      </c>
      <c r="L136" s="1603" t="str">
        <f>IF(OR(J136="-",J136=""),"",L131)</f>
        <v>#ERROR!</v>
      </c>
      <c r="M136" s="13" t="s">
        <v>1097</v>
      </c>
      <c r="N136" s="700">
        <f t="shared" ref="N136:U136" si="185">IFERROR(IF($M136="YES",IF($D134=N$4,$F134,0)+IF($G134=N$4,$I134,0)+IF($J134=N$4,$L134,0),0),0)</f>
        <v>0</v>
      </c>
      <c r="O136" s="700">
        <f t="shared" si="185"/>
        <v>0</v>
      </c>
      <c r="P136" s="700">
        <f t="shared" si="185"/>
        <v>0</v>
      </c>
      <c r="Q136" s="700">
        <f t="shared" si="185"/>
        <v>0</v>
      </c>
      <c r="R136" s="700">
        <f t="shared" si="185"/>
        <v>0</v>
      </c>
      <c r="S136" s="700">
        <f t="shared" si="185"/>
        <v>0</v>
      </c>
      <c r="T136" s="700">
        <f t="shared" si="185"/>
        <v>0</v>
      </c>
      <c r="U136" s="700">
        <f t="shared" si="185"/>
        <v>0</v>
      </c>
      <c r="X136" s="1252"/>
      <c r="Y136" s="1252"/>
      <c r="Z136" s="1252"/>
      <c r="AA136" s="1252"/>
      <c r="AB136" s="1252"/>
      <c r="AC136" s="1252"/>
      <c r="AD136" s="1252"/>
      <c r="AE136" s="1252"/>
      <c r="AF136" s="1252"/>
      <c r="AG136" s="1252"/>
      <c r="AH136" s="1252"/>
      <c r="AI136" s="1252"/>
      <c r="AJ136" s="1252"/>
      <c r="AK136" s="1252"/>
      <c r="AL136" s="1252"/>
      <c r="AM136" s="1252"/>
      <c r="AN136" s="1252"/>
      <c r="AO136" s="1252"/>
      <c r="AP136" s="1252"/>
      <c r="AQ136" s="1252"/>
      <c r="AR136" s="1252"/>
      <c r="AS136" s="1252"/>
      <c r="AT136" s="1252"/>
      <c r="AU136" s="1252"/>
      <c r="AV136" s="1252"/>
      <c r="AW136" s="1252"/>
      <c r="AX136" s="1252"/>
      <c r="AY136" s="1252"/>
      <c r="AZ136" s="1252"/>
      <c r="BA136" s="1252"/>
      <c r="BB136" s="1252"/>
      <c r="CF136" s="314"/>
    </row>
    <row r="137" ht="19.5" customHeight="1">
      <c r="B137" s="1594"/>
      <c r="C137" s="1625"/>
      <c r="D137" s="1596" t="str">
        <f>'League Stats'!#REF!</f>
        <v>#ERROR!</v>
      </c>
      <c r="E137" s="1597" t="str">
        <f>'League Stats'!#REF!</f>
        <v>#ERROR!</v>
      </c>
      <c r="F137" s="1598" t="str">
        <f>IF(OR(D137="-",D137=""),"",F131)</f>
        <v>#ERROR!</v>
      </c>
      <c r="G137" s="1599" t="str">
        <f>'League Stats'!#REF!</f>
        <v>#ERROR!</v>
      </c>
      <c r="H137" s="1600" t="str">
        <f>'League Stats'!#REF!</f>
        <v>#ERROR!</v>
      </c>
      <c r="I137" s="1598" t="str">
        <f>IF(OR(G137="-",G137=""),"",I131)</f>
        <v>#ERROR!</v>
      </c>
      <c r="J137" s="1601" t="str">
        <f>'League Stats'!#REF!</f>
        <v>#ERROR!</v>
      </c>
      <c r="K137" s="1602" t="str">
        <f>'League Stats'!#REF!</f>
        <v>#ERROR!</v>
      </c>
      <c r="L137" s="1603" t="str">
        <f>IF(OR(J137="-",J137=""),"",L131)</f>
        <v>#ERROR!</v>
      </c>
      <c r="M137" s="13" t="s">
        <v>1097</v>
      </c>
      <c r="N137" s="700">
        <f t="shared" ref="N137:U137" si="186">IFERROR(IF($M137="YES",IF($D135=N$4,$F135,0)+IF($G135=N$4,$I135,0)+IF($J135=N$4,$L135,0),0),0)</f>
        <v>0</v>
      </c>
      <c r="O137" s="700">
        <f t="shared" si="186"/>
        <v>0</v>
      </c>
      <c r="P137" s="700">
        <f t="shared" si="186"/>
        <v>0</v>
      </c>
      <c r="Q137" s="700">
        <f t="shared" si="186"/>
        <v>0</v>
      </c>
      <c r="R137" s="700">
        <f t="shared" si="186"/>
        <v>0</v>
      </c>
      <c r="S137" s="700">
        <f t="shared" si="186"/>
        <v>0</v>
      </c>
      <c r="T137" s="700">
        <f t="shared" si="186"/>
        <v>0</v>
      </c>
      <c r="U137" s="700">
        <f t="shared" si="186"/>
        <v>0</v>
      </c>
      <c r="X137" s="1252"/>
      <c r="Y137" s="1252"/>
      <c r="Z137" s="1252"/>
      <c r="AA137" s="1252"/>
      <c r="AB137" s="1252"/>
      <c r="AC137" s="1252"/>
      <c r="AD137" s="1252"/>
      <c r="AE137" s="1252"/>
      <c r="AF137" s="1252"/>
      <c r="AG137" s="1252"/>
      <c r="AH137" s="1252"/>
      <c r="AI137" s="1252"/>
      <c r="AJ137" s="1252"/>
      <c r="AK137" s="1252"/>
      <c r="AL137" s="1252"/>
      <c r="AM137" s="1252"/>
      <c r="AN137" s="1252"/>
      <c r="AO137" s="1252"/>
      <c r="AP137" s="1252"/>
      <c r="AQ137" s="1252"/>
      <c r="AR137" s="1252"/>
      <c r="AS137" s="1252"/>
      <c r="AT137" s="1252"/>
      <c r="AU137" s="1252"/>
      <c r="AV137" s="1252"/>
      <c r="AW137" s="1252"/>
      <c r="AX137" s="1252"/>
      <c r="AY137" s="1252"/>
      <c r="AZ137" s="1252"/>
      <c r="BA137" s="1252"/>
      <c r="BB137" s="1252"/>
      <c r="CF137" s="314"/>
    </row>
    <row r="138" ht="19.5" customHeight="1">
      <c r="B138" s="1594"/>
      <c r="C138" s="1625"/>
      <c r="D138" s="1596" t="str">
        <f>'League Stats'!#REF!</f>
        <v>#ERROR!</v>
      </c>
      <c r="E138" s="1597" t="str">
        <f>'League Stats'!#REF!</f>
        <v>#ERROR!</v>
      </c>
      <c r="F138" s="1598" t="str">
        <f>IF(OR(D138="-",D138=""),"",F131)</f>
        <v>#ERROR!</v>
      </c>
      <c r="G138" s="1599" t="str">
        <f>'League Stats'!#REF!</f>
        <v>#ERROR!</v>
      </c>
      <c r="H138" s="1600" t="str">
        <f>'League Stats'!#REF!</f>
        <v>#ERROR!</v>
      </c>
      <c r="I138" s="1598" t="str">
        <f>IF(OR(G138="-",G138=""),"",I131)</f>
        <v>#ERROR!</v>
      </c>
      <c r="J138" s="1601" t="str">
        <f>'League Stats'!#REF!</f>
        <v>#ERROR!</v>
      </c>
      <c r="K138" s="1602" t="str">
        <f>'League Stats'!#REF!</f>
        <v>#ERROR!</v>
      </c>
      <c r="L138" s="1603" t="str">
        <f>IF(OR(J138="-",J138=""),"",L131)</f>
        <v>#ERROR!</v>
      </c>
      <c r="M138" s="13" t="s">
        <v>1097</v>
      </c>
      <c r="N138" s="700">
        <f t="shared" ref="N138:U138" si="187">IFERROR(IF($M138="YES",IF($D136=N$4,$F136,0)+IF($G136=N$4,$I136,0)+IF($J136=N$4,$L136,0),0),0)</f>
        <v>0</v>
      </c>
      <c r="O138" s="700">
        <f t="shared" si="187"/>
        <v>0</v>
      </c>
      <c r="P138" s="700">
        <f t="shared" si="187"/>
        <v>0</v>
      </c>
      <c r="Q138" s="700">
        <f t="shared" si="187"/>
        <v>0</v>
      </c>
      <c r="R138" s="700">
        <f t="shared" si="187"/>
        <v>0</v>
      </c>
      <c r="S138" s="700">
        <f t="shared" si="187"/>
        <v>0</v>
      </c>
      <c r="T138" s="700">
        <f t="shared" si="187"/>
        <v>0</v>
      </c>
      <c r="U138" s="700">
        <f t="shared" si="187"/>
        <v>0</v>
      </c>
      <c r="X138" s="1252"/>
      <c r="Y138" s="1252"/>
      <c r="Z138" s="1252"/>
      <c r="AA138" s="1252"/>
      <c r="AB138" s="1252"/>
      <c r="AC138" s="1252"/>
      <c r="AD138" s="1252"/>
      <c r="AE138" s="1252"/>
      <c r="AF138" s="1252"/>
      <c r="AG138" s="1252"/>
      <c r="AH138" s="1252"/>
      <c r="AI138" s="1252"/>
      <c r="AJ138" s="1252"/>
      <c r="AK138" s="1252"/>
      <c r="AL138" s="1252"/>
      <c r="AM138" s="1252"/>
      <c r="AN138" s="1252"/>
      <c r="AO138" s="1252"/>
      <c r="AP138" s="1252"/>
      <c r="AQ138" s="1252"/>
      <c r="AR138" s="1252"/>
      <c r="AS138" s="1252"/>
      <c r="AT138" s="1252"/>
      <c r="AU138" s="1252"/>
      <c r="AV138" s="1252"/>
      <c r="AW138" s="1252"/>
      <c r="AX138" s="1252"/>
      <c r="AY138" s="1252"/>
      <c r="AZ138" s="1252"/>
      <c r="BA138" s="1252"/>
      <c r="BB138" s="1252"/>
      <c r="CF138" s="314"/>
    </row>
    <row r="139" ht="19.5" customHeight="1">
      <c r="B139" s="1594"/>
      <c r="C139" s="1626" t="s">
        <v>1782</v>
      </c>
      <c r="D139" s="1605" t="str">
        <f>'League Stats'!#REF!</f>
        <v>#ERROR!</v>
      </c>
      <c r="E139" s="1606" t="str">
        <f>'League Stats'!#REF!</f>
        <v>#ERROR!</v>
      </c>
      <c r="F139" s="1607">
        <v>2.0</v>
      </c>
      <c r="G139" s="1608" t="str">
        <f>'League Stats'!#REF!</f>
        <v>#ERROR!</v>
      </c>
      <c r="H139" s="1609" t="str">
        <f>'League Stats'!#REF!</f>
        <v>#ERROR!</v>
      </c>
      <c r="I139" s="1607">
        <v>1.0</v>
      </c>
      <c r="J139" s="1610" t="str">
        <f>'League Stats'!#REF!</f>
        <v>#ERROR!</v>
      </c>
      <c r="K139" s="1611" t="str">
        <f>'League Stats'!#REF!</f>
        <v>#ERROR!</v>
      </c>
      <c r="L139" s="1612">
        <v>0.5</v>
      </c>
      <c r="M139" s="13" t="s">
        <v>1097</v>
      </c>
      <c r="N139" s="700">
        <f t="shared" ref="N139:U139" si="188">IFERROR(IF($M139="YES",IF($D137=N$4,$F137,0)+IF($G137=N$4,$I137,0)+IF($J137=N$4,$L137,0),0),0)</f>
        <v>0</v>
      </c>
      <c r="O139" s="700">
        <f t="shared" si="188"/>
        <v>0</v>
      </c>
      <c r="P139" s="700">
        <f t="shared" si="188"/>
        <v>0</v>
      </c>
      <c r="Q139" s="700">
        <f t="shared" si="188"/>
        <v>0</v>
      </c>
      <c r="R139" s="700">
        <f t="shared" si="188"/>
        <v>0</v>
      </c>
      <c r="S139" s="700">
        <f t="shared" si="188"/>
        <v>0</v>
      </c>
      <c r="T139" s="700">
        <f t="shared" si="188"/>
        <v>0</v>
      </c>
      <c r="U139" s="700">
        <f t="shared" si="188"/>
        <v>0</v>
      </c>
      <c r="X139" s="1252"/>
      <c r="Y139" s="1252"/>
      <c r="Z139" s="1252"/>
      <c r="AA139" s="1252"/>
      <c r="AB139" s="1252"/>
      <c r="AC139" s="1252"/>
      <c r="AD139" s="1252"/>
      <c r="AE139" s="1252"/>
      <c r="AF139" s="1252"/>
      <c r="AG139" s="1252"/>
      <c r="AH139" s="1252"/>
      <c r="AI139" s="1252"/>
      <c r="AJ139" s="1252"/>
      <c r="AK139" s="1252"/>
      <c r="AL139" s="1252"/>
      <c r="AM139" s="1252"/>
      <c r="AN139" s="1252"/>
      <c r="AO139" s="1252"/>
      <c r="AP139" s="1252"/>
      <c r="AQ139" s="1252"/>
      <c r="AR139" s="1252"/>
      <c r="AS139" s="1252"/>
      <c r="AT139" s="1252"/>
      <c r="AU139" s="1252"/>
      <c r="AV139" s="1252"/>
      <c r="AW139" s="1252"/>
      <c r="AX139" s="1252"/>
      <c r="AY139" s="1252"/>
      <c r="AZ139" s="1252"/>
      <c r="BA139" s="1252"/>
      <c r="BB139" s="1252"/>
      <c r="CF139" s="314"/>
    </row>
    <row r="140" ht="19.5" customHeight="1">
      <c r="B140" s="1594"/>
      <c r="C140" s="1626"/>
      <c r="D140" s="1605" t="str">
        <f>'League Stats'!#REF!</f>
        <v>#ERROR!</v>
      </c>
      <c r="E140" s="1606" t="str">
        <f>'League Stats'!#REF!</f>
        <v>#ERROR!</v>
      </c>
      <c r="F140" s="1598" t="str">
        <f>IF(OR(D140="-",D140=""),"",F139)</f>
        <v>#ERROR!</v>
      </c>
      <c r="G140" s="1608" t="str">
        <f>'League Stats'!#REF!</f>
        <v>#ERROR!</v>
      </c>
      <c r="H140" s="1609" t="str">
        <f>'League Stats'!#REF!</f>
        <v>#ERROR!</v>
      </c>
      <c r="I140" s="1598" t="str">
        <f>IF(OR(G140="-",G140=""),"",I139)</f>
        <v>#ERROR!</v>
      </c>
      <c r="J140" s="1610" t="str">
        <f>'League Stats'!#REF!</f>
        <v>#ERROR!</v>
      </c>
      <c r="K140" s="1611" t="str">
        <f>'League Stats'!#REF!</f>
        <v>#ERROR!</v>
      </c>
      <c r="L140" s="1603" t="str">
        <f>IF(OR(J140="-",J140=""),"",L139)</f>
        <v>#ERROR!</v>
      </c>
      <c r="M140" s="13" t="s">
        <v>1097</v>
      </c>
      <c r="N140" s="700">
        <f t="shared" ref="N140:U140" si="189">IFERROR(IF($M140="YES",IF($D138=N$4,$F138,0)+IF($G138=N$4,$I138,0)+IF($J138=N$4,$L138,0),0),0)</f>
        <v>0</v>
      </c>
      <c r="O140" s="700">
        <f t="shared" si="189"/>
        <v>0</v>
      </c>
      <c r="P140" s="700">
        <f t="shared" si="189"/>
        <v>0</v>
      </c>
      <c r="Q140" s="700">
        <f t="shared" si="189"/>
        <v>0</v>
      </c>
      <c r="R140" s="700">
        <f t="shared" si="189"/>
        <v>0</v>
      </c>
      <c r="S140" s="700">
        <f t="shared" si="189"/>
        <v>0</v>
      </c>
      <c r="T140" s="700">
        <f t="shared" si="189"/>
        <v>0</v>
      </c>
      <c r="U140" s="700">
        <f t="shared" si="189"/>
        <v>0</v>
      </c>
      <c r="X140" s="1252"/>
      <c r="Y140" s="1252"/>
      <c r="Z140" s="1252"/>
      <c r="AA140" s="1252"/>
      <c r="AB140" s="1252"/>
      <c r="AC140" s="1252"/>
      <c r="AD140" s="1252"/>
      <c r="AE140" s="1252"/>
      <c r="AF140" s="1252"/>
      <c r="AG140" s="1252"/>
      <c r="AH140" s="1252"/>
      <c r="AI140" s="1252"/>
      <c r="AJ140" s="1252"/>
      <c r="AK140" s="1252"/>
      <c r="AL140" s="1252"/>
      <c r="AM140" s="1252"/>
      <c r="AN140" s="1252"/>
      <c r="AO140" s="1252"/>
      <c r="AP140" s="1252"/>
      <c r="AQ140" s="1252"/>
      <c r="AR140" s="1252"/>
      <c r="AS140" s="1252"/>
      <c r="AT140" s="1252"/>
      <c r="AU140" s="1252"/>
      <c r="AV140" s="1252"/>
      <c r="AW140" s="1252"/>
      <c r="AX140" s="1252"/>
      <c r="AY140" s="1252"/>
      <c r="AZ140" s="1252"/>
      <c r="BA140" s="1252"/>
      <c r="BB140" s="1252"/>
      <c r="CF140" s="314"/>
    </row>
    <row r="141" ht="19.5" customHeight="1">
      <c r="B141" s="1594"/>
      <c r="C141" s="1626"/>
      <c r="D141" s="1605" t="str">
        <f>'League Stats'!#REF!</f>
        <v>#ERROR!</v>
      </c>
      <c r="E141" s="1606" t="str">
        <f>'League Stats'!#REF!</f>
        <v>#ERROR!</v>
      </c>
      <c r="F141" s="1598" t="str">
        <f>IF(OR(D141="-",D141=""),"",F139)</f>
        <v>#ERROR!</v>
      </c>
      <c r="G141" s="1608" t="str">
        <f>'League Stats'!#REF!</f>
        <v>#ERROR!</v>
      </c>
      <c r="H141" s="1609" t="str">
        <f>'League Stats'!#REF!</f>
        <v>#ERROR!</v>
      </c>
      <c r="I141" s="1598" t="str">
        <f>IF(OR(G141="-",G141=""),"",I139)</f>
        <v>#ERROR!</v>
      </c>
      <c r="J141" s="1610" t="str">
        <f>'League Stats'!#REF!</f>
        <v>#ERROR!</v>
      </c>
      <c r="K141" s="1611" t="str">
        <f>'League Stats'!#REF!</f>
        <v>#ERROR!</v>
      </c>
      <c r="L141" s="1603" t="str">
        <f>IF(OR(J141="-",J141=""),"",L139)</f>
        <v>#ERROR!</v>
      </c>
      <c r="M141" s="13" t="s">
        <v>1097</v>
      </c>
      <c r="N141" s="700">
        <f t="shared" ref="N141:U141" si="190">IFERROR(IF($M141="YES",IF($D139=N$4,$F139,0)+IF($G139=N$4,$I139,0)+IF($J139=N$4,$L139,0),0),0)</f>
        <v>0</v>
      </c>
      <c r="O141" s="700">
        <f t="shared" si="190"/>
        <v>0</v>
      </c>
      <c r="P141" s="700">
        <f t="shared" si="190"/>
        <v>0</v>
      </c>
      <c r="Q141" s="700">
        <f t="shared" si="190"/>
        <v>0</v>
      </c>
      <c r="R141" s="700">
        <f t="shared" si="190"/>
        <v>0</v>
      </c>
      <c r="S141" s="700">
        <f t="shared" si="190"/>
        <v>0</v>
      </c>
      <c r="T141" s="700">
        <f t="shared" si="190"/>
        <v>0</v>
      </c>
      <c r="U141" s="700">
        <f t="shared" si="190"/>
        <v>0</v>
      </c>
      <c r="X141" s="1252"/>
      <c r="Y141" s="1252"/>
      <c r="Z141" s="1252"/>
      <c r="AA141" s="1252"/>
      <c r="AB141" s="1252"/>
      <c r="AC141" s="1252"/>
      <c r="AD141" s="1252"/>
      <c r="AE141" s="1252"/>
      <c r="AF141" s="1252"/>
      <c r="AG141" s="1252"/>
      <c r="AH141" s="1252"/>
      <c r="AI141" s="1252"/>
      <c r="AJ141" s="1252"/>
      <c r="AK141" s="1252"/>
      <c r="AL141" s="1252"/>
      <c r="AM141" s="1252"/>
      <c r="AN141" s="1252"/>
      <c r="AO141" s="1252"/>
      <c r="AP141" s="1252"/>
      <c r="AQ141" s="1252"/>
      <c r="AR141" s="1252"/>
      <c r="AS141" s="1252"/>
      <c r="AT141" s="1252"/>
      <c r="AU141" s="1252"/>
      <c r="AV141" s="1252"/>
      <c r="AW141" s="1252"/>
      <c r="AX141" s="1252"/>
      <c r="AY141" s="1252"/>
      <c r="AZ141" s="1252"/>
      <c r="BA141" s="1252"/>
      <c r="BB141" s="1252"/>
      <c r="CF141" s="314"/>
    </row>
    <row r="142" ht="19.5" customHeight="1">
      <c r="B142" s="1594"/>
      <c r="C142" s="1626"/>
      <c r="D142" s="1605" t="str">
        <f>'League Stats'!#REF!</f>
        <v>#ERROR!</v>
      </c>
      <c r="E142" s="1606" t="str">
        <f>'League Stats'!#REF!</f>
        <v>#ERROR!</v>
      </c>
      <c r="F142" s="1598" t="str">
        <f>IF(OR(D142="-",D142=""),"",F139)</f>
        <v>#ERROR!</v>
      </c>
      <c r="G142" s="1608" t="str">
        <f>'League Stats'!#REF!</f>
        <v>#ERROR!</v>
      </c>
      <c r="H142" s="1609" t="str">
        <f>'League Stats'!#REF!</f>
        <v>#ERROR!</v>
      </c>
      <c r="I142" s="1598" t="str">
        <f>IF(OR(G142="-",G142=""),"",I139)</f>
        <v>#ERROR!</v>
      </c>
      <c r="J142" s="1610" t="str">
        <f>'League Stats'!#REF!</f>
        <v>#ERROR!</v>
      </c>
      <c r="K142" s="1611" t="str">
        <f>'League Stats'!#REF!</f>
        <v>#ERROR!</v>
      </c>
      <c r="L142" s="1603" t="str">
        <f>IF(OR(J142="-",J142=""),"",L139)</f>
        <v>#ERROR!</v>
      </c>
      <c r="M142" s="13" t="s">
        <v>1097</v>
      </c>
      <c r="N142" s="700">
        <f t="shared" ref="N142:U142" si="191">IFERROR(IF($M142="YES",IF($D140=N$4,$F140,0)+IF($G140=N$4,$I140,0)+IF($J140=N$4,$L140,0),0),0)</f>
        <v>0</v>
      </c>
      <c r="O142" s="700">
        <f t="shared" si="191"/>
        <v>0</v>
      </c>
      <c r="P142" s="700">
        <f t="shared" si="191"/>
        <v>0</v>
      </c>
      <c r="Q142" s="700">
        <f t="shared" si="191"/>
        <v>0</v>
      </c>
      <c r="R142" s="700">
        <f t="shared" si="191"/>
        <v>0</v>
      </c>
      <c r="S142" s="700">
        <f t="shared" si="191"/>
        <v>0</v>
      </c>
      <c r="T142" s="700">
        <f t="shared" si="191"/>
        <v>0</v>
      </c>
      <c r="U142" s="700">
        <f t="shared" si="191"/>
        <v>0</v>
      </c>
      <c r="X142" s="1252"/>
      <c r="Y142" s="1252"/>
      <c r="Z142" s="1252"/>
      <c r="AA142" s="1252"/>
      <c r="AB142" s="1252"/>
      <c r="AC142" s="1252"/>
      <c r="AD142" s="1252"/>
      <c r="AE142" s="1252"/>
      <c r="AF142" s="1252"/>
      <c r="AG142" s="1252"/>
      <c r="AH142" s="1252"/>
      <c r="AI142" s="1252"/>
      <c r="AJ142" s="1252"/>
      <c r="AK142" s="1252"/>
      <c r="AL142" s="1252"/>
      <c r="AM142" s="1252"/>
      <c r="AN142" s="1252"/>
      <c r="AO142" s="1252"/>
      <c r="AP142" s="1252"/>
      <c r="AQ142" s="1252"/>
      <c r="AR142" s="1252"/>
      <c r="AS142" s="1252"/>
      <c r="AT142" s="1252"/>
      <c r="AU142" s="1252"/>
      <c r="AV142" s="1252"/>
      <c r="AW142" s="1252"/>
      <c r="AX142" s="1252"/>
      <c r="AY142" s="1252"/>
      <c r="AZ142" s="1252"/>
      <c r="BA142" s="1252"/>
      <c r="BB142" s="1252"/>
      <c r="CF142" s="314"/>
    </row>
    <row r="143" ht="19.5" customHeight="1">
      <c r="B143" s="1594"/>
      <c r="C143" s="1626"/>
      <c r="D143" s="1605" t="str">
        <f>'League Stats'!#REF!</f>
        <v>#ERROR!</v>
      </c>
      <c r="E143" s="1606" t="str">
        <f>'League Stats'!#REF!</f>
        <v>#ERROR!</v>
      </c>
      <c r="F143" s="1598" t="str">
        <f>IF(OR(D143="-",D143=""),"",F139)</f>
        <v>#ERROR!</v>
      </c>
      <c r="G143" s="1608" t="str">
        <f>'League Stats'!#REF!</f>
        <v>#ERROR!</v>
      </c>
      <c r="H143" s="1609" t="str">
        <f>'League Stats'!#REF!</f>
        <v>#ERROR!</v>
      </c>
      <c r="I143" s="1598" t="str">
        <f>IF(OR(G143="-",G143=""),"",I139)</f>
        <v>#ERROR!</v>
      </c>
      <c r="J143" s="1610" t="str">
        <f>'League Stats'!#REF!</f>
        <v>#ERROR!</v>
      </c>
      <c r="K143" s="1611" t="str">
        <f>'League Stats'!#REF!</f>
        <v>#ERROR!</v>
      </c>
      <c r="L143" s="1603" t="str">
        <f>IF(OR(J143="-",J143=""),"",L139)</f>
        <v>#ERROR!</v>
      </c>
      <c r="M143" s="13" t="s">
        <v>1097</v>
      </c>
      <c r="N143" s="700">
        <f t="shared" ref="N143:U143" si="192">IFERROR(IF($M143="YES",IF($D141=N$4,$F141,0)+IF($G141=N$4,$I141,0)+IF($J141=N$4,$L141,0),0),0)</f>
        <v>0</v>
      </c>
      <c r="O143" s="700">
        <f t="shared" si="192"/>
        <v>0</v>
      </c>
      <c r="P143" s="700">
        <f t="shared" si="192"/>
        <v>0</v>
      </c>
      <c r="Q143" s="700">
        <f t="shared" si="192"/>
        <v>0</v>
      </c>
      <c r="R143" s="700">
        <f t="shared" si="192"/>
        <v>0</v>
      </c>
      <c r="S143" s="700">
        <f t="shared" si="192"/>
        <v>0</v>
      </c>
      <c r="T143" s="700">
        <f t="shared" si="192"/>
        <v>0</v>
      </c>
      <c r="U143" s="700">
        <f t="shared" si="192"/>
        <v>0</v>
      </c>
      <c r="X143" s="1252"/>
      <c r="Y143" s="1252"/>
      <c r="Z143" s="1252"/>
      <c r="AA143" s="1252"/>
      <c r="AB143" s="1252"/>
      <c r="AC143" s="1252"/>
      <c r="AD143" s="1252"/>
      <c r="AE143" s="1252"/>
      <c r="AF143" s="1252"/>
      <c r="AG143" s="1252"/>
      <c r="AH143" s="1252"/>
      <c r="AI143" s="1252"/>
      <c r="AJ143" s="1252"/>
      <c r="AK143" s="1252"/>
      <c r="AL143" s="1252"/>
      <c r="AM143" s="1252"/>
      <c r="AN143" s="1252"/>
      <c r="AO143" s="1252"/>
      <c r="AP143" s="1252"/>
      <c r="AQ143" s="1252"/>
      <c r="AR143" s="1252"/>
      <c r="AS143" s="1252"/>
      <c r="AT143" s="1252"/>
      <c r="AU143" s="1252"/>
      <c r="AV143" s="1252"/>
      <c r="AW143" s="1252"/>
      <c r="AX143" s="1252"/>
      <c r="AY143" s="1252"/>
      <c r="AZ143" s="1252"/>
      <c r="BA143" s="1252"/>
      <c r="BB143" s="1252"/>
      <c r="CF143" s="314"/>
    </row>
    <row r="144" ht="19.5" customHeight="1">
      <c r="B144" s="1594"/>
      <c r="C144" s="1626"/>
      <c r="D144" s="1605" t="str">
        <f>'League Stats'!#REF!</f>
        <v>#ERROR!</v>
      </c>
      <c r="E144" s="1606" t="str">
        <f>'League Stats'!#REF!</f>
        <v>#ERROR!</v>
      </c>
      <c r="F144" s="1598" t="str">
        <f>IF(OR(D144="-",D144=""),"",F139)</f>
        <v>#ERROR!</v>
      </c>
      <c r="G144" s="1608" t="str">
        <f>'League Stats'!#REF!</f>
        <v>#ERROR!</v>
      </c>
      <c r="H144" s="1609" t="str">
        <f>'League Stats'!#REF!</f>
        <v>#ERROR!</v>
      </c>
      <c r="I144" s="1598" t="str">
        <f>IF(OR(G144="-",G144=""),"",I139)</f>
        <v>#ERROR!</v>
      </c>
      <c r="J144" s="1610" t="str">
        <f>'League Stats'!#REF!</f>
        <v>#ERROR!</v>
      </c>
      <c r="K144" s="1611" t="str">
        <f>'League Stats'!#REF!</f>
        <v>#ERROR!</v>
      </c>
      <c r="L144" s="1603" t="str">
        <f>IF(OR(J144="-",J144=""),"",L139)</f>
        <v>#ERROR!</v>
      </c>
      <c r="M144" s="13" t="s">
        <v>1097</v>
      </c>
      <c r="N144" s="700">
        <f t="shared" ref="N144:U144" si="193">IFERROR(IF($M144="YES",IF($D142=N$4,$F142,0)+IF($G142=N$4,$I142,0)+IF($J142=N$4,$L142,0),0),0)</f>
        <v>0</v>
      </c>
      <c r="O144" s="700">
        <f t="shared" si="193"/>
        <v>0</v>
      </c>
      <c r="P144" s="700">
        <f t="shared" si="193"/>
        <v>0</v>
      </c>
      <c r="Q144" s="700">
        <f t="shared" si="193"/>
        <v>0</v>
      </c>
      <c r="R144" s="700">
        <f t="shared" si="193"/>
        <v>0</v>
      </c>
      <c r="S144" s="700">
        <f t="shared" si="193"/>
        <v>0</v>
      </c>
      <c r="T144" s="700">
        <f t="shared" si="193"/>
        <v>0</v>
      </c>
      <c r="U144" s="700">
        <f t="shared" si="193"/>
        <v>0</v>
      </c>
      <c r="X144" s="1252"/>
      <c r="Y144" s="1252"/>
      <c r="Z144" s="1252"/>
      <c r="AA144" s="1252"/>
      <c r="AB144" s="1252"/>
      <c r="AC144" s="1252"/>
      <c r="AD144" s="1252"/>
      <c r="AE144" s="1252"/>
      <c r="AF144" s="1252"/>
      <c r="AG144" s="1252"/>
      <c r="AH144" s="1252"/>
      <c r="AI144" s="1252"/>
      <c r="AJ144" s="1252"/>
      <c r="AK144" s="1252"/>
      <c r="AL144" s="1252"/>
      <c r="AM144" s="1252"/>
      <c r="AN144" s="1252"/>
      <c r="AO144" s="1252"/>
      <c r="AP144" s="1252"/>
      <c r="AQ144" s="1252"/>
      <c r="AR144" s="1252"/>
      <c r="AS144" s="1252"/>
      <c r="AT144" s="1252"/>
      <c r="AU144" s="1252"/>
      <c r="AV144" s="1252"/>
      <c r="AW144" s="1252"/>
      <c r="AX144" s="1252"/>
      <c r="AY144" s="1252"/>
      <c r="AZ144" s="1252"/>
      <c r="BA144" s="1252"/>
      <c r="BB144" s="1252"/>
      <c r="CF144" s="314"/>
    </row>
    <row r="145" ht="19.5" customHeight="1">
      <c r="B145" s="1594"/>
      <c r="C145" s="1626"/>
      <c r="D145" s="1605" t="str">
        <f>'League Stats'!#REF!</f>
        <v>#ERROR!</v>
      </c>
      <c r="E145" s="1606" t="str">
        <f>'League Stats'!#REF!</f>
        <v>#ERROR!</v>
      </c>
      <c r="F145" s="1598" t="str">
        <f>IF(OR(D145="-",D145=""),"",F139)</f>
        <v>#ERROR!</v>
      </c>
      <c r="G145" s="1608" t="str">
        <f>'League Stats'!#REF!</f>
        <v>#ERROR!</v>
      </c>
      <c r="H145" s="1609" t="str">
        <f>'League Stats'!#REF!</f>
        <v>#ERROR!</v>
      </c>
      <c r="I145" s="1598" t="str">
        <f>IF(OR(G145="-",G145=""),"",I139)</f>
        <v>#ERROR!</v>
      </c>
      <c r="J145" s="1610" t="str">
        <f>'League Stats'!#REF!</f>
        <v>#ERROR!</v>
      </c>
      <c r="K145" s="1611" t="str">
        <f>'League Stats'!#REF!</f>
        <v>#ERROR!</v>
      </c>
      <c r="L145" s="1603" t="str">
        <f>IF(OR(J145="-",J145=""),"",L139)</f>
        <v>#ERROR!</v>
      </c>
      <c r="M145" s="13" t="s">
        <v>1097</v>
      </c>
      <c r="N145" s="700">
        <f t="shared" ref="N145:U145" si="194">IFERROR(IF($M145="YES",IF($D143=N$4,$F143,0)+IF($G143=N$4,$I143,0)+IF($J143=N$4,$L143,0),0),0)</f>
        <v>0</v>
      </c>
      <c r="O145" s="700">
        <f t="shared" si="194"/>
        <v>0</v>
      </c>
      <c r="P145" s="700">
        <f t="shared" si="194"/>
        <v>0</v>
      </c>
      <c r="Q145" s="700">
        <f t="shared" si="194"/>
        <v>0</v>
      </c>
      <c r="R145" s="700">
        <f t="shared" si="194"/>
        <v>0</v>
      </c>
      <c r="S145" s="700">
        <f t="shared" si="194"/>
        <v>0</v>
      </c>
      <c r="T145" s="700">
        <f t="shared" si="194"/>
        <v>0</v>
      </c>
      <c r="U145" s="700">
        <f t="shared" si="194"/>
        <v>0</v>
      </c>
      <c r="X145" s="1252"/>
      <c r="Y145" s="1252"/>
      <c r="Z145" s="1252"/>
      <c r="AA145" s="1252"/>
      <c r="AB145" s="1252"/>
      <c r="AC145" s="1252"/>
      <c r="AD145" s="1252"/>
      <c r="AE145" s="1252"/>
      <c r="AF145" s="1252"/>
      <c r="AG145" s="1252"/>
      <c r="AH145" s="1252"/>
      <c r="AI145" s="1252"/>
      <c r="AJ145" s="1252"/>
      <c r="AK145" s="1252"/>
      <c r="AL145" s="1252"/>
      <c r="AM145" s="1252"/>
      <c r="AN145" s="1252"/>
      <c r="AO145" s="1252"/>
      <c r="AP145" s="1252"/>
      <c r="AQ145" s="1252"/>
      <c r="AR145" s="1252"/>
      <c r="AS145" s="1252"/>
      <c r="AT145" s="1252"/>
      <c r="AU145" s="1252"/>
      <c r="AV145" s="1252"/>
      <c r="AW145" s="1252"/>
      <c r="AX145" s="1252"/>
      <c r="AY145" s="1252"/>
      <c r="AZ145" s="1252"/>
      <c r="BA145" s="1252"/>
      <c r="BB145" s="1252"/>
      <c r="CF145" s="314"/>
    </row>
    <row r="146" ht="19.5" customHeight="1">
      <c r="B146" s="1613"/>
      <c r="C146" s="1627"/>
      <c r="D146" s="1615" t="str">
        <f>'League Stats'!#REF!</f>
        <v>#ERROR!</v>
      </c>
      <c r="E146" s="1616" t="str">
        <f>'League Stats'!#REF!</f>
        <v>#ERROR!</v>
      </c>
      <c r="F146" s="1617" t="str">
        <f>IF(OR(D146="-",D146=""),"",F139)</f>
        <v>#ERROR!</v>
      </c>
      <c r="G146" s="1618" t="str">
        <f>'League Stats'!#REF!</f>
        <v>#ERROR!</v>
      </c>
      <c r="H146" s="1619" t="str">
        <f>'League Stats'!#REF!</f>
        <v>#ERROR!</v>
      </c>
      <c r="I146" s="1617" t="str">
        <f>IF(OR(G146="-",G146=""),"",I139)</f>
        <v>#ERROR!</v>
      </c>
      <c r="J146" s="1620" t="str">
        <f>'League Stats'!#REF!</f>
        <v>#ERROR!</v>
      </c>
      <c r="K146" s="1621" t="str">
        <f>'League Stats'!#REF!</f>
        <v>#ERROR!</v>
      </c>
      <c r="L146" s="1622" t="str">
        <f>IF(OR(J146="-",J146=""),"",L139)</f>
        <v>#ERROR!</v>
      </c>
      <c r="M146" s="13" t="s">
        <v>1097</v>
      </c>
      <c r="N146" s="700">
        <f t="shared" ref="N146:U146" si="195">IFERROR(IF($M146="YES",IF($D144=N$4,$F144,0)+IF($G144=N$4,$I144,0)+IF($J144=N$4,$L144,0),0),0)</f>
        <v>0</v>
      </c>
      <c r="O146" s="700">
        <f t="shared" si="195"/>
        <v>0</v>
      </c>
      <c r="P146" s="700">
        <f t="shared" si="195"/>
        <v>0</v>
      </c>
      <c r="Q146" s="700">
        <f t="shared" si="195"/>
        <v>0</v>
      </c>
      <c r="R146" s="700">
        <f t="shared" si="195"/>
        <v>0</v>
      </c>
      <c r="S146" s="700">
        <f t="shared" si="195"/>
        <v>0</v>
      </c>
      <c r="T146" s="700">
        <f t="shared" si="195"/>
        <v>0</v>
      </c>
      <c r="U146" s="700">
        <f t="shared" si="195"/>
        <v>0</v>
      </c>
      <c r="X146" s="1252"/>
      <c r="Y146" s="1252"/>
      <c r="Z146" s="1252"/>
      <c r="AA146" s="1252"/>
      <c r="AB146" s="1252"/>
      <c r="AC146" s="1252"/>
      <c r="AD146" s="1252"/>
      <c r="AE146" s="1252"/>
      <c r="AF146" s="1252"/>
      <c r="AG146" s="1252"/>
      <c r="AH146" s="1252"/>
      <c r="AI146" s="1252"/>
      <c r="AJ146" s="1252"/>
      <c r="AK146" s="1252"/>
      <c r="AL146" s="1252"/>
      <c r="AM146" s="1252"/>
      <c r="AN146" s="1252"/>
      <c r="AO146" s="1252"/>
      <c r="AP146" s="1252"/>
      <c r="AQ146" s="1252"/>
      <c r="AR146" s="1252"/>
      <c r="AS146" s="1252"/>
      <c r="AT146" s="1252"/>
      <c r="AU146" s="1252"/>
      <c r="AV146" s="1252"/>
      <c r="AW146" s="1252"/>
      <c r="AX146" s="1252"/>
      <c r="AY146" s="1252"/>
      <c r="AZ146" s="1252"/>
      <c r="BA146" s="1252"/>
      <c r="BB146" s="1252"/>
      <c r="CF146" s="314"/>
    </row>
    <row r="147" ht="19.5" customHeight="1">
      <c r="B147" s="1638" t="s">
        <v>146</v>
      </c>
      <c r="C147" s="1624" t="s">
        <v>202</v>
      </c>
      <c r="D147" s="1586" t="str">
        <f>'League Stats'!#REF!</f>
        <v>#ERROR!</v>
      </c>
      <c r="E147" s="1587" t="str">
        <f>'League Stats'!#REF!</f>
        <v>#ERROR!</v>
      </c>
      <c r="F147" s="1588">
        <v>2.0</v>
      </c>
      <c r="G147" s="1589" t="str">
        <f>'League Stats'!#REF!</f>
        <v>#ERROR!</v>
      </c>
      <c r="H147" s="1590" t="str">
        <f>'League Stats'!#REF!</f>
        <v>#ERROR!</v>
      </c>
      <c r="I147" s="1588">
        <v>1.0</v>
      </c>
      <c r="J147" s="1591" t="str">
        <f>'League Stats'!#REF!</f>
        <v>#ERROR!</v>
      </c>
      <c r="K147" s="1592" t="str">
        <f>'League Stats'!#REF!</f>
        <v>#ERROR!</v>
      </c>
      <c r="L147" s="1593">
        <v>0.5</v>
      </c>
      <c r="M147" s="13" t="s">
        <v>1097</v>
      </c>
      <c r="N147" s="700">
        <f t="shared" ref="N147:U147" si="196">IFERROR(IF($M147="YES",IF($D145=N$4,$F145,0)+IF($G145=N$4,$I145,0)+IF($J145=N$4,$L145,0),0),0)</f>
        <v>0</v>
      </c>
      <c r="O147" s="700">
        <f t="shared" si="196"/>
        <v>0</v>
      </c>
      <c r="P147" s="700">
        <f t="shared" si="196"/>
        <v>0</v>
      </c>
      <c r="Q147" s="700">
        <f t="shared" si="196"/>
        <v>0</v>
      </c>
      <c r="R147" s="700">
        <f t="shared" si="196"/>
        <v>0</v>
      </c>
      <c r="S147" s="700">
        <f t="shared" si="196"/>
        <v>0</v>
      </c>
      <c r="T147" s="700">
        <f t="shared" si="196"/>
        <v>0</v>
      </c>
      <c r="U147" s="700">
        <f t="shared" si="196"/>
        <v>0</v>
      </c>
      <c r="X147" s="1252"/>
      <c r="Y147" s="1252"/>
      <c r="Z147" s="1252"/>
      <c r="AA147" s="1252"/>
      <c r="AB147" s="1252"/>
      <c r="AC147" s="1252"/>
      <c r="AD147" s="1252"/>
      <c r="AE147" s="1252"/>
      <c r="AF147" s="1252"/>
      <c r="AG147" s="1252"/>
      <c r="AH147" s="1252"/>
      <c r="AI147" s="1252"/>
      <c r="AJ147" s="1252"/>
      <c r="AK147" s="1252"/>
      <c r="AL147" s="1252"/>
      <c r="AM147" s="1252"/>
      <c r="AN147" s="1252"/>
      <c r="AO147" s="1252"/>
      <c r="AP147" s="1252"/>
      <c r="AQ147" s="1252"/>
      <c r="AR147" s="1252"/>
      <c r="AS147" s="1252"/>
      <c r="AT147" s="1252"/>
      <c r="AU147" s="1252"/>
      <c r="AV147" s="1252"/>
      <c r="AW147" s="1252"/>
      <c r="AX147" s="1252"/>
      <c r="AY147" s="1252"/>
      <c r="AZ147" s="1252"/>
      <c r="BA147" s="1252"/>
      <c r="BB147" s="1252"/>
      <c r="CF147" s="314"/>
    </row>
    <row r="148" ht="19.5" customHeight="1">
      <c r="B148" s="1594"/>
      <c r="C148" s="1625"/>
      <c r="D148" s="1596" t="str">
        <f>'League Stats'!#REF!</f>
        <v>#ERROR!</v>
      </c>
      <c r="E148" s="1597" t="str">
        <f>'League Stats'!#REF!</f>
        <v>#ERROR!</v>
      </c>
      <c r="F148" s="1598" t="str">
        <f>IF(OR(D148="-",D148=""),"",F147)</f>
        <v>#ERROR!</v>
      </c>
      <c r="G148" s="1599" t="str">
        <f>'League Stats'!#REF!</f>
        <v>#ERROR!</v>
      </c>
      <c r="H148" s="1600" t="str">
        <f>'League Stats'!#REF!</f>
        <v>#ERROR!</v>
      </c>
      <c r="I148" s="1598" t="str">
        <f>IF(OR(G148="-",G148=""),"",I147)</f>
        <v>#ERROR!</v>
      </c>
      <c r="J148" s="1601" t="str">
        <f>'League Stats'!#REF!</f>
        <v>#ERROR!</v>
      </c>
      <c r="K148" s="1602" t="str">
        <f>'League Stats'!#REF!</f>
        <v>#ERROR!</v>
      </c>
      <c r="L148" s="1603" t="str">
        <f>IF(OR(J148="-",J148=""),"",L147)</f>
        <v>#ERROR!</v>
      </c>
      <c r="M148" s="13" t="s">
        <v>1097</v>
      </c>
      <c r="N148" s="700">
        <f t="shared" ref="N148:U148" si="197">IFERROR(IF($M148="YES",IF($D146=N$4,$F146,0)+IF($G146=N$4,$I146,0)+IF($J146=N$4,$L146,0),0),0)</f>
        <v>0</v>
      </c>
      <c r="O148" s="700">
        <f t="shared" si="197"/>
        <v>0</v>
      </c>
      <c r="P148" s="700">
        <f t="shared" si="197"/>
        <v>0</v>
      </c>
      <c r="Q148" s="700">
        <f t="shared" si="197"/>
        <v>0</v>
      </c>
      <c r="R148" s="700">
        <f t="shared" si="197"/>
        <v>0</v>
      </c>
      <c r="S148" s="700">
        <f t="shared" si="197"/>
        <v>0</v>
      </c>
      <c r="T148" s="700">
        <f t="shared" si="197"/>
        <v>0</v>
      </c>
      <c r="U148" s="700">
        <f t="shared" si="197"/>
        <v>0</v>
      </c>
      <c r="X148" s="1252"/>
      <c r="Y148" s="1252"/>
      <c r="Z148" s="1252"/>
      <c r="AA148" s="1252"/>
      <c r="AB148" s="1252"/>
      <c r="AC148" s="1252"/>
      <c r="AD148" s="1252"/>
      <c r="AE148" s="1252"/>
      <c r="AF148" s="1252"/>
      <c r="AG148" s="1252"/>
      <c r="AH148" s="1252"/>
      <c r="AI148" s="1252"/>
      <c r="AJ148" s="1252"/>
      <c r="AK148" s="1252"/>
      <c r="AL148" s="1252"/>
      <c r="AM148" s="1252"/>
      <c r="AN148" s="1252"/>
      <c r="AO148" s="1252"/>
      <c r="AP148" s="1252"/>
      <c r="AQ148" s="1252"/>
      <c r="AR148" s="1252"/>
      <c r="AS148" s="1252"/>
      <c r="AT148" s="1252"/>
      <c r="AU148" s="1252"/>
      <c r="AV148" s="1252"/>
      <c r="AW148" s="1252"/>
      <c r="AX148" s="1252"/>
      <c r="AY148" s="1252"/>
      <c r="AZ148" s="1252"/>
      <c r="BA148" s="1252"/>
      <c r="BB148" s="1252"/>
      <c r="CF148" s="314"/>
    </row>
    <row r="149" ht="19.5" customHeight="1">
      <c r="B149" s="1594"/>
      <c r="C149" s="1625"/>
      <c r="D149" s="1596" t="str">
        <f>'League Stats'!#REF!</f>
        <v>#ERROR!</v>
      </c>
      <c r="E149" s="1597" t="str">
        <f>'League Stats'!#REF!</f>
        <v>#ERROR!</v>
      </c>
      <c r="F149" s="1598" t="str">
        <f>IF(OR(D149="-",D149=""),"",F147)</f>
        <v>#ERROR!</v>
      </c>
      <c r="G149" s="1599" t="str">
        <f>'League Stats'!#REF!</f>
        <v>#ERROR!</v>
      </c>
      <c r="H149" s="1600" t="str">
        <f>'League Stats'!#REF!</f>
        <v>#ERROR!</v>
      </c>
      <c r="I149" s="1598" t="str">
        <f>IF(OR(G149="-",G149=""),"",I147)</f>
        <v>#ERROR!</v>
      </c>
      <c r="J149" s="1601" t="str">
        <f>'League Stats'!#REF!</f>
        <v>#ERROR!</v>
      </c>
      <c r="K149" s="1602" t="str">
        <f>'League Stats'!#REF!</f>
        <v>#ERROR!</v>
      </c>
      <c r="L149" s="1603" t="str">
        <f>IF(OR(J149="-",J149=""),"",L147)</f>
        <v>#ERROR!</v>
      </c>
      <c r="M149" s="13" t="s">
        <v>1097</v>
      </c>
      <c r="N149" s="700">
        <f t="shared" ref="N149:U149" si="198">IFERROR(IF($M149="YES",IF($D147=N$4,$F147,0)+IF($G147=N$4,$I147,0)+IF($J147=N$4,$L147,0),0),0)</f>
        <v>0</v>
      </c>
      <c r="O149" s="700">
        <f t="shared" si="198"/>
        <v>0</v>
      </c>
      <c r="P149" s="700">
        <f t="shared" si="198"/>
        <v>0</v>
      </c>
      <c r="Q149" s="700">
        <f t="shared" si="198"/>
        <v>0</v>
      </c>
      <c r="R149" s="700">
        <f t="shared" si="198"/>
        <v>0</v>
      </c>
      <c r="S149" s="700">
        <f t="shared" si="198"/>
        <v>0</v>
      </c>
      <c r="T149" s="700">
        <f t="shared" si="198"/>
        <v>0</v>
      </c>
      <c r="U149" s="700">
        <f t="shared" si="198"/>
        <v>0</v>
      </c>
      <c r="X149" s="1252"/>
      <c r="Y149" s="1252"/>
      <c r="Z149" s="1252"/>
      <c r="AA149" s="1252"/>
      <c r="AB149" s="1252"/>
      <c r="AC149" s="1252"/>
      <c r="AD149" s="1252"/>
      <c r="AE149" s="1252"/>
      <c r="AF149" s="1252"/>
      <c r="AG149" s="1252"/>
      <c r="AH149" s="1252"/>
      <c r="AI149" s="1252"/>
      <c r="AJ149" s="1252"/>
      <c r="AK149" s="1252"/>
      <c r="AL149" s="1252"/>
      <c r="AM149" s="1252"/>
      <c r="AN149" s="1252"/>
      <c r="AO149" s="1252"/>
      <c r="AP149" s="1252"/>
      <c r="AQ149" s="1252"/>
      <c r="AR149" s="1252"/>
      <c r="AS149" s="1252"/>
      <c r="AT149" s="1252"/>
      <c r="AU149" s="1252"/>
      <c r="AV149" s="1252"/>
      <c r="AW149" s="1252"/>
      <c r="AX149" s="1252"/>
      <c r="AY149" s="1252"/>
      <c r="AZ149" s="1252"/>
      <c r="BA149" s="1252"/>
      <c r="BB149" s="1252"/>
      <c r="CF149" s="314"/>
    </row>
    <row r="150" ht="19.5" customHeight="1">
      <c r="B150" s="1594"/>
      <c r="C150" s="1625"/>
      <c r="D150" s="1596" t="str">
        <f>'League Stats'!#REF!</f>
        <v>#ERROR!</v>
      </c>
      <c r="E150" s="1597" t="str">
        <f>'League Stats'!#REF!</f>
        <v>#ERROR!</v>
      </c>
      <c r="F150" s="1598" t="str">
        <f>IF(OR(D150="-",D150=""),"",F147)</f>
        <v>#ERROR!</v>
      </c>
      <c r="G150" s="1599" t="str">
        <f>'League Stats'!#REF!</f>
        <v>#ERROR!</v>
      </c>
      <c r="H150" s="1600" t="str">
        <f>'League Stats'!#REF!</f>
        <v>#ERROR!</v>
      </c>
      <c r="I150" s="1598" t="str">
        <f>IF(OR(G150="-",G150=""),"",I147)</f>
        <v>#ERROR!</v>
      </c>
      <c r="J150" s="1601" t="str">
        <f>'League Stats'!#REF!</f>
        <v>#ERROR!</v>
      </c>
      <c r="K150" s="1602" t="str">
        <f>'League Stats'!#REF!</f>
        <v>#ERROR!</v>
      </c>
      <c r="L150" s="1603" t="str">
        <f>IF(OR(J150="-",J150=""),"",L147)</f>
        <v>#ERROR!</v>
      </c>
      <c r="M150" s="13" t="s">
        <v>1097</v>
      </c>
      <c r="N150" s="700">
        <f t="shared" ref="N150:U150" si="199">IFERROR(IF($M150="YES",IF($D148=N$4,$F148,0)+IF($G148=N$4,$I148,0)+IF($J148=N$4,$L148,0),0),0)</f>
        <v>0</v>
      </c>
      <c r="O150" s="700">
        <f t="shared" si="199"/>
        <v>0</v>
      </c>
      <c r="P150" s="700">
        <f t="shared" si="199"/>
        <v>0</v>
      </c>
      <c r="Q150" s="700">
        <f t="shared" si="199"/>
        <v>0</v>
      </c>
      <c r="R150" s="700">
        <f t="shared" si="199"/>
        <v>0</v>
      </c>
      <c r="S150" s="700">
        <f t="shared" si="199"/>
        <v>0</v>
      </c>
      <c r="T150" s="700">
        <f t="shared" si="199"/>
        <v>0</v>
      </c>
      <c r="U150" s="700">
        <f t="shared" si="199"/>
        <v>0</v>
      </c>
      <c r="X150" s="1252"/>
      <c r="Y150" s="1252"/>
      <c r="Z150" s="1252"/>
      <c r="AA150" s="1252"/>
      <c r="AB150" s="1252"/>
      <c r="AC150" s="1252"/>
      <c r="AD150" s="1252"/>
      <c r="AE150" s="1252"/>
      <c r="AF150" s="1252"/>
      <c r="AG150" s="1252"/>
      <c r="AH150" s="1252"/>
      <c r="AI150" s="1252"/>
      <c r="AJ150" s="1252"/>
      <c r="AK150" s="1252"/>
      <c r="AL150" s="1252"/>
      <c r="AM150" s="1252"/>
      <c r="AN150" s="1252"/>
      <c r="AO150" s="1252"/>
      <c r="AP150" s="1252"/>
      <c r="AQ150" s="1252"/>
      <c r="AR150" s="1252"/>
      <c r="AS150" s="1252"/>
      <c r="AT150" s="1252"/>
      <c r="AU150" s="1252"/>
      <c r="AV150" s="1252"/>
      <c r="AW150" s="1252"/>
      <c r="AX150" s="1252"/>
      <c r="AY150" s="1252"/>
      <c r="AZ150" s="1252"/>
      <c r="BA150" s="1252"/>
      <c r="BB150" s="1252"/>
      <c r="CF150" s="314"/>
    </row>
    <row r="151" ht="19.5" customHeight="1">
      <c r="B151" s="1594"/>
      <c r="C151" s="1625"/>
      <c r="D151" s="1596" t="str">
        <f>'League Stats'!#REF!</f>
        <v>#ERROR!</v>
      </c>
      <c r="E151" s="1597" t="str">
        <f>'League Stats'!#REF!</f>
        <v>#ERROR!</v>
      </c>
      <c r="F151" s="1598" t="str">
        <f>IF(OR(D151="-",D151=""),"",F147)</f>
        <v>#ERROR!</v>
      </c>
      <c r="G151" s="1599" t="str">
        <f>'League Stats'!#REF!</f>
        <v>#ERROR!</v>
      </c>
      <c r="H151" s="1600" t="str">
        <f>'League Stats'!#REF!</f>
        <v>#ERROR!</v>
      </c>
      <c r="I151" s="1598" t="str">
        <f>IF(OR(G151="-",G151=""),"",I147)</f>
        <v>#ERROR!</v>
      </c>
      <c r="J151" s="1601" t="str">
        <f>'League Stats'!#REF!</f>
        <v>#ERROR!</v>
      </c>
      <c r="K151" s="1602" t="str">
        <f>'League Stats'!#REF!</f>
        <v>#ERROR!</v>
      </c>
      <c r="L151" s="1603" t="str">
        <f>IF(OR(J151="-",J151=""),"",L147)</f>
        <v>#ERROR!</v>
      </c>
      <c r="M151" s="13" t="s">
        <v>1097</v>
      </c>
      <c r="N151" s="700">
        <f t="shared" ref="N151:U151" si="200">IFERROR(IF($M151="YES",IF($D149=N$4,$F149,0)+IF($G149=N$4,$I149,0)+IF($J149=N$4,$L149,0),0),0)</f>
        <v>0</v>
      </c>
      <c r="O151" s="700">
        <f t="shared" si="200"/>
        <v>0</v>
      </c>
      <c r="P151" s="700">
        <f t="shared" si="200"/>
        <v>0</v>
      </c>
      <c r="Q151" s="700">
        <f t="shared" si="200"/>
        <v>0</v>
      </c>
      <c r="R151" s="700">
        <f t="shared" si="200"/>
        <v>0</v>
      </c>
      <c r="S151" s="700">
        <f t="shared" si="200"/>
        <v>0</v>
      </c>
      <c r="T151" s="700">
        <f t="shared" si="200"/>
        <v>0</v>
      </c>
      <c r="U151" s="700">
        <f t="shared" si="200"/>
        <v>0</v>
      </c>
      <c r="X151" s="1252"/>
      <c r="Y151" s="1252"/>
      <c r="Z151" s="1252"/>
      <c r="AA151" s="1252"/>
      <c r="AB151" s="1252"/>
      <c r="AC151" s="1252"/>
      <c r="AD151" s="1252"/>
      <c r="AE151" s="1252"/>
      <c r="AF151" s="1252"/>
      <c r="AG151" s="1252"/>
      <c r="AH151" s="1252"/>
      <c r="AI151" s="1252"/>
      <c r="AJ151" s="1252"/>
      <c r="AK151" s="1252"/>
      <c r="AL151" s="1252"/>
      <c r="AM151" s="1252"/>
      <c r="AN151" s="1252"/>
      <c r="AO151" s="1252"/>
      <c r="AP151" s="1252"/>
      <c r="AQ151" s="1252"/>
      <c r="AR151" s="1252"/>
      <c r="AS151" s="1252"/>
      <c r="AT151" s="1252"/>
      <c r="AU151" s="1252"/>
      <c r="AV151" s="1252"/>
      <c r="AW151" s="1252"/>
      <c r="AX151" s="1252"/>
      <c r="AY151" s="1252"/>
      <c r="AZ151" s="1252"/>
      <c r="BA151" s="1252"/>
      <c r="BB151" s="1252"/>
      <c r="CF151" s="314"/>
    </row>
    <row r="152" ht="19.5" customHeight="1">
      <c r="B152" s="1594"/>
      <c r="C152" s="1625"/>
      <c r="D152" s="1596" t="str">
        <f>'League Stats'!#REF!</f>
        <v>#ERROR!</v>
      </c>
      <c r="E152" s="1597" t="str">
        <f>'League Stats'!#REF!</f>
        <v>#ERROR!</v>
      </c>
      <c r="F152" s="1598" t="str">
        <f>IF(OR(D152="-",D152=""),"",F147)</f>
        <v>#ERROR!</v>
      </c>
      <c r="G152" s="1599" t="str">
        <f>'League Stats'!#REF!</f>
        <v>#ERROR!</v>
      </c>
      <c r="H152" s="1600" t="str">
        <f>'League Stats'!#REF!</f>
        <v>#ERROR!</v>
      </c>
      <c r="I152" s="1598" t="str">
        <f>IF(OR(G152="-",G152=""),"",I147)</f>
        <v>#ERROR!</v>
      </c>
      <c r="J152" s="1601" t="str">
        <f>'League Stats'!#REF!</f>
        <v>#ERROR!</v>
      </c>
      <c r="K152" s="1602" t="str">
        <f>'League Stats'!#REF!</f>
        <v>#ERROR!</v>
      </c>
      <c r="L152" s="1603" t="str">
        <f>IF(OR(J152="-",J152=""),"",L147)</f>
        <v>#ERROR!</v>
      </c>
      <c r="M152" s="13" t="s">
        <v>1097</v>
      </c>
      <c r="N152" s="700">
        <f t="shared" ref="N152:U152" si="201">IFERROR(IF($M152="YES",IF($D150=N$4,$F150,0)+IF($G150=N$4,$I150,0)+IF($J150=N$4,$L150,0),0),0)</f>
        <v>0</v>
      </c>
      <c r="O152" s="700">
        <f t="shared" si="201"/>
        <v>0</v>
      </c>
      <c r="P152" s="700">
        <f t="shared" si="201"/>
        <v>0</v>
      </c>
      <c r="Q152" s="700">
        <f t="shared" si="201"/>
        <v>0</v>
      </c>
      <c r="R152" s="700">
        <f t="shared" si="201"/>
        <v>0</v>
      </c>
      <c r="S152" s="700">
        <f t="shared" si="201"/>
        <v>0</v>
      </c>
      <c r="T152" s="700">
        <f t="shared" si="201"/>
        <v>0</v>
      </c>
      <c r="U152" s="700">
        <f t="shared" si="201"/>
        <v>0</v>
      </c>
      <c r="X152" s="1252"/>
      <c r="Y152" s="1252"/>
      <c r="Z152" s="1252"/>
      <c r="AA152" s="1252"/>
      <c r="AB152" s="1252"/>
      <c r="AC152" s="1252"/>
      <c r="AD152" s="1252"/>
      <c r="AE152" s="1252"/>
      <c r="AF152" s="1252"/>
      <c r="AG152" s="1252"/>
      <c r="AH152" s="1252"/>
      <c r="AI152" s="1252"/>
      <c r="AJ152" s="1252"/>
      <c r="AK152" s="1252"/>
      <c r="AL152" s="1252"/>
      <c r="AM152" s="1252"/>
      <c r="AN152" s="1252"/>
      <c r="AO152" s="1252"/>
      <c r="AP152" s="1252"/>
      <c r="AQ152" s="1252"/>
      <c r="AR152" s="1252"/>
      <c r="AS152" s="1252"/>
      <c r="AT152" s="1252"/>
      <c r="AU152" s="1252"/>
      <c r="AV152" s="1252"/>
      <c r="AW152" s="1252"/>
      <c r="AX152" s="1252"/>
      <c r="AY152" s="1252"/>
      <c r="AZ152" s="1252"/>
      <c r="BA152" s="1252"/>
      <c r="BB152" s="1252"/>
      <c r="CF152" s="314"/>
    </row>
    <row r="153" ht="19.5" customHeight="1">
      <c r="B153" s="1594"/>
      <c r="C153" s="1625"/>
      <c r="D153" s="1596" t="str">
        <f>'League Stats'!#REF!</f>
        <v>#ERROR!</v>
      </c>
      <c r="E153" s="1597" t="str">
        <f>'League Stats'!#REF!</f>
        <v>#ERROR!</v>
      </c>
      <c r="F153" s="1598" t="str">
        <f>IF(OR(D153="-",D153=""),"",F147)</f>
        <v>#ERROR!</v>
      </c>
      <c r="G153" s="1599" t="str">
        <f>'League Stats'!#REF!</f>
        <v>#ERROR!</v>
      </c>
      <c r="H153" s="1600" t="str">
        <f>'League Stats'!#REF!</f>
        <v>#ERROR!</v>
      </c>
      <c r="I153" s="1598" t="str">
        <f>IF(OR(G153="-",G153=""),"",I147)</f>
        <v>#ERROR!</v>
      </c>
      <c r="J153" s="1601" t="str">
        <f>'League Stats'!#REF!</f>
        <v>#ERROR!</v>
      </c>
      <c r="K153" s="1602" t="str">
        <f>'League Stats'!#REF!</f>
        <v>#ERROR!</v>
      </c>
      <c r="L153" s="1603" t="str">
        <f>IF(OR(J153="-",J153=""),"",L147)</f>
        <v>#ERROR!</v>
      </c>
      <c r="M153" s="13" t="s">
        <v>1097</v>
      </c>
      <c r="N153" s="700">
        <f t="shared" ref="N153:U153" si="202">IFERROR(IF($M153="YES",IF($D151=N$4,$F151,0)+IF($G151=N$4,$I151,0)+IF($J151=N$4,$L151,0),0),0)</f>
        <v>0</v>
      </c>
      <c r="O153" s="700">
        <f t="shared" si="202"/>
        <v>0</v>
      </c>
      <c r="P153" s="700">
        <f t="shared" si="202"/>
        <v>0</v>
      </c>
      <c r="Q153" s="700">
        <f t="shared" si="202"/>
        <v>0</v>
      </c>
      <c r="R153" s="700">
        <f t="shared" si="202"/>
        <v>0</v>
      </c>
      <c r="S153" s="700">
        <f t="shared" si="202"/>
        <v>0</v>
      </c>
      <c r="T153" s="700">
        <f t="shared" si="202"/>
        <v>0</v>
      </c>
      <c r="U153" s="700">
        <f t="shared" si="202"/>
        <v>0</v>
      </c>
      <c r="X153" s="1252"/>
      <c r="Y153" s="1252"/>
      <c r="Z153" s="1252"/>
      <c r="AA153" s="1252"/>
      <c r="AB153" s="1252"/>
      <c r="AC153" s="1252"/>
      <c r="AD153" s="1252"/>
      <c r="AE153" s="1252"/>
      <c r="AF153" s="1252"/>
      <c r="AG153" s="1252"/>
      <c r="AH153" s="1252"/>
      <c r="AI153" s="1252"/>
      <c r="AJ153" s="1252"/>
      <c r="AK153" s="1252"/>
      <c r="AL153" s="1252"/>
      <c r="AM153" s="1252"/>
      <c r="AN153" s="1252"/>
      <c r="AO153" s="1252"/>
      <c r="AP153" s="1252"/>
      <c r="AQ153" s="1252"/>
      <c r="AR153" s="1252"/>
      <c r="AS153" s="1252"/>
      <c r="AT153" s="1252"/>
      <c r="AU153" s="1252"/>
      <c r="AV153" s="1252"/>
      <c r="AW153" s="1252"/>
      <c r="AX153" s="1252"/>
      <c r="AY153" s="1252"/>
      <c r="AZ153" s="1252"/>
      <c r="BA153" s="1252"/>
      <c r="BB153" s="1252"/>
      <c r="CF153" s="314"/>
    </row>
    <row r="154" ht="19.5" customHeight="1">
      <c r="B154" s="1594"/>
      <c r="C154" s="1625"/>
      <c r="D154" s="1596" t="str">
        <f>'League Stats'!#REF!</f>
        <v>#ERROR!</v>
      </c>
      <c r="E154" s="1597" t="str">
        <f>'League Stats'!#REF!</f>
        <v>#ERROR!</v>
      </c>
      <c r="F154" s="1598" t="str">
        <f>IF(OR(D154="-",D154=""),"",F147)</f>
        <v>#ERROR!</v>
      </c>
      <c r="G154" s="1599" t="str">
        <f>'League Stats'!#REF!</f>
        <v>#ERROR!</v>
      </c>
      <c r="H154" s="1600" t="str">
        <f>'League Stats'!#REF!</f>
        <v>#ERROR!</v>
      </c>
      <c r="I154" s="1598" t="str">
        <f>IF(OR(G154="-",G154=""),"",I147)</f>
        <v>#ERROR!</v>
      </c>
      <c r="J154" s="1601" t="str">
        <f>'League Stats'!#REF!</f>
        <v>#ERROR!</v>
      </c>
      <c r="K154" s="1602" t="str">
        <f>'League Stats'!#REF!</f>
        <v>#ERROR!</v>
      </c>
      <c r="L154" s="1603" t="str">
        <f>IF(OR(J154="-",J154=""),"",L147)</f>
        <v>#ERROR!</v>
      </c>
      <c r="M154" s="13" t="s">
        <v>1097</v>
      </c>
      <c r="N154" s="700">
        <f t="shared" ref="N154:U154" si="203">IFERROR(IF($M154="YES",IF($D152=N$4,$F152,0)+IF($G152=N$4,$I152,0)+IF($J152=N$4,$L152,0),0),0)</f>
        <v>0</v>
      </c>
      <c r="O154" s="700">
        <f t="shared" si="203"/>
        <v>0</v>
      </c>
      <c r="P154" s="700">
        <f t="shared" si="203"/>
        <v>0</v>
      </c>
      <c r="Q154" s="700">
        <f t="shared" si="203"/>
        <v>0</v>
      </c>
      <c r="R154" s="700">
        <f t="shared" si="203"/>
        <v>0</v>
      </c>
      <c r="S154" s="700">
        <f t="shared" si="203"/>
        <v>0</v>
      </c>
      <c r="T154" s="700">
        <f t="shared" si="203"/>
        <v>0</v>
      </c>
      <c r="U154" s="700">
        <f t="shared" si="203"/>
        <v>0</v>
      </c>
      <c r="X154" s="1252"/>
      <c r="Y154" s="1252"/>
      <c r="Z154" s="1252"/>
      <c r="AA154" s="1252"/>
      <c r="AB154" s="1252"/>
      <c r="AC154" s="1252"/>
      <c r="AD154" s="1252"/>
      <c r="AE154" s="1252"/>
      <c r="AF154" s="1252"/>
      <c r="AG154" s="1252"/>
      <c r="AH154" s="1252"/>
      <c r="AI154" s="1252"/>
      <c r="AJ154" s="1252"/>
      <c r="AK154" s="1252"/>
      <c r="AL154" s="1252"/>
      <c r="AM154" s="1252"/>
      <c r="AN154" s="1252"/>
      <c r="AO154" s="1252"/>
      <c r="AP154" s="1252"/>
      <c r="AQ154" s="1252"/>
      <c r="AR154" s="1252"/>
      <c r="AS154" s="1252"/>
      <c r="AT154" s="1252"/>
      <c r="AU154" s="1252"/>
      <c r="AV154" s="1252"/>
      <c r="AW154" s="1252"/>
      <c r="AX154" s="1252"/>
      <c r="AY154" s="1252"/>
      <c r="AZ154" s="1252"/>
      <c r="BA154" s="1252"/>
      <c r="BB154" s="1252"/>
      <c r="CF154" s="314"/>
    </row>
    <row r="155" ht="19.5" customHeight="1">
      <c r="B155" s="1594"/>
      <c r="C155" s="1626" t="s">
        <v>1782</v>
      </c>
      <c r="D155" s="1605" t="str">
        <f>'League Stats'!#REF!</f>
        <v>#ERROR!</v>
      </c>
      <c r="E155" s="1606" t="str">
        <f>'League Stats'!#REF!</f>
        <v>#ERROR!</v>
      </c>
      <c r="F155" s="1607">
        <v>2.0</v>
      </c>
      <c r="G155" s="1608" t="str">
        <f>'League Stats'!#REF!</f>
        <v>#ERROR!</v>
      </c>
      <c r="H155" s="1609" t="str">
        <f>'League Stats'!#REF!</f>
        <v>#ERROR!</v>
      </c>
      <c r="I155" s="1607">
        <v>1.0</v>
      </c>
      <c r="J155" s="1610" t="str">
        <f>'League Stats'!#REF!</f>
        <v>#ERROR!</v>
      </c>
      <c r="K155" s="1611" t="str">
        <f>'League Stats'!#REF!</f>
        <v>#ERROR!</v>
      </c>
      <c r="L155" s="1612">
        <v>0.5</v>
      </c>
      <c r="M155" s="13" t="s">
        <v>1097</v>
      </c>
      <c r="N155" s="700">
        <f t="shared" ref="N155:U155" si="204">IFERROR(IF($M155="YES",IF($D153=N$4,$F153,0)+IF($G153=N$4,$I153,0)+IF($J153=N$4,$L153,0),0),0)</f>
        <v>0</v>
      </c>
      <c r="O155" s="700">
        <f t="shared" si="204"/>
        <v>0</v>
      </c>
      <c r="P155" s="700">
        <f t="shared" si="204"/>
        <v>0</v>
      </c>
      <c r="Q155" s="700">
        <f t="shared" si="204"/>
        <v>0</v>
      </c>
      <c r="R155" s="700">
        <f t="shared" si="204"/>
        <v>0</v>
      </c>
      <c r="S155" s="700">
        <f t="shared" si="204"/>
        <v>0</v>
      </c>
      <c r="T155" s="700">
        <f t="shared" si="204"/>
        <v>0</v>
      </c>
      <c r="U155" s="700">
        <f t="shared" si="204"/>
        <v>0</v>
      </c>
      <c r="X155" s="1252"/>
      <c r="Y155" s="1252"/>
      <c r="Z155" s="1252"/>
      <c r="AA155" s="1252"/>
      <c r="AB155" s="1252"/>
      <c r="AC155" s="1252"/>
      <c r="AD155" s="1252"/>
      <c r="AE155" s="1252"/>
      <c r="AF155" s="1252"/>
      <c r="AG155" s="1252"/>
      <c r="AH155" s="1252"/>
      <c r="AI155" s="1252"/>
      <c r="AJ155" s="1252"/>
      <c r="AK155" s="1252"/>
      <c r="AL155" s="1252"/>
      <c r="AM155" s="1252"/>
      <c r="AN155" s="1252"/>
      <c r="AO155" s="1252"/>
      <c r="AP155" s="1252"/>
      <c r="AQ155" s="1252"/>
      <c r="AR155" s="1252"/>
      <c r="AS155" s="1252"/>
      <c r="AT155" s="1252"/>
      <c r="AU155" s="1252"/>
      <c r="AV155" s="1252"/>
      <c r="AW155" s="1252"/>
      <c r="AX155" s="1252"/>
      <c r="AY155" s="1252"/>
      <c r="AZ155" s="1252"/>
      <c r="BA155" s="1252"/>
      <c r="BB155" s="1252"/>
      <c r="CF155" s="314"/>
    </row>
    <row r="156" ht="19.5" customHeight="1">
      <c r="B156" s="1594"/>
      <c r="C156" s="1626"/>
      <c r="D156" s="1605" t="str">
        <f>'League Stats'!#REF!</f>
        <v>#ERROR!</v>
      </c>
      <c r="E156" s="1606" t="str">
        <f>'League Stats'!#REF!</f>
        <v>#ERROR!</v>
      </c>
      <c r="F156" s="1598" t="str">
        <f>IF(OR(D156="-",D156=""),"",F155)</f>
        <v>#ERROR!</v>
      </c>
      <c r="G156" s="1608" t="str">
        <f>'League Stats'!#REF!</f>
        <v>#ERROR!</v>
      </c>
      <c r="H156" s="1609" t="str">
        <f>'League Stats'!#REF!</f>
        <v>#ERROR!</v>
      </c>
      <c r="I156" s="1598" t="str">
        <f>IF(OR(G156="-",G156=""),"",I155)</f>
        <v>#ERROR!</v>
      </c>
      <c r="J156" s="1610" t="str">
        <f>'League Stats'!#REF!</f>
        <v>#ERROR!</v>
      </c>
      <c r="K156" s="1611" t="str">
        <f>'League Stats'!#REF!</f>
        <v>#ERROR!</v>
      </c>
      <c r="L156" s="1603" t="str">
        <f>IF(OR(J156="-",J156=""),"",L155)</f>
        <v>#ERROR!</v>
      </c>
      <c r="M156" s="13" t="s">
        <v>1097</v>
      </c>
      <c r="N156" s="700">
        <f t="shared" ref="N156:U156" si="205">IFERROR(IF($M156="YES",IF($D154=N$4,$F154,0)+IF($G154=N$4,$I154,0)+IF($J154=N$4,$L154,0),0),0)</f>
        <v>0</v>
      </c>
      <c r="O156" s="700">
        <f t="shared" si="205"/>
        <v>0</v>
      </c>
      <c r="P156" s="700">
        <f t="shared" si="205"/>
        <v>0</v>
      </c>
      <c r="Q156" s="700">
        <f t="shared" si="205"/>
        <v>0</v>
      </c>
      <c r="R156" s="700">
        <f t="shared" si="205"/>
        <v>0</v>
      </c>
      <c r="S156" s="700">
        <f t="shared" si="205"/>
        <v>0</v>
      </c>
      <c r="T156" s="700">
        <f t="shared" si="205"/>
        <v>0</v>
      </c>
      <c r="U156" s="700">
        <f t="shared" si="205"/>
        <v>0</v>
      </c>
      <c r="X156" s="1252"/>
      <c r="Y156" s="1252"/>
      <c r="Z156" s="1252"/>
      <c r="AA156" s="1252"/>
      <c r="AB156" s="1252"/>
      <c r="AC156" s="1252"/>
      <c r="AD156" s="1252"/>
      <c r="AE156" s="1252"/>
      <c r="AF156" s="1252"/>
      <c r="AG156" s="1252"/>
      <c r="AH156" s="1252"/>
      <c r="AI156" s="1252"/>
      <c r="AJ156" s="1252"/>
      <c r="AK156" s="1252"/>
      <c r="AL156" s="1252"/>
      <c r="AM156" s="1252"/>
      <c r="AN156" s="1252"/>
      <c r="AO156" s="1252"/>
      <c r="AP156" s="1252"/>
      <c r="AQ156" s="1252"/>
      <c r="AR156" s="1252"/>
      <c r="AS156" s="1252"/>
      <c r="AT156" s="1252"/>
      <c r="AU156" s="1252"/>
      <c r="AV156" s="1252"/>
      <c r="AW156" s="1252"/>
      <c r="AX156" s="1252"/>
      <c r="AY156" s="1252"/>
      <c r="AZ156" s="1252"/>
      <c r="BA156" s="1252"/>
      <c r="BB156" s="1252"/>
      <c r="CF156" s="314"/>
    </row>
    <row r="157" ht="19.5" customHeight="1">
      <c r="B157" s="1594"/>
      <c r="C157" s="1626"/>
      <c r="D157" s="1605" t="str">
        <f>'League Stats'!#REF!</f>
        <v>#ERROR!</v>
      </c>
      <c r="E157" s="1606" t="str">
        <f>'League Stats'!#REF!</f>
        <v>#ERROR!</v>
      </c>
      <c r="F157" s="1598" t="str">
        <f>IF(OR(D157="-",D157=""),"",F155)</f>
        <v>#ERROR!</v>
      </c>
      <c r="G157" s="1608" t="str">
        <f>'League Stats'!#REF!</f>
        <v>#ERROR!</v>
      </c>
      <c r="H157" s="1609" t="str">
        <f>'League Stats'!#REF!</f>
        <v>#ERROR!</v>
      </c>
      <c r="I157" s="1598" t="str">
        <f>IF(OR(G157="-",G157=""),"",I155)</f>
        <v>#ERROR!</v>
      </c>
      <c r="J157" s="1610" t="str">
        <f>'League Stats'!#REF!</f>
        <v>#ERROR!</v>
      </c>
      <c r="K157" s="1611" t="str">
        <f>'League Stats'!#REF!</f>
        <v>#ERROR!</v>
      </c>
      <c r="L157" s="1603" t="str">
        <f>IF(OR(J157="-",J157=""),"",L155)</f>
        <v>#ERROR!</v>
      </c>
      <c r="M157" s="13" t="s">
        <v>1097</v>
      </c>
      <c r="N157" s="700">
        <f t="shared" ref="N157:U157" si="206">IFERROR(IF($M157="YES",IF($D155=N$4,$F155,0)+IF($G155=N$4,$I155,0)+IF($J155=N$4,$L155,0),0),0)</f>
        <v>0</v>
      </c>
      <c r="O157" s="700">
        <f t="shared" si="206"/>
        <v>0</v>
      </c>
      <c r="P157" s="700">
        <f t="shared" si="206"/>
        <v>0</v>
      </c>
      <c r="Q157" s="700">
        <f t="shared" si="206"/>
        <v>0</v>
      </c>
      <c r="R157" s="700">
        <f t="shared" si="206"/>
        <v>0</v>
      </c>
      <c r="S157" s="700">
        <f t="shared" si="206"/>
        <v>0</v>
      </c>
      <c r="T157" s="700">
        <f t="shared" si="206"/>
        <v>0</v>
      </c>
      <c r="U157" s="700">
        <f t="shared" si="206"/>
        <v>0</v>
      </c>
      <c r="X157" s="1252"/>
      <c r="Y157" s="1252"/>
      <c r="Z157" s="1252"/>
      <c r="AA157" s="1252"/>
      <c r="AB157" s="1252"/>
      <c r="AC157" s="1252"/>
      <c r="AD157" s="1252"/>
      <c r="AE157" s="1252"/>
      <c r="AF157" s="1252"/>
      <c r="AG157" s="1252"/>
      <c r="AH157" s="1252"/>
      <c r="AI157" s="1252"/>
      <c r="AJ157" s="1252"/>
      <c r="AK157" s="1252"/>
      <c r="AL157" s="1252"/>
      <c r="AM157" s="1252"/>
      <c r="AN157" s="1252"/>
      <c r="AO157" s="1252"/>
      <c r="AP157" s="1252"/>
      <c r="AQ157" s="1252"/>
      <c r="AR157" s="1252"/>
      <c r="AS157" s="1252"/>
      <c r="AT157" s="1252"/>
      <c r="AU157" s="1252"/>
      <c r="AV157" s="1252"/>
      <c r="AW157" s="1252"/>
      <c r="AX157" s="1252"/>
      <c r="AY157" s="1252"/>
      <c r="AZ157" s="1252"/>
      <c r="BA157" s="1252"/>
      <c r="BB157" s="1252"/>
      <c r="CF157" s="314"/>
    </row>
    <row r="158" ht="19.5" customHeight="1">
      <c r="B158" s="1594"/>
      <c r="C158" s="1626"/>
      <c r="D158" s="1605" t="str">
        <f>'League Stats'!#REF!</f>
        <v>#ERROR!</v>
      </c>
      <c r="E158" s="1606" t="str">
        <f>'League Stats'!#REF!</f>
        <v>#ERROR!</v>
      </c>
      <c r="F158" s="1598" t="str">
        <f>IF(OR(D158="-",D158=""),"",F155)</f>
        <v>#ERROR!</v>
      </c>
      <c r="G158" s="1608" t="str">
        <f>'League Stats'!#REF!</f>
        <v>#ERROR!</v>
      </c>
      <c r="H158" s="1609" t="str">
        <f>'League Stats'!#REF!</f>
        <v>#ERROR!</v>
      </c>
      <c r="I158" s="1598" t="str">
        <f>IF(OR(G158="-",G158=""),"",I155)</f>
        <v>#ERROR!</v>
      </c>
      <c r="J158" s="1610" t="str">
        <f>'League Stats'!#REF!</f>
        <v>#ERROR!</v>
      </c>
      <c r="K158" s="1611" t="str">
        <f>'League Stats'!#REF!</f>
        <v>#ERROR!</v>
      </c>
      <c r="L158" s="1603" t="str">
        <f>IF(OR(J158="-",J158=""),"",L155)</f>
        <v>#ERROR!</v>
      </c>
      <c r="M158" s="13" t="s">
        <v>1097</v>
      </c>
      <c r="N158" s="700">
        <f t="shared" ref="N158:U158" si="207">IFERROR(IF($M158="YES",IF($D156=N$4,$F156,0)+IF($G156=N$4,$I156,0)+IF($J156=N$4,$L156,0),0),0)</f>
        <v>0</v>
      </c>
      <c r="O158" s="700">
        <f t="shared" si="207"/>
        <v>0</v>
      </c>
      <c r="P158" s="700">
        <f t="shared" si="207"/>
        <v>0</v>
      </c>
      <c r="Q158" s="700">
        <f t="shared" si="207"/>
        <v>0</v>
      </c>
      <c r="R158" s="700">
        <f t="shared" si="207"/>
        <v>0</v>
      </c>
      <c r="S158" s="700">
        <f t="shared" si="207"/>
        <v>0</v>
      </c>
      <c r="T158" s="700">
        <f t="shared" si="207"/>
        <v>0</v>
      </c>
      <c r="U158" s="700">
        <f t="shared" si="207"/>
        <v>0</v>
      </c>
      <c r="X158" s="1252"/>
      <c r="Y158" s="1252"/>
      <c r="Z158" s="1252"/>
      <c r="AA158" s="1252"/>
      <c r="AB158" s="1252"/>
      <c r="AC158" s="1252"/>
      <c r="AD158" s="1252"/>
      <c r="AE158" s="1252"/>
      <c r="AF158" s="1252"/>
      <c r="AG158" s="1252"/>
      <c r="AH158" s="1252"/>
      <c r="AI158" s="1252"/>
      <c r="AJ158" s="1252"/>
      <c r="AK158" s="1252"/>
      <c r="AL158" s="1252"/>
      <c r="AM158" s="1252"/>
      <c r="AN158" s="1252"/>
      <c r="AO158" s="1252"/>
      <c r="AP158" s="1252"/>
      <c r="AQ158" s="1252"/>
      <c r="AR158" s="1252"/>
      <c r="AS158" s="1252"/>
      <c r="AT158" s="1252"/>
      <c r="AU158" s="1252"/>
      <c r="AV158" s="1252"/>
      <c r="AW158" s="1252"/>
      <c r="AX158" s="1252"/>
      <c r="AY158" s="1252"/>
      <c r="AZ158" s="1252"/>
      <c r="BA158" s="1252"/>
      <c r="BB158" s="1252"/>
      <c r="CF158" s="314"/>
    </row>
    <row r="159" ht="19.5" customHeight="1">
      <c r="B159" s="1594"/>
      <c r="C159" s="1626"/>
      <c r="D159" s="1605" t="str">
        <f>'League Stats'!#REF!</f>
        <v>#ERROR!</v>
      </c>
      <c r="E159" s="1606" t="str">
        <f>'League Stats'!#REF!</f>
        <v>#ERROR!</v>
      </c>
      <c r="F159" s="1598" t="str">
        <f>IF(OR(D159="-",D159=""),"",F155)</f>
        <v>#ERROR!</v>
      </c>
      <c r="G159" s="1608" t="str">
        <f>'League Stats'!#REF!</f>
        <v>#ERROR!</v>
      </c>
      <c r="H159" s="1609" t="str">
        <f>'League Stats'!#REF!</f>
        <v>#ERROR!</v>
      </c>
      <c r="I159" s="1598" t="str">
        <f>IF(OR(G159="-",G159=""),"",I155)</f>
        <v>#ERROR!</v>
      </c>
      <c r="J159" s="1610" t="str">
        <f>'League Stats'!#REF!</f>
        <v>#ERROR!</v>
      </c>
      <c r="K159" s="1611" t="str">
        <f>'League Stats'!#REF!</f>
        <v>#ERROR!</v>
      </c>
      <c r="L159" s="1603" t="str">
        <f>IF(OR(J159="-",J159=""),"",L155)</f>
        <v>#ERROR!</v>
      </c>
      <c r="M159" s="13" t="s">
        <v>1097</v>
      </c>
      <c r="N159" s="700">
        <f t="shared" ref="N159:U159" si="208">IFERROR(IF($M159="YES",IF($D157=N$4,$F157,0)+IF($G157=N$4,$I157,0)+IF($J157=N$4,$L157,0),0),0)</f>
        <v>0</v>
      </c>
      <c r="O159" s="700">
        <f t="shared" si="208"/>
        <v>0</v>
      </c>
      <c r="P159" s="700">
        <f t="shared" si="208"/>
        <v>0</v>
      </c>
      <c r="Q159" s="700">
        <f t="shared" si="208"/>
        <v>0</v>
      </c>
      <c r="R159" s="700">
        <f t="shared" si="208"/>
        <v>0</v>
      </c>
      <c r="S159" s="700">
        <f t="shared" si="208"/>
        <v>0</v>
      </c>
      <c r="T159" s="700">
        <f t="shared" si="208"/>
        <v>0</v>
      </c>
      <c r="U159" s="700">
        <f t="shared" si="208"/>
        <v>0</v>
      </c>
      <c r="X159" s="1252"/>
      <c r="Y159" s="1252"/>
      <c r="Z159" s="1252"/>
      <c r="AA159" s="1252"/>
      <c r="AB159" s="1252"/>
      <c r="AC159" s="1252"/>
      <c r="AD159" s="1252"/>
      <c r="AE159" s="1252"/>
      <c r="AF159" s="1252"/>
      <c r="AG159" s="1252"/>
      <c r="AH159" s="1252"/>
      <c r="AI159" s="1252"/>
      <c r="AJ159" s="1252"/>
      <c r="AK159" s="1252"/>
      <c r="AL159" s="1252"/>
      <c r="AM159" s="1252"/>
      <c r="AN159" s="1252"/>
      <c r="AO159" s="1252"/>
      <c r="AP159" s="1252"/>
      <c r="AQ159" s="1252"/>
      <c r="AR159" s="1252"/>
      <c r="AS159" s="1252"/>
      <c r="AT159" s="1252"/>
      <c r="AU159" s="1252"/>
      <c r="AV159" s="1252"/>
      <c r="AW159" s="1252"/>
      <c r="AX159" s="1252"/>
      <c r="AY159" s="1252"/>
      <c r="AZ159" s="1252"/>
      <c r="BA159" s="1252"/>
      <c r="BB159" s="1252"/>
      <c r="CF159" s="314"/>
    </row>
    <row r="160" ht="19.5" customHeight="1">
      <c r="B160" s="1594"/>
      <c r="C160" s="1626"/>
      <c r="D160" s="1605" t="str">
        <f>'League Stats'!#REF!</f>
        <v>#ERROR!</v>
      </c>
      <c r="E160" s="1606" t="str">
        <f>'League Stats'!#REF!</f>
        <v>#ERROR!</v>
      </c>
      <c r="F160" s="1598" t="str">
        <f>IF(OR(D160="-",D160=""),"",F155)</f>
        <v>#ERROR!</v>
      </c>
      <c r="G160" s="1608" t="str">
        <f>'League Stats'!#REF!</f>
        <v>#ERROR!</v>
      </c>
      <c r="H160" s="1609" t="str">
        <f>'League Stats'!#REF!</f>
        <v>#ERROR!</v>
      </c>
      <c r="I160" s="1598" t="str">
        <f>IF(OR(G160="-",G160=""),"",I155)</f>
        <v>#ERROR!</v>
      </c>
      <c r="J160" s="1610" t="str">
        <f>'League Stats'!#REF!</f>
        <v>#ERROR!</v>
      </c>
      <c r="K160" s="1611" t="str">
        <f>'League Stats'!#REF!</f>
        <v>#ERROR!</v>
      </c>
      <c r="L160" s="1603" t="str">
        <f>IF(OR(J160="-",J160=""),"",L155)</f>
        <v>#ERROR!</v>
      </c>
      <c r="M160" s="13" t="s">
        <v>1097</v>
      </c>
      <c r="N160" s="700">
        <f t="shared" ref="N160:U160" si="209">IFERROR(IF($M160="YES",IF($D158=N$4,$F158,0)+IF($G158=N$4,$I158,0)+IF($J158=N$4,$L158,0),0),0)</f>
        <v>0</v>
      </c>
      <c r="O160" s="700">
        <f t="shared" si="209"/>
        <v>0</v>
      </c>
      <c r="P160" s="700">
        <f t="shared" si="209"/>
        <v>0</v>
      </c>
      <c r="Q160" s="700">
        <f t="shared" si="209"/>
        <v>0</v>
      </c>
      <c r="R160" s="700">
        <f t="shared" si="209"/>
        <v>0</v>
      </c>
      <c r="S160" s="700">
        <f t="shared" si="209"/>
        <v>0</v>
      </c>
      <c r="T160" s="700">
        <f t="shared" si="209"/>
        <v>0</v>
      </c>
      <c r="U160" s="700">
        <f t="shared" si="209"/>
        <v>0</v>
      </c>
      <c r="X160" s="1252"/>
      <c r="Y160" s="1252"/>
      <c r="Z160" s="1252"/>
      <c r="AA160" s="1252"/>
      <c r="AB160" s="1252"/>
      <c r="AC160" s="1252"/>
      <c r="AD160" s="1252"/>
      <c r="AE160" s="1252"/>
      <c r="AF160" s="1252"/>
      <c r="AG160" s="1252"/>
      <c r="AH160" s="1252"/>
      <c r="AI160" s="1252"/>
      <c r="AJ160" s="1252"/>
      <c r="AK160" s="1252"/>
      <c r="AL160" s="1252"/>
      <c r="AM160" s="1252"/>
      <c r="AN160" s="1252"/>
      <c r="AO160" s="1252"/>
      <c r="AP160" s="1252"/>
      <c r="AQ160" s="1252"/>
      <c r="AR160" s="1252"/>
      <c r="AS160" s="1252"/>
      <c r="AT160" s="1252"/>
      <c r="AU160" s="1252"/>
      <c r="AV160" s="1252"/>
      <c r="AW160" s="1252"/>
      <c r="AX160" s="1252"/>
      <c r="AY160" s="1252"/>
      <c r="AZ160" s="1252"/>
      <c r="BA160" s="1252"/>
      <c r="BB160" s="1252"/>
      <c r="CF160" s="314"/>
    </row>
    <row r="161" ht="19.5" customHeight="1">
      <c r="B161" s="1594"/>
      <c r="C161" s="1626"/>
      <c r="D161" s="1605" t="str">
        <f>'League Stats'!#REF!</f>
        <v>#ERROR!</v>
      </c>
      <c r="E161" s="1606" t="str">
        <f>'League Stats'!#REF!</f>
        <v>#ERROR!</v>
      </c>
      <c r="F161" s="1598" t="str">
        <f>IF(OR(D161="-",D161=""),"",F155)</f>
        <v>#ERROR!</v>
      </c>
      <c r="G161" s="1608" t="str">
        <f>'League Stats'!#REF!</f>
        <v>#ERROR!</v>
      </c>
      <c r="H161" s="1609" t="str">
        <f>'League Stats'!#REF!</f>
        <v>#ERROR!</v>
      </c>
      <c r="I161" s="1598" t="str">
        <f>IF(OR(G161="-",G161=""),"",I155)</f>
        <v>#ERROR!</v>
      </c>
      <c r="J161" s="1610" t="str">
        <f>'League Stats'!#REF!</f>
        <v>#ERROR!</v>
      </c>
      <c r="K161" s="1611" t="str">
        <f>'League Stats'!#REF!</f>
        <v>#ERROR!</v>
      </c>
      <c r="L161" s="1603" t="str">
        <f>IF(OR(J161="-",J161=""),"",L155)</f>
        <v>#ERROR!</v>
      </c>
      <c r="M161" s="13" t="s">
        <v>1097</v>
      </c>
      <c r="N161" s="700">
        <f t="shared" ref="N161:U161" si="210">IFERROR(IF($M161="YES",IF($D159=N$4,$F159,0)+IF($G159=N$4,$I159,0)+IF($J159=N$4,$L159,0),0),0)</f>
        <v>0</v>
      </c>
      <c r="O161" s="700">
        <f t="shared" si="210"/>
        <v>0</v>
      </c>
      <c r="P161" s="700">
        <f t="shared" si="210"/>
        <v>0</v>
      </c>
      <c r="Q161" s="700">
        <f t="shared" si="210"/>
        <v>0</v>
      </c>
      <c r="R161" s="700">
        <f t="shared" si="210"/>
        <v>0</v>
      </c>
      <c r="S161" s="700">
        <f t="shared" si="210"/>
        <v>0</v>
      </c>
      <c r="T161" s="700">
        <f t="shared" si="210"/>
        <v>0</v>
      </c>
      <c r="U161" s="700">
        <f t="shared" si="210"/>
        <v>0</v>
      </c>
      <c r="X161" s="1252"/>
      <c r="Y161" s="1252"/>
      <c r="Z161" s="1252"/>
      <c r="AA161" s="1252"/>
      <c r="AB161" s="1252"/>
      <c r="AC161" s="1252"/>
      <c r="AD161" s="1252"/>
      <c r="AE161" s="1252"/>
      <c r="AF161" s="1252"/>
      <c r="AG161" s="1252"/>
      <c r="AH161" s="1252"/>
      <c r="AI161" s="1252"/>
      <c r="AJ161" s="1252"/>
      <c r="AK161" s="1252"/>
      <c r="AL161" s="1252"/>
      <c r="AM161" s="1252"/>
      <c r="AN161" s="1252"/>
      <c r="AO161" s="1252"/>
      <c r="AP161" s="1252"/>
      <c r="AQ161" s="1252"/>
      <c r="AR161" s="1252"/>
      <c r="AS161" s="1252"/>
      <c r="AT161" s="1252"/>
      <c r="AU161" s="1252"/>
      <c r="AV161" s="1252"/>
      <c r="AW161" s="1252"/>
      <c r="AX161" s="1252"/>
      <c r="AY161" s="1252"/>
      <c r="AZ161" s="1252"/>
      <c r="BA161" s="1252"/>
      <c r="BB161" s="1252"/>
      <c r="CF161" s="314"/>
    </row>
    <row r="162" ht="19.5" customHeight="1">
      <c r="B162" s="1613"/>
      <c r="C162" s="1627"/>
      <c r="D162" s="1615" t="str">
        <f>'League Stats'!#REF!</f>
        <v>#ERROR!</v>
      </c>
      <c r="E162" s="1616" t="str">
        <f>'League Stats'!#REF!</f>
        <v>#ERROR!</v>
      </c>
      <c r="F162" s="1617" t="str">
        <f>IF(OR(D162="-",D162=""),"",F155)</f>
        <v>#ERROR!</v>
      </c>
      <c r="G162" s="1618" t="str">
        <f>'League Stats'!#REF!</f>
        <v>#ERROR!</v>
      </c>
      <c r="H162" s="1619" t="str">
        <f>'League Stats'!#REF!</f>
        <v>#ERROR!</v>
      </c>
      <c r="I162" s="1617" t="str">
        <f>IF(OR(G162="-",G162=""),"",I155)</f>
        <v>#ERROR!</v>
      </c>
      <c r="J162" s="1620" t="str">
        <f>'League Stats'!#REF!</f>
        <v>#ERROR!</v>
      </c>
      <c r="K162" s="1621" t="str">
        <f>'League Stats'!#REF!</f>
        <v>#ERROR!</v>
      </c>
      <c r="L162" s="1622" t="str">
        <f>IF(OR(J162="-",J162=""),"",L155)</f>
        <v>#ERROR!</v>
      </c>
      <c r="M162" s="13" t="s">
        <v>1097</v>
      </c>
      <c r="N162" s="700">
        <f t="shared" ref="N162:U162" si="211">IFERROR(IF($M162="YES",IF($D160=N$4,$F160,0)+IF($G160=N$4,$I160,0)+IF($J160=N$4,$L160,0),0),0)</f>
        <v>0</v>
      </c>
      <c r="O162" s="700">
        <f t="shared" si="211"/>
        <v>0</v>
      </c>
      <c r="P162" s="700">
        <f t="shared" si="211"/>
        <v>0</v>
      </c>
      <c r="Q162" s="700">
        <f t="shared" si="211"/>
        <v>0</v>
      </c>
      <c r="R162" s="700">
        <f t="shared" si="211"/>
        <v>0</v>
      </c>
      <c r="S162" s="700">
        <f t="shared" si="211"/>
        <v>0</v>
      </c>
      <c r="T162" s="700">
        <f t="shared" si="211"/>
        <v>0</v>
      </c>
      <c r="U162" s="700">
        <f t="shared" si="211"/>
        <v>0</v>
      </c>
      <c r="X162" s="1252"/>
      <c r="Y162" s="1252"/>
      <c r="Z162" s="1252"/>
      <c r="AA162" s="1252"/>
      <c r="AB162" s="1252"/>
      <c r="AC162" s="1252"/>
      <c r="AD162" s="1252"/>
      <c r="AE162" s="1252"/>
      <c r="AF162" s="1252"/>
      <c r="AG162" s="1252"/>
      <c r="AH162" s="1252"/>
      <c r="AI162" s="1252"/>
      <c r="AJ162" s="1252"/>
      <c r="AK162" s="1252"/>
      <c r="AL162" s="1252"/>
      <c r="AM162" s="1252"/>
      <c r="AN162" s="1252"/>
      <c r="AO162" s="1252"/>
      <c r="AP162" s="1252"/>
      <c r="AQ162" s="1252"/>
      <c r="AR162" s="1252"/>
      <c r="AS162" s="1252"/>
      <c r="AT162" s="1252"/>
      <c r="AU162" s="1252"/>
      <c r="AV162" s="1252"/>
      <c r="AW162" s="1252"/>
      <c r="AX162" s="1252"/>
      <c r="AY162" s="1252"/>
      <c r="AZ162" s="1252"/>
      <c r="BA162" s="1252"/>
      <c r="BB162" s="1252"/>
      <c r="CF162" s="314"/>
    </row>
    <row r="163" ht="19.5" customHeight="1">
      <c r="B163" s="1639" t="s">
        <v>162</v>
      </c>
      <c r="C163" s="1624" t="s">
        <v>202</v>
      </c>
      <c r="D163" s="1586" t="str">
        <f>'League Stats'!#REF!</f>
        <v>#ERROR!</v>
      </c>
      <c r="E163" s="1587" t="str">
        <f>'League Stats'!#REF!</f>
        <v>#ERROR!</v>
      </c>
      <c r="F163" s="1588">
        <v>2.0</v>
      </c>
      <c r="G163" s="1589" t="str">
        <f>'League Stats'!#REF!</f>
        <v>#ERROR!</v>
      </c>
      <c r="H163" s="1590" t="str">
        <f>'League Stats'!#REF!</f>
        <v>#ERROR!</v>
      </c>
      <c r="I163" s="1588">
        <v>1.0</v>
      </c>
      <c r="J163" s="1591" t="str">
        <f>'League Stats'!#REF!</f>
        <v>#ERROR!</v>
      </c>
      <c r="K163" s="1592" t="str">
        <f>'League Stats'!#REF!</f>
        <v>#ERROR!</v>
      </c>
      <c r="L163" s="1593">
        <v>0.5</v>
      </c>
      <c r="M163" s="13" t="s">
        <v>1097</v>
      </c>
      <c r="N163" s="700">
        <f t="shared" ref="N163:U163" si="212">IFERROR(IF($M163="YES",IF($D161=N$4,$F161,0)+IF($G161=N$4,$I161,0)+IF($J161=N$4,$L161,0),0),0)</f>
        <v>0</v>
      </c>
      <c r="O163" s="700">
        <f t="shared" si="212"/>
        <v>0</v>
      </c>
      <c r="P163" s="700">
        <f t="shared" si="212"/>
        <v>0</v>
      </c>
      <c r="Q163" s="700">
        <f t="shared" si="212"/>
        <v>0</v>
      </c>
      <c r="R163" s="700">
        <f t="shared" si="212"/>
        <v>0</v>
      </c>
      <c r="S163" s="700">
        <f t="shared" si="212"/>
        <v>0</v>
      </c>
      <c r="T163" s="700">
        <f t="shared" si="212"/>
        <v>0</v>
      </c>
      <c r="U163" s="700">
        <f t="shared" si="212"/>
        <v>0</v>
      </c>
      <c r="X163" s="1252"/>
      <c r="Y163" s="1252"/>
      <c r="Z163" s="1252"/>
      <c r="AA163" s="1252"/>
      <c r="AB163" s="1252"/>
      <c r="AC163" s="1252"/>
      <c r="AD163" s="1252"/>
      <c r="AE163" s="1252"/>
      <c r="AF163" s="1252"/>
      <c r="AG163" s="1252"/>
      <c r="AH163" s="1252"/>
      <c r="AI163" s="1252"/>
      <c r="AJ163" s="1252"/>
      <c r="AK163" s="1252"/>
      <c r="AL163" s="1252"/>
      <c r="AM163" s="1252"/>
      <c r="AN163" s="1252"/>
      <c r="AO163" s="1252"/>
      <c r="AP163" s="1252"/>
      <c r="AQ163" s="1252"/>
      <c r="AR163" s="1252"/>
      <c r="AS163" s="1252"/>
      <c r="AT163" s="1252"/>
      <c r="AU163" s="1252"/>
      <c r="AV163" s="1252"/>
      <c r="AW163" s="1252"/>
      <c r="AX163" s="1252"/>
      <c r="AY163" s="1252"/>
      <c r="AZ163" s="1252"/>
      <c r="BA163" s="1252"/>
      <c r="BB163" s="1252"/>
      <c r="CF163" s="314"/>
    </row>
    <row r="164" ht="19.5" customHeight="1">
      <c r="B164" s="1594"/>
      <c r="C164" s="1625"/>
      <c r="D164" s="1596" t="str">
        <f>'League Stats'!#REF!</f>
        <v>#ERROR!</v>
      </c>
      <c r="E164" s="1597" t="str">
        <f>'League Stats'!#REF!</f>
        <v>#ERROR!</v>
      </c>
      <c r="F164" s="1598" t="str">
        <f>IF(OR(D164="-",D164=""),"",F163)</f>
        <v>#ERROR!</v>
      </c>
      <c r="G164" s="1599" t="str">
        <f>'League Stats'!#REF!</f>
        <v>#ERROR!</v>
      </c>
      <c r="H164" s="1600" t="str">
        <f>'League Stats'!#REF!</f>
        <v>#ERROR!</v>
      </c>
      <c r="I164" s="1598" t="str">
        <f>IF(OR(G164="-",G164=""),"",I163)</f>
        <v>#ERROR!</v>
      </c>
      <c r="J164" s="1601" t="str">
        <f>'League Stats'!#REF!</f>
        <v>#ERROR!</v>
      </c>
      <c r="K164" s="1602" t="str">
        <f>'League Stats'!#REF!</f>
        <v>#ERROR!</v>
      </c>
      <c r="L164" s="1603" t="str">
        <f>IF(OR(J164="-",J164=""),"",L163)</f>
        <v>#ERROR!</v>
      </c>
      <c r="M164" s="13" t="s">
        <v>1097</v>
      </c>
      <c r="N164" s="700">
        <f t="shared" ref="N164:U164" si="213">IFERROR(IF($M164="YES",IF($D162=N$4,$F162,0)+IF($G162=N$4,$I162,0)+IF($J162=N$4,$L162,0),0),0)</f>
        <v>0</v>
      </c>
      <c r="O164" s="700">
        <f t="shared" si="213"/>
        <v>0</v>
      </c>
      <c r="P164" s="700">
        <f t="shared" si="213"/>
        <v>0</v>
      </c>
      <c r="Q164" s="700">
        <f t="shared" si="213"/>
        <v>0</v>
      </c>
      <c r="R164" s="700">
        <f t="shared" si="213"/>
        <v>0</v>
      </c>
      <c r="S164" s="700">
        <f t="shared" si="213"/>
        <v>0</v>
      </c>
      <c r="T164" s="700">
        <f t="shared" si="213"/>
        <v>0</v>
      </c>
      <c r="U164" s="700">
        <f t="shared" si="213"/>
        <v>0</v>
      </c>
      <c r="X164" s="1252"/>
      <c r="Y164" s="1252"/>
      <c r="Z164" s="1252"/>
      <c r="AA164" s="1252"/>
      <c r="AB164" s="1252"/>
      <c r="AC164" s="1252"/>
      <c r="AD164" s="1252"/>
      <c r="AE164" s="1252"/>
      <c r="AF164" s="1252"/>
      <c r="AG164" s="1252"/>
      <c r="AH164" s="1252"/>
      <c r="AI164" s="1252"/>
      <c r="AJ164" s="1252"/>
      <c r="AK164" s="1252"/>
      <c r="AL164" s="1252"/>
      <c r="AM164" s="1252"/>
      <c r="AN164" s="1252"/>
      <c r="AO164" s="1252"/>
      <c r="AP164" s="1252"/>
      <c r="AQ164" s="1252"/>
      <c r="AR164" s="1252"/>
      <c r="AS164" s="1252"/>
      <c r="AT164" s="1252"/>
      <c r="AU164" s="1252"/>
      <c r="AV164" s="1252"/>
      <c r="AW164" s="1252"/>
      <c r="AX164" s="1252"/>
      <c r="AY164" s="1252"/>
      <c r="AZ164" s="1252"/>
      <c r="BA164" s="1252"/>
      <c r="BB164" s="1252"/>
      <c r="CF164" s="314"/>
    </row>
    <row r="165" ht="19.5" customHeight="1">
      <c r="B165" s="1594"/>
      <c r="C165" s="1625"/>
      <c r="D165" s="1596" t="str">
        <f>'League Stats'!#REF!</f>
        <v>#ERROR!</v>
      </c>
      <c r="E165" s="1597" t="str">
        <f>'League Stats'!#REF!</f>
        <v>#ERROR!</v>
      </c>
      <c r="F165" s="1598" t="str">
        <f>IF(OR(D165="-",D165=""),"",F163)</f>
        <v>#ERROR!</v>
      </c>
      <c r="G165" s="1599" t="str">
        <f>'League Stats'!#REF!</f>
        <v>#ERROR!</v>
      </c>
      <c r="H165" s="1600" t="str">
        <f>'League Stats'!#REF!</f>
        <v>#ERROR!</v>
      </c>
      <c r="I165" s="1598" t="str">
        <f>IF(OR(G165="-",G165=""),"",I163)</f>
        <v>#ERROR!</v>
      </c>
      <c r="J165" s="1601" t="str">
        <f>'League Stats'!#REF!</f>
        <v>#ERROR!</v>
      </c>
      <c r="K165" s="1602" t="str">
        <f>'League Stats'!#REF!</f>
        <v>#ERROR!</v>
      </c>
      <c r="L165" s="1603" t="str">
        <f>IF(OR(J165="-",J165=""),"",L163)</f>
        <v>#ERROR!</v>
      </c>
      <c r="M165" s="13" t="s">
        <v>1097</v>
      </c>
      <c r="N165" s="700">
        <f t="shared" ref="N165:U165" si="214">IFERROR(IF($M165="YES",IF($D163=N$4,$F163,0)+IF($G163=N$4,$I163,0)+IF($J163=N$4,$L163,0),0),0)</f>
        <v>0</v>
      </c>
      <c r="O165" s="700">
        <f t="shared" si="214"/>
        <v>0</v>
      </c>
      <c r="P165" s="700">
        <f t="shared" si="214"/>
        <v>0</v>
      </c>
      <c r="Q165" s="700">
        <f t="shared" si="214"/>
        <v>0</v>
      </c>
      <c r="R165" s="700">
        <f t="shared" si="214"/>
        <v>0</v>
      </c>
      <c r="S165" s="700">
        <f t="shared" si="214"/>
        <v>0</v>
      </c>
      <c r="T165" s="700">
        <f t="shared" si="214"/>
        <v>0</v>
      </c>
      <c r="U165" s="700">
        <f t="shared" si="214"/>
        <v>0</v>
      </c>
      <c r="X165" s="1252"/>
      <c r="Y165" s="1252"/>
      <c r="Z165" s="1252"/>
      <c r="AA165" s="1252"/>
      <c r="AB165" s="1252"/>
      <c r="AC165" s="1252"/>
      <c r="AD165" s="1252"/>
      <c r="AE165" s="1252"/>
      <c r="AF165" s="1252"/>
      <c r="AG165" s="1252"/>
      <c r="AH165" s="1252"/>
      <c r="AI165" s="1252"/>
      <c r="AJ165" s="1252"/>
      <c r="AK165" s="1252"/>
      <c r="AL165" s="1252"/>
      <c r="AM165" s="1252"/>
      <c r="AN165" s="1252"/>
      <c r="AO165" s="1252"/>
      <c r="AP165" s="1252"/>
      <c r="AQ165" s="1252"/>
      <c r="AR165" s="1252"/>
      <c r="AS165" s="1252"/>
      <c r="AT165" s="1252"/>
      <c r="AU165" s="1252"/>
      <c r="AV165" s="1252"/>
      <c r="AW165" s="1252"/>
      <c r="AX165" s="1252"/>
      <c r="AY165" s="1252"/>
      <c r="AZ165" s="1252"/>
      <c r="BA165" s="1252"/>
      <c r="BB165" s="1252"/>
      <c r="CF165" s="314"/>
    </row>
    <row r="166" ht="19.5" customHeight="1">
      <c r="B166" s="1594"/>
      <c r="C166" s="1625"/>
      <c r="D166" s="1596" t="str">
        <f>'League Stats'!#REF!</f>
        <v>#ERROR!</v>
      </c>
      <c r="E166" s="1597" t="str">
        <f>'League Stats'!#REF!</f>
        <v>#ERROR!</v>
      </c>
      <c r="F166" s="1598" t="str">
        <f>IF(OR(D166="-",D166=""),"",F163)</f>
        <v>#ERROR!</v>
      </c>
      <c r="G166" s="1599" t="str">
        <f>'League Stats'!#REF!</f>
        <v>#ERROR!</v>
      </c>
      <c r="H166" s="1600" t="str">
        <f>'League Stats'!#REF!</f>
        <v>#ERROR!</v>
      </c>
      <c r="I166" s="1598" t="str">
        <f>IF(OR(G166="-",G166=""),"",I163)</f>
        <v>#ERROR!</v>
      </c>
      <c r="J166" s="1601" t="str">
        <f>'League Stats'!#REF!</f>
        <v>#ERROR!</v>
      </c>
      <c r="K166" s="1602" t="str">
        <f>'League Stats'!#REF!</f>
        <v>#ERROR!</v>
      </c>
      <c r="L166" s="1603" t="str">
        <f>IF(OR(J166="-",J166=""),"",L163)</f>
        <v>#ERROR!</v>
      </c>
      <c r="M166" s="13" t="s">
        <v>1097</v>
      </c>
      <c r="N166" s="700">
        <f t="shared" ref="N166:U166" si="215">IFERROR(IF($M166="YES",IF($D164=N$4,$F164,0)+IF($G164=N$4,$I164,0)+IF($J164=N$4,$L164,0),0),0)</f>
        <v>0</v>
      </c>
      <c r="O166" s="700">
        <f t="shared" si="215"/>
        <v>0</v>
      </c>
      <c r="P166" s="700">
        <f t="shared" si="215"/>
        <v>0</v>
      </c>
      <c r="Q166" s="700">
        <f t="shared" si="215"/>
        <v>0</v>
      </c>
      <c r="R166" s="700">
        <f t="shared" si="215"/>
        <v>0</v>
      </c>
      <c r="S166" s="700">
        <f t="shared" si="215"/>
        <v>0</v>
      </c>
      <c r="T166" s="700">
        <f t="shared" si="215"/>
        <v>0</v>
      </c>
      <c r="U166" s="700">
        <f t="shared" si="215"/>
        <v>0</v>
      </c>
      <c r="X166" s="1252"/>
      <c r="Y166" s="1252"/>
      <c r="Z166" s="1252"/>
      <c r="AA166" s="1252"/>
      <c r="AB166" s="1252"/>
      <c r="AC166" s="1252"/>
      <c r="AD166" s="1252"/>
      <c r="AE166" s="1252"/>
      <c r="AF166" s="1252"/>
      <c r="AG166" s="1252"/>
      <c r="AH166" s="1252"/>
      <c r="AI166" s="1252"/>
      <c r="AJ166" s="1252"/>
      <c r="AK166" s="1252"/>
      <c r="AL166" s="1252"/>
      <c r="AM166" s="1252"/>
      <c r="AN166" s="1252"/>
      <c r="AO166" s="1252"/>
      <c r="AP166" s="1252"/>
      <c r="AQ166" s="1252"/>
      <c r="AR166" s="1252"/>
      <c r="AS166" s="1252"/>
      <c r="AT166" s="1252"/>
      <c r="AU166" s="1252"/>
      <c r="AV166" s="1252"/>
      <c r="AW166" s="1252"/>
      <c r="AX166" s="1252"/>
      <c r="AY166" s="1252"/>
      <c r="AZ166" s="1252"/>
      <c r="BA166" s="1252"/>
      <c r="BB166" s="1252"/>
      <c r="CF166" s="314"/>
    </row>
    <row r="167" ht="19.5" customHeight="1">
      <c r="B167" s="1594"/>
      <c r="C167" s="1625"/>
      <c r="D167" s="1596" t="str">
        <f>'League Stats'!#REF!</f>
        <v>#ERROR!</v>
      </c>
      <c r="E167" s="1597" t="str">
        <f>'League Stats'!#REF!</f>
        <v>#ERROR!</v>
      </c>
      <c r="F167" s="1598" t="str">
        <f>IF(OR(D167="-",D167=""),"",F163)</f>
        <v>#ERROR!</v>
      </c>
      <c r="G167" s="1599" t="str">
        <f>'League Stats'!#REF!</f>
        <v>#ERROR!</v>
      </c>
      <c r="H167" s="1600" t="str">
        <f>'League Stats'!#REF!</f>
        <v>#ERROR!</v>
      </c>
      <c r="I167" s="1598" t="str">
        <f>IF(OR(G167="-",G167=""),"",I163)</f>
        <v>#ERROR!</v>
      </c>
      <c r="J167" s="1601" t="str">
        <f>'League Stats'!#REF!</f>
        <v>#ERROR!</v>
      </c>
      <c r="K167" s="1602" t="str">
        <f>'League Stats'!#REF!</f>
        <v>#ERROR!</v>
      </c>
      <c r="L167" s="1603" t="str">
        <f>IF(OR(J167="-",J167=""),"",L163)</f>
        <v>#ERROR!</v>
      </c>
      <c r="M167" s="13" t="s">
        <v>1097</v>
      </c>
      <c r="N167" s="700">
        <f t="shared" ref="N167:U167" si="216">IFERROR(IF($M167="YES",IF($D165=N$4,$F165,0)+IF($G165=N$4,$I165,0)+IF($J165=N$4,$L165,0),0),0)</f>
        <v>0</v>
      </c>
      <c r="O167" s="700">
        <f t="shared" si="216"/>
        <v>0</v>
      </c>
      <c r="P167" s="700">
        <f t="shared" si="216"/>
        <v>0</v>
      </c>
      <c r="Q167" s="700">
        <f t="shared" si="216"/>
        <v>0</v>
      </c>
      <c r="R167" s="700">
        <f t="shared" si="216"/>
        <v>0</v>
      </c>
      <c r="S167" s="700">
        <f t="shared" si="216"/>
        <v>0</v>
      </c>
      <c r="T167" s="700">
        <f t="shared" si="216"/>
        <v>0</v>
      </c>
      <c r="U167" s="700">
        <f t="shared" si="216"/>
        <v>0</v>
      </c>
      <c r="X167" s="1252"/>
      <c r="Y167" s="1252"/>
      <c r="Z167" s="1252"/>
      <c r="AA167" s="1252"/>
      <c r="AB167" s="1252"/>
      <c r="AC167" s="1252"/>
      <c r="AD167" s="1252"/>
      <c r="AE167" s="1252"/>
      <c r="AF167" s="1252"/>
      <c r="AG167" s="1252"/>
      <c r="AH167" s="1252"/>
      <c r="AI167" s="1252"/>
      <c r="AJ167" s="1252"/>
      <c r="AK167" s="1252"/>
      <c r="AL167" s="1252"/>
      <c r="AM167" s="1252"/>
      <c r="AN167" s="1252"/>
      <c r="AO167" s="1252"/>
      <c r="AP167" s="1252"/>
      <c r="AQ167" s="1252"/>
      <c r="AR167" s="1252"/>
      <c r="AS167" s="1252"/>
      <c r="AT167" s="1252"/>
      <c r="AU167" s="1252"/>
      <c r="AV167" s="1252"/>
      <c r="AW167" s="1252"/>
      <c r="AX167" s="1252"/>
      <c r="AY167" s="1252"/>
      <c r="AZ167" s="1252"/>
      <c r="BA167" s="1252"/>
      <c r="BB167" s="1252"/>
      <c r="CF167" s="314"/>
    </row>
    <row r="168" ht="19.5" customHeight="1">
      <c r="B168" s="1594"/>
      <c r="C168" s="1625"/>
      <c r="D168" s="1596" t="str">
        <f>'League Stats'!#REF!</f>
        <v>#ERROR!</v>
      </c>
      <c r="E168" s="1597" t="str">
        <f>'League Stats'!#REF!</f>
        <v>#ERROR!</v>
      </c>
      <c r="F168" s="1598" t="str">
        <f>IF(OR(D168="-",D168=""),"",F163)</f>
        <v>#ERROR!</v>
      </c>
      <c r="G168" s="1599" t="str">
        <f>'League Stats'!#REF!</f>
        <v>#ERROR!</v>
      </c>
      <c r="H168" s="1600" t="str">
        <f>'League Stats'!#REF!</f>
        <v>#ERROR!</v>
      </c>
      <c r="I168" s="1598" t="str">
        <f>IF(OR(G168="-",G168=""),"",I163)</f>
        <v>#ERROR!</v>
      </c>
      <c r="J168" s="1601" t="str">
        <f>'League Stats'!#REF!</f>
        <v>#ERROR!</v>
      </c>
      <c r="K168" s="1602" t="str">
        <f>'League Stats'!#REF!</f>
        <v>#ERROR!</v>
      </c>
      <c r="L168" s="1603" t="str">
        <f>IF(OR(J168="-",J168=""),"",L163)</f>
        <v>#ERROR!</v>
      </c>
      <c r="M168" s="13" t="s">
        <v>1097</v>
      </c>
      <c r="N168" s="700">
        <f t="shared" ref="N168:U168" si="217">IFERROR(IF($M168="YES",IF($D166=N$4,$F166,0)+IF($G166=N$4,$I166,0)+IF($J166=N$4,$L166,0),0),0)</f>
        <v>0</v>
      </c>
      <c r="O168" s="700">
        <f t="shared" si="217"/>
        <v>0</v>
      </c>
      <c r="P168" s="700">
        <f t="shared" si="217"/>
        <v>0</v>
      </c>
      <c r="Q168" s="700">
        <f t="shared" si="217"/>
        <v>0</v>
      </c>
      <c r="R168" s="700">
        <f t="shared" si="217"/>
        <v>0</v>
      </c>
      <c r="S168" s="700">
        <f t="shared" si="217"/>
        <v>0</v>
      </c>
      <c r="T168" s="700">
        <f t="shared" si="217"/>
        <v>0</v>
      </c>
      <c r="U168" s="700">
        <f t="shared" si="217"/>
        <v>0</v>
      </c>
      <c r="X168" s="1252"/>
      <c r="Y168" s="1252"/>
      <c r="Z168" s="1252"/>
      <c r="AA168" s="1252"/>
      <c r="AB168" s="1252"/>
      <c r="AC168" s="1252"/>
      <c r="AD168" s="1252"/>
      <c r="AE168" s="1252"/>
      <c r="AF168" s="1252"/>
      <c r="AG168" s="1252"/>
      <c r="AH168" s="1252"/>
      <c r="AI168" s="1252"/>
      <c r="AJ168" s="1252"/>
      <c r="AK168" s="1252"/>
      <c r="AL168" s="1252"/>
      <c r="AM168" s="1252"/>
      <c r="AN168" s="1252"/>
      <c r="AO168" s="1252"/>
      <c r="AP168" s="1252"/>
      <c r="AQ168" s="1252"/>
      <c r="AR168" s="1252"/>
      <c r="AS168" s="1252"/>
      <c r="AT168" s="1252"/>
      <c r="AU168" s="1252"/>
      <c r="AV168" s="1252"/>
      <c r="AW168" s="1252"/>
      <c r="AX168" s="1252"/>
      <c r="AY168" s="1252"/>
      <c r="AZ168" s="1252"/>
      <c r="BA168" s="1252"/>
      <c r="BB168" s="1252"/>
      <c r="CF168" s="314"/>
    </row>
    <row r="169" ht="19.5" customHeight="1">
      <c r="B169" s="1594"/>
      <c r="C169" s="1625"/>
      <c r="D169" s="1596" t="str">
        <f>'League Stats'!#REF!</f>
        <v>#ERROR!</v>
      </c>
      <c r="E169" s="1597" t="str">
        <f>'League Stats'!#REF!</f>
        <v>#ERROR!</v>
      </c>
      <c r="F169" s="1598" t="str">
        <f>IF(OR(D169="-",D169=""),"",F163)</f>
        <v>#ERROR!</v>
      </c>
      <c r="G169" s="1599" t="str">
        <f>'League Stats'!#REF!</f>
        <v>#ERROR!</v>
      </c>
      <c r="H169" s="1600" t="str">
        <f>'League Stats'!#REF!</f>
        <v>#ERROR!</v>
      </c>
      <c r="I169" s="1598" t="str">
        <f>IF(OR(G169="-",G169=""),"",I163)</f>
        <v>#ERROR!</v>
      </c>
      <c r="J169" s="1601" t="str">
        <f>'League Stats'!#REF!</f>
        <v>#ERROR!</v>
      </c>
      <c r="K169" s="1602" t="str">
        <f>'League Stats'!#REF!</f>
        <v>#ERROR!</v>
      </c>
      <c r="L169" s="1603" t="str">
        <f>IF(OR(J169="-",J169=""),"",L163)</f>
        <v>#ERROR!</v>
      </c>
      <c r="M169" s="13" t="s">
        <v>1097</v>
      </c>
      <c r="N169" s="700">
        <f t="shared" ref="N169:U169" si="218">IFERROR(IF($M169="YES",IF($D167=N$4,$F167,0)+IF($G167=N$4,$I167,0)+IF($J167=N$4,$L167,0),0),0)</f>
        <v>0</v>
      </c>
      <c r="O169" s="700">
        <f t="shared" si="218"/>
        <v>0</v>
      </c>
      <c r="P169" s="700">
        <f t="shared" si="218"/>
        <v>0</v>
      </c>
      <c r="Q169" s="700">
        <f t="shared" si="218"/>
        <v>0</v>
      </c>
      <c r="R169" s="700">
        <f t="shared" si="218"/>
        <v>0</v>
      </c>
      <c r="S169" s="700">
        <f t="shared" si="218"/>
        <v>0</v>
      </c>
      <c r="T169" s="700">
        <f t="shared" si="218"/>
        <v>0</v>
      </c>
      <c r="U169" s="700">
        <f t="shared" si="218"/>
        <v>0</v>
      </c>
      <c r="X169" s="1252"/>
      <c r="Y169" s="1252"/>
      <c r="Z169" s="1252"/>
      <c r="AA169" s="1252"/>
      <c r="AB169" s="1252"/>
      <c r="AC169" s="1252"/>
      <c r="AD169" s="1252"/>
      <c r="AE169" s="1252"/>
      <c r="AF169" s="1252"/>
      <c r="AG169" s="1252"/>
      <c r="AH169" s="1252"/>
      <c r="AI169" s="1252"/>
      <c r="AJ169" s="1252"/>
      <c r="AK169" s="1252"/>
      <c r="AL169" s="1252"/>
      <c r="AM169" s="1252"/>
      <c r="AN169" s="1252"/>
      <c r="AO169" s="1252"/>
      <c r="AP169" s="1252"/>
      <c r="AQ169" s="1252"/>
      <c r="AR169" s="1252"/>
      <c r="AS169" s="1252"/>
      <c r="AT169" s="1252"/>
      <c r="AU169" s="1252"/>
      <c r="AV169" s="1252"/>
      <c r="AW169" s="1252"/>
      <c r="AX169" s="1252"/>
      <c r="AY169" s="1252"/>
      <c r="AZ169" s="1252"/>
      <c r="BA169" s="1252"/>
      <c r="BB169" s="1252"/>
      <c r="CF169" s="314"/>
    </row>
    <row r="170" ht="19.5" customHeight="1">
      <c r="B170" s="1594"/>
      <c r="C170" s="1625"/>
      <c r="D170" s="1596" t="str">
        <f>'League Stats'!#REF!</f>
        <v>#ERROR!</v>
      </c>
      <c r="E170" s="1597" t="str">
        <f>'League Stats'!#REF!</f>
        <v>#ERROR!</v>
      </c>
      <c r="F170" s="1598" t="str">
        <f>IF(OR(D170="-",D170=""),"",F163)</f>
        <v>#ERROR!</v>
      </c>
      <c r="G170" s="1599" t="str">
        <f>'League Stats'!#REF!</f>
        <v>#ERROR!</v>
      </c>
      <c r="H170" s="1600" t="str">
        <f>'League Stats'!#REF!</f>
        <v>#ERROR!</v>
      </c>
      <c r="I170" s="1598" t="str">
        <f>IF(OR(G170="-",G170=""),"",I163)</f>
        <v>#ERROR!</v>
      </c>
      <c r="J170" s="1601" t="str">
        <f>'League Stats'!#REF!</f>
        <v>#ERROR!</v>
      </c>
      <c r="K170" s="1602" t="str">
        <f>'League Stats'!#REF!</f>
        <v>#ERROR!</v>
      </c>
      <c r="L170" s="1603" t="str">
        <f>IF(OR(J170="-",J170=""),"",L163)</f>
        <v>#ERROR!</v>
      </c>
      <c r="M170" s="13" t="s">
        <v>1097</v>
      </c>
      <c r="N170" s="700">
        <f t="shared" ref="N170:U170" si="219">IFERROR(IF($M170="YES",IF($D168=N$4,$F168,0)+IF($G168=N$4,$I168,0)+IF($J168=N$4,$L168,0),0),0)</f>
        <v>0</v>
      </c>
      <c r="O170" s="700">
        <f t="shared" si="219"/>
        <v>0</v>
      </c>
      <c r="P170" s="700">
        <f t="shared" si="219"/>
        <v>0</v>
      </c>
      <c r="Q170" s="700">
        <f t="shared" si="219"/>
        <v>0</v>
      </c>
      <c r="R170" s="700">
        <f t="shared" si="219"/>
        <v>0</v>
      </c>
      <c r="S170" s="700">
        <f t="shared" si="219"/>
        <v>0</v>
      </c>
      <c r="T170" s="700">
        <f t="shared" si="219"/>
        <v>0</v>
      </c>
      <c r="U170" s="700">
        <f t="shared" si="219"/>
        <v>0</v>
      </c>
      <c r="X170" s="1252"/>
      <c r="Y170" s="1252"/>
      <c r="Z170" s="1252"/>
      <c r="AA170" s="1252"/>
      <c r="AB170" s="1252"/>
      <c r="AC170" s="1252"/>
      <c r="AD170" s="1252"/>
      <c r="AE170" s="1252"/>
      <c r="AF170" s="1252"/>
      <c r="AG170" s="1252"/>
      <c r="AH170" s="1252"/>
      <c r="AI170" s="1252"/>
      <c r="AJ170" s="1252"/>
      <c r="AK170" s="1252"/>
      <c r="AL170" s="1252"/>
      <c r="AM170" s="1252"/>
      <c r="AN170" s="1252"/>
      <c r="AO170" s="1252"/>
      <c r="AP170" s="1252"/>
      <c r="AQ170" s="1252"/>
      <c r="AR170" s="1252"/>
      <c r="AS170" s="1252"/>
      <c r="AT170" s="1252"/>
      <c r="AU170" s="1252"/>
      <c r="AV170" s="1252"/>
      <c r="AW170" s="1252"/>
      <c r="AX170" s="1252"/>
      <c r="AY170" s="1252"/>
      <c r="AZ170" s="1252"/>
      <c r="BA170" s="1252"/>
      <c r="BB170" s="1252"/>
      <c r="CF170" s="314"/>
    </row>
    <row r="171" ht="19.5" customHeight="1">
      <c r="B171" s="1594"/>
      <c r="C171" s="1626" t="s">
        <v>1782</v>
      </c>
      <c r="D171" s="1605" t="str">
        <f>'League Stats'!#REF!</f>
        <v>#ERROR!</v>
      </c>
      <c r="E171" s="1606" t="str">
        <f>'League Stats'!#REF!</f>
        <v>#ERROR!</v>
      </c>
      <c r="F171" s="1607">
        <v>2.0</v>
      </c>
      <c r="G171" s="1608" t="str">
        <f>'League Stats'!#REF!</f>
        <v>#ERROR!</v>
      </c>
      <c r="H171" s="1609" t="str">
        <f>'League Stats'!#REF!</f>
        <v>#ERROR!</v>
      </c>
      <c r="I171" s="1607">
        <v>1.0</v>
      </c>
      <c r="J171" s="1610" t="str">
        <f>'League Stats'!#REF!</f>
        <v>#ERROR!</v>
      </c>
      <c r="K171" s="1611" t="str">
        <f>'League Stats'!#REF!</f>
        <v>#ERROR!</v>
      </c>
      <c r="L171" s="1612">
        <v>0.5</v>
      </c>
      <c r="M171" s="13" t="s">
        <v>1097</v>
      </c>
      <c r="N171" s="700">
        <f t="shared" ref="N171:U171" si="220">IFERROR(IF($M171="YES",IF($D169=N$4,$F169,0)+IF($G169=N$4,$I169,0)+IF($J169=N$4,$L169,0),0),0)</f>
        <v>0</v>
      </c>
      <c r="O171" s="700">
        <f t="shared" si="220"/>
        <v>0</v>
      </c>
      <c r="P171" s="700">
        <f t="shared" si="220"/>
        <v>0</v>
      </c>
      <c r="Q171" s="700">
        <f t="shared" si="220"/>
        <v>0</v>
      </c>
      <c r="R171" s="700">
        <f t="shared" si="220"/>
        <v>0</v>
      </c>
      <c r="S171" s="700">
        <f t="shared" si="220"/>
        <v>0</v>
      </c>
      <c r="T171" s="700">
        <f t="shared" si="220"/>
        <v>0</v>
      </c>
      <c r="U171" s="700">
        <f t="shared" si="220"/>
        <v>0</v>
      </c>
      <c r="X171" s="1252"/>
      <c r="Y171" s="1252"/>
      <c r="Z171" s="1252"/>
      <c r="AA171" s="1252"/>
      <c r="AB171" s="1252"/>
      <c r="AC171" s="1252"/>
      <c r="AD171" s="1252"/>
      <c r="AE171" s="1252"/>
      <c r="AF171" s="1252"/>
      <c r="AG171" s="1252"/>
      <c r="AH171" s="1252"/>
      <c r="AI171" s="1252"/>
      <c r="AJ171" s="1252"/>
      <c r="AK171" s="1252"/>
      <c r="AL171" s="1252"/>
      <c r="AM171" s="1252"/>
      <c r="AN171" s="1252"/>
      <c r="AO171" s="1252"/>
      <c r="AP171" s="1252"/>
      <c r="AQ171" s="1252"/>
      <c r="AR171" s="1252"/>
      <c r="AS171" s="1252"/>
      <c r="AT171" s="1252"/>
      <c r="AU171" s="1252"/>
      <c r="AV171" s="1252"/>
      <c r="AW171" s="1252"/>
      <c r="AX171" s="1252"/>
      <c r="AY171" s="1252"/>
      <c r="AZ171" s="1252"/>
      <c r="BA171" s="1252"/>
      <c r="BB171" s="1252"/>
      <c r="CF171" s="314"/>
    </row>
    <row r="172" ht="19.5" customHeight="1">
      <c r="B172" s="1594"/>
      <c r="C172" s="1626"/>
      <c r="D172" s="1605" t="str">
        <f>'League Stats'!#REF!</f>
        <v>#ERROR!</v>
      </c>
      <c r="E172" s="1606" t="str">
        <f>'League Stats'!#REF!</f>
        <v>#ERROR!</v>
      </c>
      <c r="F172" s="1598" t="str">
        <f>IF(OR(D172="-",D172=""),"",F171)</f>
        <v>#ERROR!</v>
      </c>
      <c r="G172" s="1608" t="str">
        <f>'League Stats'!#REF!</f>
        <v>#ERROR!</v>
      </c>
      <c r="H172" s="1609" t="str">
        <f>'League Stats'!#REF!</f>
        <v>#ERROR!</v>
      </c>
      <c r="I172" s="1598" t="str">
        <f>IF(OR(G172="-",G172=""),"",I171)</f>
        <v>#ERROR!</v>
      </c>
      <c r="J172" s="1610" t="str">
        <f>'League Stats'!#REF!</f>
        <v>#ERROR!</v>
      </c>
      <c r="K172" s="1611" t="str">
        <f>'League Stats'!#REF!</f>
        <v>#ERROR!</v>
      </c>
      <c r="L172" s="1603" t="str">
        <f>IF(OR(J172="-",J172=""),"",L171)</f>
        <v>#ERROR!</v>
      </c>
      <c r="M172" s="13" t="s">
        <v>1097</v>
      </c>
      <c r="N172" s="700">
        <f t="shared" ref="N172:U172" si="221">IFERROR(IF($M172="YES",IF($D170=N$4,$F170,0)+IF($G170=N$4,$I170,0)+IF($J170=N$4,$L170,0),0),0)</f>
        <v>0</v>
      </c>
      <c r="O172" s="700">
        <f t="shared" si="221"/>
        <v>0</v>
      </c>
      <c r="P172" s="700">
        <f t="shared" si="221"/>
        <v>0</v>
      </c>
      <c r="Q172" s="700">
        <f t="shared" si="221"/>
        <v>0</v>
      </c>
      <c r="R172" s="700">
        <f t="shared" si="221"/>
        <v>0</v>
      </c>
      <c r="S172" s="700">
        <f t="shared" si="221"/>
        <v>0</v>
      </c>
      <c r="T172" s="700">
        <f t="shared" si="221"/>
        <v>0</v>
      </c>
      <c r="U172" s="700">
        <f t="shared" si="221"/>
        <v>0</v>
      </c>
      <c r="X172" s="1252"/>
      <c r="Y172" s="1252"/>
      <c r="Z172" s="1252"/>
      <c r="AA172" s="1252"/>
      <c r="AB172" s="1252"/>
      <c r="AC172" s="1252"/>
      <c r="AD172" s="1252"/>
      <c r="AE172" s="1252"/>
      <c r="AF172" s="1252"/>
      <c r="AG172" s="1252"/>
      <c r="AH172" s="1252"/>
      <c r="AI172" s="1252"/>
      <c r="AJ172" s="1252"/>
      <c r="AK172" s="1252"/>
      <c r="AL172" s="1252"/>
      <c r="AM172" s="1252"/>
      <c r="AN172" s="1252"/>
      <c r="AO172" s="1252"/>
      <c r="AP172" s="1252"/>
      <c r="AQ172" s="1252"/>
      <c r="AR172" s="1252"/>
      <c r="AS172" s="1252"/>
      <c r="AT172" s="1252"/>
      <c r="AU172" s="1252"/>
      <c r="AV172" s="1252"/>
      <c r="AW172" s="1252"/>
      <c r="AX172" s="1252"/>
      <c r="AY172" s="1252"/>
      <c r="AZ172" s="1252"/>
      <c r="BA172" s="1252"/>
      <c r="BB172" s="1252"/>
      <c r="CF172" s="314"/>
    </row>
    <row r="173" ht="19.5" customHeight="1">
      <c r="B173" s="1594"/>
      <c r="C173" s="1626"/>
      <c r="D173" s="1605" t="str">
        <f>'League Stats'!#REF!</f>
        <v>#ERROR!</v>
      </c>
      <c r="E173" s="1606" t="str">
        <f>'League Stats'!#REF!</f>
        <v>#ERROR!</v>
      </c>
      <c r="F173" s="1598" t="str">
        <f>IF(OR(D173="-",D173=""),"",F171)</f>
        <v>#ERROR!</v>
      </c>
      <c r="G173" s="1608" t="str">
        <f>'League Stats'!#REF!</f>
        <v>#ERROR!</v>
      </c>
      <c r="H173" s="1609" t="str">
        <f>'League Stats'!#REF!</f>
        <v>#ERROR!</v>
      </c>
      <c r="I173" s="1598" t="str">
        <f>IF(OR(G173="-",G173=""),"",I171)</f>
        <v>#ERROR!</v>
      </c>
      <c r="J173" s="1610" t="str">
        <f>'League Stats'!#REF!</f>
        <v>#ERROR!</v>
      </c>
      <c r="K173" s="1611" t="str">
        <f>'League Stats'!#REF!</f>
        <v>#ERROR!</v>
      </c>
      <c r="L173" s="1603" t="str">
        <f>IF(OR(J173="-",J173=""),"",L171)</f>
        <v>#ERROR!</v>
      </c>
      <c r="M173" s="13" t="s">
        <v>1097</v>
      </c>
      <c r="N173" s="700">
        <f t="shared" ref="N173:U173" si="222">IFERROR(IF($M173="YES",IF($D171=N$4,$F171,0)+IF($G171=N$4,$I171,0)+IF($J171=N$4,$L171,0),0),0)</f>
        <v>0</v>
      </c>
      <c r="O173" s="700">
        <f t="shared" si="222"/>
        <v>0</v>
      </c>
      <c r="P173" s="700">
        <f t="shared" si="222"/>
        <v>0</v>
      </c>
      <c r="Q173" s="700">
        <f t="shared" si="222"/>
        <v>0</v>
      </c>
      <c r="R173" s="700">
        <f t="shared" si="222"/>
        <v>0</v>
      </c>
      <c r="S173" s="700">
        <f t="shared" si="222"/>
        <v>0</v>
      </c>
      <c r="T173" s="700">
        <f t="shared" si="222"/>
        <v>0</v>
      </c>
      <c r="U173" s="700">
        <f t="shared" si="222"/>
        <v>0</v>
      </c>
      <c r="AD173" s="1252"/>
      <c r="AE173" s="1252"/>
      <c r="AF173" s="1252"/>
      <c r="AG173" s="1252"/>
      <c r="AH173" s="1252"/>
      <c r="AI173" s="1252"/>
      <c r="AJ173" s="1252"/>
      <c r="AK173" s="1252"/>
      <c r="AL173" s="1252"/>
      <c r="AM173" s="1252"/>
      <c r="AN173" s="1252"/>
      <c r="AO173" s="1252"/>
      <c r="AP173" s="1252"/>
      <c r="AQ173" s="1252"/>
      <c r="AR173" s="1252"/>
      <c r="AS173" s="1252"/>
      <c r="AT173" s="1252"/>
      <c r="AU173" s="1252"/>
      <c r="AV173" s="1252"/>
      <c r="AW173" s="1252"/>
      <c r="AX173" s="1252"/>
      <c r="AY173" s="1252"/>
      <c r="AZ173" s="1252"/>
      <c r="BA173" s="1252"/>
      <c r="BB173" s="1252"/>
      <c r="CF173" s="314"/>
    </row>
    <row r="174" ht="19.5" customHeight="1">
      <c r="B174" s="1594"/>
      <c r="C174" s="1626"/>
      <c r="D174" s="1605" t="str">
        <f>'League Stats'!#REF!</f>
        <v>#ERROR!</v>
      </c>
      <c r="E174" s="1606" t="str">
        <f>'League Stats'!#REF!</f>
        <v>#ERROR!</v>
      </c>
      <c r="F174" s="1598" t="str">
        <f>IF(OR(D174="-",D174=""),"",F171)</f>
        <v>#ERROR!</v>
      </c>
      <c r="G174" s="1608" t="str">
        <f>'League Stats'!#REF!</f>
        <v>#ERROR!</v>
      </c>
      <c r="H174" s="1609" t="str">
        <f>'League Stats'!#REF!</f>
        <v>#ERROR!</v>
      </c>
      <c r="I174" s="1598" t="str">
        <f>IF(OR(G174="-",G174=""),"",I171)</f>
        <v>#ERROR!</v>
      </c>
      <c r="J174" s="1610" t="str">
        <f>'League Stats'!#REF!</f>
        <v>#ERROR!</v>
      </c>
      <c r="K174" s="1611" t="str">
        <f>'League Stats'!#REF!</f>
        <v>#ERROR!</v>
      </c>
      <c r="L174" s="1603" t="str">
        <f>IF(OR(J174="-",J174=""),"",L171)</f>
        <v>#ERROR!</v>
      </c>
      <c r="M174" s="13" t="s">
        <v>1097</v>
      </c>
      <c r="N174" s="700">
        <f t="shared" ref="N174:U174" si="223">IFERROR(IF($M174="YES",IF($D172=N$4,$F172,0)+IF($G172=N$4,$I172,0)+IF($J172=N$4,$L172,0),0),0)</f>
        <v>0</v>
      </c>
      <c r="O174" s="700">
        <f t="shared" si="223"/>
        <v>0</v>
      </c>
      <c r="P174" s="700">
        <f t="shared" si="223"/>
        <v>0</v>
      </c>
      <c r="Q174" s="700">
        <f t="shared" si="223"/>
        <v>0</v>
      </c>
      <c r="R174" s="700">
        <f t="shared" si="223"/>
        <v>0</v>
      </c>
      <c r="S174" s="700">
        <f t="shared" si="223"/>
        <v>0</v>
      </c>
      <c r="T174" s="700">
        <f t="shared" si="223"/>
        <v>0</v>
      </c>
      <c r="U174" s="700">
        <f t="shared" si="223"/>
        <v>0</v>
      </c>
      <c r="AD174" s="1252"/>
      <c r="AE174" s="1252"/>
      <c r="AF174" s="1252"/>
      <c r="AG174" s="1252"/>
      <c r="AH174" s="1252"/>
      <c r="AI174" s="1252"/>
      <c r="AJ174" s="1252"/>
      <c r="AK174" s="1252"/>
      <c r="AL174" s="1252"/>
      <c r="AM174" s="1252"/>
      <c r="AN174" s="1252"/>
      <c r="AO174" s="1252"/>
      <c r="AP174" s="1252"/>
      <c r="AQ174" s="1252"/>
      <c r="AR174" s="1252"/>
      <c r="AS174" s="1252"/>
      <c r="AT174" s="1252"/>
      <c r="AU174" s="1252"/>
      <c r="AV174" s="1252"/>
      <c r="AW174" s="1252"/>
      <c r="AX174" s="1252"/>
      <c r="AY174" s="1252"/>
      <c r="AZ174" s="1252"/>
      <c r="BA174" s="1252"/>
      <c r="BB174" s="1252"/>
      <c r="CF174" s="314"/>
    </row>
    <row r="175" ht="19.5" customHeight="1">
      <c r="B175" s="1594"/>
      <c r="C175" s="1626"/>
      <c r="D175" s="1605" t="str">
        <f>'League Stats'!#REF!</f>
        <v>#ERROR!</v>
      </c>
      <c r="E175" s="1606" t="str">
        <f>'League Stats'!#REF!</f>
        <v>#ERROR!</v>
      </c>
      <c r="F175" s="1598" t="str">
        <f>IF(OR(D175="-",D175=""),"",F171)</f>
        <v>#ERROR!</v>
      </c>
      <c r="G175" s="1608" t="str">
        <f>'League Stats'!#REF!</f>
        <v>#ERROR!</v>
      </c>
      <c r="H175" s="1609" t="str">
        <f>'League Stats'!#REF!</f>
        <v>#ERROR!</v>
      </c>
      <c r="I175" s="1598" t="str">
        <f>IF(OR(G175="-",G175=""),"",I171)</f>
        <v>#ERROR!</v>
      </c>
      <c r="J175" s="1610" t="str">
        <f>'League Stats'!#REF!</f>
        <v>#ERROR!</v>
      </c>
      <c r="K175" s="1611" t="str">
        <f>'League Stats'!#REF!</f>
        <v>#ERROR!</v>
      </c>
      <c r="L175" s="1603" t="str">
        <f>IF(OR(J175="-",J175=""),"",L171)</f>
        <v>#ERROR!</v>
      </c>
      <c r="M175" s="13" t="s">
        <v>1097</v>
      </c>
      <c r="N175" s="700">
        <f t="shared" ref="N175:U175" si="224">IFERROR(IF($M175="YES",IF($D173=N$4,$F173,0)+IF($G173=N$4,$I173,0)+IF($J173=N$4,$L173,0),0),0)</f>
        <v>0</v>
      </c>
      <c r="O175" s="700">
        <f t="shared" si="224"/>
        <v>0</v>
      </c>
      <c r="P175" s="700">
        <f t="shared" si="224"/>
        <v>0</v>
      </c>
      <c r="Q175" s="700">
        <f t="shared" si="224"/>
        <v>0</v>
      </c>
      <c r="R175" s="700">
        <f t="shared" si="224"/>
        <v>0</v>
      </c>
      <c r="S175" s="700">
        <f t="shared" si="224"/>
        <v>0</v>
      </c>
      <c r="T175" s="700">
        <f t="shared" si="224"/>
        <v>0</v>
      </c>
      <c r="U175" s="700">
        <f t="shared" si="224"/>
        <v>0</v>
      </c>
      <c r="AD175" s="1252"/>
      <c r="AE175" s="1252"/>
      <c r="AF175" s="1252"/>
      <c r="AG175" s="1252"/>
      <c r="AH175" s="1252"/>
      <c r="AI175" s="1252"/>
      <c r="AJ175" s="1252"/>
      <c r="AK175" s="1252"/>
      <c r="AL175" s="1252"/>
      <c r="AM175" s="1252"/>
      <c r="AN175" s="1252"/>
      <c r="AO175" s="1252"/>
      <c r="AP175" s="1252"/>
      <c r="AQ175" s="1252"/>
      <c r="AR175" s="1252"/>
      <c r="CF175" s="314"/>
    </row>
    <row r="176" ht="19.5" customHeight="1">
      <c r="B176" s="1594"/>
      <c r="C176" s="1626"/>
      <c r="D176" s="1605" t="str">
        <f>'League Stats'!#REF!</f>
        <v>#ERROR!</v>
      </c>
      <c r="E176" s="1606" t="str">
        <f>'League Stats'!#REF!</f>
        <v>#ERROR!</v>
      </c>
      <c r="F176" s="1598" t="str">
        <f>IF(OR(D176="-",D176=""),"",F171)</f>
        <v>#ERROR!</v>
      </c>
      <c r="G176" s="1608" t="str">
        <f>'League Stats'!#REF!</f>
        <v>#ERROR!</v>
      </c>
      <c r="H176" s="1609" t="str">
        <f>'League Stats'!#REF!</f>
        <v>#ERROR!</v>
      </c>
      <c r="I176" s="1598" t="str">
        <f>IF(OR(G176="-",G176=""),"",I171)</f>
        <v>#ERROR!</v>
      </c>
      <c r="J176" s="1610" t="str">
        <f>'League Stats'!#REF!</f>
        <v>#ERROR!</v>
      </c>
      <c r="K176" s="1611" t="str">
        <f>'League Stats'!#REF!</f>
        <v>#ERROR!</v>
      </c>
      <c r="L176" s="1603" t="str">
        <f>IF(OR(J176="-",J176=""),"",L171)</f>
        <v>#ERROR!</v>
      </c>
      <c r="M176" s="13" t="s">
        <v>1097</v>
      </c>
      <c r="N176" s="700">
        <f t="shared" ref="N176:U176" si="225">IFERROR(IF($M176="YES",IF($D174=N$4,$F174,0)+IF($G174=N$4,$I174,0)+IF($J174=N$4,$L174,0),0),0)</f>
        <v>0</v>
      </c>
      <c r="O176" s="700">
        <f t="shared" si="225"/>
        <v>0</v>
      </c>
      <c r="P176" s="700">
        <f t="shared" si="225"/>
        <v>0</v>
      </c>
      <c r="Q176" s="700">
        <f t="shared" si="225"/>
        <v>0</v>
      </c>
      <c r="R176" s="700">
        <f t="shared" si="225"/>
        <v>0</v>
      </c>
      <c r="S176" s="700">
        <f t="shared" si="225"/>
        <v>0</v>
      </c>
      <c r="T176" s="700">
        <f t="shared" si="225"/>
        <v>0</v>
      </c>
      <c r="U176" s="700">
        <f t="shared" si="225"/>
        <v>0</v>
      </c>
      <c r="AD176" s="1252"/>
      <c r="AE176" s="1252"/>
      <c r="AF176" s="1252"/>
      <c r="AG176" s="1252"/>
      <c r="AH176" s="1252"/>
      <c r="AI176" s="1252"/>
      <c r="AJ176" s="1252"/>
      <c r="AK176" s="1252"/>
      <c r="AL176" s="1252"/>
      <c r="AM176" s="1252"/>
      <c r="AN176" s="1252"/>
      <c r="AO176" s="1252"/>
      <c r="AP176" s="1252"/>
      <c r="AQ176" s="1252"/>
      <c r="AR176" s="1252"/>
      <c r="CF176" s="314"/>
    </row>
    <row r="177" ht="19.5" customHeight="1">
      <c r="B177" s="1594"/>
      <c r="C177" s="1626"/>
      <c r="D177" s="1605" t="str">
        <f>'League Stats'!#REF!</f>
        <v>#ERROR!</v>
      </c>
      <c r="E177" s="1606" t="str">
        <f>'League Stats'!#REF!</f>
        <v>#ERROR!</v>
      </c>
      <c r="F177" s="1598" t="str">
        <f>IF(OR(D177="-",D177=""),"",F171)</f>
        <v>#ERROR!</v>
      </c>
      <c r="G177" s="1608" t="str">
        <f>'League Stats'!#REF!</f>
        <v>#ERROR!</v>
      </c>
      <c r="H177" s="1609" t="str">
        <f>'League Stats'!#REF!</f>
        <v>#ERROR!</v>
      </c>
      <c r="I177" s="1598" t="str">
        <f>IF(OR(G177="-",G177=""),"",I171)</f>
        <v>#ERROR!</v>
      </c>
      <c r="J177" s="1610" t="str">
        <f>'League Stats'!#REF!</f>
        <v>#ERROR!</v>
      </c>
      <c r="K177" s="1611" t="str">
        <f>'League Stats'!#REF!</f>
        <v>#ERROR!</v>
      </c>
      <c r="L177" s="1603" t="str">
        <f>IF(OR(J177="-",J177=""),"",L171)</f>
        <v>#ERROR!</v>
      </c>
      <c r="M177" s="13" t="s">
        <v>1097</v>
      </c>
      <c r="N177" s="700">
        <f t="shared" ref="N177:U177" si="226">IFERROR(IF($M177="YES",IF($D175=N$4,$F175,0)+IF($G175=N$4,$I175,0)+IF($J175=N$4,$L175,0),0),0)</f>
        <v>0</v>
      </c>
      <c r="O177" s="700">
        <f t="shared" si="226"/>
        <v>0</v>
      </c>
      <c r="P177" s="700">
        <f t="shared" si="226"/>
        <v>0</v>
      </c>
      <c r="Q177" s="700">
        <f t="shared" si="226"/>
        <v>0</v>
      </c>
      <c r="R177" s="700">
        <f t="shared" si="226"/>
        <v>0</v>
      </c>
      <c r="S177" s="700">
        <f t="shared" si="226"/>
        <v>0</v>
      </c>
      <c r="T177" s="700">
        <f t="shared" si="226"/>
        <v>0</v>
      </c>
      <c r="U177" s="700">
        <f t="shared" si="226"/>
        <v>0</v>
      </c>
      <c r="AD177" s="1252"/>
      <c r="AE177" s="1252"/>
      <c r="AF177" s="1252"/>
      <c r="AG177" s="1252"/>
      <c r="AH177" s="1252"/>
      <c r="AI177" s="1252"/>
      <c r="AJ177" s="1252"/>
      <c r="AK177" s="1252"/>
      <c r="AL177" s="1252"/>
      <c r="AM177" s="1252"/>
      <c r="AN177" s="1252"/>
      <c r="AO177" s="1252"/>
      <c r="AP177" s="1252"/>
      <c r="AQ177" s="1252"/>
      <c r="AR177" s="1252"/>
      <c r="CF177" s="314"/>
    </row>
    <row r="178" ht="19.5" customHeight="1">
      <c r="B178" s="1613"/>
      <c r="C178" s="1627"/>
      <c r="D178" s="1615" t="str">
        <f>'League Stats'!AB212</f>
        <v/>
      </c>
      <c r="E178" s="1616" t="str">
        <f>'League Stats'!AC212</f>
        <v/>
      </c>
      <c r="F178" s="1617" t="str">
        <f>IF(OR(D178="-",D178=""),"",F171)</f>
        <v/>
      </c>
      <c r="G178" s="1618" t="str">
        <f>'League Stats'!AE212</f>
        <v/>
      </c>
      <c r="H178" s="1619" t="str">
        <f>'League Stats'!AF212</f>
        <v/>
      </c>
      <c r="I178" s="1617" t="str">
        <f>IF(OR(G178="-",G178=""),"",I171)</f>
        <v/>
      </c>
      <c r="J178" s="1620" t="str">
        <f>'League Stats'!AH212</f>
        <v/>
      </c>
      <c r="K178" s="1621" t="str">
        <f>'League Stats'!AI212</f>
        <v/>
      </c>
      <c r="L178" s="1622" t="str">
        <f>IF(OR(J178="-",J178=""),"",L171)</f>
        <v/>
      </c>
      <c r="M178" s="13" t="s">
        <v>1097</v>
      </c>
      <c r="N178" s="700">
        <f t="shared" ref="N178:U178" si="227">IFERROR(IF($M178="YES",IF($D176=N$4,$F176,0)+IF($G176=N$4,$I176,0)+IF($J176=N$4,$L176,0),0),0)</f>
        <v>0</v>
      </c>
      <c r="O178" s="700">
        <f t="shared" si="227"/>
        <v>0</v>
      </c>
      <c r="P178" s="700">
        <f t="shared" si="227"/>
        <v>0</v>
      </c>
      <c r="Q178" s="700">
        <f t="shared" si="227"/>
        <v>0</v>
      </c>
      <c r="R178" s="700">
        <f t="shared" si="227"/>
        <v>0</v>
      </c>
      <c r="S178" s="700">
        <f t="shared" si="227"/>
        <v>0</v>
      </c>
      <c r="T178" s="700">
        <f t="shared" si="227"/>
        <v>0</v>
      </c>
      <c r="U178" s="700">
        <f t="shared" si="227"/>
        <v>0</v>
      </c>
      <c r="AD178" s="1252"/>
      <c r="AE178" s="1252"/>
      <c r="AF178" s="1252"/>
      <c r="AG178" s="1252"/>
      <c r="AH178" s="1252"/>
      <c r="AI178" s="1252"/>
      <c r="AJ178" s="1252"/>
      <c r="AK178" s="1252"/>
      <c r="AL178" s="1252"/>
      <c r="AM178" s="1252"/>
      <c r="AN178" s="1252"/>
      <c r="AO178" s="1252"/>
      <c r="AP178" s="1252"/>
      <c r="AQ178" s="1252"/>
      <c r="AR178" s="1252"/>
      <c r="CF178" s="314"/>
    </row>
    <row r="179" ht="19.5" customHeight="1">
      <c r="B179" s="1655" t="s">
        <v>168</v>
      </c>
      <c r="C179" s="1656" t="s">
        <v>1782</v>
      </c>
      <c r="D179" s="1586" t="str">
        <f>'League Stats'!AB215</f>
        <v>-</v>
      </c>
      <c r="E179" s="1587">
        <f>'League Stats'!AC215</f>
        <v>58.9</v>
      </c>
      <c r="F179" s="1588">
        <v>2.0</v>
      </c>
      <c r="G179" s="1589" t="str">
        <f>'League Stats'!AE215</f>
        <v/>
      </c>
      <c r="H179" s="1590">
        <f>'League Stats'!AF215</f>
        <v>54.8</v>
      </c>
      <c r="I179" s="1588">
        <v>1.0</v>
      </c>
      <c r="J179" s="1591" t="str">
        <f>'League Stats'!AH215</f>
        <v/>
      </c>
      <c r="K179" s="1592">
        <f>'League Stats'!AI215</f>
        <v>54.64</v>
      </c>
      <c r="L179" s="1593">
        <v>0.5</v>
      </c>
      <c r="M179" s="13" t="s">
        <v>1097</v>
      </c>
      <c r="N179" s="700">
        <f t="shared" ref="N179:U179" si="228">IFERROR(IF($M179="YES",IF($D177=N$4,$F177,0)+IF($G177=N$4,$I177,0)+IF($J177=N$4,$L177,0),0),0)</f>
        <v>0</v>
      </c>
      <c r="O179" s="700">
        <f t="shared" si="228"/>
        <v>0</v>
      </c>
      <c r="P179" s="700">
        <f t="shared" si="228"/>
        <v>0</v>
      </c>
      <c r="Q179" s="700">
        <f t="shared" si="228"/>
        <v>0</v>
      </c>
      <c r="R179" s="700">
        <f t="shared" si="228"/>
        <v>0</v>
      </c>
      <c r="S179" s="700">
        <f t="shared" si="228"/>
        <v>0</v>
      </c>
      <c r="T179" s="700">
        <f t="shared" si="228"/>
        <v>0</v>
      </c>
      <c r="U179" s="700">
        <f t="shared" si="228"/>
        <v>0</v>
      </c>
      <c r="AD179" s="1252"/>
      <c r="AE179" s="1252"/>
      <c r="AF179" s="1252"/>
      <c r="AG179" s="1252"/>
      <c r="AH179" s="1252"/>
      <c r="AI179" s="1252"/>
      <c r="AJ179" s="1252"/>
      <c r="AK179" s="1252"/>
      <c r="AL179" s="1252"/>
      <c r="AM179" s="1252"/>
      <c r="AN179" s="1252"/>
      <c r="AO179" s="1252"/>
      <c r="AP179" s="1252"/>
      <c r="AQ179" s="1252"/>
      <c r="AR179" s="1252"/>
      <c r="CF179" s="314"/>
    </row>
    <row r="180" ht="19.5" customHeight="1">
      <c r="B180" s="1594"/>
      <c r="C180" s="1626"/>
      <c r="D180" s="1596" t="str">
        <f>'League Stats'!AB216</f>
        <v/>
      </c>
      <c r="E180" s="1597" t="str">
        <f>'League Stats'!AC216</f>
        <v/>
      </c>
      <c r="F180" s="1598" t="str">
        <f>IF(OR(D180="-",D180=""),"",F179)</f>
        <v/>
      </c>
      <c r="G180" s="1599" t="str">
        <f>'League Stats'!AE216</f>
        <v/>
      </c>
      <c r="H180" s="1600" t="str">
        <f>'League Stats'!AF216</f>
        <v/>
      </c>
      <c r="I180" s="1598" t="str">
        <f>IF(OR(G180="-",G180=""),"",I179)</f>
        <v/>
      </c>
      <c r="J180" s="1601" t="str">
        <f>'League Stats'!AH216</f>
        <v/>
      </c>
      <c r="K180" s="1602" t="str">
        <f>'League Stats'!AI216</f>
        <v/>
      </c>
      <c r="L180" s="1603" t="str">
        <f>IF(OR(J180="-",J180=""),"",L179)</f>
        <v/>
      </c>
      <c r="M180" s="13" t="s">
        <v>1097</v>
      </c>
      <c r="N180" s="700">
        <f t="shared" ref="N180:U180" si="229">IFERROR(IF($M180="YES",IF($D178=N$4,$F178,0)+IF($G178=N$4,$I178,0)+IF($J178=N$4,$L178,0),0),0)</f>
        <v>0</v>
      </c>
      <c r="O180" s="700">
        <f t="shared" si="229"/>
        <v>0</v>
      </c>
      <c r="P180" s="700">
        <f t="shared" si="229"/>
        <v>0</v>
      </c>
      <c r="Q180" s="700">
        <f t="shared" si="229"/>
        <v>0</v>
      </c>
      <c r="R180" s="700">
        <f t="shared" si="229"/>
        <v>0</v>
      </c>
      <c r="S180" s="700">
        <f t="shared" si="229"/>
        <v>0</v>
      </c>
      <c r="T180" s="700">
        <f t="shared" si="229"/>
        <v>0</v>
      </c>
      <c r="U180" s="700">
        <f t="shared" si="229"/>
        <v>0</v>
      </c>
      <c r="CF180" s="314"/>
    </row>
    <row r="181" ht="19.5" customHeight="1">
      <c r="B181" s="1594"/>
      <c r="C181" s="1626"/>
      <c r="D181" s="1596" t="str">
        <f>'League Stats'!AB217</f>
        <v/>
      </c>
      <c r="E181" s="1597" t="str">
        <f>'League Stats'!AC217</f>
        <v/>
      </c>
      <c r="F181" s="1598" t="str">
        <f>IF(OR(D181="-",D181=""),"",F179)</f>
        <v/>
      </c>
      <c r="G181" s="1599" t="str">
        <f>'League Stats'!AE217</f>
        <v/>
      </c>
      <c r="H181" s="1600" t="str">
        <f>'League Stats'!AF217</f>
        <v/>
      </c>
      <c r="I181" s="1598" t="str">
        <f>IF(OR(G181="-",G181=""),"",I179)</f>
        <v/>
      </c>
      <c r="J181" s="1601" t="str">
        <f>'League Stats'!AH217</f>
        <v/>
      </c>
      <c r="K181" s="1602" t="str">
        <f>'League Stats'!AI217</f>
        <v/>
      </c>
      <c r="L181" s="1603" t="str">
        <f>IF(OR(J181="-",J181=""),"",L179)</f>
        <v/>
      </c>
      <c r="M181" s="13" t="s">
        <v>1097</v>
      </c>
      <c r="N181" s="700">
        <f t="shared" ref="N181:U181" si="230">IFERROR(IF($M181="YES",IF($D179=N$4,$F179,0)+IF($G179=N$4,$I179,0)+IF($J179=N$4,$L179,0),0),0)</f>
        <v>0</v>
      </c>
      <c r="O181" s="700">
        <f t="shared" si="230"/>
        <v>0</v>
      </c>
      <c r="P181" s="700">
        <f t="shared" si="230"/>
        <v>0</v>
      </c>
      <c r="Q181" s="700">
        <f t="shared" si="230"/>
        <v>0</v>
      </c>
      <c r="R181" s="700">
        <f t="shared" si="230"/>
        <v>0</v>
      </c>
      <c r="S181" s="700">
        <f t="shared" si="230"/>
        <v>0</v>
      </c>
      <c r="T181" s="700">
        <f t="shared" si="230"/>
        <v>0</v>
      </c>
      <c r="U181" s="700">
        <f t="shared" si="230"/>
        <v>0</v>
      </c>
      <c r="CF181" s="314"/>
    </row>
    <row r="182" ht="19.5" customHeight="1">
      <c r="B182" s="1594"/>
      <c r="C182" s="1626"/>
      <c r="D182" s="1596" t="str">
        <f>'League Stats'!AB218</f>
        <v/>
      </c>
      <c r="E182" s="1597" t="str">
        <f>'League Stats'!AC218</f>
        <v/>
      </c>
      <c r="F182" s="1598" t="str">
        <f>IF(OR(D182="-",D182=""),"",F179)</f>
        <v/>
      </c>
      <c r="G182" s="1599" t="str">
        <f>'League Stats'!AE218</f>
        <v/>
      </c>
      <c r="H182" s="1600" t="str">
        <f>'League Stats'!AF218</f>
        <v/>
      </c>
      <c r="I182" s="1598" t="str">
        <f>IF(OR(G182="-",G182=""),"",I179)</f>
        <v/>
      </c>
      <c r="J182" s="1601" t="str">
        <f>'League Stats'!AH218</f>
        <v/>
      </c>
      <c r="K182" s="1602" t="str">
        <f>'League Stats'!AI218</f>
        <v/>
      </c>
      <c r="L182" s="1603" t="str">
        <f>IF(OR(J182="-",J182=""),"",L179)</f>
        <v/>
      </c>
      <c r="M182" s="13" t="s">
        <v>1097</v>
      </c>
      <c r="N182" s="700">
        <f t="shared" ref="N182:U182" si="231">IFERROR(IF($M182="YES",IF($D180=N$4,$F180,0)+IF($G180=N$4,$I180,0)+IF($J180=N$4,$L180,0),0),0)</f>
        <v>0</v>
      </c>
      <c r="O182" s="700">
        <f t="shared" si="231"/>
        <v>0</v>
      </c>
      <c r="P182" s="700">
        <f t="shared" si="231"/>
        <v>0</v>
      </c>
      <c r="Q182" s="700">
        <f t="shared" si="231"/>
        <v>0</v>
      </c>
      <c r="R182" s="700">
        <f t="shared" si="231"/>
        <v>0</v>
      </c>
      <c r="S182" s="700">
        <f t="shared" si="231"/>
        <v>0</v>
      </c>
      <c r="T182" s="700">
        <f t="shared" si="231"/>
        <v>0</v>
      </c>
      <c r="U182" s="700">
        <f t="shared" si="231"/>
        <v>0</v>
      </c>
      <c r="CF182" s="314"/>
    </row>
    <row r="183" ht="19.5" customHeight="1">
      <c r="B183" s="1594"/>
      <c r="C183" s="1626"/>
      <c r="D183" s="1596" t="str">
        <f>'League Stats'!AB219</f>
        <v/>
      </c>
      <c r="E183" s="1597" t="str">
        <f>'League Stats'!AC219</f>
        <v/>
      </c>
      <c r="F183" s="1598" t="str">
        <f>IF(OR(D183="-",D183=""),"",F179)</f>
        <v/>
      </c>
      <c r="G183" s="1599" t="str">
        <f>'League Stats'!AE219</f>
        <v/>
      </c>
      <c r="H183" s="1600" t="str">
        <f>'League Stats'!AF219</f>
        <v/>
      </c>
      <c r="I183" s="1598" t="str">
        <f>IF(OR(G183="-",G183=""),"",I179)</f>
        <v/>
      </c>
      <c r="J183" s="1601" t="str">
        <f>'League Stats'!AH219</f>
        <v/>
      </c>
      <c r="K183" s="1602" t="str">
        <f>'League Stats'!AI219</f>
        <v/>
      </c>
      <c r="L183" s="1603" t="str">
        <f>IF(OR(J183="-",J183=""),"",L179)</f>
        <v/>
      </c>
      <c r="M183" s="13" t="s">
        <v>1097</v>
      </c>
      <c r="N183" s="700">
        <f t="shared" ref="N183:U183" si="232">IFERROR(IF($M183="YES",IF($D181=N$4,$F181,0)+IF($G181=N$4,$I181,0)+IF($J181=N$4,$L181,0),0),0)</f>
        <v>0</v>
      </c>
      <c r="O183" s="700">
        <f t="shared" si="232"/>
        <v>0</v>
      </c>
      <c r="P183" s="700">
        <f t="shared" si="232"/>
        <v>0</v>
      </c>
      <c r="Q183" s="700">
        <f t="shared" si="232"/>
        <v>0</v>
      </c>
      <c r="R183" s="700">
        <f t="shared" si="232"/>
        <v>0</v>
      </c>
      <c r="S183" s="700">
        <f t="shared" si="232"/>
        <v>0</v>
      </c>
      <c r="T183" s="700">
        <f t="shared" si="232"/>
        <v>0</v>
      </c>
      <c r="U183" s="700">
        <f t="shared" si="232"/>
        <v>0</v>
      </c>
      <c r="CF183" s="314"/>
    </row>
    <row r="184" ht="19.5" customHeight="1">
      <c r="B184" s="1594"/>
      <c r="C184" s="1626"/>
      <c r="D184" s="1596" t="str">
        <f>'League Stats'!AB220</f>
        <v/>
      </c>
      <c r="E184" s="1597" t="str">
        <f>'League Stats'!AC220</f>
        <v/>
      </c>
      <c r="F184" s="1598" t="str">
        <f>IF(OR(D184="-",D184=""),"",F179)</f>
        <v/>
      </c>
      <c r="G184" s="1599" t="str">
        <f>'League Stats'!AE220</f>
        <v/>
      </c>
      <c r="H184" s="1600" t="str">
        <f>'League Stats'!AF220</f>
        <v/>
      </c>
      <c r="I184" s="1598" t="str">
        <f>IF(OR(G184="-",G184=""),"",I179)</f>
        <v/>
      </c>
      <c r="J184" s="1601" t="str">
        <f>'League Stats'!AH220</f>
        <v/>
      </c>
      <c r="K184" s="1602" t="str">
        <f>'League Stats'!AI220</f>
        <v/>
      </c>
      <c r="L184" s="1603" t="str">
        <f>IF(OR(J184="-",J184=""),"",L179)</f>
        <v/>
      </c>
      <c r="M184" s="13" t="s">
        <v>1097</v>
      </c>
      <c r="N184" s="700">
        <f t="shared" ref="N184:U184" si="233">IFERROR(IF($M184="YES",IF($D182=N$4,$F182,0)+IF($G182=N$4,$I182,0)+IF($J182=N$4,$L182,0),0),0)</f>
        <v>0</v>
      </c>
      <c r="O184" s="700">
        <f t="shared" si="233"/>
        <v>0</v>
      </c>
      <c r="P184" s="700">
        <f t="shared" si="233"/>
        <v>0</v>
      </c>
      <c r="Q184" s="700">
        <f t="shared" si="233"/>
        <v>0</v>
      </c>
      <c r="R184" s="700">
        <f t="shared" si="233"/>
        <v>0</v>
      </c>
      <c r="S184" s="700">
        <f t="shared" si="233"/>
        <v>0</v>
      </c>
      <c r="T184" s="700">
        <f t="shared" si="233"/>
        <v>0</v>
      </c>
      <c r="U184" s="700">
        <f t="shared" si="233"/>
        <v>0</v>
      </c>
      <c r="CF184" s="314"/>
    </row>
    <row r="185" ht="19.5" customHeight="1">
      <c r="B185" s="1594"/>
      <c r="C185" s="1626"/>
      <c r="D185" s="1596" t="str">
        <f>'League Stats'!AB221</f>
        <v/>
      </c>
      <c r="E185" s="1597" t="str">
        <f>'League Stats'!AC221</f>
        <v/>
      </c>
      <c r="F185" s="1598" t="str">
        <f>IF(OR(D185="-",D185=""),"",F179)</f>
        <v/>
      </c>
      <c r="G185" s="1599" t="str">
        <f>'League Stats'!AE221</f>
        <v/>
      </c>
      <c r="H185" s="1600" t="str">
        <f>'League Stats'!AF221</f>
        <v/>
      </c>
      <c r="I185" s="1598" t="str">
        <f>IF(OR(G185="-",G185=""),"",I179)</f>
        <v/>
      </c>
      <c r="J185" s="1601" t="str">
        <f>'League Stats'!AH221</f>
        <v/>
      </c>
      <c r="K185" s="1602" t="str">
        <f>'League Stats'!AI221</f>
        <v/>
      </c>
      <c r="L185" s="1603" t="str">
        <f>IF(OR(J185="-",J185=""),"",L179)</f>
        <v/>
      </c>
      <c r="M185" s="13" t="s">
        <v>1097</v>
      </c>
      <c r="N185" s="700">
        <f t="shared" ref="N185:U185" si="234">IFERROR(IF($M185="YES",IF($D183=N$4,$F183,0)+IF($G183=N$4,$I183,0)+IF($J183=N$4,$L183,0),0),0)</f>
        <v>0</v>
      </c>
      <c r="O185" s="700">
        <f t="shared" si="234"/>
        <v>0</v>
      </c>
      <c r="P185" s="700">
        <f t="shared" si="234"/>
        <v>0</v>
      </c>
      <c r="Q185" s="700">
        <f t="shared" si="234"/>
        <v>0</v>
      </c>
      <c r="R185" s="700">
        <f t="shared" si="234"/>
        <v>0</v>
      </c>
      <c r="S185" s="700">
        <f t="shared" si="234"/>
        <v>0</v>
      </c>
      <c r="T185" s="700">
        <f t="shared" si="234"/>
        <v>0</v>
      </c>
      <c r="U185" s="700">
        <f t="shared" si="234"/>
        <v>0</v>
      </c>
      <c r="CF185" s="314"/>
    </row>
    <row r="186" ht="19.5" customHeight="1">
      <c r="B186" s="1613"/>
      <c r="C186" s="1627"/>
      <c r="D186" s="1657" t="str">
        <f>'League Stats'!AB222</f>
        <v/>
      </c>
      <c r="E186" s="1658" t="str">
        <f>'League Stats'!AC222</f>
        <v/>
      </c>
      <c r="F186" s="1617" t="str">
        <f>IF(OR(D186="-",D186=""),"",F179)</f>
        <v/>
      </c>
      <c r="G186" s="1659" t="str">
        <f>'League Stats'!AE222</f>
        <v/>
      </c>
      <c r="H186" s="1660" t="str">
        <f>'League Stats'!AF222</f>
        <v/>
      </c>
      <c r="I186" s="1617" t="str">
        <f>IF(OR(G186="-",G186=""),"",I179)</f>
        <v/>
      </c>
      <c r="J186" s="1661" t="str">
        <f>'League Stats'!AH222</f>
        <v/>
      </c>
      <c r="K186" s="1662" t="str">
        <f>'League Stats'!AI222</f>
        <v/>
      </c>
      <c r="L186" s="1622" t="str">
        <f>IF(OR(J186="-",J186=""),"",L179)</f>
        <v/>
      </c>
      <c r="M186" s="13" t="s">
        <v>1097</v>
      </c>
      <c r="N186" s="700">
        <f t="shared" ref="N186:U186" si="235">IFERROR(IF($M186="YES",IF($D184=N$4,$F184,0)+IF($G184=N$4,$I184,0)+IF($J184=N$4,$L184,0),0),0)</f>
        <v>0</v>
      </c>
      <c r="O186" s="700">
        <f t="shared" si="235"/>
        <v>0</v>
      </c>
      <c r="P186" s="700">
        <f t="shared" si="235"/>
        <v>0</v>
      </c>
      <c r="Q186" s="700">
        <f t="shared" si="235"/>
        <v>0</v>
      </c>
      <c r="R186" s="700">
        <f t="shared" si="235"/>
        <v>0</v>
      </c>
      <c r="S186" s="700">
        <f t="shared" si="235"/>
        <v>0</v>
      </c>
      <c r="T186" s="700">
        <f t="shared" si="235"/>
        <v>0</v>
      </c>
      <c r="U186" s="700">
        <f t="shared" si="235"/>
        <v>0</v>
      </c>
      <c r="CF186" s="314"/>
    </row>
    <row r="187" ht="19.5" customHeight="1">
      <c r="M187" s="13" t="s">
        <v>1097</v>
      </c>
      <c r="N187" s="700">
        <f t="shared" ref="N187:U187" si="236">IFERROR(IF($M187="YES",IF($D185=N$4,$F185,0)+IF($G185=N$4,$I185,0)+IF($J185=N$4,$L185,0),0),0)</f>
        <v>0</v>
      </c>
      <c r="O187" s="700">
        <f t="shared" si="236"/>
        <v>0</v>
      </c>
      <c r="P187" s="700">
        <f t="shared" si="236"/>
        <v>0</v>
      </c>
      <c r="Q187" s="700">
        <f t="shared" si="236"/>
        <v>0</v>
      </c>
      <c r="R187" s="700">
        <f t="shared" si="236"/>
        <v>0</v>
      </c>
      <c r="S187" s="700">
        <f t="shared" si="236"/>
        <v>0</v>
      </c>
      <c r="T187" s="700">
        <f t="shared" si="236"/>
        <v>0</v>
      </c>
      <c r="U187" s="700">
        <f t="shared" si="236"/>
        <v>0</v>
      </c>
      <c r="CF187" s="314"/>
    </row>
    <row r="188" ht="19.5" customHeight="1">
      <c r="B188" s="1253" t="s">
        <v>1984</v>
      </c>
      <c r="C188" s="905"/>
      <c r="D188" s="905"/>
      <c r="E188" s="905"/>
      <c r="F188" s="905"/>
      <c r="G188" s="905"/>
      <c r="H188" s="905"/>
      <c r="I188" s="905"/>
      <c r="J188" s="905"/>
      <c r="K188" s="905"/>
      <c r="L188" s="554"/>
      <c r="M188" s="13" t="s">
        <v>1097</v>
      </c>
      <c r="N188" s="700">
        <f t="shared" ref="N188:U188" si="237">IFERROR(IF($M188="YES",IF($D186=N$4,$F186,0)+IF($G186=N$4,$I186,0)+IF($J186=N$4,$L186,0),0),0)</f>
        <v>0</v>
      </c>
      <c r="O188" s="700">
        <f t="shared" si="237"/>
        <v>0</v>
      </c>
      <c r="P188" s="700">
        <f t="shared" si="237"/>
        <v>0</v>
      </c>
      <c r="Q188" s="700">
        <f t="shared" si="237"/>
        <v>0</v>
      </c>
      <c r="R188" s="700">
        <f t="shared" si="237"/>
        <v>0</v>
      </c>
      <c r="S188" s="700">
        <f t="shared" si="237"/>
        <v>0</v>
      </c>
      <c r="T188" s="700">
        <f t="shared" si="237"/>
        <v>0</v>
      </c>
      <c r="U188" s="700">
        <f t="shared" si="237"/>
        <v>0</v>
      </c>
      <c r="CF188" s="314"/>
    </row>
    <row r="189" ht="19.5" customHeight="1">
      <c r="B189" s="1258"/>
      <c r="C189" s="827"/>
      <c r="D189" s="1581" t="s">
        <v>546</v>
      </c>
      <c r="E189" s="954"/>
      <c r="F189" s="932"/>
      <c r="G189" s="1582" t="s">
        <v>547</v>
      </c>
      <c r="H189" s="954"/>
      <c r="I189" s="932"/>
      <c r="J189" s="1663" t="s">
        <v>548</v>
      </c>
      <c r="K189" s="954"/>
      <c r="L189" s="932"/>
      <c r="M189" s="13" t="s">
        <v>1097</v>
      </c>
      <c r="N189" s="700">
        <f t="shared" ref="N189:U189" si="238">IFERROR(IF($M189="YES",IF($D187=N$4,$F187,0)+IF($G187=N$4,$I187,0)+IF($J187=N$4,$L187,0),0),0)</f>
        <v>0</v>
      </c>
      <c r="O189" s="700">
        <f t="shared" si="238"/>
        <v>0</v>
      </c>
      <c r="P189" s="700">
        <f t="shared" si="238"/>
        <v>0</v>
      </c>
      <c r="Q189" s="700">
        <f t="shared" si="238"/>
        <v>0</v>
      </c>
      <c r="R189" s="700">
        <f t="shared" si="238"/>
        <v>0</v>
      </c>
      <c r="S189" s="700">
        <f t="shared" si="238"/>
        <v>0</v>
      </c>
      <c r="T189" s="700">
        <f t="shared" si="238"/>
        <v>0</v>
      </c>
      <c r="U189" s="700">
        <f t="shared" si="238"/>
        <v>0</v>
      </c>
      <c r="CF189" s="314"/>
    </row>
    <row r="190" ht="19.5" customHeight="1">
      <c r="B190" s="1288"/>
      <c r="C190" s="1570"/>
      <c r="D190" s="1291" t="s">
        <v>169</v>
      </c>
      <c r="E190" s="1292" t="s">
        <v>1064</v>
      </c>
      <c r="F190" s="1293" t="s">
        <v>1065</v>
      </c>
      <c r="G190" s="1291" t="s">
        <v>169</v>
      </c>
      <c r="H190" s="1292" t="s">
        <v>1064</v>
      </c>
      <c r="I190" s="1293" t="s">
        <v>1065</v>
      </c>
      <c r="J190" s="1291" t="s">
        <v>169</v>
      </c>
      <c r="K190" s="1292" t="s">
        <v>1064</v>
      </c>
      <c r="L190" s="1293" t="s">
        <v>1065</v>
      </c>
      <c r="M190" s="13" t="s">
        <v>1097</v>
      </c>
      <c r="N190" s="700">
        <f t="shared" ref="N190:U190" si="239">IFERROR(IF($M190="YES",IF($D188=N$4,$F188,0)+IF($G188=N$4,$I188,0)+IF($J188=N$4,$L188,0),0),0)</f>
        <v>0</v>
      </c>
      <c r="O190" s="700">
        <f t="shared" si="239"/>
        <v>0</v>
      </c>
      <c r="P190" s="700">
        <f t="shared" si="239"/>
        <v>0</v>
      </c>
      <c r="Q190" s="700">
        <f t="shared" si="239"/>
        <v>0</v>
      </c>
      <c r="R190" s="700">
        <f t="shared" si="239"/>
        <v>0</v>
      </c>
      <c r="S190" s="700">
        <f t="shared" si="239"/>
        <v>0</v>
      </c>
      <c r="T190" s="700">
        <f t="shared" si="239"/>
        <v>0</v>
      </c>
      <c r="U190" s="700">
        <f t="shared" si="239"/>
        <v>0</v>
      </c>
      <c r="CF190" s="314"/>
    </row>
    <row r="191" ht="19.5" customHeight="1">
      <c r="B191" s="1655" t="s">
        <v>167</v>
      </c>
      <c r="C191" s="1624" t="s">
        <v>202</v>
      </c>
      <c r="D191" s="1586" t="str">
        <f>'League Stats'!AB225</f>
        <v>-</v>
      </c>
      <c r="E191" s="1587">
        <f>'League Stats'!AC225</f>
        <v>179.8614286</v>
      </c>
      <c r="F191" s="1588">
        <v>5.0</v>
      </c>
      <c r="G191" s="1589" t="str">
        <f>'League Stats'!AE225</f>
        <v/>
      </c>
      <c r="H191" s="1590">
        <f>'League Stats'!AF225</f>
        <v>165.0264286</v>
      </c>
      <c r="I191" s="1588">
        <v>2.5</v>
      </c>
      <c r="J191" s="1591" t="str">
        <f>'League Stats'!AH225</f>
        <v/>
      </c>
      <c r="K191" s="1592">
        <f>'League Stats'!AI225</f>
        <v>164.4371429</v>
      </c>
      <c r="L191" s="1593">
        <v>1.25</v>
      </c>
      <c r="M191" s="13" t="s">
        <v>1097</v>
      </c>
      <c r="N191" s="700">
        <f t="shared" ref="N191:U191" si="240">IFERROR(IF($M191="YES",IF($D189=N$4,$F189,0)+IF($G189=N$4,$I189,0)+IF($J189=N$4,$L189,0),0),0)</f>
        <v>0</v>
      </c>
      <c r="O191" s="700">
        <f t="shared" si="240"/>
        <v>0</v>
      </c>
      <c r="P191" s="700">
        <f t="shared" si="240"/>
        <v>0</v>
      </c>
      <c r="Q191" s="700">
        <f t="shared" si="240"/>
        <v>0</v>
      </c>
      <c r="R191" s="700">
        <f t="shared" si="240"/>
        <v>0</v>
      </c>
      <c r="S191" s="700">
        <f t="shared" si="240"/>
        <v>0</v>
      </c>
      <c r="T191" s="700">
        <f t="shared" si="240"/>
        <v>0</v>
      </c>
      <c r="U191" s="700">
        <f t="shared" si="240"/>
        <v>0</v>
      </c>
      <c r="CF191" s="314"/>
    </row>
    <row r="192" ht="19.5" customHeight="1">
      <c r="B192" s="1594"/>
      <c r="C192" s="1625"/>
      <c r="D192" s="1596" t="str">
        <f>'League Stats'!AB226</f>
        <v/>
      </c>
      <c r="E192" s="1597" t="str">
        <f>'League Stats'!AC226</f>
        <v/>
      </c>
      <c r="F192" s="1598" t="str">
        <f>IF(OR(D192="-",D192=""),"",F191)</f>
        <v/>
      </c>
      <c r="G192" s="1599" t="str">
        <f>'League Stats'!AE226</f>
        <v/>
      </c>
      <c r="H192" s="1600" t="str">
        <f>'League Stats'!AF226</f>
        <v/>
      </c>
      <c r="I192" s="1598" t="str">
        <f>IF(OR(G192="-",G192=""),"",I191)</f>
        <v/>
      </c>
      <c r="J192" s="1601" t="str">
        <f>'League Stats'!AH226</f>
        <v/>
      </c>
      <c r="K192" s="1602" t="str">
        <f>'League Stats'!AI226</f>
        <v/>
      </c>
      <c r="L192" s="1603" t="str">
        <f>IF(OR(J192="-",J192=""),"",L191)</f>
        <v/>
      </c>
      <c r="M192" s="13" t="s">
        <v>1097</v>
      </c>
      <c r="N192" s="700">
        <f t="shared" ref="N192:U192" si="241">IFERROR(IF($M192="YES",IF($D190=N$4,$F190,0)+IF($G190=N$4,$I190,0)+IF($J190=N$4,$L190,0),0),0)</f>
        <v>0</v>
      </c>
      <c r="O192" s="700">
        <f t="shared" si="241"/>
        <v>0</v>
      </c>
      <c r="P192" s="700">
        <f t="shared" si="241"/>
        <v>0</v>
      </c>
      <c r="Q192" s="700">
        <f t="shared" si="241"/>
        <v>0</v>
      </c>
      <c r="R192" s="700">
        <f t="shared" si="241"/>
        <v>0</v>
      </c>
      <c r="S192" s="700">
        <f t="shared" si="241"/>
        <v>0</v>
      </c>
      <c r="T192" s="700">
        <f t="shared" si="241"/>
        <v>0</v>
      </c>
      <c r="U192" s="700">
        <f t="shared" si="241"/>
        <v>0</v>
      </c>
      <c r="CF192" s="314"/>
    </row>
    <row r="193" ht="19.5" customHeight="1">
      <c r="B193" s="1594"/>
      <c r="C193" s="1625"/>
      <c r="D193" s="1596" t="str">
        <f>'League Stats'!AB227</f>
        <v/>
      </c>
      <c r="E193" s="1597" t="str">
        <f>'League Stats'!AC227</f>
        <v/>
      </c>
      <c r="F193" s="1598" t="str">
        <f>IF(OR(D193="-",D193=""),"",F191)</f>
        <v/>
      </c>
      <c r="G193" s="1599" t="str">
        <f>'League Stats'!AE227</f>
        <v/>
      </c>
      <c r="H193" s="1600" t="str">
        <f>'League Stats'!AF227</f>
        <v/>
      </c>
      <c r="I193" s="1598" t="str">
        <f>IF(OR(G193="-",G193=""),"",I191)</f>
        <v/>
      </c>
      <c r="J193" s="1601" t="str">
        <f>'League Stats'!AH227</f>
        <v/>
      </c>
      <c r="K193" s="1602" t="str">
        <f>'League Stats'!AI227</f>
        <v/>
      </c>
      <c r="L193" s="1603" t="str">
        <f>IF(OR(J193="-",J193=""),"",L191)</f>
        <v/>
      </c>
      <c r="M193" s="13" t="s">
        <v>1097</v>
      </c>
      <c r="N193" s="700">
        <f t="shared" ref="N193:U193" si="242">IFERROR(IF($M193="YES",IF($D191=N$4,$F191,0)+IF($G191=N$4,$I191,0)+IF($J191=N$4,$L191,0),0),0)</f>
        <v>0</v>
      </c>
      <c r="O193" s="700">
        <f t="shared" si="242"/>
        <v>0</v>
      </c>
      <c r="P193" s="700">
        <f t="shared" si="242"/>
        <v>0</v>
      </c>
      <c r="Q193" s="700">
        <f t="shared" si="242"/>
        <v>0</v>
      </c>
      <c r="R193" s="700">
        <f t="shared" si="242"/>
        <v>0</v>
      </c>
      <c r="S193" s="700">
        <f t="shared" si="242"/>
        <v>0</v>
      </c>
      <c r="T193" s="700">
        <f t="shared" si="242"/>
        <v>0</v>
      </c>
      <c r="U193" s="700">
        <f t="shared" si="242"/>
        <v>0</v>
      </c>
      <c r="CF193" s="314"/>
    </row>
    <row r="194" ht="19.5" customHeight="1">
      <c r="B194" s="1594"/>
      <c r="C194" s="1625"/>
      <c r="D194" s="1596" t="str">
        <f>'League Stats'!AB228</f>
        <v/>
      </c>
      <c r="E194" s="1597" t="str">
        <f>'League Stats'!AC228</f>
        <v/>
      </c>
      <c r="F194" s="1598" t="str">
        <f>IF(OR(D194="-",D194=""),"",F191)</f>
        <v/>
      </c>
      <c r="G194" s="1599" t="str">
        <f>'League Stats'!AE228</f>
        <v/>
      </c>
      <c r="H194" s="1600" t="str">
        <f>'League Stats'!AF228</f>
        <v/>
      </c>
      <c r="I194" s="1598" t="str">
        <f>IF(OR(G194="-",G194=""),"",I191)</f>
        <v/>
      </c>
      <c r="J194" s="1601" t="str">
        <f>'League Stats'!AH228</f>
        <v/>
      </c>
      <c r="K194" s="1602" t="str">
        <f>'League Stats'!AI228</f>
        <v/>
      </c>
      <c r="L194" s="1603" t="str">
        <f>IF(OR(J194="-",J194=""),"",L191)</f>
        <v/>
      </c>
      <c r="M194" s="13" t="s">
        <v>1097</v>
      </c>
      <c r="N194" s="700">
        <f t="shared" ref="N194:U194" si="243">IFERROR(IF($M194="YES",IF($D192=N$4,$F192,0)+IF($G192=N$4,$I192,0)+IF($J192=N$4,$L192,0),0),0)</f>
        <v>0</v>
      </c>
      <c r="O194" s="700">
        <f t="shared" si="243"/>
        <v>0</v>
      </c>
      <c r="P194" s="700">
        <f t="shared" si="243"/>
        <v>0</v>
      </c>
      <c r="Q194" s="700">
        <f t="shared" si="243"/>
        <v>0</v>
      </c>
      <c r="R194" s="700">
        <f t="shared" si="243"/>
        <v>0</v>
      </c>
      <c r="S194" s="700">
        <f t="shared" si="243"/>
        <v>0</v>
      </c>
      <c r="T194" s="700">
        <f t="shared" si="243"/>
        <v>0</v>
      </c>
      <c r="U194" s="700">
        <f t="shared" si="243"/>
        <v>0</v>
      </c>
      <c r="CF194" s="314"/>
    </row>
    <row r="195" ht="19.5" customHeight="1">
      <c r="B195" s="1594"/>
      <c r="C195" s="1625"/>
      <c r="D195" s="1596" t="str">
        <f>'League Stats'!AB229</f>
        <v/>
      </c>
      <c r="E195" s="1597" t="str">
        <f>'League Stats'!AC229</f>
        <v/>
      </c>
      <c r="F195" s="1598" t="str">
        <f>IF(OR(D195="-",D195=""),"",F191)</f>
        <v/>
      </c>
      <c r="G195" s="1599" t="str">
        <f>'League Stats'!AE229</f>
        <v/>
      </c>
      <c r="H195" s="1600" t="str">
        <f>'League Stats'!AF229</f>
        <v/>
      </c>
      <c r="I195" s="1598" t="str">
        <f>IF(OR(G195="-",G195=""),"",I191)</f>
        <v/>
      </c>
      <c r="J195" s="1601" t="str">
        <f>'League Stats'!AH229</f>
        <v/>
      </c>
      <c r="K195" s="1602" t="str">
        <f>'League Stats'!AI229</f>
        <v/>
      </c>
      <c r="L195" s="1603" t="str">
        <f>IF(OR(J195="-",J195=""),"",L191)</f>
        <v/>
      </c>
      <c r="M195" s="13" t="s">
        <v>1097</v>
      </c>
      <c r="N195" s="700">
        <f t="shared" ref="N195:U195" si="244">IFERROR(IF($M195="YES",IF($D193=N$4,$F193,0)+IF($G193=N$4,$I193,0)+IF($J193=N$4,$L193,0),0),0)</f>
        <v>0</v>
      </c>
      <c r="O195" s="700">
        <f t="shared" si="244"/>
        <v>0</v>
      </c>
      <c r="P195" s="700">
        <f t="shared" si="244"/>
        <v>0</v>
      </c>
      <c r="Q195" s="700">
        <f t="shared" si="244"/>
        <v>0</v>
      </c>
      <c r="R195" s="700">
        <f t="shared" si="244"/>
        <v>0</v>
      </c>
      <c r="S195" s="700">
        <f t="shared" si="244"/>
        <v>0</v>
      </c>
      <c r="T195" s="700">
        <f t="shared" si="244"/>
        <v>0</v>
      </c>
      <c r="U195" s="700">
        <f t="shared" si="244"/>
        <v>0</v>
      </c>
      <c r="CF195" s="314"/>
    </row>
    <row r="196" ht="19.5" customHeight="1">
      <c r="B196" s="1594"/>
      <c r="C196" s="1625"/>
      <c r="D196" s="1596" t="str">
        <f>'League Stats'!AB230</f>
        <v/>
      </c>
      <c r="E196" s="1597" t="str">
        <f>'League Stats'!AC230</f>
        <v/>
      </c>
      <c r="F196" s="1598" t="str">
        <f>IF(OR(D196="-",D196=""),"",F191)</f>
        <v/>
      </c>
      <c r="G196" s="1599" t="str">
        <f>'League Stats'!AE230</f>
        <v/>
      </c>
      <c r="H196" s="1600" t="str">
        <f>'League Stats'!AF230</f>
        <v/>
      </c>
      <c r="I196" s="1598" t="str">
        <f>IF(OR(G196="-",G196=""),"",I191)</f>
        <v/>
      </c>
      <c r="J196" s="1601" t="str">
        <f>'League Stats'!AH230</f>
        <v/>
      </c>
      <c r="K196" s="1602" t="str">
        <f>'League Stats'!AI230</f>
        <v/>
      </c>
      <c r="L196" s="1603" t="str">
        <f>IF(OR(J196="-",J196=""),"",L191)</f>
        <v/>
      </c>
      <c r="M196" s="13" t="s">
        <v>1097</v>
      </c>
      <c r="N196" s="700">
        <f t="shared" ref="N196:U196" si="245">IFERROR(IF($M196="YES",IF($D194=N$4,$F194,0)+IF($G194=N$4,$I194,0)+IF($J194=N$4,$L194,0),0),0)</f>
        <v>0</v>
      </c>
      <c r="O196" s="700">
        <f t="shared" si="245"/>
        <v>0</v>
      </c>
      <c r="P196" s="700">
        <f t="shared" si="245"/>
        <v>0</v>
      </c>
      <c r="Q196" s="700">
        <f t="shared" si="245"/>
        <v>0</v>
      </c>
      <c r="R196" s="700">
        <f t="shared" si="245"/>
        <v>0</v>
      </c>
      <c r="S196" s="700">
        <f t="shared" si="245"/>
        <v>0</v>
      </c>
      <c r="T196" s="700">
        <f t="shared" si="245"/>
        <v>0</v>
      </c>
      <c r="U196" s="700">
        <f t="shared" si="245"/>
        <v>0</v>
      </c>
      <c r="CF196" s="314"/>
    </row>
    <row r="197" ht="19.5" customHeight="1">
      <c r="B197" s="1594"/>
      <c r="C197" s="1625"/>
      <c r="D197" s="1596" t="str">
        <f>'League Stats'!AB231</f>
        <v/>
      </c>
      <c r="E197" s="1597" t="str">
        <f>'League Stats'!AC231</f>
        <v/>
      </c>
      <c r="F197" s="1598" t="str">
        <f>IF(OR(D197="-",D197=""),"",F191)</f>
        <v/>
      </c>
      <c r="G197" s="1599" t="str">
        <f>'League Stats'!AE231</f>
        <v/>
      </c>
      <c r="H197" s="1600" t="str">
        <f>'League Stats'!AF231</f>
        <v/>
      </c>
      <c r="I197" s="1598" t="str">
        <f>IF(OR(G197="-",G197=""),"",I191)</f>
        <v/>
      </c>
      <c r="J197" s="1601" t="str">
        <f>'League Stats'!AH231</f>
        <v/>
      </c>
      <c r="K197" s="1602" t="str">
        <f>'League Stats'!AI231</f>
        <v/>
      </c>
      <c r="L197" s="1603" t="str">
        <f>IF(OR(J197="-",J197=""),"",L191)</f>
        <v/>
      </c>
      <c r="M197" s="13" t="s">
        <v>1097</v>
      </c>
      <c r="N197" s="700">
        <f t="shared" ref="N197:U197" si="246">IFERROR(IF($M197="YES",IF($D195=N$4,$F195,0)+IF($G195=N$4,$I195,0)+IF($J195=N$4,$L195,0),0),0)</f>
        <v>0</v>
      </c>
      <c r="O197" s="700">
        <f t="shared" si="246"/>
        <v>0</v>
      </c>
      <c r="P197" s="700">
        <f t="shared" si="246"/>
        <v>0</v>
      </c>
      <c r="Q197" s="700">
        <f t="shared" si="246"/>
        <v>0</v>
      </c>
      <c r="R197" s="700">
        <f t="shared" si="246"/>
        <v>0</v>
      </c>
      <c r="S197" s="700">
        <f t="shared" si="246"/>
        <v>0</v>
      </c>
      <c r="T197" s="700">
        <f t="shared" si="246"/>
        <v>0</v>
      </c>
      <c r="U197" s="700">
        <f t="shared" si="246"/>
        <v>0</v>
      </c>
      <c r="CF197" s="314"/>
    </row>
    <row r="198" ht="19.5" customHeight="1">
      <c r="B198" s="1594"/>
      <c r="C198" s="1625"/>
      <c r="D198" s="1596" t="str">
        <f>'League Stats'!AB232</f>
        <v/>
      </c>
      <c r="E198" s="1597" t="str">
        <f>'League Stats'!AC232</f>
        <v/>
      </c>
      <c r="F198" s="1598" t="str">
        <f>IF(OR(D198="-",D198=""),"",F191)</f>
        <v/>
      </c>
      <c r="G198" s="1599" t="str">
        <f>'League Stats'!AE232</f>
        <v/>
      </c>
      <c r="H198" s="1600" t="str">
        <f>'League Stats'!AF232</f>
        <v/>
      </c>
      <c r="I198" s="1598" t="str">
        <f>IF(OR(G198="-",G198=""),"",I191)</f>
        <v/>
      </c>
      <c r="J198" s="1601" t="str">
        <f>'League Stats'!AH232</f>
        <v/>
      </c>
      <c r="K198" s="1602" t="str">
        <f>'League Stats'!AI232</f>
        <v/>
      </c>
      <c r="L198" s="1603" t="str">
        <f>IF(OR(J198="-",J198=""),"",L191)</f>
        <v/>
      </c>
      <c r="M198" s="13" t="s">
        <v>1097</v>
      </c>
      <c r="N198" s="700">
        <f t="shared" ref="N198:U198" si="247">IFERROR(IF($M198="YES",IF($D196=N$4,$F196,0)+IF($G196=N$4,$I196,0)+IF($J196=N$4,$L196,0),0),0)</f>
        <v>0</v>
      </c>
      <c r="O198" s="700">
        <f t="shared" si="247"/>
        <v>0</v>
      </c>
      <c r="P198" s="700">
        <f t="shared" si="247"/>
        <v>0</v>
      </c>
      <c r="Q198" s="700">
        <f t="shared" si="247"/>
        <v>0</v>
      </c>
      <c r="R198" s="700">
        <f t="shared" si="247"/>
        <v>0</v>
      </c>
      <c r="S198" s="700">
        <f t="shared" si="247"/>
        <v>0</v>
      </c>
      <c r="T198" s="700">
        <f t="shared" si="247"/>
        <v>0</v>
      </c>
      <c r="U198" s="700">
        <f t="shared" si="247"/>
        <v>0</v>
      </c>
      <c r="CF198" s="314"/>
    </row>
    <row r="199" ht="19.5" customHeight="1">
      <c r="B199" s="1594"/>
      <c r="C199" s="1626" t="s">
        <v>1782</v>
      </c>
      <c r="D199" s="1605" t="str">
        <f>'League Stats'!AB235</f>
        <v>-</v>
      </c>
      <c r="E199" s="1606">
        <f>'League Stats'!AC235</f>
        <v>247.45</v>
      </c>
      <c r="F199" s="1607">
        <v>3.0</v>
      </c>
      <c r="G199" s="1608" t="str">
        <f>'League Stats'!AE235</f>
        <v/>
      </c>
      <c r="H199" s="1609">
        <f>'League Stats'!AF235</f>
        <v>232.94</v>
      </c>
      <c r="I199" s="1607">
        <v>1.5</v>
      </c>
      <c r="J199" s="1610" t="str">
        <f>'League Stats'!AH235</f>
        <v/>
      </c>
      <c r="K199" s="1611">
        <f>'League Stats'!AI235</f>
        <v>230.16</v>
      </c>
      <c r="L199" s="1612">
        <v>0.75</v>
      </c>
      <c r="M199" s="13" t="s">
        <v>1097</v>
      </c>
      <c r="N199" s="700">
        <f t="shared" ref="N199:U199" si="248">IFERROR(IF($M199="YES",IF($D197=N$4,$F197,0)+IF($G197=N$4,$I197,0)+IF($J197=N$4,$L197,0),0),0)</f>
        <v>0</v>
      </c>
      <c r="O199" s="700">
        <f t="shared" si="248"/>
        <v>0</v>
      </c>
      <c r="P199" s="700">
        <f t="shared" si="248"/>
        <v>0</v>
      </c>
      <c r="Q199" s="700">
        <f t="shared" si="248"/>
        <v>0</v>
      </c>
      <c r="R199" s="700">
        <f t="shared" si="248"/>
        <v>0</v>
      </c>
      <c r="S199" s="700">
        <f t="shared" si="248"/>
        <v>0</v>
      </c>
      <c r="T199" s="700">
        <f t="shared" si="248"/>
        <v>0</v>
      </c>
      <c r="U199" s="700">
        <f t="shared" si="248"/>
        <v>0</v>
      </c>
      <c r="CF199" s="314"/>
    </row>
    <row r="200" ht="19.5" customHeight="1">
      <c r="B200" s="1594"/>
      <c r="C200" s="1626"/>
      <c r="D200" s="1605" t="str">
        <f>'League Stats'!AB236</f>
        <v/>
      </c>
      <c r="E200" s="1606" t="str">
        <f>'League Stats'!AC236</f>
        <v/>
      </c>
      <c r="F200" s="1598" t="str">
        <f>IF(OR(D200="-",D200=""),"",F199)</f>
        <v/>
      </c>
      <c r="G200" s="1608" t="str">
        <f>'League Stats'!AE236</f>
        <v/>
      </c>
      <c r="H200" s="1609" t="str">
        <f>'League Stats'!AF236</f>
        <v/>
      </c>
      <c r="I200" s="1598" t="str">
        <f>IF(OR(G200="-",G200=""),"",I199)</f>
        <v/>
      </c>
      <c r="J200" s="1610" t="str">
        <f>'League Stats'!AH236</f>
        <v/>
      </c>
      <c r="K200" s="1611" t="str">
        <f>'League Stats'!AI236</f>
        <v/>
      </c>
      <c r="L200" s="1603" t="str">
        <f>IF(OR(J200="-",J200=""),"",L199)</f>
        <v/>
      </c>
      <c r="M200" s="13" t="s">
        <v>1097</v>
      </c>
      <c r="N200" s="700">
        <f t="shared" ref="N200:U200" si="249">IFERROR(IF($M200="YES",IF($D198=N$4,$F198,0)+IF($G198=N$4,$I198,0)+IF($J198=N$4,$L198,0),0),0)</f>
        <v>0</v>
      </c>
      <c r="O200" s="700">
        <f t="shared" si="249"/>
        <v>0</v>
      </c>
      <c r="P200" s="700">
        <f t="shared" si="249"/>
        <v>0</v>
      </c>
      <c r="Q200" s="700">
        <f t="shared" si="249"/>
        <v>0</v>
      </c>
      <c r="R200" s="700">
        <f t="shared" si="249"/>
        <v>0</v>
      </c>
      <c r="S200" s="700">
        <f t="shared" si="249"/>
        <v>0</v>
      </c>
      <c r="T200" s="700">
        <f t="shared" si="249"/>
        <v>0</v>
      </c>
      <c r="U200" s="700">
        <f t="shared" si="249"/>
        <v>0</v>
      </c>
      <c r="CF200" s="314"/>
    </row>
    <row r="201" ht="19.5" customHeight="1">
      <c r="B201" s="1594"/>
      <c r="C201" s="1626"/>
      <c r="D201" s="1605" t="str">
        <f>'League Stats'!AB237</f>
        <v/>
      </c>
      <c r="E201" s="1606" t="str">
        <f>'League Stats'!AC237</f>
        <v/>
      </c>
      <c r="F201" s="1598" t="str">
        <f>IF(OR(D201="-",D201=""),"",F199)</f>
        <v/>
      </c>
      <c r="G201" s="1608" t="str">
        <f>'League Stats'!AE237</f>
        <v/>
      </c>
      <c r="H201" s="1609" t="str">
        <f>'League Stats'!AF237</f>
        <v/>
      </c>
      <c r="I201" s="1598" t="str">
        <f>IF(OR(G201="-",G201=""),"",I199)</f>
        <v/>
      </c>
      <c r="J201" s="1610" t="str">
        <f>'League Stats'!AH237</f>
        <v/>
      </c>
      <c r="K201" s="1611" t="str">
        <f>'League Stats'!AI237</f>
        <v/>
      </c>
      <c r="L201" s="1603" t="str">
        <f>IF(OR(J201="-",J201=""),"",L199)</f>
        <v/>
      </c>
      <c r="M201" s="13" t="s">
        <v>1097</v>
      </c>
      <c r="N201" s="700">
        <f t="shared" ref="N201:U201" si="250">IFERROR(IF($M201="YES",IF($D199=N$4,$F199,0)+IF($G199=N$4,$I199,0)+IF($J199=N$4,$L199,0),0),0)</f>
        <v>0</v>
      </c>
      <c r="O201" s="700">
        <f t="shared" si="250"/>
        <v>0</v>
      </c>
      <c r="P201" s="700">
        <f t="shared" si="250"/>
        <v>0</v>
      </c>
      <c r="Q201" s="700">
        <f t="shared" si="250"/>
        <v>0</v>
      </c>
      <c r="R201" s="700">
        <f t="shared" si="250"/>
        <v>0</v>
      </c>
      <c r="S201" s="700">
        <f t="shared" si="250"/>
        <v>0</v>
      </c>
      <c r="T201" s="700">
        <f t="shared" si="250"/>
        <v>0</v>
      </c>
      <c r="U201" s="700">
        <f t="shared" si="250"/>
        <v>0</v>
      </c>
      <c r="CF201" s="314"/>
    </row>
    <row r="202" ht="19.5" customHeight="1">
      <c r="B202" s="1594"/>
      <c r="C202" s="1626"/>
      <c r="D202" s="1605" t="str">
        <f>'League Stats'!AB238</f>
        <v/>
      </c>
      <c r="E202" s="1606" t="str">
        <f>'League Stats'!AC238</f>
        <v/>
      </c>
      <c r="F202" s="1598" t="str">
        <f>IF(OR(D202="-",D202=""),"",F199)</f>
        <v/>
      </c>
      <c r="G202" s="1608" t="str">
        <f>'League Stats'!AE238</f>
        <v/>
      </c>
      <c r="H202" s="1609" t="str">
        <f>'League Stats'!AF238</f>
        <v/>
      </c>
      <c r="I202" s="1598" t="str">
        <f>IF(OR(G202="-",G202=""),"",I199)</f>
        <v/>
      </c>
      <c r="J202" s="1610" t="str">
        <f>'League Stats'!AH238</f>
        <v/>
      </c>
      <c r="K202" s="1611" t="str">
        <f>'League Stats'!AI238</f>
        <v/>
      </c>
      <c r="L202" s="1603" t="str">
        <f>IF(OR(J202="-",J202=""),"",L199)</f>
        <v/>
      </c>
      <c r="M202" s="13" t="s">
        <v>1097</v>
      </c>
      <c r="N202" s="700">
        <f t="shared" ref="N202:U202" si="251">IFERROR(IF($M202="YES",IF($D200=N$4,$F200,0)+IF($G200=N$4,$I200,0)+IF($J200=N$4,$L200,0),0),0)</f>
        <v>0</v>
      </c>
      <c r="O202" s="700">
        <f t="shared" si="251"/>
        <v>0</v>
      </c>
      <c r="P202" s="700">
        <f t="shared" si="251"/>
        <v>0</v>
      </c>
      <c r="Q202" s="700">
        <f t="shared" si="251"/>
        <v>0</v>
      </c>
      <c r="R202" s="700">
        <f t="shared" si="251"/>
        <v>0</v>
      </c>
      <c r="S202" s="700">
        <f t="shared" si="251"/>
        <v>0</v>
      </c>
      <c r="T202" s="700">
        <f t="shared" si="251"/>
        <v>0</v>
      </c>
      <c r="U202" s="700">
        <f t="shared" si="251"/>
        <v>0</v>
      </c>
      <c r="CF202" s="314"/>
    </row>
    <row r="203" ht="19.5" customHeight="1">
      <c r="B203" s="1594"/>
      <c r="C203" s="1626"/>
      <c r="D203" s="1605" t="str">
        <f>'League Stats'!AB239</f>
        <v/>
      </c>
      <c r="E203" s="1606" t="str">
        <f>'League Stats'!AC239</f>
        <v/>
      </c>
      <c r="F203" s="1598" t="str">
        <f>IF(OR(D203="-",D203=""),"",F199)</f>
        <v/>
      </c>
      <c r="G203" s="1608" t="str">
        <f>'League Stats'!AE239</f>
        <v/>
      </c>
      <c r="H203" s="1609" t="str">
        <f>'League Stats'!AF239</f>
        <v/>
      </c>
      <c r="I203" s="1598" t="str">
        <f>IF(OR(G203="-",G203=""),"",I199)</f>
        <v/>
      </c>
      <c r="J203" s="1610" t="str">
        <f>'League Stats'!AH239</f>
        <v/>
      </c>
      <c r="K203" s="1611" t="str">
        <f>'League Stats'!AI239</f>
        <v/>
      </c>
      <c r="L203" s="1603" t="str">
        <f>IF(OR(J203="-",J203=""),"",L199)</f>
        <v/>
      </c>
      <c r="M203" s="13" t="s">
        <v>1097</v>
      </c>
      <c r="N203" s="700">
        <f t="shared" ref="N203:U203" si="252">IFERROR(IF($M203="YES",IF($D201=N$4,$F201,0)+IF($G201=N$4,$I201,0)+IF($J201=N$4,$L201,0),0),0)</f>
        <v>0</v>
      </c>
      <c r="O203" s="700">
        <f t="shared" si="252"/>
        <v>0</v>
      </c>
      <c r="P203" s="700">
        <f t="shared" si="252"/>
        <v>0</v>
      </c>
      <c r="Q203" s="700">
        <f t="shared" si="252"/>
        <v>0</v>
      </c>
      <c r="R203" s="700">
        <f t="shared" si="252"/>
        <v>0</v>
      </c>
      <c r="S203" s="700">
        <f t="shared" si="252"/>
        <v>0</v>
      </c>
      <c r="T203" s="700">
        <f t="shared" si="252"/>
        <v>0</v>
      </c>
      <c r="U203" s="700">
        <f t="shared" si="252"/>
        <v>0</v>
      </c>
      <c r="CF203" s="314"/>
    </row>
    <row r="204" ht="19.5" customHeight="1">
      <c r="B204" s="1594"/>
      <c r="C204" s="1626"/>
      <c r="D204" s="1605" t="str">
        <f>'League Stats'!AB240</f>
        <v/>
      </c>
      <c r="E204" s="1606" t="str">
        <f>'League Stats'!AC240</f>
        <v/>
      </c>
      <c r="F204" s="1598" t="str">
        <f>IF(OR(D204="-",D204=""),"",F199)</f>
        <v/>
      </c>
      <c r="G204" s="1608" t="str">
        <f>'League Stats'!AE240</f>
        <v/>
      </c>
      <c r="H204" s="1609" t="str">
        <f>'League Stats'!AF240</f>
        <v/>
      </c>
      <c r="I204" s="1598" t="str">
        <f>IF(OR(G204="-",G204=""),"",I199)</f>
        <v/>
      </c>
      <c r="J204" s="1610" t="str">
        <f>'League Stats'!AH240</f>
        <v/>
      </c>
      <c r="K204" s="1611" t="str">
        <f>'League Stats'!AI240</f>
        <v/>
      </c>
      <c r="L204" s="1603" t="str">
        <f>IF(OR(J204="-",J204=""),"",L199)</f>
        <v/>
      </c>
      <c r="M204" s="13" t="s">
        <v>1097</v>
      </c>
      <c r="N204" s="700">
        <f t="shared" ref="N204:U204" si="253">IFERROR(IF($M204="YES",IF($D202=N$4,$F202,0)+IF($G202=N$4,$I202,0)+IF($J202=N$4,$L202,0),0),0)</f>
        <v>0</v>
      </c>
      <c r="O204" s="700">
        <f t="shared" si="253"/>
        <v>0</v>
      </c>
      <c r="P204" s="700">
        <f t="shared" si="253"/>
        <v>0</v>
      </c>
      <c r="Q204" s="700">
        <f t="shared" si="253"/>
        <v>0</v>
      </c>
      <c r="R204" s="700">
        <f t="shared" si="253"/>
        <v>0</v>
      </c>
      <c r="S204" s="700">
        <f t="shared" si="253"/>
        <v>0</v>
      </c>
      <c r="T204" s="700">
        <f t="shared" si="253"/>
        <v>0</v>
      </c>
      <c r="U204" s="700">
        <f t="shared" si="253"/>
        <v>0</v>
      </c>
      <c r="CF204" s="314"/>
    </row>
    <row r="205" ht="19.5" customHeight="1">
      <c r="B205" s="1594"/>
      <c r="C205" s="1626"/>
      <c r="D205" s="1605" t="str">
        <f>'League Stats'!AB241</f>
        <v/>
      </c>
      <c r="E205" s="1606" t="str">
        <f>'League Stats'!AC241</f>
        <v/>
      </c>
      <c r="F205" s="1598" t="str">
        <f>IF(OR(D205="-",D205=""),"",F199)</f>
        <v/>
      </c>
      <c r="G205" s="1608" t="str">
        <f>'League Stats'!AE241</f>
        <v/>
      </c>
      <c r="H205" s="1609" t="str">
        <f>'League Stats'!AF241</f>
        <v/>
      </c>
      <c r="I205" s="1598" t="str">
        <f>IF(OR(G205="-",G205=""),"",I199)</f>
        <v/>
      </c>
      <c r="J205" s="1610" t="str">
        <f>'League Stats'!AH241</f>
        <v/>
      </c>
      <c r="K205" s="1611" t="str">
        <f>'League Stats'!AI241</f>
        <v/>
      </c>
      <c r="L205" s="1603" t="str">
        <f>IF(OR(J205="-",J205=""),"",L199)</f>
        <v/>
      </c>
      <c r="M205" s="13" t="s">
        <v>1097</v>
      </c>
      <c r="N205" s="700">
        <f t="shared" ref="N205:U205" si="254">IFERROR(IF($M205="YES",IF($D203=N$4,$F203,0)+IF($G203=N$4,$I203,0)+IF($J203=N$4,$L203,0),0),0)</f>
        <v>0</v>
      </c>
      <c r="O205" s="700">
        <f t="shared" si="254"/>
        <v>0</v>
      </c>
      <c r="P205" s="700">
        <f t="shared" si="254"/>
        <v>0</v>
      </c>
      <c r="Q205" s="700">
        <f t="shared" si="254"/>
        <v>0</v>
      </c>
      <c r="R205" s="700">
        <f t="shared" si="254"/>
        <v>0</v>
      </c>
      <c r="S205" s="700">
        <f t="shared" si="254"/>
        <v>0</v>
      </c>
      <c r="T205" s="700">
        <f t="shared" si="254"/>
        <v>0</v>
      </c>
      <c r="U205" s="700">
        <f t="shared" si="254"/>
        <v>0</v>
      </c>
      <c r="CF205" s="314"/>
    </row>
    <row r="206" ht="19.5" customHeight="1">
      <c r="B206" s="1613"/>
      <c r="C206" s="1627"/>
      <c r="D206" s="1605" t="str">
        <f>'League Stats'!AB242</f>
        <v/>
      </c>
      <c r="E206" s="1606" t="str">
        <f>'League Stats'!AC242</f>
        <v/>
      </c>
      <c r="F206" s="1598" t="str">
        <f>IF(OR(D206="-",D206=""),"",F199)</f>
        <v/>
      </c>
      <c r="G206" s="1608" t="str">
        <f>'League Stats'!AE242</f>
        <v/>
      </c>
      <c r="H206" s="1609" t="str">
        <f>'League Stats'!AF242</f>
        <v/>
      </c>
      <c r="I206" s="1598" t="str">
        <f>IF(OR(G206="-",G206=""),"",I199)</f>
        <v/>
      </c>
      <c r="J206" s="1620" t="str">
        <f>'League Stats'!AH242</f>
        <v/>
      </c>
      <c r="K206" s="1621" t="str">
        <f>'League Stats'!AI242</f>
        <v/>
      </c>
      <c r="L206" s="1622" t="str">
        <f>IF(OR(J206="-",J206=""),"",L199)</f>
        <v/>
      </c>
      <c r="M206" s="13" t="s">
        <v>1097</v>
      </c>
      <c r="N206" s="700">
        <f t="shared" ref="N206:U206" si="255">IFERROR(IF($M206="YES",IF($D204=N$4,$F204,0)+IF($G204=N$4,$I204,0)+IF($J204=N$4,$L204,0),0),0)</f>
        <v>0</v>
      </c>
      <c r="O206" s="700">
        <f t="shared" si="255"/>
        <v>0</v>
      </c>
      <c r="P206" s="700">
        <f t="shared" si="255"/>
        <v>0</v>
      </c>
      <c r="Q206" s="700">
        <f t="shared" si="255"/>
        <v>0</v>
      </c>
      <c r="R206" s="700">
        <f t="shared" si="255"/>
        <v>0</v>
      </c>
      <c r="S206" s="700">
        <f t="shared" si="255"/>
        <v>0</v>
      </c>
      <c r="T206" s="700">
        <f t="shared" si="255"/>
        <v>0</v>
      </c>
      <c r="U206" s="700">
        <f t="shared" si="255"/>
        <v>0</v>
      </c>
      <c r="CF206" s="314"/>
    </row>
    <row r="207" ht="19.5" customHeight="1">
      <c r="B207" s="1665" t="s">
        <v>2051</v>
      </c>
      <c r="C207" s="1347"/>
      <c r="D207" s="1666" t="str">
        <f t="array" ref="D207">IFERROR(INDEX(AE$4:AE$12, SMALL(IF(AY$4:AY$12 = MAX(AY$4:AY$12), ROW(AE$4:AE$12)-ROW(AE$4)+1), ROW(1:1))), "-")</f>
        <v>GREEN</v>
      </c>
      <c r="E207" s="1667">
        <f t="array" ref="E207">IFERROR(INDEX(AY$4:AY$12, SMALL(IF(AY$4:AY$12 = MAX(AY$4:AY$12), ROW(AY$4:AY$12)-ROW(AY$4)+1), ROW(1:1))), "-")</f>
        <v>23</v>
      </c>
      <c r="F207" s="1588">
        <v>5.0</v>
      </c>
      <c r="G207" s="1668" t="str">
        <f t="shared" ref="G207:H207" si="256">IF(BI14 = D207, "", BI14)</f>
        <v>METAMOOKDAWGS</v>
      </c>
      <c r="H207" s="1669">
        <f t="shared" si="256"/>
        <v>17</v>
      </c>
      <c r="I207" s="1593">
        <v>2.5</v>
      </c>
      <c r="J207" s="1670" t="str">
        <f t="shared" ref="J207:K207" si="257">IF(OR(BK14=G207, BK14=D207), "", BK14)</f>
        <v>SAVAGES</v>
      </c>
      <c r="K207" s="1670">
        <f t="shared" si="257"/>
        <v>16</v>
      </c>
      <c r="L207" s="1593">
        <v>1.25</v>
      </c>
      <c r="M207" s="13" t="s">
        <v>1097</v>
      </c>
      <c r="N207" s="700">
        <f t="shared" ref="N207:U207" si="258">IFERROR(IF($M207="YES",IF($D205=N$4,$F205,0)+IF($G205=N$4,$I205,0)+IF($J205=N$4,$L205,0),0),0)</f>
        <v>0</v>
      </c>
      <c r="O207" s="700">
        <f t="shared" si="258"/>
        <v>0</v>
      </c>
      <c r="P207" s="700">
        <f t="shared" si="258"/>
        <v>0</v>
      </c>
      <c r="Q207" s="700">
        <f t="shared" si="258"/>
        <v>0</v>
      </c>
      <c r="R207" s="700">
        <f t="shared" si="258"/>
        <v>0</v>
      </c>
      <c r="S207" s="700">
        <f t="shared" si="258"/>
        <v>0</v>
      </c>
      <c r="T207" s="700">
        <f t="shared" si="258"/>
        <v>0</v>
      </c>
      <c r="U207" s="700">
        <f t="shared" si="258"/>
        <v>0</v>
      </c>
      <c r="CF207" s="314"/>
    </row>
    <row r="208" ht="19.5" customHeight="1">
      <c r="B208" s="1371"/>
      <c r="C208" s="1358"/>
      <c r="D208" s="1671" t="str">
        <f t="array" ref="D208">IFERROR(INDEX(AE$4:AE$12, SMALL(IF(AY$4:AY$12 = MAX(AY$4:AY$12), ROW(AE$4:AE$12)-ROW(AE$4)+1), ROW(2:2))), "-")</f>
        <v>-</v>
      </c>
      <c r="E208" s="1672" t="str">
        <f t="array" ref="E208">IFERROR(INDEX(AY$4:AY$12, SMALL(IF(AY$4:AY$12 = MAX(AY$4:AY$12), ROW(AY$4:AY$12)-ROW(AY$4)+1), ROW(2:2))), "-")</f>
        <v>-</v>
      </c>
      <c r="F208" s="1598" t="str">
        <f>IF(OR(D208="-",D208=""),"",F207)</f>
        <v/>
      </c>
      <c r="G208" s="1673" t="str">
        <f t="shared" ref="G208:G209" si="261">IF(BI15 = D208, "", BK15)</f>
        <v/>
      </c>
      <c r="H208" s="1674" t="str">
        <f t="shared" ref="H208:H209" si="262">IF(BJ15 = E208, "", BJ15)</f>
        <v/>
      </c>
      <c r="I208" s="1603" t="str">
        <f>IF(OR(G208="-",G208=""),"",I207)</f>
        <v/>
      </c>
      <c r="J208" s="1675" t="str">
        <f t="shared" ref="J208:K208" si="259">IF(OR(BK15=G208, BK15=D208), "", BK15)</f>
        <v>CHAMPS</v>
      </c>
      <c r="K208" s="1675">
        <f t="shared" si="259"/>
        <v>16</v>
      </c>
      <c r="L208" s="1603">
        <f>IF(OR(J208="-",J208=""),"",L207)</f>
        <v>1.25</v>
      </c>
      <c r="M208" s="13" t="s">
        <v>1097</v>
      </c>
      <c r="N208" s="700">
        <f t="shared" ref="N208:U208" si="260">IFERROR(IF($M208="YES",IF($D206=N$4,$F206,0)+IF($G206=N$4,$I206,0)+IF($J206=N$4,$L206,0),0),0)</f>
        <v>0</v>
      </c>
      <c r="O208" s="700">
        <f t="shared" si="260"/>
        <v>0</v>
      </c>
      <c r="P208" s="700">
        <f t="shared" si="260"/>
        <v>0</v>
      </c>
      <c r="Q208" s="700">
        <f t="shared" si="260"/>
        <v>0</v>
      </c>
      <c r="R208" s="700">
        <f t="shared" si="260"/>
        <v>0</v>
      </c>
      <c r="S208" s="700">
        <f t="shared" si="260"/>
        <v>0</v>
      </c>
      <c r="T208" s="700">
        <f t="shared" si="260"/>
        <v>0</v>
      </c>
      <c r="U208" s="700">
        <f t="shared" si="260"/>
        <v>0</v>
      </c>
      <c r="CF208" s="314"/>
    </row>
    <row r="209" ht="19.5" customHeight="1">
      <c r="B209" s="1371"/>
      <c r="C209" s="1358"/>
      <c r="D209" s="1671" t="str">
        <f t="array" ref="D209">IFERROR(INDEX(AE$4:AE$12, SMALL(IF(AY$4:AY$12 = MAX(AY$4:AY$12), ROW(AE$4:AE$12)-ROW(AE$4)+1), ROW(3:3))), "-")</f>
        <v>-</v>
      </c>
      <c r="E209" s="1672" t="str">
        <f t="array" ref="E209">IFERROR(INDEX(AY$4:AY$12, SMALL(IF(AY$4:AY$12 = MAX(AY$4:AY$12), ROW(AY$4:AY$12)-ROW(AY$4)+1), ROW(3:3))), "-")</f>
        <v>-</v>
      </c>
      <c r="F209" s="1598" t="str">
        <f>IF(OR(D209="-",D209=""),"",F207)</f>
        <v/>
      </c>
      <c r="G209" s="1673" t="str">
        <f t="shared" si="261"/>
        <v/>
      </c>
      <c r="H209" s="1674" t="str">
        <f t="shared" si="262"/>
        <v/>
      </c>
      <c r="I209" s="1603" t="str">
        <f>IF(OR(G209="-",G209=""),"",I207)</f>
        <v/>
      </c>
      <c r="J209" s="1601" t="str">
        <f t="shared" ref="J209:K209" si="263">IF(OR(BK16=G209, BK16=D209), "", BK16)</f>
        <v/>
      </c>
      <c r="K209" s="1601" t="str">
        <f t="shared" si="263"/>
        <v/>
      </c>
      <c r="L209" s="1603" t="str">
        <f>IF(OR(J209="-",J209=""),"",L207)</f>
        <v/>
      </c>
      <c r="M209" s="13" t="s">
        <v>1097</v>
      </c>
      <c r="N209" s="700">
        <f t="shared" ref="N209:U209" si="264">IFERROR(IF($M209="YES",IF($D207=N$4,$F207,0)+IF($G207=N$4,$I207,0)+IF($J207=N$4,$L207,0),0),0)</f>
        <v>0</v>
      </c>
      <c r="O209" s="700">
        <f t="shared" si="264"/>
        <v>0</v>
      </c>
      <c r="P209" s="700">
        <f t="shared" si="264"/>
        <v>5</v>
      </c>
      <c r="Q209" s="700">
        <f t="shared" si="264"/>
        <v>1.25</v>
      </c>
      <c r="R209" s="700">
        <f t="shared" si="264"/>
        <v>0</v>
      </c>
      <c r="S209" s="700">
        <f t="shared" si="264"/>
        <v>2.5</v>
      </c>
      <c r="T209" s="700">
        <f t="shared" si="264"/>
        <v>0</v>
      </c>
      <c r="U209" s="700">
        <f t="shared" si="264"/>
        <v>0</v>
      </c>
      <c r="CF209" s="314"/>
    </row>
    <row r="210" ht="19.5" customHeight="1">
      <c r="B210" s="1371"/>
      <c r="C210" s="1358"/>
      <c r="D210" s="1671" t="str">
        <f t="array" ref="D210">IFERROR(INDEX(AE$4:AE$12, SMALL(IF(AY$4:AY$12 = MAX(AY$4:AY$12), ROW(AE$4:AE$12)-ROW(AE$4)+1), ROW(4:4))), "-")</f>
        <v>-</v>
      </c>
      <c r="E210" s="1672" t="str">
        <f t="array" ref="E210">IFERROR(INDEX(AY$4:AY$12, SMALL(IF(AY$4:AY$12 = MAX(AY$4:AY$12), ROW(AY$4:AY$12)-ROW(AY$4)+1), ROW(4:4))), "-")</f>
        <v>-</v>
      </c>
      <c r="F210" s="1598" t="str">
        <f>IF(OR(D210="-",D210=""),"",F207)</f>
        <v/>
      </c>
      <c r="G210" s="1673" t="str">
        <f t="shared" ref="G210:G214" si="267">IF(BK17 = D210, "", BR17)</f>
        <v/>
      </c>
      <c r="H210" s="1677" t="str">
        <f t="shared" ref="H210:H214" si="268">IF(BL17 = E234, "", BS17)</f>
        <v/>
      </c>
      <c r="I210" s="1603" t="str">
        <f>IF(OR(G210="-",G210=""),"",I207)</f>
        <v/>
      </c>
      <c r="J210" s="1601" t="str">
        <f t="shared" ref="J210:K210" si="265">IF(OR(BM17=G210, BM17=D210), "", BM17)</f>
        <v/>
      </c>
      <c r="K210" s="1601" t="str">
        <f t="shared" si="265"/>
        <v/>
      </c>
      <c r="L210" s="1603" t="str">
        <f>IF(OR(J210="-",J210=""),"",L207)</f>
        <v/>
      </c>
      <c r="M210" s="13" t="s">
        <v>1097</v>
      </c>
      <c r="N210" s="700">
        <f t="shared" ref="N210:U210" si="266">IFERROR(IF($M210="YES",IF($D208=N$4,$F208,0)+IF($G208=N$4,$I208,0)+IF($J208=N$4,$L208,0),0),0)</f>
        <v>0</v>
      </c>
      <c r="O210" s="700">
        <f t="shared" si="266"/>
        <v>0</v>
      </c>
      <c r="P210" s="700">
        <f t="shared" si="266"/>
        <v>0</v>
      </c>
      <c r="Q210" s="700">
        <f t="shared" si="266"/>
        <v>0</v>
      </c>
      <c r="R210" s="700">
        <f t="shared" si="266"/>
        <v>1.25</v>
      </c>
      <c r="S210" s="700">
        <f t="shared" si="266"/>
        <v>0</v>
      </c>
      <c r="T210" s="700">
        <f t="shared" si="266"/>
        <v>0</v>
      </c>
      <c r="U210" s="700">
        <f t="shared" si="266"/>
        <v>0</v>
      </c>
      <c r="CF210" s="314"/>
    </row>
    <row r="211" ht="19.5" customHeight="1">
      <c r="B211" s="1371"/>
      <c r="C211" s="1358"/>
      <c r="D211" s="1671" t="str">
        <f t="array" ref="D211">IFERROR(INDEX(AE$4:AE$12, SMALL(IF(AY$4:AY$12 = MAX(AY$4:AY$12), ROW(AE$4:AE$12)-ROW(AE$4)+1), ROW(5:5))), "-")</f>
        <v>-</v>
      </c>
      <c r="E211" s="1672" t="str">
        <f t="array" ref="E211">IFERROR(INDEX(AY$4:AY$12, SMALL(IF(AY$4:AY$12 = MAX(AY$4:AY$12), ROW(AY$4:AY$12)-ROW(AY$4)+1), ROW(5:5))), "-")</f>
        <v>-</v>
      </c>
      <c r="F211" s="1598" t="str">
        <f>IF(OR(D211="-",D211=""),"",F207)</f>
        <v/>
      </c>
      <c r="G211" s="1673" t="str">
        <f t="shared" si="267"/>
        <v/>
      </c>
      <c r="H211" s="1677" t="str">
        <f t="shared" si="268"/>
        <v/>
      </c>
      <c r="I211" s="1603" t="str">
        <f>IF(OR(G211="-",G211=""),"",I207)</f>
        <v/>
      </c>
      <c r="J211" s="1601" t="str">
        <f t="shared" ref="J211:K211" si="269">IF(OR(BM18=G211, BM18=D211), "", BM18)</f>
        <v/>
      </c>
      <c r="K211" s="1601" t="str">
        <f t="shared" si="269"/>
        <v/>
      </c>
      <c r="L211" s="1603" t="str">
        <f>IF(OR(J211="-",J211=""),"",L207)</f>
        <v/>
      </c>
      <c r="M211" s="13" t="s">
        <v>1097</v>
      </c>
      <c r="N211" s="700">
        <f t="shared" ref="N211:U211" si="270">IFERROR(IF($M211="YES",IF($D209=N$4,$F209,0)+IF($G209=N$4,$I209,0)+IF($J209=N$4,$L209,0),0),0)</f>
        <v>0</v>
      </c>
      <c r="O211" s="700">
        <f t="shared" si="270"/>
        <v>0</v>
      </c>
      <c r="P211" s="700">
        <f t="shared" si="270"/>
        <v>0</v>
      </c>
      <c r="Q211" s="700">
        <f t="shared" si="270"/>
        <v>0</v>
      </c>
      <c r="R211" s="700">
        <f t="shared" si="270"/>
        <v>0</v>
      </c>
      <c r="S211" s="700">
        <f t="shared" si="270"/>
        <v>0</v>
      </c>
      <c r="T211" s="700">
        <f t="shared" si="270"/>
        <v>0</v>
      </c>
      <c r="U211" s="700">
        <f t="shared" si="270"/>
        <v>0</v>
      </c>
      <c r="CF211" s="314"/>
    </row>
    <row r="212" ht="19.5" customHeight="1">
      <c r="B212" s="1371"/>
      <c r="C212" s="1358"/>
      <c r="D212" s="1671" t="str">
        <f t="array" ref="D212">IFERROR(INDEX(AE$4:AE$12, SMALL(IF(AY$4:AY$12 = MAX(AY$4:AY$12), ROW(AE$4:AE$12)-ROW(AE$4)+1), ROW(6:6))), "-")</f>
        <v>-</v>
      </c>
      <c r="E212" s="1672" t="str">
        <f t="array" ref="E212">IFERROR(INDEX(AY$4:AY$12, SMALL(IF(AY$4:AY$12 = MAX(AY$4:AY$12), ROW(AY$4:AY$12)-ROW(AY$4)+1), ROW(6:6))), "-")</f>
        <v>-</v>
      </c>
      <c r="F212" s="1598" t="str">
        <f>IF(OR(D212="-",D212=""),"",F207)</f>
        <v/>
      </c>
      <c r="G212" s="1673" t="str">
        <f t="shared" si="267"/>
        <v/>
      </c>
      <c r="H212" s="1677" t="str">
        <f t="shared" si="268"/>
        <v/>
      </c>
      <c r="I212" s="1603" t="str">
        <f>IF(OR(G212="-",G212=""),"",I207)</f>
        <v/>
      </c>
      <c r="J212" s="1601" t="str">
        <f t="shared" ref="J212:K212" si="271">IF(OR(BM19=G212, BM19=D212), "", BM19)</f>
        <v/>
      </c>
      <c r="K212" s="1601" t="str">
        <f t="shared" si="271"/>
        <v/>
      </c>
      <c r="L212" s="1603" t="str">
        <f>IF(OR(J212="-",J212=""),"",L207)</f>
        <v/>
      </c>
      <c r="M212" s="13" t="s">
        <v>1097</v>
      </c>
      <c r="N212" s="700">
        <f t="shared" ref="N212:U212" si="272">IFERROR(IF($M212="YES",IF($D210=N$4,$F210,0)+IF($G210=N$4,$I210,0)+IF($J210=N$4,$L210,0),0),0)</f>
        <v>0</v>
      </c>
      <c r="O212" s="700">
        <f t="shared" si="272"/>
        <v>0</v>
      </c>
      <c r="P212" s="700">
        <f t="shared" si="272"/>
        <v>0</v>
      </c>
      <c r="Q212" s="700">
        <f t="shared" si="272"/>
        <v>0</v>
      </c>
      <c r="R212" s="700">
        <f t="shared" si="272"/>
        <v>0</v>
      </c>
      <c r="S212" s="700">
        <f t="shared" si="272"/>
        <v>0</v>
      </c>
      <c r="T212" s="700">
        <f t="shared" si="272"/>
        <v>0</v>
      </c>
      <c r="U212" s="700">
        <f t="shared" si="272"/>
        <v>0</v>
      </c>
      <c r="CF212" s="314"/>
    </row>
    <row r="213" ht="19.5" customHeight="1">
      <c r="B213" s="1371"/>
      <c r="C213" s="1358"/>
      <c r="D213" s="1671" t="str">
        <f t="array" ref="D213">IFERROR(INDEX(AE$4:AE$12, SMALL(IF(AY$4:AY$12 = MAX(AY$4:AY$12), ROW(AE$4:AE$12)-ROW(AE$4)+1), ROW(7:7))), "-")</f>
        <v>-</v>
      </c>
      <c r="E213" s="1672" t="str">
        <f t="array" ref="E213">IFERROR(INDEX(AY$4:AY$12, SMALL(IF(AY$4:AY$12 = MAX(AY$4:AY$12), ROW(AY$4:AY$12)-ROW(AY$4)+1), ROW(7:7))), "-")</f>
        <v>-</v>
      </c>
      <c r="F213" s="1598" t="str">
        <f>IF(OR(D213="-",D213=""),"",F207)</f>
        <v/>
      </c>
      <c r="G213" s="1673" t="str">
        <f t="shared" si="267"/>
        <v/>
      </c>
      <c r="H213" s="1677" t="str">
        <f t="shared" si="268"/>
        <v/>
      </c>
      <c r="I213" s="1603" t="str">
        <f>IF(OR(G213="-",G213=""),"",I207)</f>
        <v/>
      </c>
      <c r="J213" s="1601" t="str">
        <f t="shared" ref="J213:K213" si="273">IF(OR(BM20=G213, BM20=D213), "", BM20)</f>
        <v/>
      </c>
      <c r="K213" s="1601" t="str">
        <f t="shared" si="273"/>
        <v/>
      </c>
      <c r="L213" s="1603" t="str">
        <f>IF(OR(J213="-",J213=""),"",L207)</f>
        <v/>
      </c>
      <c r="M213" s="13" t="s">
        <v>1097</v>
      </c>
      <c r="N213" s="700">
        <f t="shared" ref="N213:U213" si="274">IFERROR(IF($M213="YES",IF($D211=N$4,$F211,0)+IF($G211=N$4,$I211,0)+IF($J211=N$4,$L211,0),0),0)</f>
        <v>0</v>
      </c>
      <c r="O213" s="700">
        <f t="shared" si="274"/>
        <v>0</v>
      </c>
      <c r="P213" s="700">
        <f t="shared" si="274"/>
        <v>0</v>
      </c>
      <c r="Q213" s="700">
        <f t="shared" si="274"/>
        <v>0</v>
      </c>
      <c r="R213" s="700">
        <f t="shared" si="274"/>
        <v>0</v>
      </c>
      <c r="S213" s="700">
        <f t="shared" si="274"/>
        <v>0</v>
      </c>
      <c r="T213" s="700">
        <f t="shared" si="274"/>
        <v>0</v>
      </c>
      <c r="U213" s="700">
        <f t="shared" si="274"/>
        <v>0</v>
      </c>
      <c r="CF213" s="314"/>
    </row>
    <row r="214" ht="19.5" customHeight="1">
      <c r="B214" s="828"/>
      <c r="C214" s="1679"/>
      <c r="D214" s="1680" t="str">
        <f t="array" ref="D214">IFERROR(INDEX(AE$4:AE$12, SMALL(IF(AY$4:AY$12 = MAX(AY$4:AY$12), ROW(AE$4:AE$12)-ROW(AE$4)+1), ROW(8:8))), "-")</f>
        <v>-</v>
      </c>
      <c r="E214" s="1681" t="str">
        <f t="array" ref="E214">IFERROR(INDEX(AY$4:AY$12, SMALL(IF(AY$4:AY$12 = MAX(AY$4:AY$12), ROW(AY$4:AY$12)-ROW(AY$4)+1), ROW(8:8))), "-")</f>
        <v>-</v>
      </c>
      <c r="F214" s="1617" t="str">
        <f>IF(OR(D214="-",D214=""),"",F207)</f>
        <v/>
      </c>
      <c r="G214" s="1682" t="str">
        <f t="shared" si="267"/>
        <v/>
      </c>
      <c r="H214" s="1683" t="str">
        <f t="shared" si="268"/>
        <v/>
      </c>
      <c r="I214" s="1622" t="str">
        <f>IF(OR(G214="-",G214=""),"",I207)</f>
        <v/>
      </c>
      <c r="J214" s="1661" t="str">
        <f t="shared" ref="J214:K214" si="275">IF(OR(BM21=G214, BM21=D214), "", BM21)</f>
        <v/>
      </c>
      <c r="K214" s="1661" t="str">
        <f t="shared" si="275"/>
        <v/>
      </c>
      <c r="L214" s="1622" t="str">
        <f>IF(OR(J214="-",J214=""),"",L207)</f>
        <v/>
      </c>
      <c r="M214" s="13" t="s">
        <v>1097</v>
      </c>
      <c r="N214" s="700">
        <f t="shared" ref="N214:U214" si="276">IFERROR(IF($M214="YES",IF($D212=N$4,$F212,0)+IF($G212=N$4,$I212,0)+IF($J212=N$4,$L212,0),0),0)</f>
        <v>0</v>
      </c>
      <c r="O214" s="700">
        <f t="shared" si="276"/>
        <v>0</v>
      </c>
      <c r="P214" s="700">
        <f t="shared" si="276"/>
        <v>0</v>
      </c>
      <c r="Q214" s="700">
        <f t="shared" si="276"/>
        <v>0</v>
      </c>
      <c r="R214" s="700">
        <f t="shared" si="276"/>
        <v>0</v>
      </c>
      <c r="S214" s="700">
        <f t="shared" si="276"/>
        <v>0</v>
      </c>
      <c r="T214" s="700">
        <f t="shared" si="276"/>
        <v>0</v>
      </c>
      <c r="U214" s="700">
        <f t="shared" si="276"/>
        <v>0</v>
      </c>
      <c r="CF214" s="314"/>
    </row>
    <row r="215" ht="19.5" customHeight="1">
      <c r="B215" s="1665" t="s">
        <v>2103</v>
      </c>
      <c r="C215" s="1684"/>
      <c r="D215" s="1671" t="str">
        <f t="array" ref="D215">IFERROR(INDEX(AE$4:AE$12, SMALL(IF(AW$4:AW$12 = MIN(AW$4:AW$12), ROW(AE$4:AE$12)-ROW(AE$4)+1), ROW(1:1))), "-")</f>
        <v>YARDIES</v>
      </c>
      <c r="E215" s="1672">
        <f t="array" ref="E215">IFERROR(INDEX(AW$4:AW$12, SMALL(IF(AW$4:AW$12 = MIN(AW$4:AW$12), ROW(AW$4:AW$12)-ROW(AW$4)+1), ROW(1:1))), "-")</f>
        <v>1</v>
      </c>
      <c r="F215" s="1612">
        <v>6.0</v>
      </c>
      <c r="G215" s="1673" t="str">
        <f t="shared" ref="G215:H215" si="277">IF(BT3 = D215, "", BT3)</f>
        <v>GREEN</v>
      </c>
      <c r="H215" s="1677">
        <f t="shared" si="277"/>
        <v>2</v>
      </c>
      <c r="I215" s="1612">
        <v>3.0</v>
      </c>
      <c r="J215" s="1685" t="str">
        <f t="shared" ref="J215:K215" si="278">IF(OR(BV3=G215, BV3=D215), "", BV3)</f>
        <v>POPEYES</v>
      </c>
      <c r="K215" s="1675">
        <f t="shared" si="278"/>
        <v>3</v>
      </c>
      <c r="L215" s="1607">
        <v>1.5</v>
      </c>
      <c r="M215" s="13" t="s">
        <v>1097</v>
      </c>
      <c r="N215" s="700">
        <f t="shared" ref="N215:U215" si="279">IFERROR(IF($M215="YES",IF($D213=N$4,$F213,0)+IF($G213=N$4,$I213,0)+IF($J213=N$4,$L213,0),0),0)</f>
        <v>0</v>
      </c>
      <c r="O215" s="700">
        <f t="shared" si="279"/>
        <v>0</v>
      </c>
      <c r="P215" s="700">
        <f t="shared" si="279"/>
        <v>0</v>
      </c>
      <c r="Q215" s="700">
        <f t="shared" si="279"/>
        <v>0</v>
      </c>
      <c r="R215" s="700">
        <f t="shared" si="279"/>
        <v>0</v>
      </c>
      <c r="S215" s="700">
        <f t="shared" si="279"/>
        <v>0</v>
      </c>
      <c r="T215" s="700">
        <f t="shared" si="279"/>
        <v>0</v>
      </c>
      <c r="U215" s="700">
        <f t="shared" si="279"/>
        <v>0</v>
      </c>
      <c r="CF215" s="314"/>
    </row>
    <row r="216" ht="19.5" customHeight="1">
      <c r="B216" s="1371"/>
      <c r="C216" s="663"/>
      <c r="D216" s="1671" t="str">
        <f t="array" ref="D216">IFERROR(INDEX(AE$4:AE$12, SMALL(IF(AW$4:AW$12 = MIN(AW$4:AW$12), ROW(AE$4:AE$12)-ROW(AE$4)+1), ROW(2:2))), "-")</f>
        <v>-</v>
      </c>
      <c r="E216" s="1672" t="str">
        <f t="array" ref="E216">IFERROR(INDEX(AW$4:AW$12, SMALL(IF(AW$4:AW$12 = MIN(AW$4:AW$12), ROW(AW$4:AW$12)-ROW(AW$4)+1), ROW(2:2))), "-")</f>
        <v>-</v>
      </c>
      <c r="F216" s="1603" t="str">
        <f>IF(OR(D216="-",D216=""),"",F215)</f>
        <v/>
      </c>
      <c r="G216" s="1673" t="str">
        <f t="shared" ref="G216:H216" si="280">IF(BT4 = D216, "", BT4)</f>
        <v/>
      </c>
      <c r="H216" s="1677" t="str">
        <f t="shared" si="280"/>
        <v/>
      </c>
      <c r="I216" s="1603" t="str">
        <f>IF(OR(G216="-",G216=""),"",I215)</f>
        <v/>
      </c>
      <c r="J216" s="1685" t="str">
        <f t="shared" ref="J216:K216" si="281">IF(OR(BV4=G216, BV4=D216), "", BV4)</f>
        <v/>
      </c>
      <c r="K216" s="1601" t="str">
        <f t="shared" si="281"/>
        <v/>
      </c>
      <c r="L216" s="1598" t="str">
        <f>IF(OR(J216="-",J216=""),"",L215)</f>
        <v/>
      </c>
      <c r="M216" s="13" t="s">
        <v>1097</v>
      </c>
      <c r="N216" s="700">
        <f t="shared" ref="N216:U216" si="282">IFERROR(IF($M216="YES",IF($D214=N$4,$F214,0)+IF($G214=N$4,$I214,0)+IF($J214=N$4,$L214,0),0),0)</f>
        <v>0</v>
      </c>
      <c r="O216" s="700">
        <f t="shared" si="282"/>
        <v>0</v>
      </c>
      <c r="P216" s="700">
        <f t="shared" si="282"/>
        <v>0</v>
      </c>
      <c r="Q216" s="700">
        <f t="shared" si="282"/>
        <v>0</v>
      </c>
      <c r="R216" s="700">
        <f t="shared" si="282"/>
        <v>0</v>
      </c>
      <c r="S216" s="700">
        <f t="shared" si="282"/>
        <v>0</v>
      </c>
      <c r="T216" s="700">
        <f t="shared" si="282"/>
        <v>0</v>
      </c>
      <c r="U216" s="700">
        <f t="shared" si="282"/>
        <v>0</v>
      </c>
      <c r="CF216" s="314"/>
    </row>
    <row r="217" ht="19.5" customHeight="1">
      <c r="B217" s="1371"/>
      <c r="C217" s="663"/>
      <c r="D217" s="1671" t="str">
        <f t="array" ref="D217">IFERROR(INDEX(AE$4:AE$12, SMALL(IF(AW$4:AW$12 = MIN(AW$4:AW$12), ROW(AE$4:AE$12)-ROW(AE$4)+1), ROW(3:3))), "-")</f>
        <v>-</v>
      </c>
      <c r="E217" s="1672" t="str">
        <f t="array" ref="E217">IFERROR(INDEX(AW$4:AW$12, SMALL(IF(AW$4:AW$12 = MIN(AW$4:AW$12), ROW(AW$4:AW$12)-ROW(AW$4)+1), ROW(3:3))), "-")</f>
        <v>-</v>
      </c>
      <c r="F217" s="1603" t="str">
        <f>IF(OR(D217="-",D217=""),"",F215)</f>
        <v/>
      </c>
      <c r="G217" s="1673" t="str">
        <f t="shared" ref="G217:H217" si="283">IF(BT5 = D217, "", BT5)</f>
        <v/>
      </c>
      <c r="H217" s="1677" t="str">
        <f t="shared" si="283"/>
        <v/>
      </c>
      <c r="I217" s="1603" t="str">
        <f>IF(OR(G217="-",G217=""),"",I215)</f>
        <v/>
      </c>
      <c r="J217" s="1685" t="str">
        <f t="shared" ref="J217:K217" si="284">IF(OR(BV5=G217, BV5=D217), "", BV5)</f>
        <v/>
      </c>
      <c r="K217" s="1601" t="str">
        <f t="shared" si="284"/>
        <v/>
      </c>
      <c r="L217" s="1598" t="str">
        <f>IF(OR(J217="-",J217=""),"",L215)</f>
        <v/>
      </c>
      <c r="M217" s="13" t="s">
        <v>1097</v>
      </c>
      <c r="N217" s="700">
        <f t="shared" ref="N217:U217" si="285">IFERROR(IF($M217="YES",IF($D215=N$4,$F215,0)+IF($G215=N$4,$I215,0)+IF($J215=N$4,$L215,0),0),0)</f>
        <v>0</v>
      </c>
      <c r="O217" s="700">
        <f t="shared" si="285"/>
        <v>1.5</v>
      </c>
      <c r="P217" s="700">
        <f t="shared" si="285"/>
        <v>3</v>
      </c>
      <c r="Q217" s="700">
        <f t="shared" si="285"/>
        <v>0</v>
      </c>
      <c r="R217" s="700">
        <f t="shared" si="285"/>
        <v>0</v>
      </c>
      <c r="S217" s="700">
        <f t="shared" si="285"/>
        <v>0</v>
      </c>
      <c r="T217" s="700">
        <f t="shared" si="285"/>
        <v>6</v>
      </c>
      <c r="U217" s="700">
        <f t="shared" si="285"/>
        <v>0</v>
      </c>
      <c r="CF217" s="314"/>
    </row>
    <row r="218" ht="19.5" customHeight="1">
      <c r="B218" s="1371"/>
      <c r="C218" s="663"/>
      <c r="D218" s="1671" t="str">
        <f t="array" ref="D218">IFERROR(INDEX(AE$4:AE$12, SMALL(IF(AW$4:AW$12 = MIN(AW$4:AW$12), ROW(AE$4:AE$12)-ROW(AE$4)+1), ROW(4:4))), "-")</f>
        <v>-</v>
      </c>
      <c r="E218" s="1672" t="str">
        <f t="array" ref="E218">IFERROR(INDEX(AW$4:AW$12, SMALL(IF(AW$4:AW$12 = MIN(AW$4:AW$12), ROW(AW$4:AW$12)-ROW(AW$4)+1), ROW(4:4))), "-")</f>
        <v>-</v>
      </c>
      <c r="F218" s="1603" t="str">
        <f>IF(OR(D218="-",D218=""),"",F215)</f>
        <v/>
      </c>
      <c r="G218" s="1673" t="str">
        <f t="shared" ref="G218:H218" si="286">IF(BT6 = D218, "", BT6)</f>
        <v/>
      </c>
      <c r="H218" s="1677" t="str">
        <f t="shared" si="286"/>
        <v/>
      </c>
      <c r="I218" s="1603" t="str">
        <f>IF(OR(G218="-",G218=""),"",I215)</f>
        <v/>
      </c>
      <c r="J218" s="1685" t="str">
        <f t="shared" ref="J218:K218" si="287">IF(OR(BV6=G218, BV6=D218), "", BV6)</f>
        <v/>
      </c>
      <c r="K218" s="1601" t="str">
        <f t="shared" si="287"/>
        <v/>
      </c>
      <c r="L218" s="1598" t="str">
        <f>IF(OR(J218="-",J218=""),"",L215)</f>
        <v/>
      </c>
      <c r="M218" s="13" t="s">
        <v>1097</v>
      </c>
      <c r="N218" s="700">
        <f t="shared" ref="N218:U218" si="288">IFERROR(IF($M218="YES",IF($D216=N$4,$F216,0)+IF($G216=N$4,$I216,0)+IF($J216=N$4,$L216,0),0),0)</f>
        <v>0</v>
      </c>
      <c r="O218" s="700">
        <f t="shared" si="288"/>
        <v>0</v>
      </c>
      <c r="P218" s="700">
        <f t="shared" si="288"/>
        <v>0</v>
      </c>
      <c r="Q218" s="700">
        <f t="shared" si="288"/>
        <v>0</v>
      </c>
      <c r="R218" s="700">
        <f t="shared" si="288"/>
        <v>0</v>
      </c>
      <c r="S218" s="700">
        <f t="shared" si="288"/>
        <v>0</v>
      </c>
      <c r="T218" s="700">
        <f t="shared" si="288"/>
        <v>0</v>
      </c>
      <c r="U218" s="700">
        <f t="shared" si="288"/>
        <v>0</v>
      </c>
      <c r="CF218" s="314"/>
    </row>
    <row r="219" ht="19.5" customHeight="1">
      <c r="B219" s="1371"/>
      <c r="C219" s="663"/>
      <c r="D219" s="1671" t="str">
        <f t="array" ref="D219">IFERROR(INDEX(AE$4:AE$12, SMALL(IF(AW$4:AW$12 = MIN(AW$4:AW$12), ROW(AE$4:AE$12)-ROW(AE$4)+1), ROW(5:5))), "-")</f>
        <v>-</v>
      </c>
      <c r="E219" s="1672" t="str">
        <f t="array" ref="E219">IFERROR(INDEX(AW$4:AW$12, SMALL(IF(AW$4:AW$12 = MIN(AW$4:AW$12), ROW(AW$4:AW$12)-ROW(AW$4)+1), ROW(5:5))), "-")</f>
        <v>-</v>
      </c>
      <c r="F219" s="1603" t="str">
        <f>IF(OR(D219="-",D219=""),"",F215)</f>
        <v/>
      </c>
      <c r="G219" s="1673" t="str">
        <f t="shared" ref="G219:H219" si="289">IF(BT7 = D219, "", BT7)</f>
        <v/>
      </c>
      <c r="H219" s="1677" t="str">
        <f t="shared" si="289"/>
        <v/>
      </c>
      <c r="I219" s="1603" t="str">
        <f>IF(OR(G219="-",G219=""),"",I215)</f>
        <v/>
      </c>
      <c r="J219" s="1685" t="str">
        <f t="shared" ref="J219:K219" si="290">IF(OR(BV7=G219, BV7=D219), "", BV7)</f>
        <v/>
      </c>
      <c r="K219" s="1601" t="str">
        <f t="shared" si="290"/>
        <v/>
      </c>
      <c r="L219" s="1598" t="str">
        <f>IF(OR(J219="-",J219=""),"",L215)</f>
        <v/>
      </c>
      <c r="M219" s="13" t="s">
        <v>1097</v>
      </c>
      <c r="N219" s="700">
        <f t="shared" ref="N219:U219" si="291">IFERROR(IF($M219="YES",IF($D217=N$4,$F217,0)+IF($G217=N$4,$I217,0)+IF($J217=N$4,$L217,0),0),0)</f>
        <v>0</v>
      </c>
      <c r="O219" s="700">
        <f t="shared" si="291"/>
        <v>0</v>
      </c>
      <c r="P219" s="700">
        <f t="shared" si="291"/>
        <v>0</v>
      </c>
      <c r="Q219" s="700">
        <f t="shared" si="291"/>
        <v>0</v>
      </c>
      <c r="R219" s="700">
        <f t="shared" si="291"/>
        <v>0</v>
      </c>
      <c r="S219" s="700">
        <f t="shared" si="291"/>
        <v>0</v>
      </c>
      <c r="T219" s="700">
        <f t="shared" si="291"/>
        <v>0</v>
      </c>
      <c r="U219" s="700">
        <f t="shared" si="291"/>
        <v>0</v>
      </c>
      <c r="CF219" s="314"/>
    </row>
    <row r="220" ht="19.5" customHeight="1">
      <c r="B220" s="1371"/>
      <c r="C220" s="663"/>
      <c r="D220" s="1671" t="str">
        <f t="array" ref="D220">IFERROR(INDEX(AE$4:AE$12, SMALL(IF(AW$4:AW$12 = MIN(AW$4:AW$12), ROW(AE$4:AE$12)-ROW(AE$4)+1), ROW(6:6))), "-")</f>
        <v>-</v>
      </c>
      <c r="E220" s="1672" t="str">
        <f t="array" ref="E220">IFERROR(INDEX(AW$4:AW$12, SMALL(IF(AW$4:AW$12 = MIN(AW$4:AW$12), ROW(AW$4:AW$12)-ROW(AW$4)+1), ROW(6:6))), "-")</f>
        <v>-</v>
      </c>
      <c r="F220" s="1603" t="str">
        <f>IF(OR(D220="-",D220=""),"",F215)</f>
        <v/>
      </c>
      <c r="G220" s="1673" t="str">
        <f t="shared" ref="G220:H220" si="292">IF(BT9 = D220, "", BT9)</f>
        <v/>
      </c>
      <c r="H220" s="1677" t="str">
        <f t="shared" si="292"/>
        <v/>
      </c>
      <c r="I220" s="1603" t="str">
        <f>IF(OR(G220="-",G220=""),"",I215)</f>
        <v/>
      </c>
      <c r="J220" s="1685" t="str">
        <f t="shared" ref="J220:K220" si="293">IF(OR(BV9=G220, BV9=D220), "", BV9)</f>
        <v/>
      </c>
      <c r="K220" s="1601" t="str">
        <f t="shared" si="293"/>
        <v/>
      </c>
      <c r="L220" s="1598" t="str">
        <f>IF(OR(J220="-",J220=""),"",L215)</f>
        <v/>
      </c>
      <c r="M220" s="13" t="s">
        <v>1097</v>
      </c>
      <c r="N220" s="700">
        <f t="shared" ref="N220:U220" si="294">IFERROR(IF($M220="YES",IF($D218=N$4,$F218,0)+IF($G218=N$4,$I218,0)+IF($J218=N$4,$L218,0),0),0)</f>
        <v>0</v>
      </c>
      <c r="O220" s="700">
        <f t="shared" si="294"/>
        <v>0</v>
      </c>
      <c r="P220" s="700">
        <f t="shared" si="294"/>
        <v>0</v>
      </c>
      <c r="Q220" s="700">
        <f t="shared" si="294"/>
        <v>0</v>
      </c>
      <c r="R220" s="700">
        <f t="shared" si="294"/>
        <v>0</v>
      </c>
      <c r="S220" s="700">
        <f t="shared" si="294"/>
        <v>0</v>
      </c>
      <c r="T220" s="700">
        <f t="shared" si="294"/>
        <v>0</v>
      </c>
      <c r="U220" s="700">
        <f t="shared" si="294"/>
        <v>0</v>
      </c>
      <c r="CF220" s="314"/>
    </row>
    <row r="221" ht="19.5" customHeight="1">
      <c r="B221" s="1371"/>
      <c r="C221" s="663"/>
      <c r="D221" s="1671" t="str">
        <f t="array" ref="D221">IFERROR(INDEX(AE$4:AE$12, SMALL(IF(AW$4:AW$12 = MIN(AW$4:AW$12), ROW(AE$4:AE$12)-ROW(AE$4)+1), ROW(7:7))), "-")</f>
        <v>-</v>
      </c>
      <c r="E221" s="1672" t="str">
        <f t="array" ref="E221">IFERROR(INDEX(AW$4:AW$12, SMALL(IF(AW$4:AW$12 = MIN(AW$4:AW$12), ROW(AW$4:AW$12)-ROW(AW$4)+1), ROW(7:7))), "-")</f>
        <v>-</v>
      </c>
      <c r="F221" s="1603" t="str">
        <f>IF(OR(D221="-",D221=""),"",F215)</f>
        <v/>
      </c>
      <c r="G221" s="1673" t="str">
        <f t="shared" ref="G221:H221" si="295">IF(BT10 = D221, "", BT10)</f>
        <v/>
      </c>
      <c r="H221" s="1677" t="str">
        <f t="shared" si="295"/>
        <v/>
      </c>
      <c r="I221" s="1603" t="str">
        <f>IF(OR(G221="-",G221=""),"",I215)</f>
        <v/>
      </c>
      <c r="J221" s="1685" t="str">
        <f t="shared" ref="J221:K221" si="296">IF(OR(BV10=G221, BV10=D221), "", BV10)</f>
        <v/>
      </c>
      <c r="K221" s="1601" t="str">
        <f t="shared" si="296"/>
        <v/>
      </c>
      <c r="L221" s="1598" t="str">
        <f>IF(OR(J221="-",J221=""),"",L215)</f>
        <v/>
      </c>
      <c r="M221" s="13" t="s">
        <v>1097</v>
      </c>
      <c r="N221" s="700">
        <f t="shared" ref="N221:U221" si="297">IFERROR(IF($M221="YES",IF($D219=N$4,$F219,0)+IF($G219=N$4,$I219,0)+IF($J219=N$4,$L219,0),0),0)</f>
        <v>0</v>
      </c>
      <c r="O221" s="700">
        <f t="shared" si="297"/>
        <v>0</v>
      </c>
      <c r="P221" s="700">
        <f t="shared" si="297"/>
        <v>0</v>
      </c>
      <c r="Q221" s="700">
        <f t="shared" si="297"/>
        <v>0</v>
      </c>
      <c r="R221" s="700">
        <f t="shared" si="297"/>
        <v>0</v>
      </c>
      <c r="S221" s="700">
        <f t="shared" si="297"/>
        <v>0</v>
      </c>
      <c r="T221" s="700">
        <f t="shared" si="297"/>
        <v>0</v>
      </c>
      <c r="U221" s="700">
        <f t="shared" si="297"/>
        <v>0</v>
      </c>
      <c r="CF221" s="314"/>
    </row>
    <row r="222" ht="19.5" customHeight="1">
      <c r="B222" s="828"/>
      <c r="C222" s="666"/>
      <c r="D222" s="1680" t="str">
        <f t="array" ref="D222">IFERROR(INDEX(AE$4:AE$12, SMALL(IF(AW$4:AW$12 = MIN(AW$4:AW$12), ROW(AE$4:AE$12)-ROW(AE$4)+1), ROW(8:8))), "-")</f>
        <v>-</v>
      </c>
      <c r="E222" s="1681" t="str">
        <f t="array" ref="E222">IFERROR(INDEX(AW$4:AW$12, SMALL(IF(AW$4:AW$12 = MIN(AW$4:AW$12), ROW(AW$4:AW$12)-ROW(AW$4)+1), ROW(8:8))), "-")</f>
        <v>-</v>
      </c>
      <c r="F222" s="1622" t="str">
        <f>IF(OR(D222="-",D222=""),"",F215)</f>
        <v/>
      </c>
      <c r="G222" s="1682" t="str">
        <f t="shared" ref="G222:H222" si="298">IF(BT11 = D222, "", BT11)</f>
        <v/>
      </c>
      <c r="H222" s="1683" t="str">
        <f t="shared" si="298"/>
        <v/>
      </c>
      <c r="I222" s="1622" t="str">
        <f>IF(OR(G222="-",G222=""),"",I215)</f>
        <v/>
      </c>
      <c r="J222" s="1686" t="str">
        <f t="shared" ref="J222:K222" si="299">IF(OR(BV11=G222, BV11=D222), "", BV11)</f>
        <v/>
      </c>
      <c r="K222" s="1661" t="str">
        <f t="shared" si="299"/>
        <v/>
      </c>
      <c r="L222" s="1598" t="str">
        <f>IF(OR(J222="-",J222=""),"",L215)</f>
        <v/>
      </c>
      <c r="M222" s="13" t="s">
        <v>1097</v>
      </c>
      <c r="N222" s="700">
        <f t="shared" ref="N222:U222" si="300">IFERROR(IF($M222="YES",IF($D220=N$4,$F220,0)+IF($G220=N$4,$I220,0)+IF($J220=N$4,$L220,0),0),0)</f>
        <v>0</v>
      </c>
      <c r="O222" s="700">
        <f t="shared" si="300"/>
        <v>0</v>
      </c>
      <c r="P222" s="700">
        <f t="shared" si="300"/>
        <v>0</v>
      </c>
      <c r="Q222" s="700">
        <f t="shared" si="300"/>
        <v>0</v>
      </c>
      <c r="R222" s="700">
        <f t="shared" si="300"/>
        <v>0</v>
      </c>
      <c r="S222" s="700">
        <f t="shared" si="300"/>
        <v>0</v>
      </c>
      <c r="T222" s="700">
        <f t="shared" si="300"/>
        <v>0</v>
      </c>
      <c r="U222" s="700">
        <f t="shared" si="300"/>
        <v>0</v>
      </c>
      <c r="CF222" s="314"/>
    </row>
    <row r="223" ht="19.5" customHeight="1">
      <c r="B223" s="1318" t="s">
        <v>2139</v>
      </c>
      <c r="C223" s="827"/>
      <c r="D223" s="1372" t="str">
        <f t="array" ref="D223">IFERROR(INDEX(AE$4:AE$12, SMALL(IF(BA$4:BA$12 = MAX(BA$4:BA$12), ROW(AE$4:AE$12)-ROW(AE$4)+1), ROW(1:1))), "-")</f>
        <v>GREEN</v>
      </c>
      <c r="E223" s="1540">
        <f t="array" ref="E223">IFERROR(INDEX(BA$4:BA$12, SMALL(IF(BA$4:BA$12 = MAX(BA$4:BA$12), ROW(BA$4:BA$12)-ROW(BA$4)+1), ROW(1:1))), "-")</f>
        <v>5</v>
      </c>
      <c r="F223" s="1503">
        <v>4.0</v>
      </c>
      <c r="G223" s="1466" t="str">
        <f t="shared" ref="G223:H223" si="301">IF(BO3 = D223, "", BO3)</f>
        <v/>
      </c>
      <c r="H223" s="1380" t="str">
        <f t="shared" si="301"/>
        <v/>
      </c>
      <c r="I223" s="1503">
        <v>2.0</v>
      </c>
      <c r="J223" s="1372" t="str">
        <f t="shared" ref="J223:K223" si="302">IF(OR(BQ3=G223, BQ3=D223), "", BQ3)</f>
        <v>DECOUPES</v>
      </c>
      <c r="K223" s="1540">
        <f t="shared" si="302"/>
        <v>4</v>
      </c>
      <c r="L223" s="1503">
        <v>1.0</v>
      </c>
      <c r="M223" s="13" t="s">
        <v>1097</v>
      </c>
      <c r="N223" s="700">
        <f t="shared" ref="N223:U223" si="303">IFERROR(IF($M223="YES",IF($D221=N$4,$F221,0)+IF($G221=N$4,$I221,0)+IF($J221=N$4,$L221,0),0),0)</f>
        <v>0</v>
      </c>
      <c r="O223" s="700">
        <f t="shared" si="303"/>
        <v>0</v>
      </c>
      <c r="P223" s="700">
        <f t="shared" si="303"/>
        <v>0</v>
      </c>
      <c r="Q223" s="700">
        <f t="shared" si="303"/>
        <v>0</v>
      </c>
      <c r="R223" s="700">
        <f t="shared" si="303"/>
        <v>0</v>
      </c>
      <c r="S223" s="700">
        <f t="shared" si="303"/>
        <v>0</v>
      </c>
      <c r="T223" s="700">
        <f t="shared" si="303"/>
        <v>0</v>
      </c>
      <c r="U223" s="700">
        <f t="shared" si="303"/>
        <v>0</v>
      </c>
      <c r="CF223" s="314"/>
    </row>
    <row r="224" ht="19.5" customHeight="1">
      <c r="B224" s="1371"/>
      <c r="C224" s="663"/>
      <c r="D224" s="1372" t="str">
        <f t="array" ref="D224">IFERROR(INDEX(AE$4:AE$12, SMALL(IF(BA$4:BA$12 = MAX(BA$4:BA$12), ROW(AE$4:AE$12)-ROW(AE$4)+1), ROW(2:2))), "-")</f>
        <v>KINGS</v>
      </c>
      <c r="E224" s="1540">
        <f t="array" ref="E224">IFERROR(INDEX(BA$4:BA$12, SMALL(IF(BA$4:BA$12 = MAX(BA$4:BA$12), ROW(BA$4:BA$12)-ROW(BA$4)+1), ROW(2:2))), "-")</f>
        <v>5</v>
      </c>
      <c r="F224" s="1378">
        <f>IF(OR(D224="-",D224=""),"",F223)</f>
        <v>4</v>
      </c>
      <c r="G224" s="1466" t="str">
        <f t="shared" ref="G224:H224" si="304">IF(BO4 = D224, "", BO4)</f>
        <v/>
      </c>
      <c r="H224" s="1380" t="str">
        <f t="shared" si="304"/>
        <v/>
      </c>
      <c r="I224" s="1530" t="str">
        <f>IF(OR(G224="-",G224=""),"",I223)</f>
        <v/>
      </c>
      <c r="J224" s="1372" t="str">
        <f t="shared" ref="J224:K224" si="305">IF(OR(BQ4=G224, BQ4=D224), "", BQ4)</f>
        <v>-</v>
      </c>
      <c r="K224" s="1540" t="str">
        <f t="shared" si="305"/>
        <v>-</v>
      </c>
      <c r="L224" s="1378" t="str">
        <f>IF(OR(J224="-",J224=""),"",L223)</f>
        <v/>
      </c>
      <c r="M224" s="13" t="s">
        <v>1097</v>
      </c>
      <c r="N224" s="700">
        <f t="shared" ref="N224:U224" si="306">IFERROR(IF($M224="YES",IF($D222=N$4,$F222,0)+IF($G222=N$4,$I222,0)+IF($J222=N$4,$L222,0),0),0)</f>
        <v>0</v>
      </c>
      <c r="O224" s="700">
        <f t="shared" si="306"/>
        <v>0</v>
      </c>
      <c r="P224" s="700">
        <f t="shared" si="306"/>
        <v>0</v>
      </c>
      <c r="Q224" s="700">
        <f t="shared" si="306"/>
        <v>0</v>
      </c>
      <c r="R224" s="700">
        <f t="shared" si="306"/>
        <v>0</v>
      </c>
      <c r="S224" s="700">
        <f t="shared" si="306"/>
        <v>0</v>
      </c>
      <c r="T224" s="700">
        <f t="shared" si="306"/>
        <v>0</v>
      </c>
      <c r="U224" s="700">
        <f t="shared" si="306"/>
        <v>0</v>
      </c>
      <c r="CF224" s="314"/>
    </row>
    <row r="225" ht="19.5" customHeight="1">
      <c r="B225" s="1371"/>
      <c r="C225" s="663"/>
      <c r="D225" s="1372" t="str">
        <f t="array" ref="D225">IFERROR(INDEX(AE$4:AE$12, SMALL(IF(BA$4:BA$12 = MAX(BA$4:BA$12), ROW(AE$4:AE$12)-ROW(AE$4)+1), ROW(3:3))), "-")</f>
        <v>-</v>
      </c>
      <c r="E225" s="1540" t="str">
        <f t="array" ref="E225">IFERROR(INDEX(BA$4:BA$12, SMALL(IF(BA$4:BA$12 = MAX(BA$4:BA$12), ROW(BA$4:BA$12)-ROW(BA$4)+1), ROW(3:3))), "-")</f>
        <v>-</v>
      </c>
      <c r="F225" s="1378" t="str">
        <f>IF(OR(D225="-",D225=""),"",F223)</f>
        <v/>
      </c>
      <c r="G225" s="1466" t="str">
        <f t="shared" ref="G225:H225" si="307">IF(BO5 = D225, "", BO5)</f>
        <v/>
      </c>
      <c r="H225" s="1380" t="str">
        <f t="shared" si="307"/>
        <v/>
      </c>
      <c r="I225" s="1530" t="str">
        <f>IF(OR(G225="-",G225=""),"",I223)</f>
        <v/>
      </c>
      <c r="J225" s="1372" t="str">
        <f t="shared" ref="J225:K225" si="308">IF(OR(BQ5=G225, BQ5=D225), "", BQ5)</f>
        <v/>
      </c>
      <c r="K225" s="1540" t="str">
        <f t="shared" si="308"/>
        <v/>
      </c>
      <c r="L225" s="1378" t="str">
        <f>IF(OR(J225="-",J225=""),"",L223)</f>
        <v/>
      </c>
      <c r="M225" s="13" t="s">
        <v>1097</v>
      </c>
      <c r="N225" s="700">
        <f t="shared" ref="N225:U225" si="309">IFERROR(IF($M225="YES",IF($D223=N$4,$F223,0)+IF($G223=N$4,$I223,0)+IF($J223=N$4,$L223,0),0),0)</f>
        <v>1</v>
      </c>
      <c r="O225" s="700">
        <f t="shared" si="309"/>
        <v>0</v>
      </c>
      <c r="P225" s="700">
        <f t="shared" si="309"/>
        <v>4</v>
      </c>
      <c r="Q225" s="700">
        <f t="shared" si="309"/>
        <v>0</v>
      </c>
      <c r="R225" s="700">
        <f t="shared" si="309"/>
        <v>0</v>
      </c>
      <c r="S225" s="700">
        <f t="shared" si="309"/>
        <v>0</v>
      </c>
      <c r="T225" s="700">
        <f t="shared" si="309"/>
        <v>0</v>
      </c>
      <c r="U225" s="700">
        <f t="shared" si="309"/>
        <v>0</v>
      </c>
      <c r="CF225" s="314"/>
    </row>
    <row r="226" ht="19.5" customHeight="1">
      <c r="B226" s="828"/>
      <c r="C226" s="666"/>
      <c r="D226" s="1423" t="str">
        <f t="array" ref="D226">IFERROR(INDEX(AE$4:AE$12, SMALL(IF(BA$4:BA$12 = MAX(BA$4:BA$12), ROW(AE$4:AE$12)-ROW(AE$4)+1), ROW(4:4))), "-")</f>
        <v>-</v>
      </c>
      <c r="E226" s="1542" t="str">
        <f t="array" ref="E226">IFERROR(INDEX(BA$4:BA$12, SMALL(IF(BA$4:BA$12 = MAX(BA$4:BA$12), ROW(BA$4:BA$12)-ROW(BA$4)+1), ROW(4:4))), "-")</f>
        <v>-</v>
      </c>
      <c r="F226" s="1425" t="str">
        <f>IF(OR(D226="-",D226=""),"",F223)</f>
        <v/>
      </c>
      <c r="G226" s="1476" t="str">
        <f t="shared" ref="G226:H226" si="310">IF(BO6 = D226, "", BO6)</f>
        <v/>
      </c>
      <c r="H226" s="1433" t="str">
        <f t="shared" si="310"/>
        <v/>
      </c>
      <c r="I226" s="1532" t="str">
        <f>IF(OR(G226="-",G226=""),"",I223)</f>
        <v/>
      </c>
      <c r="J226" s="1423" t="str">
        <f t="shared" ref="J226:K226" si="311">IF(OR(BQ6=G226, BQ6=D226), "", BQ6)</f>
        <v/>
      </c>
      <c r="K226" s="1542" t="str">
        <f t="shared" si="311"/>
        <v/>
      </c>
      <c r="L226" s="1425" t="str">
        <f>IF(OR(J226="-",J226=""),"",L223)</f>
        <v/>
      </c>
      <c r="M226" s="13" t="s">
        <v>1097</v>
      </c>
      <c r="N226" s="700">
        <f t="shared" ref="N226:U226" si="312">IFERROR(IF($M226="YES",IF($D224=N$4,$F224,0)+IF($G224=N$4,$I224,0)+IF($J224=N$4,$L224,0),0),0)</f>
        <v>0</v>
      </c>
      <c r="O226" s="700">
        <f t="shared" si="312"/>
        <v>0</v>
      </c>
      <c r="P226" s="700">
        <f t="shared" si="312"/>
        <v>0</v>
      </c>
      <c r="Q226" s="700">
        <f t="shared" si="312"/>
        <v>0</v>
      </c>
      <c r="R226" s="700">
        <f t="shared" si="312"/>
        <v>0</v>
      </c>
      <c r="S226" s="700">
        <f t="shared" si="312"/>
        <v>0</v>
      </c>
      <c r="T226" s="700">
        <f t="shared" si="312"/>
        <v>0</v>
      </c>
      <c r="U226" s="700">
        <f t="shared" si="312"/>
        <v>0</v>
      </c>
      <c r="CF226" s="314"/>
    </row>
    <row r="227" ht="19.5" customHeight="1">
      <c r="B227" s="1318" t="s">
        <v>2161</v>
      </c>
      <c r="C227" s="827"/>
      <c r="D227" s="1323" t="str">
        <f t="array" ref="D227">IFERROR(INDEX(AE$4:AE$12, SMALL(IF(BC$4:BC$12 = MAX(BC$4:BC$12), ROW(AE$4:AE$12)-ROW(AE$4)+1), ROW(1:1))), "-")</f>
        <v>DECOUPES</v>
      </c>
      <c r="E227" s="1533" t="str">
        <f t="array" ref="E227">IFERROR(INDEX(BC$4:BC$12, SMALL(IF(BC$4:BC$12 = MAX(BC$4:BC$12), ROW(BC$4:BC$12)-ROW(BC$4)+1), ROW(1:1))), "-")</f>
        <v/>
      </c>
      <c r="F227" s="1325">
        <v>1.0</v>
      </c>
      <c r="G227" s="1460" t="str">
        <f t="shared" ref="G227:H227" si="313">IF(BY3 = D227, "", BY3)</f>
        <v>-</v>
      </c>
      <c r="H227" s="1536" t="str">
        <f t="shared" si="313"/>
        <v>-</v>
      </c>
      <c r="I227" s="1325">
        <v>0.5</v>
      </c>
      <c r="J227" s="1323" t="str">
        <f t="shared" ref="J227:K227" si="314">IF(OR(CA3=G227, CA3=D227), "", CA3)</f>
        <v/>
      </c>
      <c r="K227" s="1533" t="str">
        <f t="shared" si="314"/>
        <v/>
      </c>
      <c r="L227" s="1325">
        <v>0.0</v>
      </c>
      <c r="M227" s="13" t="s">
        <v>1097</v>
      </c>
      <c r="N227" s="700">
        <f t="shared" ref="N227:U227" si="315">IFERROR(IF($M227="YES",IF($D225=N$4,$F225,0)+IF($G225=N$4,$I225,0)+IF($J225=N$4,$L225,0),0),0)</f>
        <v>0</v>
      </c>
      <c r="O227" s="700">
        <f t="shared" si="315"/>
        <v>0</v>
      </c>
      <c r="P227" s="700">
        <f t="shared" si="315"/>
        <v>0</v>
      </c>
      <c r="Q227" s="700">
        <f t="shared" si="315"/>
        <v>0</v>
      </c>
      <c r="R227" s="700">
        <f t="shared" si="315"/>
        <v>0</v>
      </c>
      <c r="S227" s="700">
        <f t="shared" si="315"/>
        <v>0</v>
      </c>
      <c r="T227" s="700">
        <f t="shared" si="315"/>
        <v>0</v>
      </c>
      <c r="U227" s="700">
        <f t="shared" si="315"/>
        <v>0</v>
      </c>
      <c r="CF227" s="314"/>
    </row>
    <row r="228" ht="19.5" customHeight="1">
      <c r="B228" s="1371"/>
      <c r="C228" s="663"/>
      <c r="D228" s="1372" t="str">
        <f t="array" ref="D228">IFERROR(INDEX(AE$4:AE$12, SMALL(IF(BC$4:BC$12 = MAX(BC$4:BC$12), ROW(AE$4:AE$12)-ROW(AE$4)+1), ROW(2:2))), "-")</f>
        <v>POPEYES</v>
      </c>
      <c r="E228" s="1540" t="str">
        <f t="array" ref="E228">IFERROR(INDEX(BC$4:BC$12, SMALL(IF(BC$4:BC$12 = MAX(BC$4:BC$12), ROW(BC$4:BC$12)-ROW(BC$4)+1), ROW(2:2))), "-")</f>
        <v/>
      </c>
      <c r="F228" s="1378">
        <f>IF(OR(D228="-",D228=""),"",F227)</f>
        <v>1</v>
      </c>
      <c r="G228" s="1466" t="str">
        <f t="shared" ref="G228:H228" si="316">IF(BY4 = D228, "", BY4)</f>
        <v>-</v>
      </c>
      <c r="H228" s="1380" t="str">
        <f t="shared" si="316"/>
        <v>-</v>
      </c>
      <c r="I228" s="1530" t="str">
        <f>IF(OR(G228="-",G228=""),"",I227)</f>
        <v/>
      </c>
      <c r="J228" s="1687" t="str">
        <f t="shared" ref="J228:K228" si="317">IF(OR(CA4=G228, CA4=D228), "", CA4)</f>
        <v/>
      </c>
      <c r="K228" s="1540" t="str">
        <f t="shared" si="317"/>
        <v/>
      </c>
      <c r="L228" s="1378" t="str">
        <f>IF(OR(J228="-",J228=""),"",L227)</f>
        <v/>
      </c>
      <c r="M228" s="13" t="s">
        <v>1097</v>
      </c>
      <c r="N228" s="700">
        <f t="shared" ref="N228:U228" si="318">IFERROR(IF($M228="YES",IF($D226=N$4,$F226,0)+IF($G226=N$4,$I226,0)+IF($J226=N$4,$L226,0),0),0)</f>
        <v>0</v>
      </c>
      <c r="O228" s="700">
        <f t="shared" si="318"/>
        <v>0</v>
      </c>
      <c r="P228" s="700">
        <f t="shared" si="318"/>
        <v>0</v>
      </c>
      <c r="Q228" s="700">
        <f t="shared" si="318"/>
        <v>0</v>
      </c>
      <c r="R228" s="700">
        <f t="shared" si="318"/>
        <v>0</v>
      </c>
      <c r="S228" s="700">
        <f t="shared" si="318"/>
        <v>0</v>
      </c>
      <c r="T228" s="700">
        <f t="shared" si="318"/>
        <v>0</v>
      </c>
      <c r="U228" s="700">
        <f t="shared" si="318"/>
        <v>0</v>
      </c>
      <c r="CF228" s="314"/>
    </row>
    <row r="229" ht="19.5" customHeight="1">
      <c r="B229" s="1371"/>
      <c r="C229" s="663"/>
      <c r="D229" s="1372" t="str">
        <f t="array" ref="D229">IFERROR(INDEX(AE$4:AE$12, SMALL(IF(BC$4:BC$12 = MAX(BC$4:BC$12), ROW(AE$4:AE$12)-ROW(AE$4)+1), ROW(3:3))), "-")</f>
        <v>GREEN</v>
      </c>
      <c r="E229" s="1540" t="str">
        <f t="array" ref="E229">IFERROR(INDEX(BC$4:BC$12, SMALL(IF(BC$4:BC$12 = MAX(BC$4:BC$12), ROW(BC$4:BC$12)-ROW(BC$4)+1), ROW(3:3))), "-")</f>
        <v/>
      </c>
      <c r="F229" s="1378">
        <f>IF(OR(D229="-",D229=""),"",F227)</f>
        <v>1</v>
      </c>
      <c r="G229" s="1466" t="str">
        <f t="shared" ref="G229:H229" si="319">IF(BY5 = D229, "", BY5)</f>
        <v>-</v>
      </c>
      <c r="H229" s="1380" t="str">
        <f t="shared" si="319"/>
        <v>-</v>
      </c>
      <c r="I229" s="1530" t="str">
        <f>IF(OR(G229="-",G229=""),"",I227)</f>
        <v/>
      </c>
      <c r="J229" s="1687" t="str">
        <f t="shared" ref="J229:K229" si="320">IF(OR(CA5=G229, CA5=D229), "", CA5)</f>
        <v/>
      </c>
      <c r="K229" s="1540" t="str">
        <f t="shared" si="320"/>
        <v/>
      </c>
      <c r="L229" s="1378" t="str">
        <f>IF(OR(J229="-",J229=""),"",L227)</f>
        <v/>
      </c>
      <c r="M229" s="13" t="s">
        <v>1097</v>
      </c>
      <c r="N229" s="700">
        <f t="shared" ref="N229:U229" si="321">IFERROR(IF($M229="YES",IF($D227=N$4,$F227,0)+IF($G227=N$4,$I227,0)+IF($J227=N$4,$L227,0),0),0)</f>
        <v>1</v>
      </c>
      <c r="O229" s="700">
        <f t="shared" si="321"/>
        <v>0</v>
      </c>
      <c r="P229" s="700">
        <f t="shared" si="321"/>
        <v>0</v>
      </c>
      <c r="Q229" s="700">
        <f t="shared" si="321"/>
        <v>0</v>
      </c>
      <c r="R229" s="700">
        <f t="shared" si="321"/>
        <v>0</v>
      </c>
      <c r="S229" s="700">
        <f t="shared" si="321"/>
        <v>0</v>
      </c>
      <c r="T229" s="700">
        <f t="shared" si="321"/>
        <v>0</v>
      </c>
      <c r="U229" s="700">
        <f t="shared" si="321"/>
        <v>0</v>
      </c>
      <c r="CF229" s="314"/>
    </row>
    <row r="230" ht="19.5" customHeight="1">
      <c r="B230" s="828"/>
      <c r="C230" s="666"/>
      <c r="D230" s="1372" t="str">
        <f t="array" ref="D230">IFERROR(INDEX(AE$4:AE$12, SMALL(IF(BC$4:BC$12 = MAX(BC$4:BC$12), ROW(AE$4:AE$12)-ROW(AE$4)+1), ROW(4:4))), "-")</f>
        <v>SAVAGES</v>
      </c>
      <c r="E230" s="1540" t="str">
        <f t="array" ref="E230">IFERROR(INDEX(BC$4:BC$12, SMALL(IF(BC$4:BC$12 = MAX(BC$4:BC$12), ROW(BC$4:BC$12)-ROW(BC$4)+1), ROW(4:4))), "-")</f>
        <v/>
      </c>
      <c r="F230" s="1378">
        <f>IF(OR(D230="-",D230=""),"",F227)</f>
        <v>1</v>
      </c>
      <c r="G230" s="1466" t="str">
        <f t="shared" ref="G230:H230" si="322">IF(BY6 = D230, "", BY6)</f>
        <v>-</v>
      </c>
      <c r="H230" s="1380" t="str">
        <f t="shared" si="322"/>
        <v>-</v>
      </c>
      <c r="I230" s="1530" t="str">
        <f>IF(OR(G230="-",G230=""),"",I227)</f>
        <v/>
      </c>
      <c r="J230" s="1687" t="str">
        <f t="shared" ref="J230:K230" si="323">IF(OR(CA6=G230, CA6=D230), "", CA6)</f>
        <v/>
      </c>
      <c r="K230" s="1540" t="str">
        <f t="shared" si="323"/>
        <v/>
      </c>
      <c r="L230" s="1378" t="str">
        <f>IF(OR(J230="-",J230=""),"",L227)</f>
        <v/>
      </c>
      <c r="M230" s="13" t="s">
        <v>1097</v>
      </c>
      <c r="N230" s="700">
        <f t="shared" ref="N230:U230" si="324">IFERROR(IF($M230="YES",IF($D228=N$4,$F228,0)+IF($G228=N$4,$I228,0)+IF($J228=N$4,$L228,0),0),0)</f>
        <v>0</v>
      </c>
      <c r="O230" s="700">
        <f t="shared" si="324"/>
        <v>1</v>
      </c>
      <c r="P230" s="700">
        <f t="shared" si="324"/>
        <v>0</v>
      </c>
      <c r="Q230" s="700">
        <f t="shared" si="324"/>
        <v>0</v>
      </c>
      <c r="R230" s="700">
        <f t="shared" si="324"/>
        <v>0</v>
      </c>
      <c r="S230" s="700">
        <f t="shared" si="324"/>
        <v>0</v>
      </c>
      <c r="T230" s="700">
        <f t="shared" si="324"/>
        <v>0</v>
      </c>
      <c r="U230" s="700">
        <f t="shared" si="324"/>
        <v>0</v>
      </c>
      <c r="CF230" s="314"/>
    </row>
    <row r="231" ht="19.5" customHeight="1">
      <c r="B231" s="1318" t="s">
        <v>2179</v>
      </c>
      <c r="C231" s="827"/>
      <c r="D231" s="1323" t="str">
        <f t="array" ref="D231">IFERROR(INDEX(AE$4:AE$12, SMALL(IF(AZ$4:AZ$12 = MAX(AZ$4:AZ$12), ROW(AE$4:AE$12)-ROW(AE$4)+1), ROW(1:1))), "-")</f>
        <v>KINGS</v>
      </c>
      <c r="E231" s="1533">
        <f t="array" ref="E231">IFERROR(INDEX(AZ$4:AZ$12, SMALL(IF(AZ$4:AZ$12 = MAX(AZ$4:AZ$12), ROW(AZ$4:AZ$12)-ROW(AZ$4)+1), ROW(1:1))), "-")</f>
        <v>5</v>
      </c>
      <c r="F231" s="1325">
        <v>4.0</v>
      </c>
      <c r="G231" s="1460" t="str">
        <f t="shared" ref="G231:H231" si="325">IF(BP14 = D231, "", BP14)</f>
        <v>DECOUPES</v>
      </c>
      <c r="H231" s="1536">
        <f t="shared" si="325"/>
        <v>4</v>
      </c>
      <c r="I231" s="1325">
        <v>2.0</v>
      </c>
      <c r="J231" s="1323" t="str">
        <f t="shared" ref="J231:K231" si="326">IF(OR(BR14=G231, BR14=D231), "", BR14)</f>
        <v/>
      </c>
      <c r="K231" s="1533" t="str">
        <f t="shared" si="326"/>
        <v/>
      </c>
      <c r="L231" s="1325">
        <v>1.0</v>
      </c>
      <c r="M231" s="13" t="s">
        <v>1097</v>
      </c>
      <c r="N231" s="700">
        <f t="shared" ref="N231:U231" si="327">IFERROR(IF($M231="YES",IF($D229=N$4,$F229,0)+IF($G229=N$4,$I229,0)+IF($J229=N$4,$L229,0),0),0)</f>
        <v>0</v>
      </c>
      <c r="O231" s="700">
        <f t="shared" si="327"/>
        <v>0</v>
      </c>
      <c r="P231" s="700">
        <f t="shared" si="327"/>
        <v>1</v>
      </c>
      <c r="Q231" s="700">
        <f t="shared" si="327"/>
        <v>0</v>
      </c>
      <c r="R231" s="700">
        <f t="shared" si="327"/>
        <v>0</v>
      </c>
      <c r="S231" s="700">
        <f t="shared" si="327"/>
        <v>0</v>
      </c>
      <c r="T231" s="700">
        <f t="shared" si="327"/>
        <v>0</v>
      </c>
      <c r="U231" s="700">
        <f t="shared" si="327"/>
        <v>0</v>
      </c>
      <c r="CF231" s="314"/>
    </row>
    <row r="232" ht="19.5" customHeight="1">
      <c r="B232" s="1371"/>
      <c r="C232" s="663"/>
      <c r="D232" s="1372" t="str">
        <f t="array" ref="D232">IFERROR(INDEX(AE$4:AE$12, SMALL(IF(AZ$4:AZ$12 = MAX(AZ$4:AZ$12), ROW(AE$4:AE$12)-ROW(AE$4)+1), ROW(2:2))), "-")</f>
        <v>-</v>
      </c>
      <c r="E232" s="1540" t="str">
        <f t="array" ref="E232">IFERROR(INDEX(AZ$4:AZ$12, SMALL(IF(AZ$4:AZ$12 = MAX(AZ$4:AZ$12), ROW(AZ$4:AZ$12)-ROW(AZ$4)+1), ROW(2:2))), "-")</f>
        <v>-</v>
      </c>
      <c r="F232" s="1378" t="str">
        <f>IF(OR(D232="-",D232=""),"",F231)</f>
        <v/>
      </c>
      <c r="G232" s="1466" t="str">
        <f t="shared" ref="G232:H232" si="328">IF(BP15 = D232, "", BP15)</f>
        <v>METAMOOKDAWGS</v>
      </c>
      <c r="H232" s="1380">
        <f t="shared" si="328"/>
        <v>4</v>
      </c>
      <c r="I232" s="1530">
        <f>IF(OR(G232="-",G232=""),"",I231)</f>
        <v>2</v>
      </c>
      <c r="J232" s="1372" t="str">
        <f t="shared" ref="J232:K232" si="329">IF(OR(BR15=G232, BR15=D232), "", BR15)</f>
        <v/>
      </c>
      <c r="K232" s="1540" t="str">
        <f t="shared" si="329"/>
        <v/>
      </c>
      <c r="L232" s="1378" t="str">
        <f>IF(OR(J232="-",J232=""),"",L231)</f>
        <v/>
      </c>
      <c r="M232" s="13" t="s">
        <v>1097</v>
      </c>
      <c r="N232" s="700">
        <f t="shared" ref="N232:U232" si="330">IFERROR(IF($M232="YES",IF($D230=N$4,$F230,0)+IF($G230=N$4,$I230,0)+IF($J230=N$4,$L230,0),0),0)</f>
        <v>0</v>
      </c>
      <c r="O232" s="700">
        <f t="shared" si="330"/>
        <v>0</v>
      </c>
      <c r="P232" s="700">
        <f t="shared" si="330"/>
        <v>0</v>
      </c>
      <c r="Q232" s="700">
        <f t="shared" si="330"/>
        <v>1</v>
      </c>
      <c r="R232" s="700">
        <f t="shared" si="330"/>
        <v>0</v>
      </c>
      <c r="S232" s="700">
        <f t="shared" si="330"/>
        <v>0</v>
      </c>
      <c r="T232" s="700">
        <f t="shared" si="330"/>
        <v>0</v>
      </c>
      <c r="U232" s="700">
        <f t="shared" si="330"/>
        <v>0</v>
      </c>
      <c r="CF232" s="314"/>
    </row>
    <row r="233" ht="19.5" customHeight="1">
      <c r="B233" s="1371"/>
      <c r="C233" s="663"/>
      <c r="D233" s="1372" t="str">
        <f t="array" ref="D233">IFERROR(INDEX(AE$4:AE$12, SMALL(IF(AZ$4:AZ$12 = MAX(AZ$4:AZ$12), ROW(AE$4:AE$12)-ROW(AE$4)+1), ROW(3:3))), "-")</f>
        <v>-</v>
      </c>
      <c r="E233" s="1540" t="str">
        <f t="array" ref="E233">IFERROR(INDEX(AZ$4:AZ$12, SMALL(IF(AZ$4:AZ$12 = MAX(AZ$4:AZ$12), ROW(AZ$4:AZ$12)-ROW(AZ$4)+1), ROW(3:3))), "-")</f>
        <v>-</v>
      </c>
      <c r="F233" s="1378" t="str">
        <f>IF(OR(D233="-",D233=""),"",F231)</f>
        <v/>
      </c>
      <c r="G233" s="1466" t="str">
        <f t="shared" ref="G233:H233" si="331">IF(BP16 = D233, "", BP16)</f>
        <v/>
      </c>
      <c r="H233" s="1380" t="str">
        <f t="shared" si="331"/>
        <v/>
      </c>
      <c r="I233" s="1530" t="str">
        <f>IF(OR(G233="-",G233=""),"",I231)</f>
        <v/>
      </c>
      <c r="J233" s="1372" t="str">
        <f t="shared" ref="J233:K233" si="332">IF(OR(BR16=G233, BR16=D233), "", BR16)</f>
        <v/>
      </c>
      <c r="K233" s="1540" t="str">
        <f t="shared" si="332"/>
        <v/>
      </c>
      <c r="L233" s="1378" t="str">
        <f>IF(OR(J233="-",J233=""),"",L231)</f>
        <v/>
      </c>
      <c r="M233" s="13" t="s">
        <v>1097</v>
      </c>
      <c r="N233" s="700">
        <f t="shared" ref="N233:U233" si="333">IFERROR(IF($M233="YES",IF($D231=N$4,$F231,0)+IF($G231=N$4,$I231,0)+IF($J231=N$4,$L231,0),0),0)</f>
        <v>2</v>
      </c>
      <c r="O233" s="700">
        <f t="shared" si="333"/>
        <v>0</v>
      </c>
      <c r="P233" s="700">
        <f t="shared" si="333"/>
        <v>0</v>
      </c>
      <c r="Q233" s="700">
        <f t="shared" si="333"/>
        <v>0</v>
      </c>
      <c r="R233" s="700">
        <f t="shared" si="333"/>
        <v>0</v>
      </c>
      <c r="S233" s="700">
        <f t="shared" si="333"/>
        <v>0</v>
      </c>
      <c r="T233" s="700">
        <f t="shared" si="333"/>
        <v>0</v>
      </c>
      <c r="U233" s="700">
        <f t="shared" si="333"/>
        <v>0</v>
      </c>
      <c r="CF233" s="314"/>
    </row>
    <row r="234" ht="19.5" customHeight="1">
      <c r="B234" s="1371"/>
      <c r="C234" s="663"/>
      <c r="D234" s="1372" t="str">
        <f t="array" ref="D234">IFERROR(INDEX(AE$4:AE$12, SMALL(IF(AZ$4:AZ$12 = MAX(AZ$4:AZ$12), ROW(AE$4:AE$12)-ROW(AE$4)+1), ROW(4:4))), "-")</f>
        <v>-</v>
      </c>
      <c r="E234" s="1540" t="str">
        <f t="array" ref="E234">IFERROR(INDEX(AZ$4:AZ$12, SMALL(IF(AZ$4:AZ$12 = MAX(AZ$4:AZ$12), ROW(AZ$4:AZ$12)-ROW(AZ$4)+1), ROW(4:4))), "-")</f>
        <v>-</v>
      </c>
      <c r="F234" s="1378" t="str">
        <f t="shared" ref="F234:F238" si="337">IF(OR(D234="-",D234=""),"",F231)</f>
        <v/>
      </c>
      <c r="G234" s="1466" t="str">
        <f t="shared" ref="G234:H234" si="334">IF(BR17 = D234, "", BR17)</f>
        <v/>
      </c>
      <c r="H234" s="1380" t="str">
        <f t="shared" si="334"/>
        <v/>
      </c>
      <c r="I234" s="1530" t="str">
        <f t="shared" ref="I234:I238" si="339">IF(OR(G234="-",G234=""),"",I231)</f>
        <v/>
      </c>
      <c r="J234" s="1372" t="str">
        <f t="shared" ref="J234:K234" si="335">IF(OR(BT17=G234, BT17=D234), "", BT17)</f>
        <v/>
      </c>
      <c r="K234" s="1540" t="str">
        <f t="shared" si="335"/>
        <v/>
      </c>
      <c r="L234" s="1378" t="str">
        <f t="shared" ref="L234:L238" si="341">IF(OR(J234="-",J234=""),"",L231)</f>
        <v/>
      </c>
      <c r="M234" s="13" t="s">
        <v>1097</v>
      </c>
      <c r="N234" s="700">
        <f t="shared" ref="N234:U234" si="336">IFERROR(IF($M234="YES",IF($D232=N$4,$F232,0)+IF($G232=N$4,$I232,0)+IF($J232=N$4,$L232,0),0),0)</f>
        <v>0</v>
      </c>
      <c r="O234" s="700">
        <f t="shared" si="336"/>
        <v>0</v>
      </c>
      <c r="P234" s="700">
        <f t="shared" si="336"/>
        <v>0</v>
      </c>
      <c r="Q234" s="700">
        <f t="shared" si="336"/>
        <v>0</v>
      </c>
      <c r="R234" s="700">
        <f t="shared" si="336"/>
        <v>0</v>
      </c>
      <c r="S234" s="700">
        <f t="shared" si="336"/>
        <v>2</v>
      </c>
      <c r="T234" s="700">
        <f t="shared" si="336"/>
        <v>0</v>
      </c>
      <c r="U234" s="700">
        <f t="shared" si="336"/>
        <v>0</v>
      </c>
      <c r="CF234" s="314"/>
    </row>
    <row r="235" ht="19.5" customHeight="1">
      <c r="B235" s="1371"/>
      <c r="C235" s="663"/>
      <c r="D235" s="1372" t="str">
        <f t="array" ref="D235">IFERROR(INDEX(AE$4:AE$12, SMALL(IF(AZ$4:AZ$12 = MAX(AZ$4:AZ$12), ROW(AE$4:AE$12)-ROW(AE$4)+1), ROW(5:5))), "-")</f>
        <v>-</v>
      </c>
      <c r="E235" s="1540" t="str">
        <f t="array" ref="E235">IFERROR(INDEX(AZ$4:AZ$12, SMALL(IF(AZ$4:AZ$12 = MAX(AZ$4:AZ$12), ROW(AZ$4:AZ$12)-ROW(AZ$4)+1), ROW(5:5))), "-")</f>
        <v>-</v>
      </c>
      <c r="F235" s="1378" t="str">
        <f t="shared" si="337"/>
        <v/>
      </c>
      <c r="G235" s="1466" t="str">
        <f t="shared" ref="G235:H235" si="338">IF(BR18 = D235, "", BR18)</f>
        <v/>
      </c>
      <c r="H235" s="1380" t="str">
        <f t="shared" si="338"/>
        <v/>
      </c>
      <c r="I235" s="1530" t="str">
        <f t="shared" si="339"/>
        <v/>
      </c>
      <c r="J235" s="1372" t="str">
        <f t="shared" ref="J235:K235" si="340">IF(OR(BT18=G235, BT18=D235), "", BT18)</f>
        <v/>
      </c>
      <c r="K235" s="1540" t="str">
        <f t="shared" si="340"/>
        <v/>
      </c>
      <c r="L235" s="1378" t="str">
        <f t="shared" si="341"/>
        <v/>
      </c>
      <c r="M235" s="13" t="s">
        <v>1097</v>
      </c>
      <c r="N235" s="700">
        <f t="shared" ref="N235:U235" si="342">IFERROR(IF($M235="YES",IF($D233=N$4,$F233,0)+IF($G233=N$4,$I233,0)+IF($J233=N$4,$L233,0),0),0)</f>
        <v>0</v>
      </c>
      <c r="O235" s="700">
        <f t="shared" si="342"/>
        <v>0</v>
      </c>
      <c r="P235" s="700">
        <f t="shared" si="342"/>
        <v>0</v>
      </c>
      <c r="Q235" s="700">
        <f t="shared" si="342"/>
        <v>0</v>
      </c>
      <c r="R235" s="700">
        <f t="shared" si="342"/>
        <v>0</v>
      </c>
      <c r="S235" s="700">
        <f t="shared" si="342"/>
        <v>0</v>
      </c>
      <c r="T235" s="700">
        <f t="shared" si="342"/>
        <v>0</v>
      </c>
      <c r="U235" s="700">
        <f t="shared" si="342"/>
        <v>0</v>
      </c>
      <c r="CF235" s="314"/>
    </row>
    <row r="236" ht="19.5" customHeight="1">
      <c r="B236" s="1371"/>
      <c r="C236" s="663"/>
      <c r="D236" s="1372" t="str">
        <f t="array" ref="D236">IFERROR(INDEX(AE$4:AE$12, SMALL(IF(AZ$4:AZ$12 = MAX(AZ$4:AZ$12), ROW(AE$4:AE$12)-ROW(AE$4)+1), ROW(6:6))), "-")</f>
        <v>-</v>
      </c>
      <c r="E236" s="1540" t="str">
        <f t="array" ref="E236">IFERROR(INDEX(AZ$4:AZ$12, SMALL(IF(AZ$4:AZ$12 = MAX(AZ$4:AZ$12), ROW(AZ$4:AZ$12)-ROW(AZ$4)+1), ROW(6:6))), "-")</f>
        <v>-</v>
      </c>
      <c r="F236" s="1378" t="str">
        <f t="shared" si="337"/>
        <v/>
      </c>
      <c r="G236" s="1466" t="str">
        <f t="shared" ref="G236:H236" si="343">IF(BR19 = D236, "", BR19)</f>
        <v/>
      </c>
      <c r="H236" s="1380" t="str">
        <f t="shared" si="343"/>
        <v/>
      </c>
      <c r="I236" s="1530" t="str">
        <f t="shared" si="339"/>
        <v/>
      </c>
      <c r="J236" s="1372" t="str">
        <f t="shared" ref="J236:K236" si="344">IF(OR(BT19=G236, BT19=D236), "", BT19)</f>
        <v/>
      </c>
      <c r="K236" s="1540" t="str">
        <f t="shared" si="344"/>
        <v/>
      </c>
      <c r="L236" s="1378" t="str">
        <f t="shared" si="341"/>
        <v/>
      </c>
      <c r="M236" s="13" t="s">
        <v>1097</v>
      </c>
      <c r="N236" s="700">
        <f t="shared" ref="N236:U236" si="345">IFERROR(IF($M236="YES",IF($D234=N$4,$F234,0)+IF($G234=N$4,$I234,0)+IF($J234=N$4,$L234,0),0),0)</f>
        <v>0</v>
      </c>
      <c r="O236" s="700">
        <f t="shared" si="345"/>
        <v>0</v>
      </c>
      <c r="P236" s="700">
        <f t="shared" si="345"/>
        <v>0</v>
      </c>
      <c r="Q236" s="700">
        <f t="shared" si="345"/>
        <v>0</v>
      </c>
      <c r="R236" s="700">
        <f t="shared" si="345"/>
        <v>0</v>
      </c>
      <c r="S236" s="700">
        <f t="shared" si="345"/>
        <v>0</v>
      </c>
      <c r="T236" s="700">
        <f t="shared" si="345"/>
        <v>0</v>
      </c>
      <c r="U236" s="700">
        <f t="shared" si="345"/>
        <v>0</v>
      </c>
      <c r="CF236" s="314"/>
    </row>
    <row r="237" ht="19.5" customHeight="1">
      <c r="B237" s="1371"/>
      <c r="C237" s="663"/>
      <c r="D237" s="1372" t="str">
        <f t="array" ref="D237">IFERROR(INDEX(AE$4:AE$12, SMALL(IF(AZ$4:AZ$12 = MAX(AZ$4:AZ$12), ROW(AE$4:AE$12)-ROW(AE$4)+1), ROW(7:7))), "-")</f>
        <v>-</v>
      </c>
      <c r="E237" s="1540" t="str">
        <f t="array" ref="E237">IFERROR(INDEX(AZ$4:AZ$12, SMALL(IF(AZ$4:AZ$12 = MAX(AZ$4:AZ$12), ROW(AZ$4:AZ$12)-ROW(AZ$4)+1), ROW(7:7))), "-")</f>
        <v>-</v>
      </c>
      <c r="F237" s="1378" t="str">
        <f t="shared" si="337"/>
        <v/>
      </c>
      <c r="G237" s="1466" t="str">
        <f t="shared" ref="G237:H237" si="346">IF(BR20 = D237, "", BR20)</f>
        <v/>
      </c>
      <c r="H237" s="1380" t="str">
        <f t="shared" si="346"/>
        <v/>
      </c>
      <c r="I237" s="1530" t="str">
        <f t="shared" si="339"/>
        <v/>
      </c>
      <c r="J237" s="1372" t="str">
        <f t="shared" ref="J237:K237" si="347">IF(OR(BT20=G237, BT20=D237), "", BT20)</f>
        <v/>
      </c>
      <c r="K237" s="1540" t="str">
        <f t="shared" si="347"/>
        <v/>
      </c>
      <c r="L237" s="1378" t="str">
        <f t="shared" si="341"/>
        <v/>
      </c>
      <c r="M237" s="13" t="s">
        <v>1097</v>
      </c>
      <c r="N237" s="700">
        <f t="shared" ref="N237:U237" si="348">IFERROR(IF($M237="YES",IF($D235=N$4,$F235,0)+IF($G235=N$4,$I235,0)+IF($J235=N$4,$L235,0),0),0)</f>
        <v>0</v>
      </c>
      <c r="O237" s="700">
        <f t="shared" si="348"/>
        <v>0</v>
      </c>
      <c r="P237" s="700">
        <f t="shared" si="348"/>
        <v>0</v>
      </c>
      <c r="Q237" s="700">
        <f t="shared" si="348"/>
        <v>0</v>
      </c>
      <c r="R237" s="700">
        <f t="shared" si="348"/>
        <v>0</v>
      </c>
      <c r="S237" s="700">
        <f t="shared" si="348"/>
        <v>0</v>
      </c>
      <c r="T237" s="700">
        <f t="shared" si="348"/>
        <v>0</v>
      </c>
      <c r="U237" s="700">
        <f t="shared" si="348"/>
        <v>0</v>
      </c>
      <c r="CF237" s="314"/>
    </row>
    <row r="238" ht="19.5" customHeight="1">
      <c r="B238" s="828"/>
      <c r="C238" s="666"/>
      <c r="D238" s="1423" t="str">
        <f t="array" ref="D238">IFERROR(INDEX(AE$4:AE$12, SMALL(IF(AZ$4:AZ$12 = MAX(AZ$4:AZ$12), ROW(AE$4:AE$12)-ROW(AE$4)+1), ROW(8:8))), "-")</f>
        <v>-</v>
      </c>
      <c r="E238" s="1542" t="str">
        <f t="array" ref="E238">IFERROR(INDEX(AZ$4:AZ$12, SMALL(IF(AZ$4:AZ$12 = MAX(AZ$4:AZ$12), ROW(AZ$4:AZ$12)-ROW(AZ$4)+1), ROW(8:8))), "-")</f>
        <v>-</v>
      </c>
      <c r="F238" s="1425" t="str">
        <f t="shared" si="337"/>
        <v/>
      </c>
      <c r="G238" s="1476" t="str">
        <f t="shared" ref="G238:H238" si="349">IF(BR21 = D238, "", BR21)</f>
        <v/>
      </c>
      <c r="H238" s="1433" t="str">
        <f t="shared" si="349"/>
        <v/>
      </c>
      <c r="I238" s="1532" t="str">
        <f t="shared" si="339"/>
        <v/>
      </c>
      <c r="J238" s="1423" t="str">
        <f t="shared" ref="J238:K238" si="350">IF(OR(BT21=G238, BT21=D238), "", BT21)</f>
        <v/>
      </c>
      <c r="K238" s="1542" t="str">
        <f t="shared" si="350"/>
        <v/>
      </c>
      <c r="L238" s="1425" t="str">
        <f t="shared" si="341"/>
        <v/>
      </c>
      <c r="M238" s="13" t="s">
        <v>1097</v>
      </c>
      <c r="N238" s="700">
        <f t="shared" ref="N238:U238" si="351">IFERROR(IF($M238="YES",IF($D236=N$4,$F236,0)+IF($G236=N$4,$I236,0)+IF($J236=N$4,$L236,0),0),0)</f>
        <v>0</v>
      </c>
      <c r="O238" s="700">
        <f t="shared" si="351"/>
        <v>0</v>
      </c>
      <c r="P238" s="700">
        <f t="shared" si="351"/>
        <v>0</v>
      </c>
      <c r="Q238" s="700">
        <f t="shared" si="351"/>
        <v>0</v>
      </c>
      <c r="R238" s="700">
        <f t="shared" si="351"/>
        <v>0</v>
      </c>
      <c r="S238" s="700">
        <f t="shared" si="351"/>
        <v>0</v>
      </c>
      <c r="T238" s="700">
        <f t="shared" si="351"/>
        <v>0</v>
      </c>
      <c r="U238" s="700">
        <f t="shared" si="351"/>
        <v>0</v>
      </c>
      <c r="CF238" s="314"/>
    </row>
    <row r="239" ht="19.5" customHeight="1">
      <c r="B239" s="1458" t="s">
        <v>2187</v>
      </c>
      <c r="C239" s="827"/>
      <c r="D239" s="1372" t="str">
        <f t="array" ref="D239">IFERROR(INDEX(AE$4:AE$12, SMALL(IF(BB$4:BB$12 = MAX(BB$4:BB$12), ROW(AE$4:AE$12)-ROW(AE$4)+1), ROW(1:1))), "-")</f>
        <v>DECOUPES</v>
      </c>
      <c r="E239" s="1540" t="str">
        <f t="array" ref="E239">IFERROR(INDEX(BB$4:BB$12, SMALL(IF(BB$4:BB$12 = MAX(BB$4:BB$12), ROW(BB$4:BB$12)-ROW(BB$4)+1), ROW(1:1))), "-")</f>
        <v/>
      </c>
      <c r="F239" s="1503">
        <v>1.0</v>
      </c>
      <c r="G239" s="1466" t="str">
        <f t="shared" ref="G239:H239" si="352">IF(BO9 = D239, "", BO9)</f>
        <v>-</v>
      </c>
      <c r="H239" s="1380" t="str">
        <f t="shared" si="352"/>
        <v>-</v>
      </c>
      <c r="I239" s="1503">
        <v>0.5</v>
      </c>
      <c r="J239" s="1372" t="str">
        <f t="shared" ref="J239:K239" si="353">IF(OR(BQ9=G239, BQ9=D239), "", BQ9)</f>
        <v/>
      </c>
      <c r="K239" s="1540" t="str">
        <f t="shared" si="353"/>
        <v/>
      </c>
      <c r="L239" s="1503">
        <v>0.25</v>
      </c>
      <c r="M239" s="13" t="s">
        <v>1097</v>
      </c>
      <c r="N239" s="700">
        <f t="shared" ref="N239:U239" si="354">IFERROR(IF($M239="YES",IF($D237=N$4,$F237,0)+IF($G237=N$4,$I237,0)+IF($J237=N$4,$L237,0),0),0)</f>
        <v>0</v>
      </c>
      <c r="O239" s="700">
        <f t="shared" si="354"/>
        <v>0</v>
      </c>
      <c r="P239" s="700">
        <f t="shared" si="354"/>
        <v>0</v>
      </c>
      <c r="Q239" s="700">
        <f t="shared" si="354"/>
        <v>0</v>
      </c>
      <c r="R239" s="700">
        <f t="shared" si="354"/>
        <v>0</v>
      </c>
      <c r="S239" s="700">
        <f t="shared" si="354"/>
        <v>0</v>
      </c>
      <c r="T239" s="700">
        <f t="shared" si="354"/>
        <v>0</v>
      </c>
      <c r="U239" s="700">
        <f t="shared" si="354"/>
        <v>0</v>
      </c>
      <c r="CF239" s="314"/>
    </row>
    <row r="240" ht="15.75" customHeight="1">
      <c r="B240" s="1371"/>
      <c r="C240" s="663"/>
      <c r="D240" s="1372" t="str">
        <f t="array" ref="D240">IFERROR(INDEX(AE$4:AE$12, SMALL(IF(BB$4:BB$12 = MAX(BB$4:BB$12), ROW(AE$4:AE$12)-ROW(AE$4)+1), ROW(2:2))), "-")</f>
        <v>POPEYES</v>
      </c>
      <c r="E240" s="1540" t="str">
        <f t="array" ref="E240">IFERROR(INDEX(BB$4:BB$12, SMALL(IF(BB$4:BB$12 = MAX(BB$4:BB$12), ROW(BB$4:BB$12)-ROW(BB$4)+1), ROW(2:2))), "-")</f>
        <v/>
      </c>
      <c r="F240" s="1378">
        <f>IF(OR(D240="-",D240=""),"",F239)</f>
        <v>1</v>
      </c>
      <c r="G240" s="1466" t="str">
        <f t="shared" ref="G240:H240" si="355">IF(BO10 = D240, "", BO10)</f>
        <v>-</v>
      </c>
      <c r="H240" s="1380" t="str">
        <f t="shared" si="355"/>
        <v>-</v>
      </c>
      <c r="I240" s="1530" t="str">
        <f>IF(OR(G240="-",G240=""),"",I239)</f>
        <v/>
      </c>
      <c r="J240" s="1372" t="str">
        <f t="shared" ref="J240:K240" si="356">IF(OR(BQ10=G240, BQ10=D240), "", BQ10)</f>
        <v/>
      </c>
      <c r="K240" s="1540" t="str">
        <f t="shared" si="356"/>
        <v/>
      </c>
      <c r="L240" s="1378" t="str">
        <f>IF(OR(J240="-",J240=""),"",L239)</f>
        <v/>
      </c>
      <c r="M240" s="13" t="s">
        <v>1097</v>
      </c>
      <c r="N240" s="700">
        <f t="shared" ref="N240:U240" si="357">IFERROR(IF($M240="YES",IF($D238=N$4,$F238,0)+IF($G238=N$4,$I238,0)+IF($J238=N$4,$L238,0),0),0)</f>
        <v>0</v>
      </c>
      <c r="O240" s="700">
        <f t="shared" si="357"/>
        <v>0</v>
      </c>
      <c r="P240" s="700">
        <f t="shared" si="357"/>
        <v>0</v>
      </c>
      <c r="Q240" s="700">
        <f t="shared" si="357"/>
        <v>0</v>
      </c>
      <c r="R240" s="700">
        <f t="shared" si="357"/>
        <v>0</v>
      </c>
      <c r="S240" s="700">
        <f t="shared" si="357"/>
        <v>0</v>
      </c>
      <c r="T240" s="700">
        <f t="shared" si="357"/>
        <v>0</v>
      </c>
      <c r="U240" s="700">
        <f t="shared" si="357"/>
        <v>0</v>
      </c>
      <c r="CF240" s="314"/>
    </row>
    <row r="241" ht="15.75" customHeight="1">
      <c r="B241" s="1371"/>
      <c r="C241" s="663"/>
      <c r="D241" s="1372" t="str">
        <f t="array" ref="D241">IFERROR(INDEX(AE$4:AE$12, SMALL(IF(BB$4:BB$12 = MAX(BB$4:BB$12), ROW(AE$4:AE$12)-ROW(AE$4)+1), ROW(3:3))), "-")</f>
        <v>GREEN</v>
      </c>
      <c r="E241" s="1540" t="str">
        <f t="array" ref="E241">IFERROR(INDEX(BB$4:BB$12, SMALL(IF(BB$4:BB$12 = MAX(BB$4:BB$12), ROW(BB$4:BB$12)-ROW(BB$4)+1), ROW(3:3))), "-")</f>
        <v/>
      </c>
      <c r="F241" s="1378">
        <f>IF(OR(D241="-",D241=""),"",F239)</f>
        <v>1</v>
      </c>
      <c r="G241" s="1466" t="str">
        <f t="shared" ref="G241:H241" si="358">IF(BO11 = D241, "", BO11)</f>
        <v>-</v>
      </c>
      <c r="H241" s="1380" t="str">
        <f t="shared" si="358"/>
        <v>-</v>
      </c>
      <c r="I241" s="1530" t="str">
        <f>IF(OR(G241="-",G241=""),"",I239)</f>
        <v/>
      </c>
      <c r="J241" s="1372" t="str">
        <f t="shared" ref="J241:K241" si="359">IF(OR(BQ11=G241, BQ11=D241), "", BQ11)</f>
        <v/>
      </c>
      <c r="K241" s="1540" t="str">
        <f t="shared" si="359"/>
        <v/>
      </c>
      <c r="L241" s="1378" t="str">
        <f>IF(OR(J241="-",J241=""),"",L239)</f>
        <v/>
      </c>
      <c r="M241" s="13" t="s">
        <v>1097</v>
      </c>
      <c r="N241" s="700">
        <f t="shared" ref="N241:U241" si="360">IFERROR(IF($M241="YES",IF($D239=N$4,$F239,0)+IF($G239=N$4,$I239,0)+IF($J239=N$4,$L239,0),0),0)</f>
        <v>1</v>
      </c>
      <c r="O241" s="700">
        <f t="shared" si="360"/>
        <v>0</v>
      </c>
      <c r="P241" s="700">
        <f t="shared" si="360"/>
        <v>0</v>
      </c>
      <c r="Q241" s="700">
        <f t="shared" si="360"/>
        <v>0</v>
      </c>
      <c r="R241" s="700">
        <f t="shared" si="360"/>
        <v>0</v>
      </c>
      <c r="S241" s="700">
        <f t="shared" si="360"/>
        <v>0</v>
      </c>
      <c r="T241" s="700">
        <f t="shared" si="360"/>
        <v>0</v>
      </c>
      <c r="U241" s="700">
        <f t="shared" si="360"/>
        <v>0</v>
      </c>
      <c r="CF241" s="314"/>
    </row>
    <row r="242" ht="19.5" customHeight="1">
      <c r="B242" s="828"/>
      <c r="C242" s="666"/>
      <c r="D242" s="1423" t="str">
        <f t="array" ref="D242">IFERROR(INDEX(AE$4:AE$12, SMALL(IF(BB$4:BB$12 = MAX(BB$4:BB$12), ROW(AE$4:AE$12)-ROW(AE$4)+1), ROW(4:4))), "-")</f>
        <v>SAVAGES</v>
      </c>
      <c r="E242" s="1542" t="str">
        <f t="array" ref="E242">IFERROR(INDEX(BB$4:BB$12, SMALL(IF(BB$4:BB$12 = MAX(BB$4:BB$12), ROW(BB$4:BB$12)-ROW(BB$4)+1), ROW(4:4))), "-")</f>
        <v/>
      </c>
      <c r="F242" s="1425">
        <f>IF(OR(D242="-",D242=""),"",F239)</f>
        <v>1</v>
      </c>
      <c r="G242" s="1476" t="str">
        <f t="shared" ref="G242:H242" si="361">IF(BO12 = D242, "", BO12)</f>
        <v>-</v>
      </c>
      <c r="H242" s="1433" t="str">
        <f t="shared" si="361"/>
        <v>-</v>
      </c>
      <c r="I242" s="1532" t="str">
        <f>IF(OR(G242="-",G242=""),"",I239)</f>
        <v/>
      </c>
      <c r="J242" s="1423" t="str">
        <f t="shared" ref="J242:K242" si="362">IF(OR(BQ12=G242, BQ12=D242), "", BQ12)</f>
        <v/>
      </c>
      <c r="K242" s="1542" t="str">
        <f t="shared" si="362"/>
        <v/>
      </c>
      <c r="L242" s="1425" t="str">
        <f>IF(OR(J242="-",J242=""),"",L239)</f>
        <v/>
      </c>
      <c r="M242" s="13" t="s">
        <v>1097</v>
      </c>
      <c r="N242" s="700">
        <f t="shared" ref="N242:U242" si="363">IFERROR(IF($M242="YES",IF($D240=N$4,$F240,0)+IF($G240=N$4,$I240,0)+IF($J240=N$4,$L240,0),0),0)</f>
        <v>0</v>
      </c>
      <c r="O242" s="700">
        <f t="shared" si="363"/>
        <v>1</v>
      </c>
      <c r="P242" s="700">
        <f t="shared" si="363"/>
        <v>0</v>
      </c>
      <c r="Q242" s="700">
        <f t="shared" si="363"/>
        <v>0</v>
      </c>
      <c r="R242" s="700">
        <f t="shared" si="363"/>
        <v>0</v>
      </c>
      <c r="S242" s="700">
        <f t="shared" si="363"/>
        <v>0</v>
      </c>
      <c r="T242" s="700">
        <f t="shared" si="363"/>
        <v>0</v>
      </c>
      <c r="U242" s="700">
        <f t="shared" si="363"/>
        <v>0</v>
      </c>
      <c r="CF242" s="314"/>
    </row>
    <row r="243" ht="15.75" customHeight="1">
      <c r="M243" s="13" t="s">
        <v>1097</v>
      </c>
      <c r="N243" s="700">
        <f t="shared" ref="N243:U243" si="364">IFERROR(IF($M243="YES",IF($D241=N$4,$F241,0)+IF($G241=N$4,$I241,0)+IF($J241=N$4,$L241,0),0),0)</f>
        <v>0</v>
      </c>
      <c r="O243" s="700">
        <f t="shared" si="364"/>
        <v>0</v>
      </c>
      <c r="P243" s="700">
        <f t="shared" si="364"/>
        <v>1</v>
      </c>
      <c r="Q243" s="700">
        <f t="shared" si="364"/>
        <v>0</v>
      </c>
      <c r="R243" s="700">
        <f t="shared" si="364"/>
        <v>0</v>
      </c>
      <c r="S243" s="700">
        <f t="shared" si="364"/>
        <v>0</v>
      </c>
      <c r="T243" s="700">
        <f t="shared" si="364"/>
        <v>0</v>
      </c>
      <c r="U243" s="700">
        <f t="shared" si="364"/>
        <v>0</v>
      </c>
      <c r="CF243" s="314"/>
    </row>
    <row r="244" ht="15.75" customHeight="1">
      <c r="B244" s="1253" t="s">
        <v>2188</v>
      </c>
      <c r="C244" s="905"/>
      <c r="D244" s="905"/>
      <c r="E244" s="905"/>
      <c r="F244" s="905"/>
      <c r="G244" s="905"/>
      <c r="H244" s="905"/>
      <c r="I244" s="905"/>
      <c r="J244" s="905"/>
      <c r="K244" s="905"/>
      <c r="L244" s="554"/>
      <c r="M244" s="13" t="s">
        <v>1097</v>
      </c>
      <c r="N244" s="700">
        <f t="shared" ref="N244:U244" si="365">IFERROR(IF($M244="YES",IF($D242=N$4,$F242,0)+IF($G242=N$4,$I242,0)+IF($J242=N$4,$L242,0),0),0)</f>
        <v>0</v>
      </c>
      <c r="O244" s="700">
        <f t="shared" si="365"/>
        <v>0</v>
      </c>
      <c r="P244" s="700">
        <f t="shared" si="365"/>
        <v>0</v>
      </c>
      <c r="Q244" s="700">
        <f t="shared" si="365"/>
        <v>1</v>
      </c>
      <c r="R244" s="700">
        <f t="shared" si="365"/>
        <v>0</v>
      </c>
      <c r="S244" s="700">
        <f t="shared" si="365"/>
        <v>0</v>
      </c>
      <c r="T244" s="700">
        <f t="shared" si="365"/>
        <v>0</v>
      </c>
      <c r="U244" s="700">
        <f t="shared" si="365"/>
        <v>0</v>
      </c>
      <c r="CF244" s="314"/>
    </row>
    <row r="245" ht="15.75" customHeight="1">
      <c r="B245" s="1688"/>
      <c r="C245" s="1689"/>
      <c r="D245" s="1689"/>
      <c r="E245" s="1690" t="s">
        <v>169</v>
      </c>
      <c r="F245" s="905"/>
      <c r="G245" s="905"/>
      <c r="H245" s="906"/>
      <c r="I245" s="1292"/>
      <c r="J245" s="1292" t="s">
        <v>30</v>
      </c>
      <c r="K245" s="1292" t="s">
        <v>2189</v>
      </c>
      <c r="L245" s="1293" t="s">
        <v>1065</v>
      </c>
      <c r="M245" s="13" t="s">
        <v>1097</v>
      </c>
      <c r="N245" s="700">
        <f t="shared" ref="N245:U245" si="366">IFERROR(IF($M245="YES",IF($D243=N$4,$F243,0)+IF($G243=N$4,$I243,0)+IF($J243=N$4,$L243,0),0),0)</f>
        <v>0</v>
      </c>
      <c r="O245" s="700">
        <f t="shared" si="366"/>
        <v>0</v>
      </c>
      <c r="P245" s="700">
        <f t="shared" si="366"/>
        <v>0</v>
      </c>
      <c r="Q245" s="700">
        <f t="shared" si="366"/>
        <v>0</v>
      </c>
      <c r="R245" s="700">
        <f t="shared" si="366"/>
        <v>0</v>
      </c>
      <c r="S245" s="700">
        <f t="shared" si="366"/>
        <v>0</v>
      </c>
      <c r="T245" s="700">
        <f t="shared" si="366"/>
        <v>0</v>
      </c>
      <c r="U245" s="700">
        <f t="shared" si="366"/>
        <v>0</v>
      </c>
      <c r="CF245" s="314"/>
    </row>
    <row r="246" ht="15.75" customHeight="1">
      <c r="B246" s="1318" t="s">
        <v>126</v>
      </c>
      <c r="C246" s="826"/>
      <c r="D246" s="826"/>
      <c r="E246" s="1691" t="str">
        <f>'Weekly Scores'!$AD$2</f>
        <v>MUTTS</v>
      </c>
      <c r="F246" s="826"/>
      <c r="G246" s="826"/>
      <c r="H246" s="826"/>
      <c r="I246" s="826"/>
      <c r="J246" s="1691" t="str">
        <f>'Weekly Scores'!$AE$2</f>
        <v>WEEK 10</v>
      </c>
      <c r="K246" s="1692">
        <f>'Weekly Scores'!$AC$2</f>
        <v>0.2</v>
      </c>
      <c r="L246" s="1693">
        <v>2.0</v>
      </c>
      <c r="M246" s="13" t="s">
        <v>1097</v>
      </c>
      <c r="N246" s="700">
        <f t="shared" ref="N246:U246" si="367">IFERROR(IF($M246="YES",IF($D244=N$4,$F244,0)+IF($G244=N$4,$I244,0)+IF($J244=N$4,$L244,0),0),0)</f>
        <v>0</v>
      </c>
      <c r="O246" s="700">
        <f t="shared" si="367"/>
        <v>0</v>
      </c>
      <c r="P246" s="700">
        <f t="shared" si="367"/>
        <v>0</v>
      </c>
      <c r="Q246" s="700">
        <f t="shared" si="367"/>
        <v>0</v>
      </c>
      <c r="R246" s="700">
        <f t="shared" si="367"/>
        <v>0</v>
      </c>
      <c r="S246" s="700">
        <f t="shared" si="367"/>
        <v>0</v>
      </c>
      <c r="T246" s="700">
        <f t="shared" si="367"/>
        <v>0</v>
      </c>
      <c r="U246" s="700">
        <f t="shared" si="367"/>
        <v>0</v>
      </c>
      <c r="CF246" s="314"/>
    </row>
    <row r="247" ht="15.75" customHeight="1">
      <c r="B247" s="1694" t="s">
        <v>570</v>
      </c>
      <c r="C247" s="525"/>
      <c r="D247" s="1257"/>
      <c r="E247" s="1695" t="str">
        <f>'Weekly Scores'!$AD$3</f>
        <v>CHAMPS</v>
      </c>
      <c r="F247" s="525"/>
      <c r="G247" s="525"/>
      <c r="H247" s="525"/>
      <c r="I247" s="1257"/>
      <c r="J247" s="1659" t="str">
        <f>'Weekly Scores'!$AE$3</f>
        <v>WEEK 3</v>
      </c>
      <c r="K247" s="1660">
        <f>'Weekly Scores'!$AC$3</f>
        <v>136.87</v>
      </c>
      <c r="L247" s="1696">
        <v>2.0</v>
      </c>
      <c r="M247" s="13" t="s">
        <v>1097</v>
      </c>
      <c r="N247" s="700">
        <f t="shared" ref="N247:U247" si="368">IFERROR(IF($M247="YES",IF($D245=N$4,$F245,0)+IF($G245=N$4,$I245,0)+IF($J245=N$4,$L245,0),0),0)</f>
        <v>0</v>
      </c>
      <c r="O247" s="700">
        <f t="shared" si="368"/>
        <v>0</v>
      </c>
      <c r="P247" s="700">
        <f t="shared" si="368"/>
        <v>0</v>
      </c>
      <c r="Q247" s="700">
        <f t="shared" si="368"/>
        <v>0</v>
      </c>
      <c r="R247" s="700">
        <f t="shared" si="368"/>
        <v>0</v>
      </c>
      <c r="S247" s="700">
        <f t="shared" si="368"/>
        <v>0</v>
      </c>
      <c r="T247" s="700">
        <f t="shared" si="368"/>
        <v>0</v>
      </c>
      <c r="U247" s="700">
        <f t="shared" si="368"/>
        <v>0</v>
      </c>
      <c r="CF247" s="314"/>
    </row>
    <row r="248" ht="15.75" customHeight="1">
      <c r="B248" s="1318" t="s">
        <v>184</v>
      </c>
      <c r="C248" s="826"/>
      <c r="D248" s="826"/>
      <c r="E248" s="1691" t="str">
        <f>'Weekly Scores'!$AD$4</f>
        <v>DECOUPES</v>
      </c>
      <c r="F248" s="826"/>
      <c r="G248" s="826"/>
      <c r="H248" s="826"/>
      <c r="I248" s="826"/>
      <c r="J248" s="1691" t="str">
        <f>'Weekly Scores'!$AE$4</f>
        <v>WEEK 12</v>
      </c>
      <c r="K248" s="1692">
        <f>'Weekly Scores'!$AC$4</f>
        <v>422.51</v>
      </c>
      <c r="L248" s="1693">
        <v>2.0</v>
      </c>
      <c r="M248" s="13" t="s">
        <v>1097</v>
      </c>
      <c r="N248" s="1697">
        <f t="shared" ref="N248:U248" si="369">IF($M240="YES",IF($E246=N$4,$L246,0),0)</f>
        <v>0</v>
      </c>
      <c r="O248" s="1697">
        <f t="shared" si="369"/>
        <v>0</v>
      </c>
      <c r="P248" s="1697">
        <f t="shared" si="369"/>
        <v>0</v>
      </c>
      <c r="Q248" s="1697">
        <f t="shared" si="369"/>
        <v>0</v>
      </c>
      <c r="R248" s="1697">
        <f t="shared" si="369"/>
        <v>0</v>
      </c>
      <c r="S248" s="1697">
        <f t="shared" si="369"/>
        <v>0</v>
      </c>
      <c r="T248" s="1697">
        <f t="shared" si="369"/>
        <v>0</v>
      </c>
      <c r="U248" s="1697">
        <f t="shared" si="369"/>
        <v>2</v>
      </c>
      <c r="CF248" s="314"/>
    </row>
    <row r="249" ht="15.75" customHeight="1">
      <c r="B249" s="1694" t="s">
        <v>216</v>
      </c>
      <c r="C249" s="525"/>
      <c r="D249" s="1257"/>
      <c r="E249" s="1695" t="str">
        <f>'Weekly Scores'!$AD$6</f>
        <v>METAMOOKDAWGS</v>
      </c>
      <c r="F249" s="525"/>
      <c r="G249" s="525"/>
      <c r="H249" s="525"/>
      <c r="I249" s="1257"/>
      <c r="J249" s="829"/>
      <c r="K249" s="829"/>
      <c r="L249" s="1696">
        <v>1.0</v>
      </c>
      <c r="M249" s="13" t="s">
        <v>1097</v>
      </c>
      <c r="N249" s="1697">
        <f t="shared" ref="N249:U249" si="370">IF($M241="YES",IF($E247=N$4,$L247,0),0)</f>
        <v>0</v>
      </c>
      <c r="O249" s="1697">
        <f t="shared" si="370"/>
        <v>0</v>
      </c>
      <c r="P249" s="1697">
        <f t="shared" si="370"/>
        <v>0</v>
      </c>
      <c r="Q249" s="1697">
        <f t="shared" si="370"/>
        <v>0</v>
      </c>
      <c r="R249" s="1697">
        <f t="shared" si="370"/>
        <v>2</v>
      </c>
      <c r="S249" s="1697">
        <f t="shared" si="370"/>
        <v>0</v>
      </c>
      <c r="T249" s="1697">
        <f t="shared" si="370"/>
        <v>0</v>
      </c>
      <c r="U249" s="1697">
        <f t="shared" si="370"/>
        <v>0</v>
      </c>
      <c r="CF249" s="314"/>
    </row>
    <row r="250" ht="15.75" customHeight="1">
      <c r="B250" s="1318" t="s">
        <v>233</v>
      </c>
      <c r="C250" s="826"/>
      <c r="D250" s="826"/>
      <c r="E250" s="1691" t="str">
        <f>'Weekly Scores'!$AD$7</f>
        <v>POPEYES</v>
      </c>
      <c r="F250" s="826"/>
      <c r="G250" s="826"/>
      <c r="H250" s="826"/>
      <c r="I250" s="826"/>
      <c r="J250" s="1691" t="str">
        <f>'Weekly Scores'!$AE$7</f>
        <v>WEEK 1</v>
      </c>
      <c r="K250" s="1692">
        <f>'Weekly Scores'!$AC$7</f>
        <v>3.707106781</v>
      </c>
      <c r="L250" s="1693">
        <v>2.0</v>
      </c>
      <c r="M250" s="13" t="s">
        <v>1097</v>
      </c>
      <c r="N250" s="1697">
        <f t="shared" ref="N250:U250" si="371">IF($M242="YES",IF($E248=N$4,$L248,0),0)</f>
        <v>2</v>
      </c>
      <c r="O250" s="1697">
        <f t="shared" si="371"/>
        <v>0</v>
      </c>
      <c r="P250" s="1697">
        <f t="shared" si="371"/>
        <v>0</v>
      </c>
      <c r="Q250" s="1697">
        <f t="shared" si="371"/>
        <v>0</v>
      </c>
      <c r="R250" s="1697">
        <f t="shared" si="371"/>
        <v>0</v>
      </c>
      <c r="S250" s="1697">
        <f t="shared" si="371"/>
        <v>0</v>
      </c>
      <c r="T250" s="1697">
        <f t="shared" si="371"/>
        <v>0</v>
      </c>
      <c r="U250" s="1697">
        <f t="shared" si="371"/>
        <v>0</v>
      </c>
      <c r="CF250" s="314"/>
    </row>
    <row r="251" ht="15.75" customHeight="1">
      <c r="B251" s="1694" t="s">
        <v>257</v>
      </c>
      <c r="C251" s="525"/>
      <c r="D251" s="1257"/>
      <c r="E251" s="1695" t="str">
        <f>'Weekly Scores'!$AD$8</f>
        <v>SAVAGES</v>
      </c>
      <c r="F251" s="525"/>
      <c r="G251" s="525"/>
      <c r="H251" s="525"/>
      <c r="I251" s="1257"/>
      <c r="J251" s="829"/>
      <c r="K251" s="829"/>
      <c r="L251" s="1696">
        <v>1.0</v>
      </c>
      <c r="M251" s="13" t="s">
        <v>1097</v>
      </c>
      <c r="N251" s="1697">
        <f t="shared" ref="N251:U251" si="372">IF($M243="YES",IF($E249=N$4,$L249,0),0)</f>
        <v>0</v>
      </c>
      <c r="O251" s="1697">
        <f t="shared" si="372"/>
        <v>0</v>
      </c>
      <c r="P251" s="1697">
        <f t="shared" si="372"/>
        <v>0</v>
      </c>
      <c r="Q251" s="1697">
        <f t="shared" si="372"/>
        <v>0</v>
      </c>
      <c r="R251" s="1697">
        <f t="shared" si="372"/>
        <v>0</v>
      </c>
      <c r="S251" s="1697">
        <f t="shared" si="372"/>
        <v>1</v>
      </c>
      <c r="T251" s="1697">
        <f t="shared" si="372"/>
        <v>0</v>
      </c>
      <c r="U251" s="1697">
        <f t="shared" si="372"/>
        <v>0</v>
      </c>
      <c r="CF251" s="314"/>
    </row>
    <row r="252" ht="15.75" customHeight="1">
      <c r="B252" s="1698" t="s">
        <v>572</v>
      </c>
      <c r="C252" s="954"/>
      <c r="D252" s="1337"/>
      <c r="E252" s="1691" t="str">
        <f>'Weekly Scores'!$AZ$3</f>
        <v>POPEYES</v>
      </c>
      <c r="F252" s="826"/>
      <c r="G252" s="826"/>
      <c r="H252" s="826"/>
      <c r="I252" s="826"/>
      <c r="J252" s="1691" t="str">
        <f>'Weekly Scores'!$AY$3</f>
        <v>WEEK 3</v>
      </c>
      <c r="K252" s="1692">
        <f>'Weekly Scores'!$AW$3</f>
        <v>6.5</v>
      </c>
      <c r="L252" s="1693">
        <v>2.0</v>
      </c>
      <c r="M252" s="13" t="s">
        <v>1097</v>
      </c>
      <c r="N252" s="1697">
        <f t="shared" ref="N252:U252" si="373">IF($M244="YES",IF($E250=N$4,$L250,0),0)</f>
        <v>0</v>
      </c>
      <c r="O252" s="1697">
        <f t="shared" si="373"/>
        <v>2</v>
      </c>
      <c r="P252" s="1697">
        <f t="shared" si="373"/>
        <v>0</v>
      </c>
      <c r="Q252" s="1697">
        <f t="shared" si="373"/>
        <v>0</v>
      </c>
      <c r="R252" s="1697">
        <f t="shared" si="373"/>
        <v>0</v>
      </c>
      <c r="S252" s="1697">
        <f t="shared" si="373"/>
        <v>0</v>
      </c>
      <c r="T252" s="1697">
        <f t="shared" si="373"/>
        <v>0</v>
      </c>
      <c r="U252" s="1697">
        <f t="shared" si="373"/>
        <v>0</v>
      </c>
      <c r="CF252" s="314"/>
    </row>
    <row r="253" ht="15.75" customHeight="1">
      <c r="B253" s="1699" t="s">
        <v>573</v>
      </c>
      <c r="C253" s="525"/>
      <c r="D253" s="1257"/>
      <c r="E253" s="1695" t="str">
        <f>'Weekly Scores'!$BA$3</f>
        <v>MUTTS</v>
      </c>
      <c r="F253" s="525"/>
      <c r="G253" s="525"/>
      <c r="H253" s="525"/>
      <c r="I253" s="1257"/>
      <c r="J253" s="829"/>
      <c r="K253" s="829"/>
      <c r="L253" s="1696">
        <v>1.0</v>
      </c>
      <c r="M253" s="13" t="s">
        <v>1097</v>
      </c>
      <c r="N253" s="1697">
        <f t="shared" ref="N253:U253" si="374">IF($M245="YES",IF($E251=N$4,$L251,0),0)</f>
        <v>0</v>
      </c>
      <c r="O253" s="1697">
        <f t="shared" si="374"/>
        <v>0</v>
      </c>
      <c r="P253" s="1697">
        <f t="shared" si="374"/>
        <v>0</v>
      </c>
      <c r="Q253" s="1697">
        <f t="shared" si="374"/>
        <v>1</v>
      </c>
      <c r="R253" s="1697">
        <f t="shared" si="374"/>
        <v>0</v>
      </c>
      <c r="S253" s="1697">
        <f t="shared" si="374"/>
        <v>0</v>
      </c>
      <c r="T253" s="1697">
        <f t="shared" si="374"/>
        <v>0</v>
      </c>
      <c r="U253" s="1697">
        <f t="shared" si="374"/>
        <v>0</v>
      </c>
      <c r="CF253" s="314"/>
    </row>
    <row r="254" ht="15.75" customHeight="1">
      <c r="B254" s="1700" t="s">
        <v>574</v>
      </c>
      <c r="C254" s="954"/>
      <c r="D254" s="1337"/>
      <c r="E254" s="1691" t="str">
        <f>'Weekly Scores'!$AZ$11</f>
        <v>POPEYES</v>
      </c>
      <c r="F254" s="826"/>
      <c r="G254" s="826"/>
      <c r="H254" s="826"/>
      <c r="I254" s="826"/>
      <c r="J254" s="1691" t="str">
        <f>'Weekly Scores'!$AY$11</f>
        <v>WEEK 3</v>
      </c>
      <c r="K254" s="1692">
        <f>'Weekly Scores'!$AW$11</f>
        <v>6.5</v>
      </c>
      <c r="L254" s="1693">
        <v>2.0</v>
      </c>
      <c r="M254" s="13" t="s">
        <v>1097</v>
      </c>
      <c r="N254" s="1697">
        <f t="shared" ref="N254:U254" si="375">IF($M246="YES",IF($E252=N$4,$L252,0),0)</f>
        <v>0</v>
      </c>
      <c r="O254" s="1697">
        <f t="shared" si="375"/>
        <v>2</v>
      </c>
      <c r="P254" s="1697">
        <f t="shared" si="375"/>
        <v>0</v>
      </c>
      <c r="Q254" s="1697">
        <f t="shared" si="375"/>
        <v>0</v>
      </c>
      <c r="R254" s="1697">
        <f t="shared" si="375"/>
        <v>0</v>
      </c>
      <c r="S254" s="1697">
        <f t="shared" si="375"/>
        <v>0</v>
      </c>
      <c r="T254" s="1697">
        <f t="shared" si="375"/>
        <v>0</v>
      </c>
      <c r="U254" s="1697">
        <f t="shared" si="375"/>
        <v>0</v>
      </c>
      <c r="CF254" s="314"/>
    </row>
    <row r="255" ht="15.75" customHeight="1">
      <c r="B255" s="1701" t="s">
        <v>575</v>
      </c>
      <c r="C255" s="525"/>
      <c r="D255" s="1257"/>
      <c r="E255" s="1695" t="str">
        <f>'Weekly Scores'!$BA$11</f>
        <v>MUTTS</v>
      </c>
      <c r="F255" s="525"/>
      <c r="G255" s="525"/>
      <c r="H255" s="525"/>
      <c r="I255" s="1257"/>
      <c r="J255" s="829"/>
      <c r="K255" s="829"/>
      <c r="L255" s="1696">
        <v>1.0</v>
      </c>
      <c r="M255" s="13" t="s">
        <v>1097</v>
      </c>
      <c r="N255" s="1697">
        <f t="shared" ref="N255:U255" si="376">IF($M247="YES",IF($E253=N$4,$L253,0),0)</f>
        <v>0</v>
      </c>
      <c r="O255" s="1697">
        <f t="shared" si="376"/>
        <v>0</v>
      </c>
      <c r="P255" s="1697">
        <f t="shared" si="376"/>
        <v>0</v>
      </c>
      <c r="Q255" s="1697">
        <f t="shared" si="376"/>
        <v>0</v>
      </c>
      <c r="R255" s="1697">
        <f t="shared" si="376"/>
        <v>0</v>
      </c>
      <c r="S255" s="1697">
        <f t="shared" si="376"/>
        <v>0</v>
      </c>
      <c r="T255" s="1697">
        <f t="shared" si="376"/>
        <v>0</v>
      </c>
      <c r="U255" s="1697">
        <f t="shared" si="376"/>
        <v>1</v>
      </c>
      <c r="CF255" s="314"/>
    </row>
    <row r="256" ht="15.75" customHeight="1">
      <c r="B256" s="1702" t="s">
        <v>2190</v>
      </c>
      <c r="C256" s="954"/>
      <c r="D256" s="1337"/>
      <c r="E256" s="1703" t="str">
        <f>'Weekly Scores'!$AD$9</f>
        <v>KINGS</v>
      </c>
      <c r="F256" s="954"/>
      <c r="G256" s="954"/>
      <c r="H256" s="954"/>
      <c r="I256" s="1337"/>
      <c r="J256" s="1329" t="str">
        <f>'Weekly Scores'!$AD$11</f>
        <v>WEEK 8</v>
      </c>
      <c r="K256" s="1329"/>
      <c r="L256" s="1325">
        <v>2.0</v>
      </c>
      <c r="M256" s="13" t="s">
        <v>1097</v>
      </c>
      <c r="N256" s="1697">
        <f t="shared" ref="N256:U256" si="377">IF($M248="YES",IF($E254=N$4,$L254,0),0)</f>
        <v>0</v>
      </c>
      <c r="O256" s="1697">
        <f t="shared" si="377"/>
        <v>2</v>
      </c>
      <c r="P256" s="1697">
        <f t="shared" si="377"/>
        <v>0</v>
      </c>
      <c r="Q256" s="1697">
        <f t="shared" si="377"/>
        <v>0</v>
      </c>
      <c r="R256" s="1697">
        <f t="shared" si="377"/>
        <v>0</v>
      </c>
      <c r="S256" s="1697">
        <f t="shared" si="377"/>
        <v>0</v>
      </c>
      <c r="T256" s="1697">
        <f t="shared" si="377"/>
        <v>0</v>
      </c>
      <c r="U256" s="1697">
        <f t="shared" si="377"/>
        <v>0</v>
      </c>
      <c r="CF256" s="314"/>
    </row>
    <row r="257" ht="15.75" customHeight="1">
      <c r="B257" s="1665" t="s">
        <v>2191</v>
      </c>
      <c r="C257" s="1704"/>
      <c r="D257" s="1347"/>
      <c r="E257" s="1705" t="str">
        <f>'Weekly Scores'!AE9</f>
        <v>METAMOOKDAWGS</v>
      </c>
      <c r="F257" s="514"/>
      <c r="G257" s="514"/>
      <c r="H257" s="514"/>
      <c r="I257" s="515"/>
      <c r="J257" s="1540" t="str">
        <f>'Weekly Scores'!$AF9</f>
        <v>WEEK 8</v>
      </c>
      <c r="K257" s="1540"/>
      <c r="L257" s="1503">
        <v>2.0</v>
      </c>
      <c r="M257" s="13" t="s">
        <v>600</v>
      </c>
      <c r="N257" s="1697">
        <f t="shared" ref="N257:U257" si="378">IF($M249="YES",IF($E255=N$4,$L255,0),0)</f>
        <v>0</v>
      </c>
      <c r="O257" s="1697">
        <f t="shared" si="378"/>
        <v>0</v>
      </c>
      <c r="P257" s="1697">
        <f t="shared" si="378"/>
        <v>0</v>
      </c>
      <c r="Q257" s="1697">
        <f t="shared" si="378"/>
        <v>0</v>
      </c>
      <c r="R257" s="1697">
        <f t="shared" si="378"/>
        <v>0</v>
      </c>
      <c r="S257" s="1697">
        <f t="shared" si="378"/>
        <v>0</v>
      </c>
      <c r="T257" s="1697">
        <f t="shared" si="378"/>
        <v>0</v>
      </c>
      <c r="U257" s="1697">
        <f t="shared" si="378"/>
        <v>1</v>
      </c>
      <c r="CF257" s="314"/>
    </row>
    <row r="258" ht="15.75" customHeight="1">
      <c r="B258" s="1371"/>
      <c r="D258" s="1358"/>
      <c r="E258" s="1705" t="str">
        <f>'Weekly Scores'!AE11</f>
        <v/>
      </c>
      <c r="F258" s="514"/>
      <c r="G258" s="514"/>
      <c r="H258" s="514"/>
      <c r="I258" s="515"/>
      <c r="J258" s="1540" t="str">
        <f>'Weekly Scores'!$AF11</f>
        <v/>
      </c>
      <c r="K258" s="1540"/>
      <c r="L258" s="1530" t="str">
        <f>IF(OR(E258="-",E258=""),"",L257)</f>
        <v/>
      </c>
      <c r="M258" s="13" t="s">
        <v>600</v>
      </c>
      <c r="N258" s="1697">
        <f t="shared" ref="N258:U258" si="379">IF($M250="YES",IF($E256=N$4,$L256,0),0)</f>
        <v>0</v>
      </c>
      <c r="O258" s="1697">
        <f t="shared" si="379"/>
        <v>0</v>
      </c>
      <c r="P258" s="1697">
        <f t="shared" si="379"/>
        <v>0</v>
      </c>
      <c r="Q258" s="1697">
        <f t="shared" si="379"/>
        <v>0</v>
      </c>
      <c r="R258" s="1697">
        <f t="shared" si="379"/>
        <v>0</v>
      </c>
      <c r="S258" s="1697">
        <f t="shared" si="379"/>
        <v>0</v>
      </c>
      <c r="T258" s="1697">
        <f t="shared" si="379"/>
        <v>0</v>
      </c>
      <c r="U258" s="1697">
        <f t="shared" si="379"/>
        <v>0</v>
      </c>
      <c r="CF258" s="314"/>
    </row>
    <row r="259" ht="15.75" customHeight="1">
      <c r="B259" s="1371"/>
      <c r="D259" s="1358"/>
      <c r="E259" s="1705" t="str">
        <f>'Weekly Scores'!AE12</f>
        <v/>
      </c>
      <c r="F259" s="514"/>
      <c r="G259" s="514"/>
      <c r="H259" s="514"/>
      <c r="I259" s="515"/>
      <c r="J259" s="1540" t="str">
        <f>'Weekly Scores'!$AF12</f>
        <v/>
      </c>
      <c r="K259" s="1540"/>
      <c r="L259" s="1530" t="str">
        <f>IF(OR(E259="-",E259=""),"",L257)</f>
        <v/>
      </c>
      <c r="M259" s="13" t="s">
        <v>600</v>
      </c>
      <c r="N259" s="1697">
        <f t="shared" ref="N259:U259" si="380">IF($M251="YES",IF($E257=N$4,$L257,0),0)</f>
        <v>0</v>
      </c>
      <c r="O259" s="1697">
        <f t="shared" si="380"/>
        <v>0</v>
      </c>
      <c r="P259" s="1697">
        <f t="shared" si="380"/>
        <v>0</v>
      </c>
      <c r="Q259" s="1697">
        <f t="shared" si="380"/>
        <v>0</v>
      </c>
      <c r="R259" s="1697">
        <f t="shared" si="380"/>
        <v>0</v>
      </c>
      <c r="S259" s="1697">
        <f t="shared" si="380"/>
        <v>2</v>
      </c>
      <c r="T259" s="1697">
        <f t="shared" si="380"/>
        <v>0</v>
      </c>
      <c r="U259" s="1697">
        <f t="shared" si="380"/>
        <v>0</v>
      </c>
      <c r="CF259" s="314"/>
    </row>
    <row r="260" ht="15.75" customHeight="1">
      <c r="B260" s="1288"/>
      <c r="C260" s="1706"/>
      <c r="D260" s="1289"/>
      <c r="E260" s="1705" t="str">
        <f>'Weekly Scores'!AE13</f>
        <v/>
      </c>
      <c r="F260" s="514"/>
      <c r="G260" s="514"/>
      <c r="H260" s="514"/>
      <c r="I260" s="515"/>
      <c r="J260" s="1540" t="str">
        <f>'Weekly Scores'!$AF13</f>
        <v/>
      </c>
      <c r="K260" s="1540"/>
      <c r="L260" s="1530" t="str">
        <f>IF(OR(E260="-",E260=""),"",L257)</f>
        <v/>
      </c>
      <c r="M260" s="13" t="s">
        <v>600</v>
      </c>
      <c r="N260" s="1697">
        <f t="shared" ref="N260:U260" si="381">IF($M252="YES",IF($E258=N$4,$L258,0),0)</f>
        <v>0</v>
      </c>
      <c r="O260" s="1697">
        <f t="shared" si="381"/>
        <v>0</v>
      </c>
      <c r="P260" s="1697">
        <f t="shared" si="381"/>
        <v>0</v>
      </c>
      <c r="Q260" s="1697">
        <f t="shared" si="381"/>
        <v>0</v>
      </c>
      <c r="R260" s="1697">
        <f t="shared" si="381"/>
        <v>0</v>
      </c>
      <c r="S260" s="1697">
        <f t="shared" si="381"/>
        <v>0</v>
      </c>
      <c r="T260" s="1697">
        <f t="shared" si="381"/>
        <v>0</v>
      </c>
      <c r="U260" s="1697">
        <f t="shared" si="381"/>
        <v>0</v>
      </c>
      <c r="CF260" s="314"/>
    </row>
    <row r="261" ht="15.75" customHeight="1">
      <c r="B261" s="1458" t="s">
        <v>2192</v>
      </c>
      <c r="C261" s="826"/>
      <c r="D261" s="1259"/>
      <c r="E261" s="1707" t="str">
        <f t="array" ref="E261">IFERROR(INDEX(CI$4:CI$12, SMALL(IF(CL$4:CL$12 = MAX(CL$4:CL$12), ROW(CI$4:CI$12)-ROW(CI$4)+1), ROW(1:1))), "-")</f>
        <v>KINGS</v>
      </c>
      <c r="F261" s="954"/>
      <c r="G261" s="954"/>
      <c r="H261" s="954"/>
      <c r="I261" s="954"/>
      <c r="J261" s="1337"/>
      <c r="K261" s="1708"/>
      <c r="L261" s="1325">
        <v>2.0</v>
      </c>
      <c r="M261" s="13" t="s">
        <v>1097</v>
      </c>
      <c r="N261" s="1697">
        <f t="shared" ref="N261:U261" si="382">IF($M253="YES",IF($E259=N$4,$L259,0),0)</f>
        <v>0</v>
      </c>
      <c r="O261" s="1697">
        <f t="shared" si="382"/>
        <v>0</v>
      </c>
      <c r="P261" s="1697">
        <f t="shared" si="382"/>
        <v>0</v>
      </c>
      <c r="Q261" s="1697">
        <f t="shared" si="382"/>
        <v>0</v>
      </c>
      <c r="R261" s="1697">
        <f t="shared" si="382"/>
        <v>0</v>
      </c>
      <c r="S261" s="1697">
        <f t="shared" si="382"/>
        <v>0</v>
      </c>
      <c r="T261" s="1697">
        <f t="shared" si="382"/>
        <v>0</v>
      </c>
      <c r="U261" s="1697">
        <f t="shared" si="382"/>
        <v>0</v>
      </c>
      <c r="CF261" s="314"/>
    </row>
    <row r="262" ht="15.75" customHeight="1">
      <c r="B262" s="1371"/>
      <c r="D262" s="1358"/>
      <c r="E262" s="1705" t="str">
        <f t="array" ref="E262">IFERROR(INDEX(CI$4:CI$12, SMALL(IF(CL$4:CL$12 = MAX(CL$4:CL$12), ROW(CI$4:CI$12)-ROW(CI$4)+1), ROW(2:2))), "-")</f>
        <v>-</v>
      </c>
      <c r="F262" s="514"/>
      <c r="G262" s="514"/>
      <c r="H262" s="514"/>
      <c r="I262" s="514"/>
      <c r="J262" s="515"/>
      <c r="K262" s="1709"/>
      <c r="L262" s="1530" t="str">
        <f>IF(OR(E262="-",E262=""),"",L261)</f>
        <v/>
      </c>
      <c r="M262" s="13" t="s">
        <v>1097</v>
      </c>
      <c r="N262" s="1697">
        <f t="shared" ref="N262:U262" si="383">IF($M254="YES",IF($E260=N$4,$L260,0),0)</f>
        <v>0</v>
      </c>
      <c r="O262" s="1697">
        <f t="shared" si="383"/>
        <v>0</v>
      </c>
      <c r="P262" s="1697">
        <f t="shared" si="383"/>
        <v>0</v>
      </c>
      <c r="Q262" s="1697">
        <f t="shared" si="383"/>
        <v>0</v>
      </c>
      <c r="R262" s="1697">
        <f t="shared" si="383"/>
        <v>0</v>
      </c>
      <c r="S262" s="1697">
        <f t="shared" si="383"/>
        <v>0</v>
      </c>
      <c r="T262" s="1697">
        <f t="shared" si="383"/>
        <v>0</v>
      </c>
      <c r="U262" s="1697">
        <f t="shared" si="383"/>
        <v>0</v>
      </c>
      <c r="CF262" s="314"/>
    </row>
    <row r="263" ht="15.75" customHeight="1">
      <c r="B263" s="1371"/>
      <c r="D263" s="1358"/>
      <c r="E263" s="1705" t="str">
        <f t="array" ref="E263">IFERROR(INDEX(CI$4:CI$12, SMALL(IF(CL$4:CL$12 = MAX(CL$4:CL$12), ROW(CI$4:CI$12)-ROW(CI$4)+1), ROW(3:3))), "-")</f>
        <v>-</v>
      </c>
      <c r="F263" s="514"/>
      <c r="G263" s="514"/>
      <c r="H263" s="514"/>
      <c r="I263" s="514"/>
      <c r="J263" s="515"/>
      <c r="K263" s="1709"/>
      <c r="L263" s="1530" t="str">
        <f>IF(OR(E263="-",E263=""),"",L261)</f>
        <v/>
      </c>
      <c r="M263" s="13" t="s">
        <v>1097</v>
      </c>
      <c r="N263" s="1697">
        <f t="shared" ref="N263:U263" si="384">IF($M255="YES",IF($E261=N$4,$L261,0),0)</f>
        <v>0</v>
      </c>
      <c r="O263" s="1697">
        <f t="shared" si="384"/>
        <v>0</v>
      </c>
      <c r="P263" s="1697">
        <f t="shared" si="384"/>
        <v>0</v>
      </c>
      <c r="Q263" s="1697">
        <f t="shared" si="384"/>
        <v>0</v>
      </c>
      <c r="R263" s="1697">
        <f t="shared" si="384"/>
        <v>0</v>
      </c>
      <c r="S263" s="1697">
        <f t="shared" si="384"/>
        <v>0</v>
      </c>
      <c r="T263" s="1697">
        <f t="shared" si="384"/>
        <v>0</v>
      </c>
      <c r="U263" s="1697">
        <f t="shared" si="384"/>
        <v>0</v>
      </c>
      <c r="CF263" s="314"/>
    </row>
    <row r="264" ht="15.75" customHeight="1">
      <c r="B264" s="828"/>
      <c r="C264" s="829"/>
      <c r="D264" s="1679"/>
      <c r="E264" s="1710" t="str">
        <f t="array" ref="E264">IFERROR(INDEX(CI$4:CI$12, SMALL(IF(CL$4:CL$12 = MAX(CL$4:CL$12), ROW(CI$4:CI$12)-ROW(CI$4)+1), ROW(4:4))), "-")</f>
        <v>-</v>
      </c>
      <c r="F264" s="525"/>
      <c r="G264" s="525"/>
      <c r="H264" s="525"/>
      <c r="I264" s="525"/>
      <c r="J264" s="1257"/>
      <c r="K264" s="1711"/>
      <c r="L264" s="1532" t="str">
        <f>IF(OR(E264="-",E264=""),"",L261)</f>
        <v/>
      </c>
      <c r="M264" s="13" t="s">
        <v>1097</v>
      </c>
      <c r="N264" s="1697">
        <f t="shared" ref="N264:U264" si="385">IF($M256="YES",IF($E262=N$4,$L262,0),0)</f>
        <v>0</v>
      </c>
      <c r="O264" s="1697">
        <f t="shared" si="385"/>
        <v>0</v>
      </c>
      <c r="P264" s="1697">
        <f t="shared" si="385"/>
        <v>0</v>
      </c>
      <c r="Q264" s="1697">
        <f t="shared" si="385"/>
        <v>0</v>
      </c>
      <c r="R264" s="1697">
        <f t="shared" si="385"/>
        <v>0</v>
      </c>
      <c r="S264" s="1697">
        <f t="shared" si="385"/>
        <v>0</v>
      </c>
      <c r="T264" s="1697">
        <f t="shared" si="385"/>
        <v>0</v>
      </c>
      <c r="U264" s="1697">
        <f t="shared" si="385"/>
        <v>0</v>
      </c>
      <c r="CF264" s="314"/>
    </row>
    <row r="265" ht="15.75" customHeight="1">
      <c r="M265" s="13" t="s">
        <v>1097</v>
      </c>
      <c r="N265" s="1697">
        <f t="shared" ref="N265:U265" si="386">IF($M257="YES",IF($E263=N$4,$L263,0),0)</f>
        <v>0</v>
      </c>
      <c r="O265" s="1697">
        <f t="shared" si="386"/>
        <v>0</v>
      </c>
      <c r="P265" s="1697">
        <f t="shared" si="386"/>
        <v>0</v>
      </c>
      <c r="Q265" s="1697">
        <f t="shared" si="386"/>
        <v>0</v>
      </c>
      <c r="R265" s="1697">
        <f t="shared" si="386"/>
        <v>0</v>
      </c>
      <c r="S265" s="1697">
        <f t="shared" si="386"/>
        <v>0</v>
      </c>
      <c r="T265" s="1697">
        <f t="shared" si="386"/>
        <v>0</v>
      </c>
      <c r="U265" s="1697">
        <f t="shared" si="386"/>
        <v>0</v>
      </c>
      <c r="CF265" s="314"/>
    </row>
    <row r="266" ht="15.75" customHeight="1">
      <c r="M266" s="13" t="s">
        <v>1097</v>
      </c>
      <c r="N266" s="1697">
        <f t="shared" ref="N266:U266" si="387">IF($M258="YES",IF($E264=N$4,$L264,0),0)</f>
        <v>0</v>
      </c>
      <c r="O266" s="1697">
        <f t="shared" si="387"/>
        <v>0</v>
      </c>
      <c r="P266" s="1697">
        <f t="shared" si="387"/>
        <v>0</v>
      </c>
      <c r="Q266" s="1697">
        <f t="shared" si="387"/>
        <v>0</v>
      </c>
      <c r="R266" s="1697">
        <f t="shared" si="387"/>
        <v>0</v>
      </c>
      <c r="S266" s="1697">
        <f t="shared" si="387"/>
        <v>0</v>
      </c>
      <c r="T266" s="1697">
        <f t="shared" si="387"/>
        <v>0</v>
      </c>
      <c r="U266" s="1697">
        <f t="shared" si="387"/>
        <v>0</v>
      </c>
      <c r="CF266" s="314"/>
    </row>
    <row r="267" ht="15.75" customHeight="1">
      <c r="N267" s="13">
        <f t="shared" ref="N267:U267" si="388">SUM(N5:N266)</f>
        <v>14</v>
      </c>
      <c r="O267" s="13">
        <f t="shared" si="388"/>
        <v>15.5</v>
      </c>
      <c r="P267" s="13">
        <f t="shared" si="388"/>
        <v>27</v>
      </c>
      <c r="Q267" s="13">
        <f t="shared" si="388"/>
        <v>8.25</v>
      </c>
      <c r="R267" s="13">
        <f t="shared" si="388"/>
        <v>7.25</v>
      </c>
      <c r="S267" s="13">
        <f t="shared" si="388"/>
        <v>10.5</v>
      </c>
      <c r="T267" s="13">
        <f t="shared" si="388"/>
        <v>12</v>
      </c>
      <c r="U267" s="13">
        <f t="shared" si="388"/>
        <v>7</v>
      </c>
      <c r="CF267" s="314"/>
    </row>
  </sheetData>
  <mergeCells count="83">
    <mergeCell ref="B244:L244"/>
    <mergeCell ref="E245:H245"/>
    <mergeCell ref="B246:D246"/>
    <mergeCell ref="E246:I246"/>
    <mergeCell ref="B247:D247"/>
    <mergeCell ref="E247:I247"/>
    <mergeCell ref="B248:D248"/>
    <mergeCell ref="E248:I248"/>
    <mergeCell ref="J248:J249"/>
    <mergeCell ref="K248:K249"/>
    <mergeCell ref="B249:D249"/>
    <mergeCell ref="E249:I249"/>
    <mergeCell ref="B250:D250"/>
    <mergeCell ref="E250:I250"/>
    <mergeCell ref="J252:J253"/>
    <mergeCell ref="J254:J255"/>
    <mergeCell ref="K254:K255"/>
    <mergeCell ref="B252:D252"/>
    <mergeCell ref="E252:I252"/>
    <mergeCell ref="K252:K253"/>
    <mergeCell ref="B253:D253"/>
    <mergeCell ref="E253:I253"/>
    <mergeCell ref="B254:D254"/>
    <mergeCell ref="E254:I254"/>
    <mergeCell ref="E259:I259"/>
    <mergeCell ref="E260:I260"/>
    <mergeCell ref="E261:J261"/>
    <mergeCell ref="E262:J262"/>
    <mergeCell ref="E263:J263"/>
    <mergeCell ref="E264:J264"/>
    <mergeCell ref="B255:D255"/>
    <mergeCell ref="E255:I255"/>
    <mergeCell ref="B256:D256"/>
    <mergeCell ref="E256:I256"/>
    <mergeCell ref="B257:D260"/>
    <mergeCell ref="E257:I257"/>
    <mergeCell ref="E258:I258"/>
    <mergeCell ref="B261:D264"/>
    <mergeCell ref="B2:L2"/>
    <mergeCell ref="Y2:AA2"/>
    <mergeCell ref="AD2:BB2"/>
    <mergeCell ref="B3:C4"/>
    <mergeCell ref="D3:F3"/>
    <mergeCell ref="G3:I3"/>
    <mergeCell ref="J3:L3"/>
    <mergeCell ref="B5:C12"/>
    <mergeCell ref="B13:C20"/>
    <mergeCell ref="Y13:AB13"/>
    <mergeCell ref="AC19:AC28"/>
    <mergeCell ref="B21:C24"/>
    <mergeCell ref="B25:C32"/>
    <mergeCell ref="B33:C40"/>
    <mergeCell ref="B41:C44"/>
    <mergeCell ref="B48:L48"/>
    <mergeCell ref="B49:C50"/>
    <mergeCell ref="D49:F49"/>
    <mergeCell ref="G49:I49"/>
    <mergeCell ref="J49:L49"/>
    <mergeCell ref="B51:B66"/>
    <mergeCell ref="B179:B186"/>
    <mergeCell ref="B188:L188"/>
    <mergeCell ref="B189:C190"/>
    <mergeCell ref="D189:F189"/>
    <mergeCell ref="G189:I189"/>
    <mergeCell ref="J189:L189"/>
    <mergeCell ref="B67:B82"/>
    <mergeCell ref="B83:B98"/>
    <mergeCell ref="B99:B114"/>
    <mergeCell ref="B115:B130"/>
    <mergeCell ref="B131:B146"/>
    <mergeCell ref="B147:B162"/>
    <mergeCell ref="B163:B178"/>
    <mergeCell ref="B191:B206"/>
    <mergeCell ref="B207:C214"/>
    <mergeCell ref="B215:C222"/>
    <mergeCell ref="B223:C226"/>
    <mergeCell ref="B227:C230"/>
    <mergeCell ref="B231:C238"/>
    <mergeCell ref="B239:C242"/>
    <mergeCell ref="J250:J251"/>
    <mergeCell ref="K250:K251"/>
    <mergeCell ref="B251:D251"/>
    <mergeCell ref="E251:I251"/>
  </mergeCells>
  <conditionalFormatting sqref="AB15:AB22">
    <cfRule type="colorScale" priority="1">
      <colorScale>
        <cfvo type="min"/>
        <cfvo type="max"/>
        <color rgb="FFFCFCFF"/>
        <color rgb="FF63BE7B"/>
      </colorScale>
    </cfRule>
  </conditionalFormatting>
  <conditionalFormatting sqref="AD4:AD13">
    <cfRule type="colorScale" priority="2">
      <colorScale>
        <cfvo type="min"/>
        <cfvo type="percentile" val="50"/>
        <cfvo type="max"/>
        <color rgb="FF63BE7B"/>
        <color rgb="FFFCFCFF"/>
        <color rgb="FFF8696B"/>
      </colorScale>
    </cfRule>
  </conditionalFormatting>
  <conditionalFormatting sqref="AH4:AH13">
    <cfRule type="colorScale" priority="3">
      <colorScale>
        <cfvo type="min"/>
        <cfvo type="percentile" val="50"/>
        <cfvo type="max"/>
        <color rgb="FFF8696B"/>
        <color rgb="FFFCFCFF"/>
        <color rgb="FF63BE7B"/>
      </colorScale>
    </cfRule>
  </conditionalFormatting>
  <conditionalFormatting sqref="AL4:AL13">
    <cfRule type="colorScale" priority="4">
      <colorScale>
        <cfvo type="min"/>
        <cfvo type="percentile" val="50"/>
        <cfvo type="max"/>
        <color rgb="FFF8696B"/>
        <color rgb="FFFCFCFF"/>
        <color rgb="FF63BE7B"/>
      </colorScale>
    </cfRule>
  </conditionalFormatting>
  <conditionalFormatting sqref="AQ4:AQ13">
    <cfRule type="colorScale" priority="5">
      <colorScale>
        <cfvo type="min"/>
        <cfvo type="percentile" val="50"/>
        <cfvo type="max"/>
        <color rgb="FFF8696B"/>
        <color rgb="FFFCFCFF"/>
        <color rgb="FF63BE7B"/>
      </colorScale>
    </cfRule>
  </conditionalFormatting>
  <conditionalFormatting sqref="AQ15:AQ16">
    <cfRule type="colorScale" priority="6">
      <colorScale>
        <cfvo type="min"/>
        <cfvo type="percentile" val="50"/>
        <cfvo type="max"/>
        <color rgb="FFF8696B"/>
        <color rgb="FFFCFCFF"/>
        <color rgb="FF63BE7B"/>
      </colorScale>
    </cfRule>
  </conditionalFormatting>
  <conditionalFormatting sqref="AR4:AR13">
    <cfRule type="colorScale" priority="7">
      <colorScale>
        <cfvo type="min"/>
        <cfvo type="percentile" val="50"/>
        <cfvo type="max"/>
        <color rgb="FFF8696B"/>
        <color rgb="FFFCFCFF"/>
        <color rgb="FF63BE7B"/>
      </colorScale>
    </cfRule>
  </conditionalFormatting>
  <conditionalFormatting sqref="AU4:AU13">
    <cfRule type="colorScale" priority="8">
      <colorScale>
        <cfvo type="min"/>
        <cfvo type="percentile" val="50"/>
        <cfvo type="max"/>
        <color rgb="FFF8696B"/>
        <color rgb="FFFCFCFF"/>
        <color rgb="FF63BE7B"/>
      </colorScale>
    </cfRule>
  </conditionalFormatting>
  <conditionalFormatting sqref="AU4:AW13">
    <cfRule type="colorScale" priority="9">
      <colorScale>
        <cfvo type="min"/>
        <cfvo type="percentile" val="50"/>
        <cfvo type="max"/>
        <color rgb="FFF8696B"/>
        <color rgb="FFFCFCFF"/>
        <color rgb="FF63BE7B"/>
      </colorScale>
    </cfRule>
  </conditionalFormatting>
  <conditionalFormatting sqref="AV4:AV13">
    <cfRule type="colorScale" priority="10">
      <colorScale>
        <cfvo type="min"/>
        <cfvo type="percentile" val="50"/>
        <cfvo type="max"/>
        <color rgb="FFF8696B"/>
        <color rgb="FFFCFCFF"/>
        <color rgb="FF63BE7B"/>
      </colorScale>
    </cfRule>
  </conditionalFormatting>
  <conditionalFormatting sqref="AW4:AW13">
    <cfRule type="colorScale" priority="11">
      <colorScale>
        <cfvo type="min"/>
        <cfvo type="percentile" val="50"/>
        <cfvo type="max"/>
        <color rgb="FF63BE7B"/>
        <color rgb="FFFCFCFF"/>
        <color rgb="FFF8696B"/>
      </colorScale>
    </cfRule>
  </conditionalFormatting>
  <conditionalFormatting sqref="AZ4:AZ13">
    <cfRule type="colorScale" priority="12">
      <colorScale>
        <cfvo type="min"/>
        <cfvo type="max"/>
        <color rgb="FFFCFCFF"/>
        <color rgb="FF63BE7B"/>
      </colorScale>
    </cfRule>
  </conditionalFormatting>
  <conditionalFormatting sqref="BA4:BA13">
    <cfRule type="colorScale" priority="13">
      <colorScale>
        <cfvo type="min"/>
        <cfvo type="max"/>
        <color rgb="FFFCFCFF"/>
        <color rgb="FF63BE7B"/>
      </colorScale>
    </cfRule>
  </conditionalFormatting>
  <dataValidations>
    <dataValidation type="list" allowBlank="1" showErrorMessage="1" sqref="G9:G12 D5:D40 G21:G46 J5:J46 D223:D242 G223:G242 J239:J242 E256:E260">
      <formula1>'BACKEND 1'!$AJ$55:$AJ$63</formula1>
    </dataValidation>
    <dataValidation type="list" allowBlank="1" showInputMessage="1" showErrorMessage="1" prompt="Select Team" sqref="E261:E264 K261:K264">
      <formula1>Settings!$A$3:$A$11</formula1>
    </dataValidation>
  </dataValidations>
  <printOptions/>
  <pageMargins bottom="0.75" footer="0.0" header="0.0" left="0.7" right="0.7" top="0.75"/>
  <pageSetup orientation="portrait"/>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1.22" defaultRowHeight="15.0"/>
  <cols>
    <col customWidth="1" min="1" max="1" width="18.0"/>
    <col customWidth="1" min="2" max="3" width="10.56"/>
    <col customWidth="1" min="4" max="4" width="12.11"/>
    <col customWidth="1" min="5" max="5" width="10.56"/>
    <col customWidth="1" min="6" max="6" width="16.44"/>
    <col customWidth="1" min="7" max="7" width="10.56"/>
    <col customWidth="1" min="8" max="8" width="8.67"/>
    <col customWidth="1" min="9" max="9" width="7.78"/>
    <col customWidth="1" min="10" max="10" width="18.44"/>
    <col customWidth="1" min="11" max="11" width="18.0"/>
    <col customWidth="1" min="12" max="12" width="4.67"/>
    <col customWidth="1" min="13" max="13" width="5.0"/>
    <col customWidth="1" min="14" max="15" width="10.56"/>
    <col customWidth="1" min="16" max="16" width="19.11"/>
    <col customWidth="1" min="17" max="17" width="7.0"/>
    <col customWidth="1" min="18" max="18" width="7.11"/>
    <col customWidth="1" min="19" max="19" width="5.33"/>
    <col customWidth="1" min="20" max="20" width="4.78"/>
    <col customWidth="1" min="21" max="21" width="18.0"/>
    <col customWidth="1" min="22" max="22" width="13.0"/>
    <col customWidth="1" min="23" max="23" width="9.11"/>
    <col customWidth="1" min="24" max="24" width="18.0"/>
    <col customWidth="1" min="25" max="25" width="10.56"/>
    <col customWidth="1" min="26" max="26" width="5.44"/>
    <col customWidth="1" min="27" max="27" width="10.56"/>
    <col customWidth="1" min="28" max="28" width="7.44"/>
    <col customWidth="1" min="29" max="37" width="6.33"/>
    <col customWidth="1" min="38" max="38" width="10.56"/>
    <col customWidth="1" min="39" max="49" width="3.11"/>
    <col customWidth="1" min="50" max="50" width="10.56"/>
    <col customWidth="1" min="51" max="53" width="10.78"/>
    <col customWidth="1" min="54" max="54" width="18.67"/>
    <col customWidth="1" min="55" max="55" width="18.0"/>
    <col customWidth="1" min="56" max="56" width="10.33"/>
    <col customWidth="1" min="57" max="57" width="3.11"/>
    <col customWidth="1" min="58" max="58" width="2.11"/>
    <col customWidth="1" min="59" max="59" width="29.78"/>
    <col customWidth="1" min="60" max="60" width="19.78"/>
    <col customWidth="1" min="61" max="73" width="10.56"/>
  </cols>
  <sheetData>
    <row r="1" ht="15.75" customHeight="1">
      <c r="J1" s="314" t="s">
        <v>1099</v>
      </c>
      <c r="K1" s="314" t="s">
        <v>1100</v>
      </c>
    </row>
    <row r="2" ht="15.75" customHeight="1">
      <c r="A2" s="1334" t="s">
        <v>1101</v>
      </c>
      <c r="B2" s="1334" t="s">
        <v>1102</v>
      </c>
      <c r="C2" s="1334" t="s">
        <v>1103</v>
      </c>
      <c r="D2" s="1334" t="s">
        <v>1104</v>
      </c>
      <c r="E2" s="120"/>
      <c r="F2" s="1335" t="s">
        <v>1105</v>
      </c>
      <c r="H2" s="1336" t="s">
        <v>1106</v>
      </c>
      <c r="I2" s="954"/>
      <c r="J2" s="954"/>
      <c r="K2" s="1337"/>
      <c r="P2" s="1335" t="s">
        <v>1107</v>
      </c>
      <c r="R2" s="1335" t="s">
        <v>1108</v>
      </c>
      <c r="AN2" s="1338" t="s">
        <v>1109</v>
      </c>
      <c r="AO2" s="1338" t="s">
        <v>1110</v>
      </c>
      <c r="AP2" s="1338" t="s">
        <v>1111</v>
      </c>
      <c r="AQ2" s="1338" t="s">
        <v>1112</v>
      </c>
      <c r="AR2" s="1338" t="s">
        <v>1113</v>
      </c>
      <c r="AS2" s="1339" t="s">
        <v>1114</v>
      </c>
      <c r="AT2" s="1339" t="s">
        <v>1115</v>
      </c>
      <c r="AU2" s="1339" t="s">
        <v>1116</v>
      </c>
      <c r="AV2" s="1339" t="s">
        <v>1117</v>
      </c>
      <c r="AW2" s="1339" t="s">
        <v>1118</v>
      </c>
    </row>
    <row r="3" ht="15.75" customHeight="1">
      <c r="A3" s="120" t="s">
        <v>493</v>
      </c>
      <c r="B3" s="120" t="s">
        <v>629</v>
      </c>
      <c r="C3" s="120" t="s">
        <v>1030</v>
      </c>
      <c r="D3" s="1341" t="s">
        <v>1119</v>
      </c>
      <c r="E3" s="120"/>
      <c r="F3" s="1342" t="s">
        <v>1030</v>
      </c>
      <c r="H3" s="1343" t="s">
        <v>512</v>
      </c>
      <c r="I3" s="645" t="s">
        <v>1120</v>
      </c>
      <c r="J3" s="1344" t="s">
        <v>477</v>
      </c>
      <c r="K3" s="1345" t="s">
        <v>537</v>
      </c>
      <c r="L3" s="201"/>
      <c r="M3" s="1346"/>
      <c r="N3" s="1347"/>
      <c r="O3" s="314"/>
      <c r="P3" s="1348">
        <v>10.0</v>
      </c>
      <c r="R3" s="1349">
        <v>2025.0</v>
      </c>
      <c r="U3" s="120"/>
      <c r="V3" s="13" t="s">
        <v>1121</v>
      </c>
      <c r="W3" s="13" t="s">
        <v>80</v>
      </c>
      <c r="X3" s="13" t="s">
        <v>169</v>
      </c>
      <c r="Y3" s="13" t="s">
        <v>247</v>
      </c>
      <c r="Z3" s="13" t="s">
        <v>1122</v>
      </c>
      <c r="AB3" s="1350" t="s">
        <v>512</v>
      </c>
      <c r="AC3" s="1351"/>
      <c r="AD3" s="1351"/>
      <c r="AE3" s="1351"/>
      <c r="AF3" s="1351"/>
      <c r="AG3" s="1351"/>
      <c r="AH3" s="1351"/>
      <c r="AI3" s="1351"/>
      <c r="AJ3" s="1351"/>
      <c r="AK3" s="1352"/>
      <c r="AM3" s="1338" t="s">
        <v>1109</v>
      </c>
      <c r="AN3" s="201">
        <f t="shared" ref="AN3:AW3" si="1">COUNTIFS($AZ:$AZ,$AM3,$BA:$BA,AN$2)+COUNTIFS($BA:$BA,$AM3,$AZ:$AZ,AN$2)</f>
        <v>0</v>
      </c>
      <c r="AO3" s="1167">
        <f t="shared" si="1"/>
        <v>2</v>
      </c>
      <c r="AP3" s="1167">
        <f t="shared" si="1"/>
        <v>2</v>
      </c>
      <c r="AQ3" s="1167">
        <f t="shared" si="1"/>
        <v>2</v>
      </c>
      <c r="AR3" s="1167">
        <f t="shared" si="1"/>
        <v>2</v>
      </c>
      <c r="AS3" s="288">
        <f t="shared" si="1"/>
        <v>2</v>
      </c>
      <c r="AT3" s="471">
        <f t="shared" si="1"/>
        <v>1</v>
      </c>
      <c r="AU3" s="471">
        <f t="shared" si="1"/>
        <v>1</v>
      </c>
      <c r="AV3" s="471">
        <f t="shared" si="1"/>
        <v>1</v>
      </c>
      <c r="AW3" s="471">
        <f t="shared" si="1"/>
        <v>1</v>
      </c>
      <c r="AY3" s="313" t="s">
        <v>512</v>
      </c>
      <c r="AZ3" s="13" t="str">
        <f t="shared" ref="AZ3:BA3" si="2">AB6</f>
        <v>P1</v>
      </c>
      <c r="BA3" s="13" t="str">
        <f t="shared" si="2"/>
        <v>E1</v>
      </c>
      <c r="BB3" s="13" t="str">
        <f t="shared" ref="BB3:BC3" si="3">INDEX($X$4:$X$13, MATCH(AZ3,$Z$4:$Z$13,0))</f>
        <v>KINGS</v>
      </c>
      <c r="BC3" s="13" t="str">
        <f t="shared" si="3"/>
        <v>YARDIES</v>
      </c>
      <c r="BD3" s="336"/>
      <c r="BE3" s="336"/>
      <c r="BF3" s="336"/>
      <c r="BG3" s="336"/>
      <c r="BH3" s="336"/>
    </row>
    <row r="4" ht="15.75" customHeight="1">
      <c r="A4" s="120" t="s">
        <v>494</v>
      </c>
      <c r="B4" s="120" t="s">
        <v>1123</v>
      </c>
      <c r="C4" s="120" t="s">
        <v>1030</v>
      </c>
      <c r="D4" s="1353" t="s">
        <v>1124</v>
      </c>
      <c r="E4" s="120"/>
      <c r="F4" s="1348" t="s">
        <v>1031</v>
      </c>
      <c r="H4" s="1354" t="s">
        <v>512</v>
      </c>
      <c r="I4" s="365" t="s">
        <v>1125</v>
      </c>
      <c r="J4" s="1355" t="s">
        <v>538</v>
      </c>
      <c r="K4" s="1356" t="s">
        <v>578</v>
      </c>
      <c r="L4" s="201"/>
      <c r="M4" s="1357"/>
      <c r="N4" s="1358"/>
      <c r="O4" s="314"/>
      <c r="V4" s="13">
        <v>1.0</v>
      </c>
      <c r="W4" s="13">
        <v>1.0</v>
      </c>
      <c r="X4" s="18" t="s">
        <v>537</v>
      </c>
      <c r="Y4" s="13" t="str">
        <f t="shared" ref="Y4:Y13" si="7">INDEX($C$3:$C$13, MATCH(X4,$A$3:$A$13,0))</f>
        <v>ESTEEMED</v>
      </c>
      <c r="Z4" s="13" t="str">
        <f t="shared" ref="Z4:Z13" si="8">IF(Y4="PRODIGY", "P", "E") &amp; W4</f>
        <v>E1</v>
      </c>
      <c r="AB4" s="1359" t="s">
        <v>1120</v>
      </c>
      <c r="AC4" s="554"/>
      <c r="AD4" s="1359" t="s">
        <v>1125</v>
      </c>
      <c r="AE4" s="554"/>
      <c r="AF4" s="1359" t="s">
        <v>1126</v>
      </c>
      <c r="AG4" s="554"/>
      <c r="AH4" s="1359" t="s">
        <v>1127</v>
      </c>
      <c r="AI4" s="554"/>
      <c r="AJ4" s="1359" t="s">
        <v>1128</v>
      </c>
      <c r="AK4" s="554"/>
      <c r="AM4" s="1338" t="s">
        <v>1110</v>
      </c>
      <c r="AN4" s="201">
        <f t="shared" ref="AN4:AW4" si="4">COUNTIFS($AZ:$AZ,$AM4,$BA:$BA,AN$2)+COUNTIFS($BA:$BA,$AM4,$AZ:$AZ,AN$2)</f>
        <v>2</v>
      </c>
      <c r="AO4" s="201">
        <f t="shared" si="4"/>
        <v>0</v>
      </c>
      <c r="AP4" s="1167">
        <f t="shared" si="4"/>
        <v>2</v>
      </c>
      <c r="AQ4" s="1167">
        <f t="shared" si="4"/>
        <v>2</v>
      </c>
      <c r="AR4" s="1167">
        <f t="shared" si="4"/>
        <v>2</v>
      </c>
      <c r="AS4" s="471">
        <f t="shared" si="4"/>
        <v>1</v>
      </c>
      <c r="AT4" s="288">
        <f t="shared" si="4"/>
        <v>2</v>
      </c>
      <c r="AU4" s="471">
        <f t="shared" si="4"/>
        <v>1</v>
      </c>
      <c r="AV4" s="471">
        <f t="shared" si="4"/>
        <v>1</v>
      </c>
      <c r="AW4" s="471">
        <f t="shared" si="4"/>
        <v>1</v>
      </c>
      <c r="AZ4" s="13" t="str">
        <f t="shared" ref="AZ4:BA4" si="5">AD6</f>
        <v>E3</v>
      </c>
      <c r="BA4" s="13" t="str">
        <f t="shared" si="5"/>
        <v>E4</v>
      </c>
      <c r="BB4" s="13" t="str">
        <f t="shared" ref="BB4:BC4" si="6">INDEX($X$4:$X$13, MATCH(AZ4,$Z$4:$Z$13,0))</f>
        <v>MUTTS</v>
      </c>
      <c r="BC4" s="13" t="str">
        <f t="shared" si="6"/>
        <v>METAMOOKDAWGS</v>
      </c>
      <c r="BE4" s="336"/>
    </row>
    <row r="5" ht="15.75" customHeight="1">
      <c r="A5" s="120" t="s">
        <v>495</v>
      </c>
      <c r="B5" s="120" t="s">
        <v>631</v>
      </c>
      <c r="C5" s="120" t="s">
        <v>1030</v>
      </c>
      <c r="D5" s="1353" t="s">
        <v>1129</v>
      </c>
      <c r="E5" s="120"/>
      <c r="F5" s="120"/>
      <c r="H5" s="1354" t="s">
        <v>512</v>
      </c>
      <c r="I5" s="698" t="s">
        <v>1126</v>
      </c>
      <c r="J5" s="1360" t="s">
        <v>478</v>
      </c>
      <c r="K5" s="1361" t="s">
        <v>536</v>
      </c>
      <c r="L5" s="201"/>
      <c r="M5" s="1357"/>
      <c r="N5" s="1358"/>
      <c r="O5" s="314"/>
      <c r="V5" s="13">
        <v>2.0</v>
      </c>
      <c r="W5" s="13">
        <v>1.0</v>
      </c>
      <c r="X5" s="18" t="s">
        <v>477</v>
      </c>
      <c r="Y5" s="13" t="str">
        <f t="shared" si="7"/>
        <v>PRODIGY</v>
      </c>
      <c r="Z5" s="13" t="str">
        <f t="shared" si="8"/>
        <v>P1</v>
      </c>
      <c r="AB5" s="1362" t="s">
        <v>645</v>
      </c>
      <c r="AC5" s="705" t="s">
        <v>646</v>
      </c>
      <c r="AD5" s="1362" t="s">
        <v>645</v>
      </c>
      <c r="AE5" s="705" t="s">
        <v>646</v>
      </c>
      <c r="AF5" s="1362" t="s">
        <v>645</v>
      </c>
      <c r="AG5" s="705" t="s">
        <v>646</v>
      </c>
      <c r="AH5" s="1362" t="s">
        <v>645</v>
      </c>
      <c r="AI5" s="705" t="s">
        <v>646</v>
      </c>
      <c r="AJ5" s="1362" t="s">
        <v>645</v>
      </c>
      <c r="AK5" s="705" t="s">
        <v>646</v>
      </c>
      <c r="AM5" s="1338" t="s">
        <v>1111</v>
      </c>
      <c r="AN5" s="201">
        <f t="shared" ref="AN5:AW5" si="9">COUNTIFS($AZ:$AZ,$AM5,$BA:$BA,AN$2)+COUNTIFS($BA:$BA,$AM5,$AZ:$AZ,AN$2)</f>
        <v>2</v>
      </c>
      <c r="AO5" s="201">
        <f t="shared" si="9"/>
        <v>2</v>
      </c>
      <c r="AP5" s="201">
        <f t="shared" si="9"/>
        <v>0</v>
      </c>
      <c r="AQ5" s="1167">
        <f t="shared" si="9"/>
        <v>2</v>
      </c>
      <c r="AR5" s="1167">
        <f t="shared" si="9"/>
        <v>2</v>
      </c>
      <c r="AS5" s="471">
        <f t="shared" si="9"/>
        <v>1</v>
      </c>
      <c r="AT5" s="471">
        <f t="shared" si="9"/>
        <v>1</v>
      </c>
      <c r="AU5" s="288">
        <f t="shared" si="9"/>
        <v>2</v>
      </c>
      <c r="AV5" s="471">
        <f t="shared" si="9"/>
        <v>1</v>
      </c>
      <c r="AW5" s="471">
        <f t="shared" si="9"/>
        <v>1</v>
      </c>
      <c r="AZ5" s="13" t="str">
        <f t="shared" ref="AZ5:BA5" si="10">AF6</f>
        <v>E2</v>
      </c>
      <c r="BA5" s="13" t="str">
        <f t="shared" si="10"/>
        <v>E5</v>
      </c>
      <c r="BB5" s="13" t="str">
        <f t="shared" ref="BB5:BC5" si="11">INDEX($X$4:$X$13, MATCH(AZ5,$Z$4:$Z$13,0))</f>
        <v>EAGLES</v>
      </c>
      <c r="BC5" s="13" t="str">
        <f t="shared" si="11"/>
        <v>CHAMPS</v>
      </c>
      <c r="BE5" s="336"/>
    </row>
    <row r="6" ht="15.75" customHeight="1">
      <c r="A6" s="120" t="s">
        <v>497</v>
      </c>
      <c r="B6" s="120" t="s">
        <v>632</v>
      </c>
      <c r="C6" s="120" t="s">
        <v>1030</v>
      </c>
      <c r="D6" s="1353" t="s">
        <v>1131</v>
      </c>
      <c r="E6" s="120"/>
      <c r="F6" s="120"/>
      <c r="H6" s="1354" t="s">
        <v>512</v>
      </c>
      <c r="I6" s="698" t="s">
        <v>1127</v>
      </c>
      <c r="J6" s="1365" t="s">
        <v>493</v>
      </c>
      <c r="K6" s="1366" t="s">
        <v>495</v>
      </c>
      <c r="L6" s="201"/>
      <c r="M6" s="1357"/>
      <c r="N6" s="1358"/>
      <c r="O6" s="314"/>
      <c r="V6" s="13">
        <v>3.0</v>
      </c>
      <c r="W6" s="13">
        <v>2.0</v>
      </c>
      <c r="X6" s="18" t="s">
        <v>478</v>
      </c>
      <c r="Y6" s="13" t="str">
        <f t="shared" si="7"/>
        <v>ESTEEMED</v>
      </c>
      <c r="Z6" s="13" t="str">
        <f t="shared" si="8"/>
        <v>E2</v>
      </c>
      <c r="AB6" s="1367" t="s">
        <v>1109</v>
      </c>
      <c r="AC6" s="1368" t="s">
        <v>1114</v>
      </c>
      <c r="AD6" s="1369" t="s">
        <v>1116</v>
      </c>
      <c r="AE6" s="1370" t="s">
        <v>1117</v>
      </c>
      <c r="AF6" s="1369" t="s">
        <v>1115</v>
      </c>
      <c r="AG6" s="1370" t="s">
        <v>1118</v>
      </c>
      <c r="AH6" s="1369" t="s">
        <v>1111</v>
      </c>
      <c r="AI6" s="1370" t="s">
        <v>1112</v>
      </c>
      <c r="AJ6" s="1369" t="s">
        <v>1113</v>
      </c>
      <c r="AK6" s="1370" t="s">
        <v>1110</v>
      </c>
      <c r="AM6" s="1338" t="s">
        <v>1112</v>
      </c>
      <c r="AN6" s="201">
        <f t="shared" ref="AN6:AW6" si="12">COUNTIFS($AZ:$AZ,$AM6,$BA:$BA,AN$2)+COUNTIFS($BA:$BA,$AM6,$AZ:$AZ,AN$2)</f>
        <v>2</v>
      </c>
      <c r="AO6" s="201">
        <f t="shared" si="12"/>
        <v>2</v>
      </c>
      <c r="AP6" s="201">
        <f t="shared" si="12"/>
        <v>2</v>
      </c>
      <c r="AQ6" s="201">
        <f t="shared" si="12"/>
        <v>0</v>
      </c>
      <c r="AR6" s="1167">
        <f t="shared" si="12"/>
        <v>2</v>
      </c>
      <c r="AS6" s="471">
        <f t="shared" si="12"/>
        <v>1</v>
      </c>
      <c r="AT6" s="471">
        <f t="shared" si="12"/>
        <v>1</v>
      </c>
      <c r="AU6" s="471">
        <f t="shared" si="12"/>
        <v>1</v>
      </c>
      <c r="AV6" s="471">
        <f t="shared" si="12"/>
        <v>1</v>
      </c>
      <c r="AW6" s="288">
        <f t="shared" si="12"/>
        <v>2</v>
      </c>
      <c r="AZ6" s="13" t="str">
        <f t="shared" ref="AZ6:BA6" si="13">AH6</f>
        <v>P3</v>
      </c>
      <c r="BA6" s="13" t="str">
        <f t="shared" si="13"/>
        <v>P4</v>
      </c>
      <c r="BB6" s="13" t="str">
        <f t="shared" ref="BB6:BC6" si="14">INDEX($X$4:$X$13, MATCH(AZ6,$Z$4:$Z$13,0))</f>
        <v>DECOUPES</v>
      </c>
      <c r="BC6" s="13" t="str">
        <f t="shared" si="14"/>
        <v>GREEN</v>
      </c>
      <c r="BE6" s="336"/>
    </row>
    <row r="7" ht="15.75" customHeight="1">
      <c r="A7" s="120" t="s">
        <v>536</v>
      </c>
      <c r="B7" s="120" t="s">
        <v>635</v>
      </c>
      <c r="C7" s="120" t="s">
        <v>1031</v>
      </c>
      <c r="D7" s="1353" t="s">
        <v>1132</v>
      </c>
      <c r="E7" s="120"/>
      <c r="F7" s="120"/>
      <c r="H7" s="1373" t="s">
        <v>512</v>
      </c>
      <c r="I7" s="1193" t="s">
        <v>1128</v>
      </c>
      <c r="J7" s="1374" t="s">
        <v>497</v>
      </c>
      <c r="K7" s="1375" t="s">
        <v>494</v>
      </c>
      <c r="L7" s="201"/>
      <c r="M7" s="1376"/>
      <c r="N7" s="1289"/>
      <c r="O7" s="314"/>
      <c r="V7" s="13">
        <v>4.0</v>
      </c>
      <c r="W7" s="13">
        <v>2.0</v>
      </c>
      <c r="X7" s="18" t="s">
        <v>494</v>
      </c>
      <c r="Y7" s="13" t="str">
        <f t="shared" si="7"/>
        <v>PRODIGY</v>
      </c>
      <c r="Z7" s="13" t="str">
        <f t="shared" si="8"/>
        <v>P2</v>
      </c>
      <c r="AB7" s="1350" t="s">
        <v>513</v>
      </c>
      <c r="AC7" s="1351"/>
      <c r="AD7" s="1351"/>
      <c r="AE7" s="1351"/>
      <c r="AF7" s="1351"/>
      <c r="AG7" s="1351"/>
      <c r="AH7" s="1351"/>
      <c r="AI7" s="1351"/>
      <c r="AJ7" s="1351"/>
      <c r="AK7" s="1352"/>
      <c r="AM7" s="1338" t="s">
        <v>1113</v>
      </c>
      <c r="AN7" s="201">
        <f t="shared" ref="AN7:AW7" si="15">COUNTIFS($AZ:$AZ,$AM7,$BA:$BA,AN$2)+COUNTIFS($BA:$BA,$AM7,$AZ:$AZ,AN$2)</f>
        <v>2</v>
      </c>
      <c r="AO7" s="201">
        <f t="shared" si="15"/>
        <v>2</v>
      </c>
      <c r="AP7" s="201">
        <f t="shared" si="15"/>
        <v>2</v>
      </c>
      <c r="AQ7" s="201">
        <f t="shared" si="15"/>
        <v>2</v>
      </c>
      <c r="AR7" s="201">
        <f t="shared" si="15"/>
        <v>0</v>
      </c>
      <c r="AS7" s="471">
        <f t="shared" si="15"/>
        <v>1</v>
      </c>
      <c r="AT7" s="471">
        <f t="shared" si="15"/>
        <v>1</v>
      </c>
      <c r="AU7" s="471">
        <f t="shared" si="15"/>
        <v>1</v>
      </c>
      <c r="AV7" s="288">
        <f t="shared" si="15"/>
        <v>2</v>
      </c>
      <c r="AW7" s="471">
        <f t="shared" si="15"/>
        <v>1</v>
      </c>
      <c r="AZ7" s="13" t="str">
        <f t="shared" ref="AZ7:BA7" si="16">AJ6</f>
        <v>P5</v>
      </c>
      <c r="BA7" s="13" t="str">
        <f t="shared" si="16"/>
        <v>P2</v>
      </c>
      <c r="BB7" s="13" t="str">
        <f t="shared" ref="BB7:BC7" si="17">INDEX($X$4:$X$13, MATCH(AZ7,$Z$4:$Z$13,0))</f>
        <v>SAVAGES</v>
      </c>
      <c r="BC7" s="13" t="str">
        <f t="shared" si="17"/>
        <v>POPEYES</v>
      </c>
      <c r="BE7" s="336"/>
    </row>
    <row r="8" ht="15.75" customHeight="1">
      <c r="A8" s="120" t="s">
        <v>578</v>
      </c>
      <c r="B8" s="120" t="s">
        <v>633</v>
      </c>
      <c r="C8" s="120" t="s">
        <v>1031</v>
      </c>
      <c r="D8" s="1353" t="s">
        <v>1133</v>
      </c>
      <c r="E8" s="120"/>
      <c r="F8" s="120"/>
      <c r="H8" s="1379" t="s">
        <v>513</v>
      </c>
      <c r="I8" s="645" t="s">
        <v>1120</v>
      </c>
      <c r="J8" s="13" t="s">
        <v>578</v>
      </c>
      <c r="K8" s="13" t="s">
        <v>537</v>
      </c>
      <c r="L8" s="1338"/>
      <c r="M8" s="471"/>
      <c r="N8" s="471"/>
      <c r="V8" s="13">
        <v>5.0</v>
      </c>
      <c r="W8" s="13">
        <v>3.0</v>
      </c>
      <c r="X8" s="13" t="s">
        <v>493</v>
      </c>
      <c r="Y8" s="13" t="str">
        <f t="shared" si="7"/>
        <v>PRODIGY</v>
      </c>
      <c r="Z8" s="13" t="str">
        <f t="shared" si="8"/>
        <v>P3</v>
      </c>
      <c r="AB8" s="1359" t="s">
        <v>1120</v>
      </c>
      <c r="AC8" s="554"/>
      <c r="AD8" s="1359" t="s">
        <v>1125</v>
      </c>
      <c r="AE8" s="554"/>
      <c r="AF8" s="1359" t="s">
        <v>1126</v>
      </c>
      <c r="AG8" s="554"/>
      <c r="AH8" s="1359" t="s">
        <v>1127</v>
      </c>
      <c r="AI8" s="554"/>
      <c r="AJ8" s="1359" t="s">
        <v>1128</v>
      </c>
      <c r="AK8" s="554"/>
      <c r="AM8" s="1339" t="s">
        <v>1114</v>
      </c>
      <c r="AN8" s="201">
        <f t="shared" ref="AN8:AW8" si="18">COUNTIFS($AZ:$AZ,$AM8,$BA:$BA,AN$2)+COUNTIFS($BA:$BA,$AM8,$AZ:$AZ,AN$2)</f>
        <v>2</v>
      </c>
      <c r="AO8" s="201">
        <f t="shared" si="18"/>
        <v>1</v>
      </c>
      <c r="AP8" s="201">
        <f t="shared" si="18"/>
        <v>1</v>
      </c>
      <c r="AQ8" s="201">
        <f t="shared" si="18"/>
        <v>1</v>
      </c>
      <c r="AR8" s="201">
        <f t="shared" si="18"/>
        <v>1</v>
      </c>
      <c r="AS8" s="201">
        <f t="shared" si="18"/>
        <v>0</v>
      </c>
      <c r="AT8" s="1167">
        <f t="shared" si="18"/>
        <v>2</v>
      </c>
      <c r="AU8" s="1167">
        <f t="shared" si="18"/>
        <v>2</v>
      </c>
      <c r="AV8" s="1167">
        <f t="shared" si="18"/>
        <v>2</v>
      </c>
      <c r="AW8" s="1167">
        <f t="shared" si="18"/>
        <v>2</v>
      </c>
      <c r="AY8" s="1381" t="s">
        <v>513</v>
      </c>
      <c r="AZ8" s="1382" t="str">
        <f t="shared" ref="AZ8:BA8" si="19">AB10</f>
        <v>E4</v>
      </c>
      <c r="BA8" s="1382" t="str">
        <f t="shared" si="19"/>
        <v>E1</v>
      </c>
      <c r="BB8" s="1382" t="str">
        <f t="shared" ref="BB8:BC8" si="20">INDEX($X$4:$X$13, MATCH(AZ8,$Z$4:$Z$13,0))</f>
        <v>METAMOOKDAWGS</v>
      </c>
      <c r="BC8" s="1382" t="str">
        <f t="shared" si="20"/>
        <v>YARDIES</v>
      </c>
    </row>
    <row r="9" ht="15.75" customHeight="1">
      <c r="A9" s="120" t="s">
        <v>537</v>
      </c>
      <c r="B9" s="120" t="s">
        <v>636</v>
      </c>
      <c r="C9" s="120" t="s">
        <v>1031</v>
      </c>
      <c r="D9" s="1353" t="s">
        <v>1134</v>
      </c>
      <c r="E9" s="120"/>
      <c r="F9" s="120"/>
      <c r="H9" s="1383" t="s">
        <v>513</v>
      </c>
      <c r="I9" s="365" t="s">
        <v>1125</v>
      </c>
      <c r="J9" s="13" t="s">
        <v>536</v>
      </c>
      <c r="K9" s="13" t="s">
        <v>538</v>
      </c>
      <c r="L9" s="1338"/>
      <c r="M9" s="365"/>
      <c r="N9" s="365"/>
      <c r="Q9" s="13" t="s">
        <v>645</v>
      </c>
      <c r="R9" s="13" t="s">
        <v>646</v>
      </c>
      <c r="V9" s="13">
        <v>6.0</v>
      </c>
      <c r="W9" s="13">
        <v>3.0</v>
      </c>
      <c r="X9" s="13" t="s">
        <v>538</v>
      </c>
      <c r="Y9" s="13" t="str">
        <f t="shared" si="7"/>
        <v>ESTEEMED</v>
      </c>
      <c r="Z9" s="13" t="str">
        <f t="shared" si="8"/>
        <v>E3</v>
      </c>
      <c r="AB9" s="1362" t="s">
        <v>645</v>
      </c>
      <c r="AC9" s="705" t="s">
        <v>646</v>
      </c>
      <c r="AD9" s="1362" t="s">
        <v>645</v>
      </c>
      <c r="AE9" s="705" t="s">
        <v>646</v>
      </c>
      <c r="AF9" s="1362" t="s">
        <v>645</v>
      </c>
      <c r="AG9" s="705" t="s">
        <v>646</v>
      </c>
      <c r="AH9" s="1362" t="s">
        <v>645</v>
      </c>
      <c r="AI9" s="705" t="s">
        <v>646</v>
      </c>
      <c r="AJ9" s="1362" t="s">
        <v>645</v>
      </c>
      <c r="AK9" s="705" t="s">
        <v>646</v>
      </c>
      <c r="AM9" s="1339" t="s">
        <v>1115</v>
      </c>
      <c r="AN9" s="201">
        <f t="shared" ref="AN9:AW9" si="21">COUNTIFS($AZ:$AZ,$AM9,$BA:$BA,AN$2)+COUNTIFS($BA:$BA,$AM9,$AZ:$AZ,AN$2)</f>
        <v>1</v>
      </c>
      <c r="AO9" s="201">
        <f t="shared" si="21"/>
        <v>2</v>
      </c>
      <c r="AP9" s="201">
        <f t="shared" si="21"/>
        <v>1</v>
      </c>
      <c r="AQ9" s="201">
        <f t="shared" si="21"/>
        <v>1</v>
      </c>
      <c r="AR9" s="201">
        <f t="shared" si="21"/>
        <v>1</v>
      </c>
      <c r="AS9" s="201">
        <f t="shared" si="21"/>
        <v>2</v>
      </c>
      <c r="AT9" s="201">
        <f t="shared" si="21"/>
        <v>0</v>
      </c>
      <c r="AU9" s="1167">
        <f t="shared" si="21"/>
        <v>2</v>
      </c>
      <c r="AV9" s="1167">
        <f t="shared" si="21"/>
        <v>2</v>
      </c>
      <c r="AW9" s="1167">
        <f t="shared" si="21"/>
        <v>2</v>
      </c>
      <c r="AZ9" s="1382" t="str">
        <f t="shared" ref="AZ9:BA9" si="22">AD10</f>
        <v>E5</v>
      </c>
      <c r="BA9" s="1382" t="str">
        <f t="shared" si="22"/>
        <v>E3</v>
      </c>
      <c r="BB9" s="1382" t="str">
        <f t="shared" ref="BB9:BC9" si="23">INDEX($X$4:$X$13, MATCH(AZ9,$Z$4:$Z$13,0))</f>
        <v>CHAMPS</v>
      </c>
      <c r="BC9" s="1382" t="str">
        <f t="shared" si="23"/>
        <v>MUTTS</v>
      </c>
    </row>
    <row r="10" ht="15.75" customHeight="1">
      <c r="A10" s="120" t="s">
        <v>538</v>
      </c>
      <c r="B10" s="120" t="s">
        <v>634</v>
      </c>
      <c r="C10" s="120" t="s">
        <v>1031</v>
      </c>
      <c r="D10" s="1353" t="s">
        <v>1136</v>
      </c>
      <c r="E10" s="120"/>
      <c r="F10" s="120"/>
      <c r="H10" s="1383" t="s">
        <v>513</v>
      </c>
      <c r="I10" s="698" t="s">
        <v>1126</v>
      </c>
      <c r="J10" s="13" t="s">
        <v>494</v>
      </c>
      <c r="K10" s="1366" t="s">
        <v>478</v>
      </c>
      <c r="L10" s="1338"/>
      <c r="M10" s="698"/>
      <c r="N10" s="698"/>
      <c r="P10" s="120" t="str">
        <f t="shared" ref="P10:P19" si="27">A3</f>
        <v>DECOUPES</v>
      </c>
      <c r="Q10" s="13">
        <f t="shared" ref="Q10:Q19" si="28">COUNTIF($J$3:$J$72,P10)</f>
        <v>7</v>
      </c>
      <c r="R10" s="13">
        <f t="shared" ref="R10:R19" si="29">COUNTIF($K$3:$K$72,P10)</f>
        <v>7</v>
      </c>
      <c r="V10" s="13">
        <v>7.0</v>
      </c>
      <c r="W10" s="13">
        <v>4.0</v>
      </c>
      <c r="X10" s="13" t="s">
        <v>495</v>
      </c>
      <c r="Y10" s="13" t="str">
        <f t="shared" si="7"/>
        <v>PRODIGY</v>
      </c>
      <c r="Z10" s="13" t="str">
        <f t="shared" si="8"/>
        <v>P4</v>
      </c>
      <c r="AB10" s="1369" t="s">
        <v>1117</v>
      </c>
      <c r="AC10" s="1370" t="s">
        <v>1114</v>
      </c>
      <c r="AD10" s="1369" t="s">
        <v>1118</v>
      </c>
      <c r="AE10" s="1370" t="s">
        <v>1116</v>
      </c>
      <c r="AF10" s="1367" t="s">
        <v>1110</v>
      </c>
      <c r="AG10" s="1368" t="s">
        <v>1115</v>
      </c>
      <c r="AH10" s="1369" t="s">
        <v>1109</v>
      </c>
      <c r="AI10" s="1370" t="s">
        <v>1111</v>
      </c>
      <c r="AJ10" s="1369" t="s">
        <v>1112</v>
      </c>
      <c r="AK10" s="1370" t="s">
        <v>1113</v>
      </c>
      <c r="AM10" s="1339" t="s">
        <v>1116</v>
      </c>
      <c r="AN10" s="201">
        <f t="shared" ref="AN10:AW10" si="24">COUNTIFS($AZ:$AZ,$AM10,$BA:$BA,AN$2)+COUNTIFS($BA:$BA,$AM10,$AZ:$AZ,AN$2)</f>
        <v>1</v>
      </c>
      <c r="AO10" s="201">
        <f t="shared" si="24"/>
        <v>1</v>
      </c>
      <c r="AP10" s="201">
        <f t="shared" si="24"/>
        <v>2</v>
      </c>
      <c r="AQ10" s="201">
        <f t="shared" si="24"/>
        <v>1</v>
      </c>
      <c r="AR10" s="201">
        <f t="shared" si="24"/>
        <v>1</v>
      </c>
      <c r="AS10" s="201">
        <f t="shared" si="24"/>
        <v>2</v>
      </c>
      <c r="AT10" s="201">
        <f t="shared" si="24"/>
        <v>2</v>
      </c>
      <c r="AU10" s="201">
        <f t="shared" si="24"/>
        <v>0</v>
      </c>
      <c r="AV10" s="1167">
        <f t="shared" si="24"/>
        <v>2</v>
      </c>
      <c r="AW10" s="1167">
        <f t="shared" si="24"/>
        <v>2</v>
      </c>
      <c r="AZ10" s="1382" t="str">
        <f t="shared" ref="AZ10:BA10" si="25">AF10</f>
        <v>P2</v>
      </c>
      <c r="BA10" s="1382" t="str">
        <f t="shared" si="25"/>
        <v>E2</v>
      </c>
      <c r="BB10" s="1382" t="str">
        <f t="shared" ref="BB10:BC10" si="26">INDEX($X$4:$X$13, MATCH(AZ10,$Z$4:$Z$13,0))</f>
        <v>POPEYES</v>
      </c>
      <c r="BC10" s="1382" t="str">
        <f t="shared" si="26"/>
        <v>EAGLES</v>
      </c>
    </row>
    <row r="11" ht="15.75" customHeight="1">
      <c r="A11" s="120" t="s">
        <v>478</v>
      </c>
      <c r="B11" s="120" t="s">
        <v>1137</v>
      </c>
      <c r="C11" s="120" t="s">
        <v>1031</v>
      </c>
      <c r="H11" s="1383" t="s">
        <v>513</v>
      </c>
      <c r="I11" s="698" t="s">
        <v>1127</v>
      </c>
      <c r="J11" s="13" t="s">
        <v>477</v>
      </c>
      <c r="K11" s="13" t="s">
        <v>493</v>
      </c>
      <c r="L11" s="1338"/>
      <c r="P11" s="120" t="str">
        <f t="shared" si="27"/>
        <v>POPEYES</v>
      </c>
      <c r="Q11" s="13">
        <f t="shared" si="28"/>
        <v>7</v>
      </c>
      <c r="R11" s="13">
        <f t="shared" si="29"/>
        <v>7</v>
      </c>
      <c r="V11" s="13">
        <v>8.0</v>
      </c>
      <c r="W11" s="13">
        <v>4.0</v>
      </c>
      <c r="X11" s="13" t="s">
        <v>578</v>
      </c>
      <c r="Y11" s="13" t="str">
        <f t="shared" si="7"/>
        <v>ESTEEMED</v>
      </c>
      <c r="Z11" s="13" t="str">
        <f t="shared" si="8"/>
        <v>E4</v>
      </c>
      <c r="AB11" s="1350" t="s">
        <v>514</v>
      </c>
      <c r="AC11" s="1351"/>
      <c r="AD11" s="1351"/>
      <c r="AE11" s="1351"/>
      <c r="AF11" s="1351"/>
      <c r="AG11" s="1351"/>
      <c r="AH11" s="1351"/>
      <c r="AI11" s="1351"/>
      <c r="AJ11" s="1351"/>
      <c r="AK11" s="1352"/>
      <c r="AM11" s="1339" t="s">
        <v>1117</v>
      </c>
      <c r="AN11" s="201">
        <f t="shared" ref="AN11:AW11" si="30">COUNTIFS($AZ:$AZ,$AM11,$BA:$BA,AN$2)+COUNTIFS($BA:$BA,$AM11,$AZ:$AZ,AN$2)</f>
        <v>1</v>
      </c>
      <c r="AO11" s="201">
        <f t="shared" si="30"/>
        <v>1</v>
      </c>
      <c r="AP11" s="201">
        <f t="shared" si="30"/>
        <v>1</v>
      </c>
      <c r="AQ11" s="201">
        <f t="shared" si="30"/>
        <v>1</v>
      </c>
      <c r="AR11" s="201">
        <f t="shared" si="30"/>
        <v>2</v>
      </c>
      <c r="AS11" s="201">
        <f t="shared" si="30"/>
        <v>2</v>
      </c>
      <c r="AT11" s="201">
        <f t="shared" si="30"/>
        <v>2</v>
      </c>
      <c r="AU11" s="201">
        <f t="shared" si="30"/>
        <v>2</v>
      </c>
      <c r="AV11" s="201">
        <f t="shared" si="30"/>
        <v>0</v>
      </c>
      <c r="AW11" s="1167">
        <f t="shared" si="30"/>
        <v>2</v>
      </c>
      <c r="AZ11" s="1382" t="str">
        <f t="shared" ref="AZ11:BA11" si="31">AH10</f>
        <v>P1</v>
      </c>
      <c r="BA11" s="1382" t="str">
        <f t="shared" si="31"/>
        <v>P3</v>
      </c>
      <c r="BB11" s="1382" t="str">
        <f t="shared" ref="BB11:BC11" si="32">INDEX($X$4:$X$13, MATCH(AZ11,$Z$4:$Z$13,0))</f>
        <v>KINGS</v>
      </c>
      <c r="BC11" s="1382" t="str">
        <f t="shared" si="32"/>
        <v>DECOUPES</v>
      </c>
    </row>
    <row r="12" ht="15.75" customHeight="1">
      <c r="A12" s="120" t="s">
        <v>477</v>
      </c>
      <c r="B12" s="120" t="s">
        <v>1143</v>
      </c>
      <c r="C12" s="120" t="s">
        <v>1030</v>
      </c>
      <c r="H12" s="1387" t="s">
        <v>513</v>
      </c>
      <c r="I12" s="1193" t="s">
        <v>1128</v>
      </c>
      <c r="J12" s="13" t="s">
        <v>495</v>
      </c>
      <c r="K12" s="13" t="s">
        <v>497</v>
      </c>
      <c r="L12" s="1338"/>
      <c r="N12" s="1167"/>
      <c r="P12" s="120" t="str">
        <f t="shared" si="27"/>
        <v>GREEN</v>
      </c>
      <c r="Q12" s="13">
        <f t="shared" si="28"/>
        <v>7</v>
      </c>
      <c r="R12" s="13">
        <f t="shared" si="29"/>
        <v>7</v>
      </c>
      <c r="V12" s="13">
        <v>9.0</v>
      </c>
      <c r="W12" s="13">
        <v>5.0</v>
      </c>
      <c r="X12" s="13" t="s">
        <v>536</v>
      </c>
      <c r="Y12" s="13" t="str">
        <f t="shared" si="7"/>
        <v>ESTEEMED</v>
      </c>
      <c r="Z12" s="13" t="str">
        <f t="shared" si="8"/>
        <v>E5</v>
      </c>
      <c r="AB12" s="1359" t="s">
        <v>1120</v>
      </c>
      <c r="AC12" s="554"/>
      <c r="AD12" s="1359" t="s">
        <v>1125</v>
      </c>
      <c r="AE12" s="554"/>
      <c r="AF12" s="1359" t="s">
        <v>1126</v>
      </c>
      <c r="AG12" s="554"/>
      <c r="AH12" s="1359" t="s">
        <v>1127</v>
      </c>
      <c r="AI12" s="554"/>
      <c r="AJ12" s="1359" t="s">
        <v>1128</v>
      </c>
      <c r="AK12" s="554"/>
      <c r="AM12" s="1339" t="s">
        <v>1118</v>
      </c>
      <c r="AN12" s="201">
        <f t="shared" ref="AN12:AW12" si="33">COUNTIFS($AZ:$AZ,$AM12,$BA:$BA,AN$2)+COUNTIFS($BA:$BA,$AM12,$AZ:$AZ,AN$2)</f>
        <v>1</v>
      </c>
      <c r="AO12" s="201">
        <f t="shared" si="33"/>
        <v>1</v>
      </c>
      <c r="AP12" s="201">
        <f t="shared" si="33"/>
        <v>1</v>
      </c>
      <c r="AQ12" s="201">
        <f t="shared" si="33"/>
        <v>2</v>
      </c>
      <c r="AR12" s="201">
        <f t="shared" si="33"/>
        <v>1</v>
      </c>
      <c r="AS12" s="201">
        <f t="shared" si="33"/>
        <v>2</v>
      </c>
      <c r="AT12" s="201">
        <f t="shared" si="33"/>
        <v>2</v>
      </c>
      <c r="AU12" s="201">
        <f t="shared" si="33"/>
        <v>2</v>
      </c>
      <c r="AV12" s="201">
        <f t="shared" si="33"/>
        <v>2</v>
      </c>
      <c r="AW12" s="201">
        <f t="shared" si="33"/>
        <v>0</v>
      </c>
      <c r="AZ12" s="1382" t="str">
        <f t="shared" ref="AZ12:BA12" si="34">AJ10</f>
        <v>P4</v>
      </c>
      <c r="BA12" s="1382" t="str">
        <f t="shared" si="34"/>
        <v>P5</v>
      </c>
      <c r="BB12" s="1382" t="str">
        <f t="shared" ref="BB12:BC12" si="35">INDEX($X$4:$X$13, MATCH(AZ12,$Z$4:$Z$13,0))</f>
        <v>GREEN</v>
      </c>
      <c r="BC12" s="1382" t="str">
        <f t="shared" si="35"/>
        <v>SAVAGES</v>
      </c>
    </row>
    <row r="13" ht="15.75" customHeight="1">
      <c r="H13" s="1343" t="s">
        <v>514</v>
      </c>
      <c r="I13" s="645" t="s">
        <v>1120</v>
      </c>
      <c r="J13" s="13" t="s">
        <v>578</v>
      </c>
      <c r="K13" s="13" t="s">
        <v>477</v>
      </c>
      <c r="L13" s="201"/>
      <c r="P13" s="120" t="str">
        <f t="shared" si="27"/>
        <v>SAVAGES</v>
      </c>
      <c r="Q13" s="13">
        <f t="shared" si="28"/>
        <v>7</v>
      </c>
      <c r="R13" s="13">
        <f t="shared" si="29"/>
        <v>7</v>
      </c>
      <c r="V13" s="13">
        <v>10.0</v>
      </c>
      <c r="W13" s="13">
        <v>5.0</v>
      </c>
      <c r="X13" s="13" t="s">
        <v>497</v>
      </c>
      <c r="Y13" s="13" t="str">
        <f t="shared" si="7"/>
        <v>PRODIGY</v>
      </c>
      <c r="Z13" s="13" t="str">
        <f t="shared" si="8"/>
        <v>P5</v>
      </c>
      <c r="AB13" s="1362" t="s">
        <v>645</v>
      </c>
      <c r="AC13" s="705" t="s">
        <v>646</v>
      </c>
      <c r="AD13" s="1362" t="s">
        <v>645</v>
      </c>
      <c r="AE13" s="705" t="s">
        <v>646</v>
      </c>
      <c r="AF13" s="1362" t="s">
        <v>645</v>
      </c>
      <c r="AG13" s="705" t="s">
        <v>646</v>
      </c>
      <c r="AH13" s="1362" t="s">
        <v>645</v>
      </c>
      <c r="AI13" s="705" t="s">
        <v>646</v>
      </c>
      <c r="AJ13" s="1362" t="s">
        <v>645</v>
      </c>
      <c r="AK13" s="705" t="s">
        <v>646</v>
      </c>
      <c r="AY13" s="313" t="s">
        <v>514</v>
      </c>
      <c r="AZ13" s="13" t="str">
        <f t="shared" ref="AZ13:BA13" si="36">AB14</f>
        <v>E4</v>
      </c>
      <c r="BA13" s="13" t="str">
        <f t="shared" si="36"/>
        <v>P1</v>
      </c>
      <c r="BB13" s="13" t="str">
        <f t="shared" ref="BB13:BC13" si="37">INDEX($X$4:$X$13, MATCH(AZ13,$Z$4:$Z$13,0))</f>
        <v>METAMOOKDAWGS</v>
      </c>
      <c r="BC13" s="13" t="str">
        <f t="shared" si="37"/>
        <v>KINGS</v>
      </c>
    </row>
    <row r="14" ht="15.75" customHeight="1">
      <c r="H14" s="1354" t="s">
        <v>514</v>
      </c>
      <c r="I14" s="365" t="s">
        <v>1125</v>
      </c>
      <c r="J14" s="1366" t="s">
        <v>538</v>
      </c>
      <c r="K14" s="13" t="s">
        <v>494</v>
      </c>
      <c r="L14" s="201"/>
      <c r="P14" s="120" t="str">
        <f t="shared" si="27"/>
        <v>CHAMPS</v>
      </c>
      <c r="Q14" s="13">
        <f t="shared" si="28"/>
        <v>7</v>
      </c>
      <c r="R14" s="13">
        <f t="shared" si="29"/>
        <v>7</v>
      </c>
      <c r="AB14" s="1388" t="s">
        <v>1117</v>
      </c>
      <c r="AC14" s="1389" t="s">
        <v>1109</v>
      </c>
      <c r="AD14" s="1388" t="s">
        <v>1116</v>
      </c>
      <c r="AE14" s="1389" t="s">
        <v>1110</v>
      </c>
      <c r="AF14" s="1388" t="s">
        <v>1118</v>
      </c>
      <c r="AG14" s="1389" t="s">
        <v>1111</v>
      </c>
      <c r="AH14" s="1388" t="s">
        <v>1112</v>
      </c>
      <c r="AI14" s="1389" t="s">
        <v>1114</v>
      </c>
      <c r="AJ14" s="1388" t="s">
        <v>1113</v>
      </c>
      <c r="AK14" s="1389" t="s">
        <v>1115</v>
      </c>
      <c r="AZ14" s="13" t="str">
        <f t="shared" ref="AZ14:BA14" si="38">AD14</f>
        <v>E3</v>
      </c>
      <c r="BA14" s="13" t="str">
        <f t="shared" si="38"/>
        <v>P2</v>
      </c>
      <c r="BB14" s="13" t="str">
        <f t="shared" ref="BB14:BC14" si="39">INDEX($X$4:$X$13, MATCH(AZ14,$Z$4:$Z$13,0))</f>
        <v>MUTTS</v>
      </c>
      <c r="BC14" s="13" t="str">
        <f t="shared" si="39"/>
        <v>POPEYES</v>
      </c>
    </row>
    <row r="15" ht="15.75" customHeight="1">
      <c r="H15" s="1354" t="s">
        <v>514</v>
      </c>
      <c r="I15" s="698" t="s">
        <v>1126</v>
      </c>
      <c r="J15" s="13" t="s">
        <v>536</v>
      </c>
      <c r="K15" s="13" t="s">
        <v>493</v>
      </c>
      <c r="L15" s="201"/>
      <c r="P15" s="120" t="str">
        <f t="shared" si="27"/>
        <v>METAMOOKDAWGS</v>
      </c>
      <c r="Q15" s="13">
        <f t="shared" si="28"/>
        <v>7</v>
      </c>
      <c r="R15" s="13">
        <f t="shared" si="29"/>
        <v>7</v>
      </c>
      <c r="AB15" s="1350" t="s">
        <v>515</v>
      </c>
      <c r="AC15" s="1351"/>
      <c r="AD15" s="1351"/>
      <c r="AE15" s="1351"/>
      <c r="AF15" s="1351"/>
      <c r="AG15" s="1351"/>
      <c r="AH15" s="1351"/>
      <c r="AI15" s="1351"/>
      <c r="AJ15" s="1351"/>
      <c r="AK15" s="1352"/>
      <c r="AZ15" s="13" t="str">
        <f t="shared" ref="AZ15:BA15" si="40">AF14</f>
        <v>E5</v>
      </c>
      <c r="BA15" s="13" t="str">
        <f t="shared" si="40"/>
        <v>P3</v>
      </c>
      <c r="BB15" s="13" t="str">
        <f t="shared" ref="BB15:BC15" si="41">INDEX($X$4:$X$13, MATCH(AZ15,$Z$4:$Z$13,0))</f>
        <v>CHAMPS</v>
      </c>
      <c r="BC15" s="13" t="str">
        <f t="shared" si="41"/>
        <v>DECOUPES</v>
      </c>
    </row>
    <row r="16" ht="15.75" customHeight="1">
      <c r="H16" s="1354" t="s">
        <v>514</v>
      </c>
      <c r="I16" s="698" t="s">
        <v>1127</v>
      </c>
      <c r="J16" s="13" t="s">
        <v>495</v>
      </c>
      <c r="K16" s="13" t="s">
        <v>537</v>
      </c>
      <c r="L16" s="201"/>
      <c r="P16" s="120" t="str">
        <f t="shared" si="27"/>
        <v>YARDIES</v>
      </c>
      <c r="Q16" s="13">
        <f t="shared" si="28"/>
        <v>7</v>
      </c>
      <c r="R16" s="13">
        <f t="shared" si="29"/>
        <v>7</v>
      </c>
      <c r="AB16" s="1359" t="s">
        <v>1120</v>
      </c>
      <c r="AC16" s="554"/>
      <c r="AD16" s="1359" t="s">
        <v>1125</v>
      </c>
      <c r="AE16" s="554"/>
      <c r="AF16" s="1359" t="s">
        <v>1126</v>
      </c>
      <c r="AG16" s="554"/>
      <c r="AH16" s="1359" t="s">
        <v>1127</v>
      </c>
      <c r="AI16" s="554"/>
      <c r="AJ16" s="1359" t="s">
        <v>1128</v>
      </c>
      <c r="AK16" s="554"/>
      <c r="AZ16" s="13" t="str">
        <f t="shared" ref="AZ16:BA16" si="42">AH14</f>
        <v>P4</v>
      </c>
      <c r="BA16" s="13" t="str">
        <f t="shared" si="42"/>
        <v>E1</v>
      </c>
      <c r="BB16" s="13" t="str">
        <f t="shared" ref="BB16:BC16" si="43">INDEX($X$4:$X$13, MATCH(AZ16,$Z$4:$Z$13,0))</f>
        <v>GREEN</v>
      </c>
      <c r="BC16" s="13" t="str">
        <f t="shared" si="43"/>
        <v>YARDIES</v>
      </c>
    </row>
    <row r="17" ht="15.75" customHeight="1">
      <c r="H17" s="1373" t="s">
        <v>514</v>
      </c>
      <c r="I17" s="1193" t="s">
        <v>1128</v>
      </c>
      <c r="J17" s="13" t="s">
        <v>497</v>
      </c>
      <c r="K17" s="13" t="s">
        <v>478</v>
      </c>
      <c r="L17" s="201"/>
      <c r="P17" s="120" t="str">
        <f t="shared" si="27"/>
        <v>MUTTS</v>
      </c>
      <c r="Q17" s="13">
        <f t="shared" si="28"/>
        <v>7</v>
      </c>
      <c r="R17" s="13">
        <f t="shared" si="29"/>
        <v>7</v>
      </c>
      <c r="AB17" s="1362" t="s">
        <v>645</v>
      </c>
      <c r="AC17" s="705" t="s">
        <v>646</v>
      </c>
      <c r="AD17" s="1362" t="s">
        <v>645</v>
      </c>
      <c r="AE17" s="705" t="s">
        <v>646</v>
      </c>
      <c r="AF17" s="1362" t="s">
        <v>645</v>
      </c>
      <c r="AG17" s="705" t="s">
        <v>646</v>
      </c>
      <c r="AH17" s="1362" t="s">
        <v>645</v>
      </c>
      <c r="AI17" s="705" t="s">
        <v>646</v>
      </c>
      <c r="AJ17" s="1362" t="s">
        <v>645</v>
      </c>
      <c r="AK17" s="705" t="s">
        <v>646</v>
      </c>
      <c r="AP17" s="18" t="s">
        <v>1144</v>
      </c>
      <c r="AQ17" s="18" t="s">
        <v>1145</v>
      </c>
      <c r="AZ17" s="720" t="str">
        <f t="shared" ref="AZ17:BA17" si="44">AJ14</f>
        <v>P5</v>
      </c>
      <c r="BA17" s="724" t="str">
        <f t="shared" si="44"/>
        <v>E2</v>
      </c>
      <c r="BB17" s="13" t="str">
        <f t="shared" ref="BB17:BC17" si="45">INDEX($X$4:$X$13, MATCH(AZ17,$Z$4:$Z$13,0))</f>
        <v>SAVAGES</v>
      </c>
      <c r="BC17" s="13" t="str">
        <f t="shared" si="45"/>
        <v>EAGLES</v>
      </c>
    </row>
    <row r="18" ht="15.75" customHeight="1">
      <c r="H18" s="1379" t="s">
        <v>515</v>
      </c>
      <c r="I18" s="645" t="s">
        <v>1120</v>
      </c>
      <c r="J18" s="13" t="s">
        <v>477</v>
      </c>
      <c r="K18" s="13" t="s">
        <v>538</v>
      </c>
      <c r="L18" s="1338"/>
      <c r="P18" s="120" t="str">
        <f t="shared" si="27"/>
        <v>EAGLES</v>
      </c>
      <c r="Q18" s="13">
        <f t="shared" si="28"/>
        <v>7</v>
      </c>
      <c r="R18" s="13">
        <f t="shared" si="29"/>
        <v>7</v>
      </c>
      <c r="AB18" s="1388" t="s">
        <v>1109</v>
      </c>
      <c r="AC18" s="1389" t="s">
        <v>1116</v>
      </c>
      <c r="AD18" s="1388" t="s">
        <v>1110</v>
      </c>
      <c r="AE18" s="1389" t="s">
        <v>1118</v>
      </c>
      <c r="AF18" s="1388" t="s">
        <v>1114</v>
      </c>
      <c r="AG18" s="1389" t="s">
        <v>1111</v>
      </c>
      <c r="AH18" s="1388" t="s">
        <v>1115</v>
      </c>
      <c r="AI18" s="1389" t="s">
        <v>1112</v>
      </c>
      <c r="AJ18" s="1367" t="s">
        <v>1117</v>
      </c>
      <c r="AK18" s="1368" t="s">
        <v>1113</v>
      </c>
      <c r="AO18" s="18" t="s">
        <v>1109</v>
      </c>
      <c r="AP18" s="13">
        <f t="shared" ref="AP18:AP27" si="48">countif(AZ:AZ,AO18)</f>
        <v>7</v>
      </c>
      <c r="AQ18" s="13">
        <f t="shared" ref="AQ18:AQ27" si="49">countif(BA:BA,AO18)</f>
        <v>7</v>
      </c>
      <c r="AY18" s="1390" t="s">
        <v>515</v>
      </c>
      <c r="AZ18" s="1391" t="str">
        <f t="shared" ref="AZ18:BA18" si="46">AB18</f>
        <v>P1</v>
      </c>
      <c r="BA18" s="1391" t="str">
        <f t="shared" si="46"/>
        <v>E3</v>
      </c>
      <c r="BB18" s="1391" t="str">
        <f t="shared" ref="BB18:BC18" si="47">INDEX($X$4:$X$13, MATCH(AZ18,$Z$4:$Z$13,0))</f>
        <v>KINGS</v>
      </c>
      <c r="BC18" s="1391" t="str">
        <f t="shared" si="47"/>
        <v>MUTTS</v>
      </c>
    </row>
    <row r="19" ht="15.75" customHeight="1">
      <c r="H19" s="1383" t="s">
        <v>515</v>
      </c>
      <c r="I19" s="365" t="s">
        <v>1125</v>
      </c>
      <c r="J19" s="1366" t="s">
        <v>494</v>
      </c>
      <c r="K19" s="13" t="s">
        <v>536</v>
      </c>
      <c r="L19" s="1338"/>
      <c r="P19" s="120" t="str">
        <f t="shared" si="27"/>
        <v>KINGS</v>
      </c>
      <c r="Q19" s="13">
        <f t="shared" si="28"/>
        <v>7</v>
      </c>
      <c r="R19" s="13">
        <f t="shared" si="29"/>
        <v>7</v>
      </c>
      <c r="AB19" s="1350" t="s">
        <v>516</v>
      </c>
      <c r="AC19" s="1351"/>
      <c r="AD19" s="1351"/>
      <c r="AE19" s="1351"/>
      <c r="AF19" s="1351"/>
      <c r="AG19" s="1351"/>
      <c r="AH19" s="1351"/>
      <c r="AI19" s="1351"/>
      <c r="AJ19" s="1351"/>
      <c r="AK19" s="1352"/>
      <c r="AO19" s="18" t="s">
        <v>1110</v>
      </c>
      <c r="AP19" s="13">
        <f t="shared" si="48"/>
        <v>7</v>
      </c>
      <c r="AQ19" s="13">
        <f t="shared" si="49"/>
        <v>7</v>
      </c>
      <c r="AZ19" s="1391" t="str">
        <f t="shared" ref="AZ19:BA19" si="50">AD18</f>
        <v>P2</v>
      </c>
      <c r="BA19" s="1391" t="str">
        <f t="shared" si="50"/>
        <v>E5</v>
      </c>
      <c r="BB19" s="1391" t="str">
        <f t="shared" ref="BB19:BC19" si="51">INDEX($X$4:$X$13, MATCH(AZ19,$Z$4:$Z$13,0))</f>
        <v>POPEYES</v>
      </c>
      <c r="BC19" s="1391" t="str">
        <f t="shared" si="51"/>
        <v>CHAMPS</v>
      </c>
    </row>
    <row r="20" ht="15.75" customHeight="1">
      <c r="H20" s="1383" t="s">
        <v>515</v>
      </c>
      <c r="I20" s="698" t="s">
        <v>1126</v>
      </c>
      <c r="J20" s="13" t="s">
        <v>537</v>
      </c>
      <c r="K20" s="13" t="s">
        <v>493</v>
      </c>
      <c r="L20" s="1338"/>
      <c r="AB20" s="1359" t="s">
        <v>1120</v>
      </c>
      <c r="AC20" s="554"/>
      <c r="AD20" s="1359" t="s">
        <v>1125</v>
      </c>
      <c r="AE20" s="554"/>
      <c r="AF20" s="1359" t="s">
        <v>1126</v>
      </c>
      <c r="AG20" s="554"/>
      <c r="AH20" s="1359" t="s">
        <v>1127</v>
      </c>
      <c r="AI20" s="554"/>
      <c r="AJ20" s="1359" t="s">
        <v>1128</v>
      </c>
      <c r="AK20" s="554"/>
      <c r="AO20" s="18" t="s">
        <v>1111</v>
      </c>
      <c r="AP20" s="13">
        <f t="shared" si="48"/>
        <v>7</v>
      </c>
      <c r="AQ20" s="13">
        <f t="shared" si="49"/>
        <v>7</v>
      </c>
      <c r="AZ20" s="1391" t="str">
        <f t="shared" ref="AZ20:BA20" si="52">AF18</f>
        <v>E1</v>
      </c>
      <c r="BA20" s="1391" t="str">
        <f t="shared" si="52"/>
        <v>P3</v>
      </c>
      <c r="BB20" s="1391" t="str">
        <f t="shared" ref="BB20:BC20" si="53">INDEX($X$4:$X$13, MATCH(AZ20,$Z$4:$Z$13,0))</f>
        <v>YARDIES</v>
      </c>
      <c r="BC20" s="1391" t="str">
        <f t="shared" si="53"/>
        <v>DECOUPES</v>
      </c>
    </row>
    <row r="21" ht="15.75" customHeight="1">
      <c r="H21" s="1383" t="s">
        <v>515</v>
      </c>
      <c r="I21" s="698" t="s">
        <v>1127</v>
      </c>
      <c r="J21" s="13" t="s">
        <v>478</v>
      </c>
      <c r="K21" s="13" t="s">
        <v>495</v>
      </c>
      <c r="L21" s="1338"/>
      <c r="AB21" s="1362" t="s">
        <v>645</v>
      </c>
      <c r="AC21" s="705" t="s">
        <v>646</v>
      </c>
      <c r="AD21" s="1362" t="s">
        <v>645</v>
      </c>
      <c r="AE21" s="705" t="s">
        <v>646</v>
      </c>
      <c r="AF21" s="1362" t="s">
        <v>645</v>
      </c>
      <c r="AG21" s="705" t="s">
        <v>646</v>
      </c>
      <c r="AH21" s="1362" t="s">
        <v>645</v>
      </c>
      <c r="AI21" s="705" t="s">
        <v>646</v>
      </c>
      <c r="AJ21" s="1362" t="s">
        <v>645</v>
      </c>
      <c r="AK21" s="705" t="s">
        <v>646</v>
      </c>
      <c r="AO21" s="18" t="s">
        <v>1112</v>
      </c>
      <c r="AP21" s="13">
        <f t="shared" si="48"/>
        <v>7</v>
      </c>
      <c r="AQ21" s="13">
        <f t="shared" si="49"/>
        <v>7</v>
      </c>
      <c r="AZ21" s="1391" t="str">
        <f t="shared" ref="AZ21:BA21" si="54">AH18</f>
        <v>E2</v>
      </c>
      <c r="BA21" s="1391" t="str">
        <f t="shared" si="54"/>
        <v>P4</v>
      </c>
      <c r="BB21" s="1391" t="str">
        <f t="shared" ref="BB21:BC21" si="55">INDEX($X$4:$X$13, MATCH(AZ21,$Z$4:$Z$13,0))</f>
        <v>EAGLES</v>
      </c>
      <c r="BC21" s="1391" t="str">
        <f t="shared" si="55"/>
        <v>GREEN</v>
      </c>
    </row>
    <row r="22" ht="15.75" customHeight="1">
      <c r="H22" s="1387" t="s">
        <v>515</v>
      </c>
      <c r="I22" s="1193" t="s">
        <v>1128</v>
      </c>
      <c r="J22" s="13" t="s">
        <v>578</v>
      </c>
      <c r="K22" s="13" t="s">
        <v>497</v>
      </c>
      <c r="L22" s="1338"/>
      <c r="AB22" s="1396" t="s">
        <v>1114</v>
      </c>
      <c r="AC22" s="1397" t="s">
        <v>1117</v>
      </c>
      <c r="AD22" s="1369" t="s">
        <v>1116</v>
      </c>
      <c r="AE22" s="1370" t="s">
        <v>1115</v>
      </c>
      <c r="AF22" s="1396" t="s">
        <v>1111</v>
      </c>
      <c r="AG22" s="1397" t="s">
        <v>1109</v>
      </c>
      <c r="AH22" s="1396" t="s">
        <v>1110</v>
      </c>
      <c r="AI22" s="1397" t="s">
        <v>1113</v>
      </c>
      <c r="AJ22" s="1398" t="s">
        <v>1112</v>
      </c>
      <c r="AK22" s="1399" t="s">
        <v>1118</v>
      </c>
      <c r="AO22" s="18" t="s">
        <v>1113</v>
      </c>
      <c r="AP22" s="13">
        <f t="shared" si="48"/>
        <v>7</v>
      </c>
      <c r="AQ22" s="13">
        <f t="shared" si="49"/>
        <v>7</v>
      </c>
      <c r="AZ22" s="1391" t="str">
        <f t="shared" ref="AZ22:BA22" si="56">AJ18</f>
        <v>E4</v>
      </c>
      <c r="BA22" s="1391" t="str">
        <f t="shared" si="56"/>
        <v>P5</v>
      </c>
      <c r="BB22" s="1391" t="str">
        <f t="shared" ref="BB22:BC22" si="57">INDEX($X$4:$X$13, MATCH(AZ22,$Z$4:$Z$13,0))</f>
        <v>METAMOOKDAWGS</v>
      </c>
      <c r="BC22" s="1391" t="str">
        <f t="shared" si="57"/>
        <v>SAVAGES</v>
      </c>
    </row>
    <row r="23" ht="15.75" customHeight="1">
      <c r="H23" s="1400" t="s">
        <v>516</v>
      </c>
      <c r="I23" s="645" t="s">
        <v>1120</v>
      </c>
      <c r="J23" s="13" t="s">
        <v>537</v>
      </c>
      <c r="K23" s="13" t="s">
        <v>578</v>
      </c>
      <c r="L23" s="201"/>
      <c r="AB23" s="1350" t="s">
        <v>517</v>
      </c>
      <c r="AC23" s="1351"/>
      <c r="AD23" s="1351"/>
      <c r="AE23" s="1351"/>
      <c r="AF23" s="1351"/>
      <c r="AG23" s="1351"/>
      <c r="AH23" s="1351"/>
      <c r="AI23" s="1351"/>
      <c r="AJ23" s="1351"/>
      <c r="AK23" s="1352"/>
      <c r="AO23" s="18" t="s">
        <v>1114</v>
      </c>
      <c r="AP23" s="13">
        <f t="shared" si="48"/>
        <v>7</v>
      </c>
      <c r="AQ23" s="13">
        <f t="shared" si="49"/>
        <v>7</v>
      </c>
      <c r="AY23" s="313" t="s">
        <v>516</v>
      </c>
      <c r="AZ23" s="13" t="str">
        <f t="shared" ref="AZ23:BA23" si="58">AB22</f>
        <v>E1</v>
      </c>
      <c r="BA23" s="13" t="str">
        <f t="shared" si="58"/>
        <v>E4</v>
      </c>
      <c r="BB23" s="13" t="str">
        <f t="shared" ref="BB23:BC23" si="59">INDEX($X$4:$X$13, MATCH(AZ23,$Z$4:$Z$13,0))</f>
        <v>YARDIES</v>
      </c>
      <c r="BC23" s="13" t="str">
        <f t="shared" si="59"/>
        <v>METAMOOKDAWGS</v>
      </c>
    </row>
    <row r="24" ht="15.75" customHeight="1">
      <c r="H24" s="1402" t="s">
        <v>516</v>
      </c>
      <c r="I24" s="365" t="s">
        <v>1125</v>
      </c>
      <c r="J24" s="1366" t="s">
        <v>538</v>
      </c>
      <c r="K24" s="13" t="s">
        <v>478</v>
      </c>
      <c r="L24" s="201"/>
      <c r="AB24" s="1359" t="s">
        <v>1120</v>
      </c>
      <c r="AC24" s="554"/>
      <c r="AD24" s="1359" t="s">
        <v>1125</v>
      </c>
      <c r="AE24" s="554"/>
      <c r="AF24" s="1359" t="s">
        <v>1126</v>
      </c>
      <c r="AG24" s="554"/>
      <c r="AH24" s="1359" t="s">
        <v>1127</v>
      </c>
      <c r="AI24" s="554"/>
      <c r="AJ24" s="1359" t="s">
        <v>1128</v>
      </c>
      <c r="AK24" s="554"/>
      <c r="AO24" s="18" t="s">
        <v>1115</v>
      </c>
      <c r="AP24" s="13">
        <f t="shared" si="48"/>
        <v>7</v>
      </c>
      <c r="AQ24" s="13">
        <f t="shared" si="49"/>
        <v>7</v>
      </c>
      <c r="AZ24" s="13" t="str">
        <f t="shared" ref="AZ24:BA24" si="60">AD22</f>
        <v>E3</v>
      </c>
      <c r="BA24" s="13" t="str">
        <f t="shared" si="60"/>
        <v>E2</v>
      </c>
      <c r="BB24" s="13" t="str">
        <f t="shared" ref="BB24:BC24" si="61">INDEX($X$4:$X$13, MATCH(AZ24,$Z$4:$Z$13,0))</f>
        <v>MUTTS</v>
      </c>
      <c r="BC24" s="13" t="str">
        <f t="shared" si="61"/>
        <v>EAGLES</v>
      </c>
    </row>
    <row r="25" ht="15.75" customHeight="1">
      <c r="H25" s="1402" t="s">
        <v>516</v>
      </c>
      <c r="I25" s="698" t="s">
        <v>1126</v>
      </c>
      <c r="J25" s="13" t="s">
        <v>493</v>
      </c>
      <c r="K25" s="13" t="s">
        <v>477</v>
      </c>
      <c r="L25" s="201"/>
      <c r="AB25" s="1362" t="s">
        <v>645</v>
      </c>
      <c r="AC25" s="705" t="s">
        <v>646</v>
      </c>
      <c r="AD25" s="1362" t="s">
        <v>645</v>
      </c>
      <c r="AE25" s="705" t="s">
        <v>646</v>
      </c>
      <c r="AF25" s="1362" t="s">
        <v>645</v>
      </c>
      <c r="AG25" s="705" t="s">
        <v>646</v>
      </c>
      <c r="AH25" s="1362" t="s">
        <v>645</v>
      </c>
      <c r="AI25" s="705" t="s">
        <v>646</v>
      </c>
      <c r="AJ25" s="1362" t="s">
        <v>645</v>
      </c>
      <c r="AK25" s="705" t="s">
        <v>646</v>
      </c>
      <c r="AO25" s="18" t="s">
        <v>1116</v>
      </c>
      <c r="AP25" s="13">
        <f t="shared" si="48"/>
        <v>7</v>
      </c>
      <c r="AQ25" s="13">
        <f t="shared" si="49"/>
        <v>7</v>
      </c>
      <c r="AZ25" s="13" t="str">
        <f t="shared" ref="AZ25:BA25" si="62">AF22</f>
        <v>P3</v>
      </c>
      <c r="BA25" s="13" t="str">
        <f t="shared" si="62"/>
        <v>P1</v>
      </c>
      <c r="BB25" s="13" t="str">
        <f t="shared" ref="BB25:BC25" si="63">INDEX($X$4:$X$13, MATCH(AZ25,$Z$4:$Z$13,0))</f>
        <v>DECOUPES</v>
      </c>
      <c r="BC25" s="13" t="str">
        <f t="shared" si="63"/>
        <v>KINGS</v>
      </c>
    </row>
    <row r="26" ht="15.75" customHeight="1">
      <c r="H26" s="1402" t="s">
        <v>516</v>
      </c>
      <c r="I26" s="698" t="s">
        <v>1127</v>
      </c>
      <c r="J26" s="13" t="s">
        <v>494</v>
      </c>
      <c r="K26" s="13" t="s">
        <v>497</v>
      </c>
      <c r="L26" s="201"/>
      <c r="AB26" s="1396" t="s">
        <v>1118</v>
      </c>
      <c r="AC26" s="1397" t="s">
        <v>1115</v>
      </c>
      <c r="AD26" s="1369" t="s">
        <v>1116</v>
      </c>
      <c r="AE26" s="1370" t="s">
        <v>1114</v>
      </c>
      <c r="AF26" s="1369" t="s">
        <v>1111</v>
      </c>
      <c r="AG26" s="1370" t="s">
        <v>1110</v>
      </c>
      <c r="AH26" s="1369" t="s">
        <v>1109</v>
      </c>
      <c r="AI26" s="1370" t="s">
        <v>1112</v>
      </c>
      <c r="AJ26" s="1404" t="s">
        <v>1113</v>
      </c>
      <c r="AK26" s="1405" t="s">
        <v>1117</v>
      </c>
      <c r="AO26" s="18" t="s">
        <v>1117</v>
      </c>
      <c r="AP26" s="13">
        <f t="shared" si="48"/>
        <v>7</v>
      </c>
      <c r="AQ26" s="13">
        <f t="shared" si="49"/>
        <v>7</v>
      </c>
      <c r="AZ26" s="13" t="str">
        <f t="shared" ref="AZ26:BA26" si="64">AH22</f>
        <v>P2</v>
      </c>
      <c r="BA26" s="13" t="str">
        <f t="shared" si="64"/>
        <v>P5</v>
      </c>
      <c r="BB26" s="13" t="str">
        <f t="shared" ref="BB26:BC26" si="65">INDEX($X$4:$X$13, MATCH(AZ26,$Z$4:$Z$13,0))</f>
        <v>POPEYES</v>
      </c>
      <c r="BC26" s="13" t="str">
        <f t="shared" si="65"/>
        <v>SAVAGES</v>
      </c>
    </row>
    <row r="27" ht="15.75" customHeight="1">
      <c r="H27" s="1408" t="s">
        <v>516</v>
      </c>
      <c r="I27" s="1193" t="s">
        <v>1128</v>
      </c>
      <c r="J27" s="13" t="s">
        <v>495</v>
      </c>
      <c r="K27" s="13" t="s">
        <v>536</v>
      </c>
      <c r="L27" s="201"/>
      <c r="AB27" s="1350" t="s">
        <v>518</v>
      </c>
      <c r="AC27" s="1351"/>
      <c r="AD27" s="1351"/>
      <c r="AE27" s="1351"/>
      <c r="AF27" s="1351"/>
      <c r="AG27" s="1351"/>
      <c r="AH27" s="1351"/>
      <c r="AI27" s="1351"/>
      <c r="AJ27" s="1351"/>
      <c r="AK27" s="1352"/>
      <c r="AO27" s="18" t="s">
        <v>1118</v>
      </c>
      <c r="AP27" s="13">
        <f t="shared" si="48"/>
        <v>7</v>
      </c>
      <c r="AQ27" s="13">
        <f t="shared" si="49"/>
        <v>7</v>
      </c>
      <c r="AZ27" s="13" t="str">
        <f t="shared" ref="AZ27:BA27" si="66">AJ22</f>
        <v>P4</v>
      </c>
      <c r="BA27" s="13" t="str">
        <f t="shared" si="66"/>
        <v>E5</v>
      </c>
      <c r="BB27" s="13" t="str">
        <f t="shared" ref="BB27:BC27" si="67">INDEX($X$4:$X$13, MATCH(AZ27,$Z$4:$Z$13,0))</f>
        <v>GREEN</v>
      </c>
      <c r="BC27" s="13" t="str">
        <f t="shared" si="67"/>
        <v>CHAMPS</v>
      </c>
    </row>
    <row r="28" ht="15.75" customHeight="1">
      <c r="H28" s="1343" t="s">
        <v>517</v>
      </c>
      <c r="I28" s="645" t="s">
        <v>1120</v>
      </c>
      <c r="J28" s="1366" t="s">
        <v>536</v>
      </c>
      <c r="K28" s="13" t="s">
        <v>478</v>
      </c>
      <c r="L28" s="1338"/>
      <c r="AB28" s="1359" t="s">
        <v>1120</v>
      </c>
      <c r="AC28" s="554"/>
      <c r="AD28" s="1359" t="s">
        <v>1125</v>
      </c>
      <c r="AE28" s="554"/>
      <c r="AF28" s="1359" t="s">
        <v>1126</v>
      </c>
      <c r="AG28" s="554"/>
      <c r="AH28" s="1359" t="s">
        <v>1127</v>
      </c>
      <c r="AI28" s="554"/>
      <c r="AJ28" s="1359" t="s">
        <v>1128</v>
      </c>
      <c r="AK28" s="554"/>
      <c r="AY28" s="1390" t="s">
        <v>517</v>
      </c>
      <c r="AZ28" s="1391" t="str">
        <f t="shared" ref="AZ28:BA28" si="68">AB26</f>
        <v>E5</v>
      </c>
      <c r="BA28" s="1391" t="str">
        <f t="shared" si="68"/>
        <v>E2</v>
      </c>
      <c r="BB28" s="1391" t="str">
        <f t="shared" ref="BB28:BC28" si="69">INDEX($X$4:$X$13, MATCH(AZ28,$Z$4:$Z$13,0))</f>
        <v>CHAMPS</v>
      </c>
      <c r="BC28" s="1391" t="str">
        <f t="shared" si="69"/>
        <v>EAGLES</v>
      </c>
    </row>
    <row r="29" ht="15.75" customHeight="1">
      <c r="H29" s="1354" t="s">
        <v>517</v>
      </c>
      <c r="I29" s="365" t="s">
        <v>1125</v>
      </c>
      <c r="J29" s="13" t="s">
        <v>538</v>
      </c>
      <c r="K29" s="13" t="s">
        <v>537</v>
      </c>
      <c r="L29" s="1338"/>
      <c r="AB29" s="1362" t="s">
        <v>645</v>
      </c>
      <c r="AC29" s="705" t="s">
        <v>646</v>
      </c>
      <c r="AD29" s="1362" t="s">
        <v>645</v>
      </c>
      <c r="AE29" s="705" t="s">
        <v>646</v>
      </c>
      <c r="AF29" s="1362" t="s">
        <v>645</v>
      </c>
      <c r="AG29" s="705" t="s">
        <v>646</v>
      </c>
      <c r="AH29" s="1362" t="s">
        <v>645</v>
      </c>
      <c r="AI29" s="705" t="s">
        <v>646</v>
      </c>
      <c r="AJ29" s="1362" t="s">
        <v>645</v>
      </c>
      <c r="AK29" s="705" t="s">
        <v>646</v>
      </c>
      <c r="AZ29" s="1391" t="str">
        <f t="shared" ref="AZ29:BA29" si="70">AD26</f>
        <v>E3</v>
      </c>
      <c r="BA29" s="1391" t="str">
        <f t="shared" si="70"/>
        <v>E1</v>
      </c>
      <c r="BB29" s="1391" t="str">
        <f t="shared" ref="BB29:BC29" si="71">INDEX($X$4:$X$13, MATCH(AZ29,$Z$4:$Z$13,0))</f>
        <v>MUTTS</v>
      </c>
      <c r="BC29" s="1391" t="str">
        <f t="shared" si="71"/>
        <v>YARDIES</v>
      </c>
    </row>
    <row r="30" ht="15.75" customHeight="1">
      <c r="H30" s="1354" t="s">
        <v>517</v>
      </c>
      <c r="I30" s="698" t="s">
        <v>1126</v>
      </c>
      <c r="J30" s="13" t="s">
        <v>493</v>
      </c>
      <c r="K30" s="13" t="s">
        <v>494</v>
      </c>
      <c r="L30" s="1338"/>
      <c r="R30" s="720"/>
      <c r="S30" s="724"/>
      <c r="T30" s="720"/>
      <c r="U30" s="724"/>
      <c r="V30" s="720"/>
      <c r="W30" s="724"/>
      <c r="X30" s="720"/>
      <c r="Y30" s="724"/>
      <c r="Z30" s="1414"/>
      <c r="AA30" s="1416"/>
      <c r="AB30" s="1369" t="s">
        <v>1115</v>
      </c>
      <c r="AC30" s="1370" t="s">
        <v>1114</v>
      </c>
      <c r="AD30" s="1369" t="s">
        <v>1118</v>
      </c>
      <c r="AE30" s="1370" t="s">
        <v>1117</v>
      </c>
      <c r="AF30" s="1369" t="s">
        <v>1109</v>
      </c>
      <c r="AG30" s="1370" t="s">
        <v>1110</v>
      </c>
      <c r="AH30" s="1367" t="s">
        <v>1111</v>
      </c>
      <c r="AI30" s="1368" t="s">
        <v>1116</v>
      </c>
      <c r="AJ30" s="1419" t="s">
        <v>1113</v>
      </c>
      <c r="AK30" s="1420" t="s">
        <v>1112</v>
      </c>
      <c r="AZ30" s="1391" t="str">
        <f t="shared" ref="AZ30:BA30" si="72">AF26</f>
        <v>P3</v>
      </c>
      <c r="BA30" s="1391" t="str">
        <f t="shared" si="72"/>
        <v>P2</v>
      </c>
      <c r="BB30" s="1391" t="str">
        <f t="shared" ref="BB30:BC30" si="73">INDEX($X$4:$X$13, MATCH(AZ30,$Z$4:$Z$13,0))</f>
        <v>DECOUPES</v>
      </c>
      <c r="BC30" s="1391" t="str">
        <f t="shared" si="73"/>
        <v>POPEYES</v>
      </c>
    </row>
    <row r="31" ht="15.75" customHeight="1">
      <c r="H31" s="1354" t="s">
        <v>517</v>
      </c>
      <c r="I31" s="698" t="s">
        <v>1127</v>
      </c>
      <c r="J31" s="13" t="s">
        <v>477</v>
      </c>
      <c r="K31" s="13" t="s">
        <v>495</v>
      </c>
      <c r="L31" s="1338"/>
      <c r="AB31" s="1350" t="s">
        <v>519</v>
      </c>
      <c r="AC31" s="1351"/>
      <c r="AD31" s="1351"/>
      <c r="AE31" s="1351"/>
      <c r="AF31" s="1351"/>
      <c r="AG31" s="1351"/>
      <c r="AH31" s="1351"/>
      <c r="AI31" s="1351"/>
      <c r="AJ31" s="1351"/>
      <c r="AK31" s="1352"/>
      <c r="AZ31" s="1391" t="str">
        <f t="shared" ref="AZ31:BA31" si="74">AH26</f>
        <v>P1</v>
      </c>
      <c r="BA31" s="1391" t="str">
        <f t="shared" si="74"/>
        <v>P4</v>
      </c>
      <c r="BB31" s="1391" t="str">
        <f t="shared" ref="BB31:BC31" si="75">INDEX($X$4:$X$13, MATCH(AZ31,$Z$4:$Z$13,0))</f>
        <v>KINGS</v>
      </c>
      <c r="BC31" s="1391" t="str">
        <f t="shared" si="75"/>
        <v>GREEN</v>
      </c>
    </row>
    <row r="32" ht="15.75" customHeight="1">
      <c r="H32" s="1373" t="s">
        <v>517</v>
      </c>
      <c r="I32" s="1193" t="s">
        <v>1128</v>
      </c>
      <c r="J32" s="13" t="s">
        <v>497</v>
      </c>
      <c r="K32" s="13" t="s">
        <v>578</v>
      </c>
      <c r="L32" s="1338"/>
      <c r="AB32" s="1359" t="s">
        <v>1120</v>
      </c>
      <c r="AC32" s="554"/>
      <c r="AD32" s="1359" t="s">
        <v>1125</v>
      </c>
      <c r="AE32" s="554"/>
      <c r="AF32" s="1359" t="s">
        <v>1126</v>
      </c>
      <c r="AG32" s="554"/>
      <c r="AH32" s="1359" t="s">
        <v>1127</v>
      </c>
      <c r="AI32" s="554"/>
      <c r="AJ32" s="1359" t="s">
        <v>1128</v>
      </c>
      <c r="AK32" s="554"/>
      <c r="AZ32" s="1391" t="str">
        <f t="shared" ref="AZ32:BA32" si="76">AJ26</f>
        <v>P5</v>
      </c>
      <c r="BA32" s="1391" t="str">
        <f t="shared" si="76"/>
        <v>E4</v>
      </c>
      <c r="BB32" s="1391" t="str">
        <f t="shared" ref="BB32:BC32" si="77">INDEX($X$4:$X$13, MATCH(AZ32,$Z$4:$Z$13,0))</f>
        <v>SAVAGES</v>
      </c>
      <c r="BC32" s="1391" t="str">
        <f t="shared" si="77"/>
        <v>METAMOOKDAWGS</v>
      </c>
    </row>
    <row r="33" ht="15.75" customHeight="1">
      <c r="H33" s="1400" t="s">
        <v>518</v>
      </c>
      <c r="I33" s="645" t="s">
        <v>1120</v>
      </c>
      <c r="J33" s="13" t="s">
        <v>478</v>
      </c>
      <c r="K33" s="13" t="s">
        <v>537</v>
      </c>
      <c r="L33" s="201"/>
      <c r="AB33" s="1362" t="s">
        <v>645</v>
      </c>
      <c r="AC33" s="705" t="s">
        <v>646</v>
      </c>
      <c r="AD33" s="1362" t="s">
        <v>645</v>
      </c>
      <c r="AE33" s="705" t="s">
        <v>646</v>
      </c>
      <c r="AF33" s="1362" t="s">
        <v>645</v>
      </c>
      <c r="AG33" s="705" t="s">
        <v>646</v>
      </c>
      <c r="AH33" s="1362" t="s">
        <v>645</v>
      </c>
      <c r="AI33" s="705" t="s">
        <v>646</v>
      </c>
      <c r="AJ33" s="1362" t="s">
        <v>645</v>
      </c>
      <c r="AK33" s="705" t="s">
        <v>646</v>
      </c>
      <c r="AY33" s="313" t="s">
        <v>518</v>
      </c>
      <c r="AZ33" s="13" t="str">
        <f t="shared" ref="AZ33:BA33" si="78">AB30</f>
        <v>E2</v>
      </c>
      <c r="BA33" s="13" t="str">
        <f t="shared" si="78"/>
        <v>E1</v>
      </c>
      <c r="BB33" s="13" t="str">
        <f t="shared" ref="BB33:BC33" si="79">INDEX($X$4:$X$13, MATCH(AZ33,$Z$4:$Z$13,0))</f>
        <v>EAGLES</v>
      </c>
      <c r="BC33" s="13" t="str">
        <f t="shared" si="79"/>
        <v>YARDIES</v>
      </c>
      <c r="BT33" s="314"/>
    </row>
    <row r="34" ht="15.75" customHeight="1">
      <c r="H34" s="1402" t="s">
        <v>518</v>
      </c>
      <c r="I34" s="365" t="s">
        <v>1125</v>
      </c>
      <c r="J34" s="13" t="s">
        <v>536</v>
      </c>
      <c r="K34" s="13" t="s">
        <v>578</v>
      </c>
      <c r="L34" s="201"/>
      <c r="AB34" s="1369" t="s">
        <v>1113</v>
      </c>
      <c r="AC34" s="1370" t="s">
        <v>1109</v>
      </c>
      <c r="AD34" s="1426" t="s">
        <v>1112</v>
      </c>
      <c r="AE34" s="1428" t="s">
        <v>1111</v>
      </c>
      <c r="AF34" s="1369" t="s">
        <v>1114</v>
      </c>
      <c r="AG34" s="1370" t="s">
        <v>1118</v>
      </c>
      <c r="AH34" s="1426" t="s">
        <v>1117</v>
      </c>
      <c r="AI34" s="1428" t="s">
        <v>1116</v>
      </c>
      <c r="AJ34" s="1404" t="s">
        <v>1115</v>
      </c>
      <c r="AK34" s="1405" t="s">
        <v>1110</v>
      </c>
      <c r="AZ34" s="13" t="str">
        <f t="shared" ref="AZ34:BA34" si="80">AD30</f>
        <v>E5</v>
      </c>
      <c r="BA34" s="13" t="str">
        <f t="shared" si="80"/>
        <v>E4</v>
      </c>
      <c r="BB34" s="13" t="str">
        <f t="shared" ref="BB34:BC34" si="81">INDEX($X$4:$X$13, MATCH(AZ34,$Z$4:$Z$13,0))</f>
        <v>CHAMPS</v>
      </c>
      <c r="BC34" s="13" t="str">
        <f t="shared" si="81"/>
        <v>METAMOOKDAWGS</v>
      </c>
    </row>
    <row r="35" ht="15.75" customHeight="1">
      <c r="H35" s="1402" t="s">
        <v>518</v>
      </c>
      <c r="I35" s="698" t="s">
        <v>1126</v>
      </c>
      <c r="J35" s="13" t="s">
        <v>477</v>
      </c>
      <c r="K35" s="13" t="s">
        <v>494</v>
      </c>
      <c r="L35" s="201"/>
      <c r="AB35" s="1350" t="s">
        <v>520</v>
      </c>
      <c r="AC35" s="1351"/>
      <c r="AD35" s="1351"/>
      <c r="AE35" s="1351"/>
      <c r="AF35" s="1351"/>
      <c r="AG35" s="1351"/>
      <c r="AH35" s="1351"/>
      <c r="AI35" s="1351"/>
      <c r="AJ35" s="1351"/>
      <c r="AK35" s="1352"/>
      <c r="AZ35" s="13" t="str">
        <f t="shared" ref="AZ35:BA35" si="82">AF30</f>
        <v>P1</v>
      </c>
      <c r="BA35" s="13" t="str">
        <f t="shared" si="82"/>
        <v>P2</v>
      </c>
      <c r="BB35" s="13" t="str">
        <f t="shared" ref="BB35:BC35" si="83">INDEX($X$4:$X$13, MATCH(AZ35,$Z$4:$Z$13,0))</f>
        <v>KINGS</v>
      </c>
      <c r="BC35" s="13" t="str">
        <f t="shared" si="83"/>
        <v>POPEYES</v>
      </c>
      <c r="BS35" s="314"/>
    </row>
    <row r="36" ht="15.75" customHeight="1">
      <c r="H36" s="1402" t="s">
        <v>518</v>
      </c>
      <c r="I36" s="698" t="s">
        <v>1127</v>
      </c>
      <c r="J36" s="13" t="s">
        <v>493</v>
      </c>
      <c r="K36" s="13" t="s">
        <v>538</v>
      </c>
      <c r="L36" s="201"/>
      <c r="AB36" s="1359" t="s">
        <v>1120</v>
      </c>
      <c r="AC36" s="554"/>
      <c r="AD36" s="1359" t="s">
        <v>1125</v>
      </c>
      <c r="AE36" s="554"/>
      <c r="AF36" s="1359" t="s">
        <v>1126</v>
      </c>
      <c r="AG36" s="554"/>
      <c r="AH36" s="1359" t="s">
        <v>1127</v>
      </c>
      <c r="AI36" s="554"/>
      <c r="AJ36" s="1359" t="s">
        <v>1128</v>
      </c>
      <c r="AK36" s="554"/>
      <c r="AZ36" s="13" t="str">
        <f t="shared" ref="AZ36:BA36" si="84">AH30</f>
        <v>P3</v>
      </c>
      <c r="BA36" s="13" t="str">
        <f t="shared" si="84"/>
        <v>E3</v>
      </c>
      <c r="BB36" s="13" t="str">
        <f t="shared" ref="BB36:BC36" si="85">INDEX($X$4:$X$13, MATCH(AZ36,$Z$4:$Z$13,0))</f>
        <v>DECOUPES</v>
      </c>
      <c r="BC36" s="13" t="str">
        <f t="shared" si="85"/>
        <v>MUTTS</v>
      </c>
    </row>
    <row r="37" ht="15.75" customHeight="1">
      <c r="H37" s="1408" t="s">
        <v>518</v>
      </c>
      <c r="I37" s="1193" t="s">
        <v>1128</v>
      </c>
      <c r="J37" s="1366" t="s">
        <v>497</v>
      </c>
      <c r="K37" s="13" t="s">
        <v>495</v>
      </c>
      <c r="L37" s="201"/>
      <c r="AB37" s="1362" t="s">
        <v>645</v>
      </c>
      <c r="AC37" s="705" t="s">
        <v>646</v>
      </c>
      <c r="AD37" s="1362" t="s">
        <v>645</v>
      </c>
      <c r="AE37" s="705" t="s">
        <v>646</v>
      </c>
      <c r="AF37" s="1362" t="s">
        <v>645</v>
      </c>
      <c r="AG37" s="705" t="s">
        <v>646</v>
      </c>
      <c r="AH37" s="1362" t="s">
        <v>645</v>
      </c>
      <c r="AI37" s="705" t="s">
        <v>646</v>
      </c>
      <c r="AJ37" s="1362" t="s">
        <v>645</v>
      </c>
      <c r="AK37" s="705" t="s">
        <v>646</v>
      </c>
      <c r="AZ37" s="13" t="str">
        <f t="shared" ref="AZ37:BA37" si="86">AJ30</f>
        <v>P5</v>
      </c>
      <c r="BA37" s="13" t="str">
        <f t="shared" si="86"/>
        <v>P4</v>
      </c>
      <c r="BB37" s="13" t="str">
        <f t="shared" ref="BB37:BC37" si="87">INDEX($X$4:$X$13, MATCH(AZ37,$Z$4:$Z$13,0))</f>
        <v>SAVAGES</v>
      </c>
      <c r="BC37" s="13" t="str">
        <f t="shared" si="87"/>
        <v>GREEN</v>
      </c>
    </row>
    <row r="38" ht="15.75" customHeight="1">
      <c r="H38" s="1379" t="s">
        <v>519</v>
      </c>
      <c r="I38" s="645" t="s">
        <v>1120</v>
      </c>
      <c r="J38" s="13" t="s">
        <v>497</v>
      </c>
      <c r="K38" s="13" t="s">
        <v>477</v>
      </c>
      <c r="L38" s="1338"/>
      <c r="AB38" s="1369" t="s">
        <v>1110</v>
      </c>
      <c r="AC38" s="1370" t="s">
        <v>1112</v>
      </c>
      <c r="AD38" s="1435" t="s">
        <v>1111</v>
      </c>
      <c r="AE38" s="1436" t="s">
        <v>1113</v>
      </c>
      <c r="AF38" s="1369" t="s">
        <v>1115</v>
      </c>
      <c r="AG38" s="1370" t="s">
        <v>1117</v>
      </c>
      <c r="AH38" s="1435" t="s">
        <v>1116</v>
      </c>
      <c r="AI38" s="1436" t="s">
        <v>1118</v>
      </c>
      <c r="AJ38" s="1404" t="s">
        <v>1114</v>
      </c>
      <c r="AK38" s="1405" t="s">
        <v>1109</v>
      </c>
      <c r="AY38" s="1390" t="s">
        <v>519</v>
      </c>
      <c r="AZ38" s="1391" t="str">
        <f t="shared" ref="AZ38:BA38" si="88">AB34</f>
        <v>P5</v>
      </c>
      <c r="BA38" s="1391" t="str">
        <f t="shared" si="88"/>
        <v>P1</v>
      </c>
      <c r="BB38" s="1391" t="str">
        <f t="shared" ref="BB38:BC38" si="89">INDEX($X$4:$X$13, MATCH(AZ38,$Z$4:$Z$13,0))</f>
        <v>SAVAGES</v>
      </c>
      <c r="BC38" s="1391" t="str">
        <f t="shared" si="89"/>
        <v>KINGS</v>
      </c>
    </row>
    <row r="39" ht="15.75" customHeight="1">
      <c r="H39" s="1383" t="s">
        <v>519</v>
      </c>
      <c r="I39" s="365" t="s">
        <v>1125</v>
      </c>
      <c r="J39" s="13" t="s">
        <v>495</v>
      </c>
      <c r="K39" s="13" t="s">
        <v>493</v>
      </c>
      <c r="L39" s="1338"/>
      <c r="AB39" s="1350" t="s">
        <v>521</v>
      </c>
      <c r="AC39" s="1351"/>
      <c r="AD39" s="1351"/>
      <c r="AE39" s="1351"/>
      <c r="AF39" s="1351"/>
      <c r="AG39" s="1351"/>
      <c r="AH39" s="1351"/>
      <c r="AI39" s="1351"/>
      <c r="AJ39" s="1351"/>
      <c r="AK39" s="1352"/>
      <c r="AZ39" s="1391" t="str">
        <f t="shared" ref="AZ39:BA39" si="90">AD34</f>
        <v>P4</v>
      </c>
      <c r="BA39" s="1391" t="str">
        <f t="shared" si="90"/>
        <v>P3</v>
      </c>
      <c r="BB39" s="1391" t="str">
        <f t="shared" ref="BB39:BC39" si="91">INDEX($X$4:$X$13, MATCH(AZ39,$Z$4:$Z$13,0))</f>
        <v>GREEN</v>
      </c>
      <c r="BC39" s="1391" t="str">
        <f t="shared" si="91"/>
        <v>DECOUPES</v>
      </c>
    </row>
    <row r="40" ht="15.75" customHeight="1">
      <c r="H40" s="1383" t="s">
        <v>519</v>
      </c>
      <c r="I40" s="698" t="s">
        <v>1126</v>
      </c>
      <c r="J40" s="13" t="s">
        <v>537</v>
      </c>
      <c r="K40" s="13" t="s">
        <v>536</v>
      </c>
      <c r="L40" s="1338"/>
      <c r="AB40" s="1359" t="s">
        <v>1120</v>
      </c>
      <c r="AC40" s="554"/>
      <c r="AD40" s="1359" t="s">
        <v>1125</v>
      </c>
      <c r="AE40" s="554"/>
      <c r="AF40" s="1359" t="s">
        <v>1126</v>
      </c>
      <c r="AG40" s="554"/>
      <c r="AH40" s="1359" t="s">
        <v>1127</v>
      </c>
      <c r="AI40" s="554"/>
      <c r="AJ40" s="1359" t="s">
        <v>1128</v>
      </c>
      <c r="AK40" s="554"/>
      <c r="AZ40" s="1391" t="str">
        <f t="shared" ref="AZ40:BA40" si="92">AF34</f>
        <v>E1</v>
      </c>
      <c r="BA40" s="1391" t="str">
        <f t="shared" si="92"/>
        <v>E5</v>
      </c>
      <c r="BB40" s="1391" t="str">
        <f t="shared" ref="BB40:BC40" si="93">INDEX($X$4:$X$13, MATCH(AZ40,$Z$4:$Z$13,0))</f>
        <v>YARDIES</v>
      </c>
      <c r="BC40" s="1391" t="str">
        <f t="shared" si="93"/>
        <v>CHAMPS</v>
      </c>
    </row>
    <row r="41" ht="15.75" customHeight="1">
      <c r="H41" s="1383" t="s">
        <v>519</v>
      </c>
      <c r="I41" s="698" t="s">
        <v>1127</v>
      </c>
      <c r="J41" s="13" t="s">
        <v>578</v>
      </c>
      <c r="K41" s="13" t="s">
        <v>538</v>
      </c>
      <c r="L41" s="1338"/>
      <c r="AB41" s="1362" t="s">
        <v>645</v>
      </c>
      <c r="AC41" s="705" t="s">
        <v>646</v>
      </c>
      <c r="AD41" s="1362" t="s">
        <v>645</v>
      </c>
      <c r="AE41" s="705" t="s">
        <v>646</v>
      </c>
      <c r="AF41" s="1362" t="s">
        <v>645</v>
      </c>
      <c r="AG41" s="705" t="s">
        <v>646</v>
      </c>
      <c r="AH41" s="1362" t="s">
        <v>645</v>
      </c>
      <c r="AI41" s="705" t="s">
        <v>646</v>
      </c>
      <c r="AJ41" s="1362" t="s">
        <v>645</v>
      </c>
      <c r="AK41" s="705" t="s">
        <v>646</v>
      </c>
      <c r="AZ41" s="1391" t="str">
        <f t="shared" ref="AZ41:BA41" si="94">AH34</f>
        <v>E4</v>
      </c>
      <c r="BA41" s="1391" t="str">
        <f t="shared" si="94"/>
        <v>E3</v>
      </c>
      <c r="BB41" s="1391" t="str">
        <f t="shared" ref="BB41:BC41" si="95">INDEX($X$4:$X$13, MATCH(AZ41,$Z$4:$Z$13,0))</f>
        <v>METAMOOKDAWGS</v>
      </c>
      <c r="BC41" s="1391" t="str">
        <f t="shared" si="95"/>
        <v>MUTTS</v>
      </c>
    </row>
    <row r="42" ht="15.75" customHeight="1">
      <c r="H42" s="1387" t="s">
        <v>519</v>
      </c>
      <c r="I42" s="1193" t="s">
        <v>1128</v>
      </c>
      <c r="J42" s="1366" t="s">
        <v>478</v>
      </c>
      <c r="K42" s="13" t="s">
        <v>494</v>
      </c>
      <c r="L42" s="1338"/>
      <c r="AB42" s="1388" t="s">
        <v>1109</v>
      </c>
      <c r="AC42" s="1389" t="s">
        <v>1118</v>
      </c>
      <c r="AD42" s="720" t="s">
        <v>1110</v>
      </c>
      <c r="AE42" s="724" t="s">
        <v>1114</v>
      </c>
      <c r="AF42" s="1388" t="s">
        <v>1111</v>
      </c>
      <c r="AG42" s="1389" t="s">
        <v>1115</v>
      </c>
      <c r="AH42" s="720" t="s">
        <v>1112</v>
      </c>
      <c r="AI42" s="724" t="s">
        <v>1117</v>
      </c>
      <c r="AJ42" s="720" t="s">
        <v>1113</v>
      </c>
      <c r="AK42" s="724" t="s">
        <v>1116</v>
      </c>
      <c r="AZ42" s="1391" t="str">
        <f t="shared" ref="AZ42:BA42" si="96">AJ34</f>
        <v>E2</v>
      </c>
      <c r="BA42" s="1391" t="str">
        <f t="shared" si="96"/>
        <v>P2</v>
      </c>
      <c r="BB42" s="1391" t="str">
        <f t="shared" ref="BB42:BC42" si="97">INDEX($X$4:$X$13, MATCH(AZ42,$Z$4:$Z$13,0))</f>
        <v>EAGLES</v>
      </c>
      <c r="BC42" s="1391" t="str">
        <f t="shared" si="97"/>
        <v>POPEYES</v>
      </c>
    </row>
    <row r="43" ht="15.75" customHeight="1">
      <c r="H43" s="1343" t="s">
        <v>520</v>
      </c>
      <c r="I43" s="645" t="s">
        <v>1120</v>
      </c>
      <c r="J43" s="13" t="s">
        <v>494</v>
      </c>
      <c r="K43" s="13" t="s">
        <v>495</v>
      </c>
      <c r="L43" s="201"/>
      <c r="AB43" s="1350" t="s">
        <v>522</v>
      </c>
      <c r="AC43" s="1351"/>
      <c r="AD43" s="1351"/>
      <c r="AE43" s="1351"/>
      <c r="AF43" s="1351"/>
      <c r="AG43" s="1351"/>
      <c r="AH43" s="1351"/>
      <c r="AI43" s="1351"/>
      <c r="AJ43" s="1351"/>
      <c r="AK43" s="1352"/>
      <c r="AY43" s="313" t="s">
        <v>520</v>
      </c>
      <c r="AZ43" s="13" t="str">
        <f t="shared" ref="AZ43:BA43" si="98">AB38</f>
        <v>P2</v>
      </c>
      <c r="BA43" s="13" t="str">
        <f t="shared" si="98"/>
        <v>P4</v>
      </c>
      <c r="BB43" s="13" t="str">
        <f t="shared" ref="BB43:BC43" si="99">INDEX($X$4:$X$13, MATCH(AZ43,$Z$4:$Z$13,0))</f>
        <v>POPEYES</v>
      </c>
      <c r="BC43" s="13" t="str">
        <f t="shared" si="99"/>
        <v>GREEN</v>
      </c>
    </row>
    <row r="44" ht="15.75" customHeight="1">
      <c r="H44" s="1354" t="s">
        <v>520</v>
      </c>
      <c r="I44" s="365" t="s">
        <v>1125</v>
      </c>
      <c r="J44" s="1366" t="s">
        <v>493</v>
      </c>
      <c r="K44" s="13" t="s">
        <v>497</v>
      </c>
      <c r="L44" s="201"/>
      <c r="AB44" s="1359" t="s">
        <v>1120</v>
      </c>
      <c r="AC44" s="554"/>
      <c r="AD44" s="1359" t="s">
        <v>1125</v>
      </c>
      <c r="AE44" s="554"/>
      <c r="AF44" s="1359" t="s">
        <v>1126</v>
      </c>
      <c r="AG44" s="554"/>
      <c r="AH44" s="1359" t="s">
        <v>1127</v>
      </c>
      <c r="AI44" s="554"/>
      <c r="AJ44" s="1359" t="s">
        <v>1128</v>
      </c>
      <c r="AK44" s="554"/>
      <c r="AZ44" s="13" t="str">
        <f t="shared" ref="AZ44:BA44" si="100">AD38</f>
        <v>P3</v>
      </c>
      <c r="BA44" s="13" t="str">
        <f t="shared" si="100"/>
        <v>P5</v>
      </c>
      <c r="BB44" s="13" t="str">
        <f t="shared" ref="BB44:BC44" si="101">INDEX($X$4:$X$13, MATCH(AZ44,$Z$4:$Z$13,0))</f>
        <v>DECOUPES</v>
      </c>
      <c r="BC44" s="13" t="str">
        <f t="shared" si="101"/>
        <v>SAVAGES</v>
      </c>
    </row>
    <row r="45" ht="15.75" customHeight="1">
      <c r="H45" s="1354" t="s">
        <v>520</v>
      </c>
      <c r="I45" s="698" t="s">
        <v>1126</v>
      </c>
      <c r="J45" s="13" t="s">
        <v>478</v>
      </c>
      <c r="K45" s="13" t="s">
        <v>578</v>
      </c>
      <c r="L45" s="201"/>
      <c r="AB45" s="1362" t="s">
        <v>645</v>
      </c>
      <c r="AC45" s="705" t="s">
        <v>646</v>
      </c>
      <c r="AD45" s="1362" t="s">
        <v>645</v>
      </c>
      <c r="AE45" s="705" t="s">
        <v>646</v>
      </c>
      <c r="AF45" s="1362" t="s">
        <v>645</v>
      </c>
      <c r="AG45" s="705" t="s">
        <v>646</v>
      </c>
      <c r="AH45" s="1362" t="s">
        <v>645</v>
      </c>
      <c r="AI45" s="705" t="s">
        <v>646</v>
      </c>
      <c r="AJ45" s="1362" t="s">
        <v>645</v>
      </c>
      <c r="AK45" s="705" t="s">
        <v>646</v>
      </c>
      <c r="AZ45" s="13" t="str">
        <f t="shared" ref="AZ45:BA45" si="102">AF38</f>
        <v>E2</v>
      </c>
      <c r="BA45" s="13" t="str">
        <f t="shared" si="102"/>
        <v>E4</v>
      </c>
      <c r="BB45" s="13" t="str">
        <f t="shared" ref="BB45:BC45" si="103">INDEX($X$4:$X$13, MATCH(AZ45,$Z$4:$Z$13,0))</f>
        <v>EAGLES</v>
      </c>
      <c r="BC45" s="13" t="str">
        <f t="shared" si="103"/>
        <v>METAMOOKDAWGS</v>
      </c>
    </row>
    <row r="46" ht="15.75" customHeight="1">
      <c r="H46" s="1354" t="s">
        <v>520</v>
      </c>
      <c r="I46" s="698" t="s">
        <v>1127</v>
      </c>
      <c r="J46" s="13" t="s">
        <v>538</v>
      </c>
      <c r="K46" s="13" t="s">
        <v>536</v>
      </c>
      <c r="L46" s="201"/>
      <c r="AB46" s="1388" t="s">
        <v>1115</v>
      </c>
      <c r="AC46" s="1389" t="s">
        <v>1109</v>
      </c>
      <c r="AD46" s="1388" t="s">
        <v>1117</v>
      </c>
      <c r="AE46" s="1389" t="s">
        <v>1110</v>
      </c>
      <c r="AF46" s="1448" t="s">
        <v>1116</v>
      </c>
      <c r="AG46" s="1449" t="s">
        <v>1111</v>
      </c>
      <c r="AH46" s="1448" t="s">
        <v>1118</v>
      </c>
      <c r="AI46" s="1449" t="s">
        <v>1112</v>
      </c>
      <c r="AJ46" s="1388" t="s">
        <v>1114</v>
      </c>
      <c r="AK46" s="1389" t="s">
        <v>1113</v>
      </c>
      <c r="AZ46" s="13" t="str">
        <f t="shared" ref="AZ46:BA46" si="104">AH38</f>
        <v>E3</v>
      </c>
      <c r="BA46" s="13" t="str">
        <f t="shared" si="104"/>
        <v>E5</v>
      </c>
      <c r="BB46" s="13" t="str">
        <f t="shared" ref="BB46:BC46" si="105">INDEX($X$4:$X$13, MATCH(AZ46,$Z$4:$Z$13,0))</f>
        <v>MUTTS</v>
      </c>
      <c r="BC46" s="13" t="str">
        <f t="shared" si="105"/>
        <v>CHAMPS</v>
      </c>
    </row>
    <row r="47" ht="15.75" customHeight="1">
      <c r="H47" s="1373" t="s">
        <v>520</v>
      </c>
      <c r="I47" s="1193" t="s">
        <v>1128</v>
      </c>
      <c r="J47" s="13" t="s">
        <v>537</v>
      </c>
      <c r="K47" s="13" t="s">
        <v>477</v>
      </c>
      <c r="L47" s="201"/>
      <c r="AB47" s="1350" t="s">
        <v>523</v>
      </c>
      <c r="AC47" s="1351"/>
      <c r="AD47" s="1351"/>
      <c r="AE47" s="1351"/>
      <c r="AF47" s="1351"/>
      <c r="AG47" s="1351"/>
      <c r="AH47" s="1351"/>
      <c r="AI47" s="1351"/>
      <c r="AJ47" s="1351"/>
      <c r="AK47" s="1352"/>
      <c r="AZ47" s="13" t="str">
        <f t="shared" ref="AZ47:BA47" si="106">AJ38</f>
        <v>E1</v>
      </c>
      <c r="BA47" s="13" t="str">
        <f t="shared" si="106"/>
        <v>P1</v>
      </c>
      <c r="BB47" s="13" t="str">
        <f t="shared" ref="BB47:BC47" si="107">INDEX($X$4:$X$13, MATCH(AZ47,$Z$4:$Z$13,0))</f>
        <v>YARDIES</v>
      </c>
      <c r="BC47" s="13" t="str">
        <f t="shared" si="107"/>
        <v>KINGS</v>
      </c>
      <c r="BL47" s="314"/>
      <c r="BN47" s="314"/>
      <c r="BP47" s="314"/>
      <c r="BR47" s="314"/>
    </row>
    <row r="48" ht="15.75" customHeight="1">
      <c r="H48" s="1379" t="s">
        <v>521</v>
      </c>
      <c r="I48" s="645" t="s">
        <v>1120</v>
      </c>
      <c r="J48" s="13" t="s">
        <v>477</v>
      </c>
      <c r="K48" s="13" t="s">
        <v>536</v>
      </c>
      <c r="L48" s="1338"/>
      <c r="AB48" s="1359" t="s">
        <v>1120</v>
      </c>
      <c r="AC48" s="554"/>
      <c r="AD48" s="1359" t="s">
        <v>1125</v>
      </c>
      <c r="AE48" s="554"/>
      <c r="AF48" s="1359" t="s">
        <v>1126</v>
      </c>
      <c r="AG48" s="554"/>
      <c r="AH48" s="1359" t="s">
        <v>1127</v>
      </c>
      <c r="AI48" s="554"/>
      <c r="AJ48" s="1359" t="s">
        <v>1128</v>
      </c>
      <c r="AK48" s="554"/>
      <c r="AY48" s="1390" t="s">
        <v>521</v>
      </c>
      <c r="AZ48" s="1391" t="str">
        <f t="shared" ref="AZ48:BA48" si="108">AB42</f>
        <v>P1</v>
      </c>
      <c r="BA48" s="1391" t="str">
        <f t="shared" si="108"/>
        <v>E5</v>
      </c>
      <c r="BB48" s="1391" t="str">
        <f t="shared" ref="BB48:BC48" si="109">INDEX($X$4:$X$13, MATCH(AZ48,$Z$4:$Z$13,0))</f>
        <v>KINGS</v>
      </c>
      <c r="BC48" s="1391" t="str">
        <f t="shared" si="109"/>
        <v>CHAMPS</v>
      </c>
    </row>
    <row r="49" ht="15.75" customHeight="1">
      <c r="H49" s="1383" t="s">
        <v>521</v>
      </c>
      <c r="I49" s="365" t="s">
        <v>1125</v>
      </c>
      <c r="J49" s="13" t="s">
        <v>494</v>
      </c>
      <c r="K49" s="13" t="s">
        <v>537</v>
      </c>
      <c r="L49" s="1338"/>
      <c r="AB49" s="1362" t="s">
        <v>645</v>
      </c>
      <c r="AC49" s="705" t="s">
        <v>646</v>
      </c>
      <c r="AD49" s="1362" t="s">
        <v>645</v>
      </c>
      <c r="AE49" s="705" t="s">
        <v>646</v>
      </c>
      <c r="AF49" s="1362" t="s">
        <v>645</v>
      </c>
      <c r="AG49" s="705" t="s">
        <v>646</v>
      </c>
      <c r="AH49" s="1362" t="s">
        <v>645</v>
      </c>
      <c r="AI49" s="705" t="s">
        <v>646</v>
      </c>
      <c r="AJ49" s="1362" t="s">
        <v>645</v>
      </c>
      <c r="AK49" s="705" t="s">
        <v>646</v>
      </c>
      <c r="AZ49" s="1391" t="str">
        <f t="shared" ref="AZ49:BA49" si="110">AD42</f>
        <v>P2</v>
      </c>
      <c r="BA49" s="1391" t="str">
        <f t="shared" si="110"/>
        <v>E1</v>
      </c>
      <c r="BB49" s="1391" t="str">
        <f t="shared" ref="BB49:BC49" si="111">INDEX($X$4:$X$13, MATCH(AZ49,$Z$4:$Z$13,0))</f>
        <v>POPEYES</v>
      </c>
      <c r="BC49" s="1391" t="str">
        <f t="shared" si="111"/>
        <v>YARDIES</v>
      </c>
    </row>
    <row r="50" ht="15.75" customHeight="1">
      <c r="H50" s="1383" t="s">
        <v>521</v>
      </c>
      <c r="I50" s="698" t="s">
        <v>1126</v>
      </c>
      <c r="J50" s="1366" t="s">
        <v>493</v>
      </c>
      <c r="K50" s="13" t="s">
        <v>478</v>
      </c>
      <c r="L50" s="1338"/>
      <c r="AB50" s="1451" t="s">
        <v>1109</v>
      </c>
      <c r="AC50" s="1452" t="s">
        <v>1113</v>
      </c>
      <c r="AD50" s="1426" t="s">
        <v>1112</v>
      </c>
      <c r="AE50" s="1428" t="s">
        <v>1110</v>
      </c>
      <c r="AF50" s="1388" t="s">
        <v>1111</v>
      </c>
      <c r="AG50" s="1389" t="s">
        <v>1117</v>
      </c>
      <c r="AH50" s="1426" t="s">
        <v>1118</v>
      </c>
      <c r="AI50" s="1428" t="s">
        <v>1114</v>
      </c>
      <c r="AJ50" s="1451" t="s">
        <v>1115</v>
      </c>
      <c r="AK50" s="1452" t="s">
        <v>1116</v>
      </c>
      <c r="AZ50" s="1391" t="str">
        <f t="shared" ref="AZ50:BA50" si="112">AF42</f>
        <v>P3</v>
      </c>
      <c r="BA50" s="1391" t="str">
        <f t="shared" si="112"/>
        <v>E2</v>
      </c>
      <c r="BB50" s="1391" t="str">
        <f t="shared" ref="BB50:BC50" si="113">INDEX($X$4:$X$13, MATCH(AZ50,$Z$4:$Z$13,0))</f>
        <v>DECOUPES</v>
      </c>
      <c r="BC50" s="1391" t="str">
        <f t="shared" si="113"/>
        <v>EAGLES</v>
      </c>
    </row>
    <row r="51" ht="15.75" customHeight="1">
      <c r="H51" s="1383" t="s">
        <v>521</v>
      </c>
      <c r="I51" s="698" t="s">
        <v>1127</v>
      </c>
      <c r="J51" s="13" t="s">
        <v>495</v>
      </c>
      <c r="K51" s="13" t="s">
        <v>578</v>
      </c>
      <c r="L51" s="1338"/>
      <c r="AB51" s="1350" t="s">
        <v>524</v>
      </c>
      <c r="AC51" s="1351"/>
      <c r="AD51" s="1351"/>
      <c r="AE51" s="1351"/>
      <c r="AF51" s="1351"/>
      <c r="AG51" s="1351"/>
      <c r="AH51" s="1351"/>
      <c r="AI51" s="1351"/>
      <c r="AJ51" s="1351"/>
      <c r="AK51" s="1352"/>
      <c r="AZ51" s="1391" t="str">
        <f t="shared" ref="AZ51:BA51" si="114">AH42</f>
        <v>P4</v>
      </c>
      <c r="BA51" s="1391" t="str">
        <f t="shared" si="114"/>
        <v>E4</v>
      </c>
      <c r="BB51" s="1391" t="str">
        <f t="shared" ref="BB51:BC51" si="115">INDEX($X$4:$X$13, MATCH(AZ51,$Z$4:$Z$13,0))</f>
        <v>GREEN</v>
      </c>
      <c r="BC51" s="1391" t="str">
        <f t="shared" si="115"/>
        <v>METAMOOKDAWGS</v>
      </c>
    </row>
    <row r="52" ht="15.75" customHeight="1">
      <c r="H52" s="1387" t="s">
        <v>521</v>
      </c>
      <c r="I52" s="1193" t="s">
        <v>1128</v>
      </c>
      <c r="J52" s="13" t="s">
        <v>497</v>
      </c>
      <c r="K52" s="13" t="s">
        <v>538</v>
      </c>
      <c r="L52" s="1338"/>
      <c r="AB52" s="1359" t="s">
        <v>1120</v>
      </c>
      <c r="AC52" s="554"/>
      <c r="AD52" s="1359" t="s">
        <v>1125</v>
      </c>
      <c r="AE52" s="554"/>
      <c r="AF52" s="1359" t="s">
        <v>1126</v>
      </c>
      <c r="AG52" s="554"/>
      <c r="AH52" s="1359" t="s">
        <v>1127</v>
      </c>
      <c r="AI52" s="554"/>
      <c r="AJ52" s="1359" t="s">
        <v>1128</v>
      </c>
      <c r="AK52" s="554"/>
      <c r="AZ52" s="1391" t="str">
        <f t="shared" ref="AZ52:BA52" si="116">AJ42</f>
        <v>P5</v>
      </c>
      <c r="BA52" s="1391" t="str">
        <f t="shared" si="116"/>
        <v>E3</v>
      </c>
      <c r="BB52" s="1391" t="str">
        <f t="shared" ref="BB52:BC52" si="117">INDEX($X$4:$X$13, MATCH(AZ52,$Z$4:$Z$13,0))</f>
        <v>SAVAGES</v>
      </c>
      <c r="BC52" s="1391" t="str">
        <f t="shared" si="117"/>
        <v>MUTTS</v>
      </c>
    </row>
    <row r="53" ht="15.75" customHeight="1">
      <c r="H53" s="1343" t="s">
        <v>522</v>
      </c>
      <c r="I53" s="645" t="s">
        <v>1120</v>
      </c>
      <c r="J53" s="13" t="s">
        <v>478</v>
      </c>
      <c r="K53" s="13" t="s">
        <v>477</v>
      </c>
      <c r="L53" s="201"/>
      <c r="AB53" s="1362" t="s">
        <v>645</v>
      </c>
      <c r="AC53" s="705" t="s">
        <v>646</v>
      </c>
      <c r="AD53" s="1362" t="s">
        <v>645</v>
      </c>
      <c r="AE53" s="705" t="s">
        <v>646</v>
      </c>
      <c r="AF53" s="1362" t="s">
        <v>645</v>
      </c>
      <c r="AG53" s="705" t="s">
        <v>646</v>
      </c>
      <c r="AH53" s="1362" t="s">
        <v>645</v>
      </c>
      <c r="AI53" s="705" t="s">
        <v>646</v>
      </c>
      <c r="AJ53" s="1362" t="s">
        <v>645</v>
      </c>
      <c r="AK53" s="705" t="s">
        <v>646</v>
      </c>
      <c r="AY53" s="313" t="s">
        <v>522</v>
      </c>
      <c r="AZ53" s="13" t="str">
        <f t="shared" ref="AZ53:BA53" si="118">AB46</f>
        <v>E2</v>
      </c>
      <c r="BA53" s="13" t="str">
        <f t="shared" si="118"/>
        <v>P1</v>
      </c>
      <c r="BB53" s="13" t="str">
        <f t="shared" ref="BB53:BC53" si="119">INDEX($X$4:$X$13, MATCH(AZ53,$Z$4:$Z$13,0))</f>
        <v>EAGLES</v>
      </c>
      <c r="BC53" s="13" t="str">
        <f t="shared" si="119"/>
        <v>KINGS</v>
      </c>
    </row>
    <row r="54" ht="15.75" customHeight="1">
      <c r="H54" s="1354" t="s">
        <v>522</v>
      </c>
      <c r="I54" s="365" t="s">
        <v>1125</v>
      </c>
      <c r="J54" s="13" t="s">
        <v>578</v>
      </c>
      <c r="K54" s="13" t="s">
        <v>494</v>
      </c>
      <c r="L54" s="201"/>
      <c r="AB54" s="1426" t="s">
        <v>1110</v>
      </c>
      <c r="AC54" s="1428" t="s">
        <v>1109</v>
      </c>
      <c r="AD54" s="1426" t="s">
        <v>1113</v>
      </c>
      <c r="AE54" s="1428" t="s">
        <v>1111</v>
      </c>
      <c r="AF54" s="1388" t="s">
        <v>1116</v>
      </c>
      <c r="AG54" s="1389" t="s">
        <v>1112</v>
      </c>
      <c r="AH54" s="1451" t="s">
        <v>1114</v>
      </c>
      <c r="AI54" s="1452" t="s">
        <v>1115</v>
      </c>
      <c r="AJ54" s="1426" t="s">
        <v>1117</v>
      </c>
      <c r="AK54" s="1428" t="s">
        <v>1118</v>
      </c>
      <c r="AZ54" s="13" t="str">
        <f t="shared" ref="AZ54:BA54" si="120">AD46</f>
        <v>E4</v>
      </c>
      <c r="BA54" s="13" t="str">
        <f t="shared" si="120"/>
        <v>P2</v>
      </c>
      <c r="BB54" s="13" t="str">
        <f t="shared" ref="BB54:BC54" si="121">INDEX($X$4:$X$13, MATCH(AZ54,$Z$4:$Z$13,0))</f>
        <v>METAMOOKDAWGS</v>
      </c>
      <c r="BC54" s="13" t="str">
        <f t="shared" si="121"/>
        <v>POPEYES</v>
      </c>
    </row>
    <row r="55" ht="15.75" customHeight="1">
      <c r="H55" s="1354" t="s">
        <v>522</v>
      </c>
      <c r="I55" s="698" t="s">
        <v>1126</v>
      </c>
      <c r="J55" s="13" t="s">
        <v>538</v>
      </c>
      <c r="K55" s="13" t="s">
        <v>493</v>
      </c>
      <c r="L55" s="201"/>
      <c r="AB55" s="1350" t="s">
        <v>525</v>
      </c>
      <c r="AC55" s="1351"/>
      <c r="AD55" s="1351"/>
      <c r="AE55" s="1351"/>
      <c r="AF55" s="1351"/>
      <c r="AG55" s="1351"/>
      <c r="AH55" s="1351"/>
      <c r="AI55" s="1351"/>
      <c r="AJ55" s="1351"/>
      <c r="AK55" s="1352"/>
      <c r="AZ55" s="13" t="str">
        <f t="shared" ref="AZ55:BA55" si="122">AF46</f>
        <v>E3</v>
      </c>
      <c r="BA55" s="13" t="str">
        <f t="shared" si="122"/>
        <v>P3</v>
      </c>
      <c r="BB55" s="13" t="str">
        <f t="shared" ref="BB55:BC55" si="123">INDEX($X$4:$X$13, MATCH(AZ55,$Z$4:$Z$13,0))</f>
        <v>MUTTS</v>
      </c>
      <c r="BC55" s="13" t="str">
        <f t="shared" si="123"/>
        <v>DECOUPES</v>
      </c>
    </row>
    <row r="56" ht="15.75" customHeight="1">
      <c r="H56" s="1354" t="s">
        <v>522</v>
      </c>
      <c r="I56" s="698" t="s">
        <v>1127</v>
      </c>
      <c r="J56" s="1366" t="s">
        <v>536</v>
      </c>
      <c r="K56" s="13" t="s">
        <v>495</v>
      </c>
      <c r="L56" s="201"/>
      <c r="AB56" s="1359" t="s">
        <v>1120</v>
      </c>
      <c r="AC56" s="554"/>
      <c r="AD56" s="1359" t="s">
        <v>1125</v>
      </c>
      <c r="AE56" s="554"/>
      <c r="AF56" s="1359" t="s">
        <v>1126</v>
      </c>
      <c r="AG56" s="554"/>
      <c r="AH56" s="1359" t="s">
        <v>1127</v>
      </c>
      <c r="AI56" s="554"/>
      <c r="AJ56" s="1359" t="s">
        <v>1128</v>
      </c>
      <c r="AK56" s="554"/>
      <c r="AZ56" s="13" t="str">
        <f t="shared" ref="AZ56:BA56" si="124">AH46</f>
        <v>E5</v>
      </c>
      <c r="BA56" s="13" t="str">
        <f t="shared" si="124"/>
        <v>P4</v>
      </c>
      <c r="BB56" s="13" t="str">
        <f t="shared" ref="BB56:BC56" si="125">INDEX($X$4:$X$13, MATCH(AZ56,$Z$4:$Z$13,0))</f>
        <v>CHAMPS</v>
      </c>
      <c r="BC56" s="13" t="str">
        <f t="shared" si="125"/>
        <v>GREEN</v>
      </c>
    </row>
    <row r="57" ht="15.75" customHeight="1">
      <c r="H57" s="1373" t="s">
        <v>522</v>
      </c>
      <c r="I57" s="1193" t="s">
        <v>1128</v>
      </c>
      <c r="J57" s="13" t="s">
        <v>537</v>
      </c>
      <c r="K57" s="13" t="s">
        <v>497</v>
      </c>
      <c r="L57" s="201"/>
      <c r="AB57" s="1362" t="s">
        <v>645</v>
      </c>
      <c r="AC57" s="705" t="s">
        <v>646</v>
      </c>
      <c r="AD57" s="1362" t="s">
        <v>645</v>
      </c>
      <c r="AE57" s="705" t="s">
        <v>646</v>
      </c>
      <c r="AF57" s="1362" t="s">
        <v>645</v>
      </c>
      <c r="AG57" s="705" t="s">
        <v>646</v>
      </c>
      <c r="AH57" s="1362" t="s">
        <v>645</v>
      </c>
      <c r="AI57" s="705" t="s">
        <v>646</v>
      </c>
      <c r="AJ57" s="1362" t="s">
        <v>645</v>
      </c>
      <c r="AK57" s="705" t="s">
        <v>646</v>
      </c>
      <c r="AZ57" s="13" t="str">
        <f t="shared" ref="AZ57:BA57" si="126">AJ46</f>
        <v>E1</v>
      </c>
      <c r="BA57" s="13" t="str">
        <f t="shared" si="126"/>
        <v>P5</v>
      </c>
      <c r="BB57" s="13" t="str">
        <f t="shared" ref="BB57:BC57" si="127">INDEX($X$4:$X$13, MATCH(AZ57,$Z$4:$Z$13,0))</f>
        <v>YARDIES</v>
      </c>
      <c r="BC57" s="13" t="str">
        <f t="shared" si="127"/>
        <v>SAVAGES</v>
      </c>
    </row>
    <row r="58" ht="15.75" customHeight="1">
      <c r="H58" s="1379" t="s">
        <v>523</v>
      </c>
      <c r="I58" s="645" t="s">
        <v>1120</v>
      </c>
      <c r="J58" s="13" t="s">
        <v>477</v>
      </c>
      <c r="K58" s="13" t="s">
        <v>497</v>
      </c>
      <c r="L58" s="1338"/>
      <c r="AB58" s="1426" t="s">
        <v>1112</v>
      </c>
      <c r="AC58" s="1428" t="s">
        <v>1109</v>
      </c>
      <c r="AD58" s="1426" t="s">
        <v>1110</v>
      </c>
      <c r="AE58" s="1428" t="s">
        <v>1111</v>
      </c>
      <c r="AF58" s="1388" t="s">
        <v>1118</v>
      </c>
      <c r="AG58" s="1389" t="s">
        <v>1113</v>
      </c>
      <c r="AH58" s="1426" t="s">
        <v>1114</v>
      </c>
      <c r="AI58" s="1428" t="s">
        <v>1116</v>
      </c>
      <c r="AJ58" s="1426" t="s">
        <v>1117</v>
      </c>
      <c r="AK58" s="1428" t="s">
        <v>1115</v>
      </c>
      <c r="AY58" s="1390" t="s">
        <v>523</v>
      </c>
      <c r="AZ58" s="1391" t="str">
        <f t="shared" ref="AZ58:BA58" si="128">AB50</f>
        <v>P1</v>
      </c>
      <c r="BA58" s="1391" t="str">
        <f t="shared" si="128"/>
        <v>P5</v>
      </c>
      <c r="BB58" s="1391" t="str">
        <f t="shared" ref="BB58:BC58" si="129">INDEX($X$4:$X$13, MATCH(AZ58,$Z$4:$Z$13,0))</f>
        <v>KINGS</v>
      </c>
      <c r="BC58" s="1391" t="str">
        <f t="shared" si="129"/>
        <v>SAVAGES</v>
      </c>
    </row>
    <row r="59" ht="15.75" customHeight="1">
      <c r="H59" s="1383" t="s">
        <v>523</v>
      </c>
      <c r="I59" s="365" t="s">
        <v>1125</v>
      </c>
      <c r="J59" s="13" t="s">
        <v>495</v>
      </c>
      <c r="K59" s="13" t="s">
        <v>494</v>
      </c>
      <c r="L59" s="1338"/>
      <c r="AZ59" s="1391" t="str">
        <f t="shared" ref="AZ59:BA59" si="130">AD50</f>
        <v>P4</v>
      </c>
      <c r="BA59" s="1391" t="str">
        <f t="shared" si="130"/>
        <v>P2</v>
      </c>
      <c r="BB59" s="1391" t="str">
        <f t="shared" ref="BB59:BC59" si="131">INDEX($X$4:$X$13, MATCH(AZ59,$Z$4:$Z$13,0))</f>
        <v>GREEN</v>
      </c>
      <c r="BC59" s="1391" t="str">
        <f t="shared" si="131"/>
        <v>POPEYES</v>
      </c>
    </row>
    <row r="60" ht="15.75" customHeight="1">
      <c r="A60" s="13" t="s">
        <v>1153</v>
      </c>
      <c r="H60" s="1383" t="s">
        <v>523</v>
      </c>
      <c r="I60" s="698" t="s">
        <v>1126</v>
      </c>
      <c r="J60" s="13" t="s">
        <v>493</v>
      </c>
      <c r="K60" s="13" t="s">
        <v>578</v>
      </c>
      <c r="L60" s="1338"/>
      <c r="AZ60" s="1391" t="str">
        <f t="shared" ref="AZ60:BA60" si="132">AF50</f>
        <v>P3</v>
      </c>
      <c r="BA60" s="1391" t="str">
        <f t="shared" si="132"/>
        <v>E4</v>
      </c>
      <c r="BB60" s="1391" t="str">
        <f t="shared" ref="BB60:BC60" si="133">INDEX($X$4:$X$13, MATCH(AZ60,$Z$4:$Z$13,0))</f>
        <v>DECOUPES</v>
      </c>
      <c r="BC60" s="1391" t="str">
        <f t="shared" si="133"/>
        <v>METAMOOKDAWGS</v>
      </c>
    </row>
    <row r="61" ht="15.75" customHeight="1">
      <c r="A61" s="13" t="s">
        <v>1154</v>
      </c>
      <c r="H61" s="1383" t="s">
        <v>523</v>
      </c>
      <c r="I61" s="698" t="s">
        <v>1127</v>
      </c>
      <c r="J61" s="1366" t="s">
        <v>536</v>
      </c>
      <c r="K61" s="13" t="s">
        <v>537</v>
      </c>
      <c r="L61" s="1338"/>
      <c r="AZ61" s="1391" t="str">
        <f t="shared" ref="AZ61:BA61" si="134">AH50</f>
        <v>E5</v>
      </c>
      <c r="BA61" s="1391" t="str">
        <f t="shared" si="134"/>
        <v>E1</v>
      </c>
      <c r="BB61" s="1391" t="str">
        <f t="shared" ref="BB61:BC61" si="135">INDEX($X$4:$X$13, MATCH(AZ61,$Z$4:$Z$13,0))</f>
        <v>CHAMPS</v>
      </c>
      <c r="BC61" s="1391" t="str">
        <f t="shared" si="135"/>
        <v>YARDIES</v>
      </c>
    </row>
    <row r="62" ht="15.75" customHeight="1">
      <c r="H62" s="1387" t="s">
        <v>523</v>
      </c>
      <c r="I62" s="1193" t="s">
        <v>1128</v>
      </c>
      <c r="J62" s="13" t="s">
        <v>478</v>
      </c>
      <c r="K62" s="13" t="s">
        <v>538</v>
      </c>
      <c r="L62" s="1338"/>
      <c r="AZ62" s="1391" t="str">
        <f t="shared" ref="AZ62:BA62" si="136">AJ50</f>
        <v>E2</v>
      </c>
      <c r="BA62" s="1391" t="str">
        <f t="shared" si="136"/>
        <v>E3</v>
      </c>
      <c r="BB62" s="1391" t="str">
        <f t="shared" ref="BB62:BC62" si="137">INDEX($X$4:$X$13, MATCH(AZ62,$Z$4:$Z$13,0))</f>
        <v>EAGLES</v>
      </c>
      <c r="BC62" s="1391" t="str">
        <f t="shared" si="137"/>
        <v>MUTTS</v>
      </c>
    </row>
    <row r="63" ht="15.75" customHeight="1">
      <c r="H63" s="1400" t="s">
        <v>524</v>
      </c>
      <c r="I63" s="645" t="s">
        <v>1120</v>
      </c>
      <c r="J63" s="13" t="s">
        <v>494</v>
      </c>
      <c r="K63" s="13" t="s">
        <v>477</v>
      </c>
      <c r="L63" s="201"/>
      <c r="AY63" s="313" t="s">
        <v>524</v>
      </c>
      <c r="AZ63" s="13" t="str">
        <f t="shared" ref="AZ63:BA63" si="138">AB54</f>
        <v>P2</v>
      </c>
      <c r="BA63" s="13" t="str">
        <f t="shared" si="138"/>
        <v>P1</v>
      </c>
      <c r="BB63" s="13" t="str">
        <f t="shared" ref="BB63:BC63" si="139">INDEX($X$4:$X$13, MATCH(AZ63,$Z$4:$Z$13,0))</f>
        <v>POPEYES</v>
      </c>
      <c r="BC63" s="13" t="str">
        <f t="shared" si="139"/>
        <v>KINGS</v>
      </c>
    </row>
    <row r="64" ht="15.75" customHeight="1">
      <c r="H64" s="1402" t="s">
        <v>524</v>
      </c>
      <c r="I64" s="365" t="s">
        <v>1125</v>
      </c>
      <c r="J64" s="13" t="s">
        <v>497</v>
      </c>
      <c r="K64" s="13" t="s">
        <v>493</v>
      </c>
      <c r="L64" s="201"/>
      <c r="AZ64" s="13" t="str">
        <f t="shared" ref="AZ64:BA64" si="140">AD54</f>
        <v>P5</v>
      </c>
      <c r="BA64" s="13" t="str">
        <f t="shared" si="140"/>
        <v>P3</v>
      </c>
      <c r="BB64" s="13" t="str">
        <f t="shared" ref="BB64:BC64" si="141">INDEX($X$4:$X$13, MATCH(AZ64,$Z$4:$Z$13,0))</f>
        <v>SAVAGES</v>
      </c>
      <c r="BC64" s="13" t="str">
        <f t="shared" si="141"/>
        <v>DECOUPES</v>
      </c>
    </row>
    <row r="65" ht="15.75" customHeight="1">
      <c r="H65" s="1402" t="s">
        <v>524</v>
      </c>
      <c r="I65" s="698" t="s">
        <v>1126</v>
      </c>
      <c r="J65" s="13" t="s">
        <v>538</v>
      </c>
      <c r="K65" s="13" t="s">
        <v>495</v>
      </c>
      <c r="L65" s="201"/>
      <c r="AZ65" s="13" t="str">
        <f t="shared" ref="AZ65:BA65" si="142">AF54</f>
        <v>E3</v>
      </c>
      <c r="BA65" s="13" t="str">
        <f t="shared" si="142"/>
        <v>P4</v>
      </c>
      <c r="BB65" s="13" t="str">
        <f t="shared" ref="BB65:BC65" si="143">INDEX($X$4:$X$13, MATCH(AZ65,$Z$4:$Z$13,0))</f>
        <v>MUTTS</v>
      </c>
      <c r="BC65" s="13" t="str">
        <f t="shared" si="143"/>
        <v>GREEN</v>
      </c>
    </row>
    <row r="66" ht="15.75" customHeight="1">
      <c r="H66" s="1402" t="s">
        <v>524</v>
      </c>
      <c r="I66" s="698" t="s">
        <v>1127</v>
      </c>
      <c r="J66" s="13" t="s">
        <v>537</v>
      </c>
      <c r="K66" s="13" t="s">
        <v>478</v>
      </c>
      <c r="L66" s="201"/>
      <c r="AZ66" s="13" t="str">
        <f t="shared" ref="AZ66:BA66" si="144">AH54</f>
        <v>E1</v>
      </c>
      <c r="BA66" s="13" t="str">
        <f t="shared" si="144"/>
        <v>E2</v>
      </c>
      <c r="BB66" s="13" t="str">
        <f t="shared" ref="BB66:BC66" si="145">INDEX($X$4:$X$13, MATCH(AZ66,$Z$4:$Z$13,0))</f>
        <v>YARDIES</v>
      </c>
      <c r="BC66" s="13" t="str">
        <f t="shared" si="145"/>
        <v>EAGLES</v>
      </c>
    </row>
    <row r="67" ht="15.75" customHeight="1">
      <c r="H67" s="1408" t="s">
        <v>524</v>
      </c>
      <c r="I67" s="1193" t="s">
        <v>1128</v>
      </c>
      <c r="J67" s="1366" t="s">
        <v>578</v>
      </c>
      <c r="K67" s="13" t="s">
        <v>536</v>
      </c>
      <c r="L67" s="201"/>
      <c r="AZ67" s="13" t="str">
        <f t="shared" ref="AZ67:BA67" si="146">AJ54</f>
        <v>E4</v>
      </c>
      <c r="BA67" s="13" t="str">
        <f t="shared" si="146"/>
        <v>E5</v>
      </c>
      <c r="BB67" s="13" t="str">
        <f t="shared" ref="BB67:BC67" si="147">INDEX($X$4:$X$13, MATCH(AZ67,$Z$4:$Z$13,0))</f>
        <v>METAMOOKDAWGS</v>
      </c>
      <c r="BC67" s="13" t="str">
        <f t="shared" si="147"/>
        <v>CHAMPS</v>
      </c>
    </row>
    <row r="68" ht="15.75" customHeight="1">
      <c r="H68" s="1379" t="s">
        <v>525</v>
      </c>
      <c r="I68" s="645" t="s">
        <v>1120</v>
      </c>
      <c r="J68" s="1366" t="s">
        <v>495</v>
      </c>
      <c r="K68" s="13" t="s">
        <v>477</v>
      </c>
      <c r="L68" s="1338"/>
      <c r="AB68" s="1350" t="s">
        <v>516</v>
      </c>
      <c r="AC68" s="1351"/>
      <c r="AD68" s="1351"/>
      <c r="AE68" s="1351"/>
      <c r="AF68" s="1351"/>
      <c r="AG68" s="1351"/>
      <c r="AH68" s="1351"/>
      <c r="AI68" s="1351"/>
      <c r="AJ68" s="1351"/>
      <c r="AK68" s="1352"/>
      <c r="AY68" s="1390" t="s">
        <v>525</v>
      </c>
      <c r="AZ68" s="1391" t="str">
        <f t="shared" ref="AZ68:BA68" si="148">AB58</f>
        <v>P4</v>
      </c>
      <c r="BA68" s="1391" t="str">
        <f t="shared" si="148"/>
        <v>P1</v>
      </c>
      <c r="BB68" s="1391" t="str">
        <f t="shared" ref="BB68:BC68" si="149">INDEX($X$4:$X$13, MATCH(AZ68,$Z$4:$Z$13,0))</f>
        <v>GREEN</v>
      </c>
      <c r="BC68" s="1391" t="str">
        <f t="shared" si="149"/>
        <v>KINGS</v>
      </c>
    </row>
    <row r="69" ht="15.75" customHeight="1">
      <c r="H69" s="1383" t="s">
        <v>525</v>
      </c>
      <c r="I69" s="365" t="s">
        <v>1125</v>
      </c>
      <c r="J69" s="13" t="s">
        <v>494</v>
      </c>
      <c r="K69" s="13" t="s">
        <v>493</v>
      </c>
      <c r="L69" s="1338"/>
      <c r="AB69" s="1359" t="s">
        <v>1120</v>
      </c>
      <c r="AC69" s="554"/>
      <c r="AD69" s="1359" t="s">
        <v>1125</v>
      </c>
      <c r="AE69" s="554"/>
      <c r="AF69" s="1359" t="s">
        <v>1126</v>
      </c>
      <c r="AG69" s="554"/>
      <c r="AH69" s="1359" t="s">
        <v>1127</v>
      </c>
      <c r="AI69" s="554"/>
      <c r="AJ69" s="1359" t="s">
        <v>1128</v>
      </c>
      <c r="AK69" s="554"/>
      <c r="AZ69" s="1391" t="str">
        <f t="shared" ref="AZ69:BA69" si="150">AD58</f>
        <v>P2</v>
      </c>
      <c r="BA69" s="1391" t="str">
        <f t="shared" si="150"/>
        <v>P3</v>
      </c>
      <c r="BB69" s="1391" t="str">
        <f t="shared" ref="BB69:BC69" si="151">INDEX($X$4:$X$13, MATCH(AZ69,$Z$4:$Z$13,0))</f>
        <v>POPEYES</v>
      </c>
      <c r="BC69" s="1391" t="str">
        <f t="shared" si="151"/>
        <v>DECOUPES</v>
      </c>
    </row>
    <row r="70" ht="15.75" customHeight="1">
      <c r="H70" s="1383" t="s">
        <v>525</v>
      </c>
      <c r="I70" s="698" t="s">
        <v>1126</v>
      </c>
      <c r="J70" s="13" t="s">
        <v>536</v>
      </c>
      <c r="K70" s="13" t="s">
        <v>497</v>
      </c>
      <c r="L70" s="1338"/>
      <c r="AB70" s="1362" t="s">
        <v>645</v>
      </c>
      <c r="AC70" s="705" t="s">
        <v>646</v>
      </c>
      <c r="AD70" s="1362" t="s">
        <v>645</v>
      </c>
      <c r="AE70" s="705" t="s">
        <v>646</v>
      </c>
      <c r="AF70" s="1362" t="s">
        <v>645</v>
      </c>
      <c r="AG70" s="705" t="s">
        <v>646</v>
      </c>
      <c r="AH70" s="1362" t="s">
        <v>645</v>
      </c>
      <c r="AI70" s="705" t="s">
        <v>646</v>
      </c>
      <c r="AJ70" s="1362" t="s">
        <v>645</v>
      </c>
      <c r="AK70" s="705" t="s">
        <v>646</v>
      </c>
      <c r="AZ70" s="1391" t="str">
        <f t="shared" ref="AZ70:BA70" si="152">AF58</f>
        <v>E5</v>
      </c>
      <c r="BA70" s="1391" t="str">
        <f t="shared" si="152"/>
        <v>P5</v>
      </c>
      <c r="BB70" s="1391" t="str">
        <f t="shared" ref="BB70:BC70" si="153">INDEX($X$4:$X$13, MATCH(AZ70,$Z$4:$Z$13,0))</f>
        <v>CHAMPS</v>
      </c>
      <c r="BC70" s="1391" t="str">
        <f t="shared" si="153"/>
        <v>SAVAGES</v>
      </c>
    </row>
    <row r="71" ht="15.75" customHeight="1">
      <c r="H71" s="1383" t="s">
        <v>525</v>
      </c>
      <c r="I71" s="698" t="s">
        <v>1127</v>
      </c>
      <c r="J71" s="13" t="s">
        <v>537</v>
      </c>
      <c r="K71" s="13" t="s">
        <v>538</v>
      </c>
      <c r="L71" s="1338"/>
      <c r="AB71" s="720" t="s">
        <v>1109</v>
      </c>
      <c r="AC71" s="724" t="s">
        <v>1110</v>
      </c>
      <c r="AD71" s="720" t="s">
        <v>1111</v>
      </c>
      <c r="AE71" s="724" t="s">
        <v>1113</v>
      </c>
      <c r="AF71" s="720" t="s">
        <v>1114</v>
      </c>
      <c r="AG71" s="724" t="s">
        <v>1115</v>
      </c>
      <c r="AH71" s="720" t="s">
        <v>1117</v>
      </c>
      <c r="AI71" s="724" t="s">
        <v>1118</v>
      </c>
      <c r="AJ71" s="1414" t="s">
        <v>1112</v>
      </c>
      <c r="AK71" s="1416" t="s">
        <v>1116</v>
      </c>
      <c r="AZ71" s="1391" t="str">
        <f t="shared" ref="AZ71:BA71" si="154">AH58</f>
        <v>E1</v>
      </c>
      <c r="BA71" s="1391" t="str">
        <f t="shared" si="154"/>
        <v>E3</v>
      </c>
      <c r="BB71" s="1391" t="str">
        <f t="shared" ref="BB71:BC71" si="155">INDEX($X$4:$X$13, MATCH(AZ71,$Z$4:$Z$13,0))</f>
        <v>YARDIES</v>
      </c>
      <c r="BC71" s="1391" t="str">
        <f t="shared" si="155"/>
        <v>MUTTS</v>
      </c>
    </row>
    <row r="72" ht="15.75" customHeight="1">
      <c r="H72" s="1387" t="s">
        <v>525</v>
      </c>
      <c r="I72" s="1193" t="s">
        <v>1128</v>
      </c>
      <c r="J72" s="13" t="s">
        <v>578</v>
      </c>
      <c r="K72" s="13" t="s">
        <v>478</v>
      </c>
      <c r="L72" s="1338"/>
      <c r="AB72" s="1350" t="s">
        <v>517</v>
      </c>
      <c r="AC72" s="1351"/>
      <c r="AD72" s="1351"/>
      <c r="AE72" s="1351"/>
      <c r="AF72" s="1351"/>
      <c r="AG72" s="1351"/>
      <c r="AH72" s="1351"/>
      <c r="AI72" s="1351"/>
      <c r="AJ72" s="1351"/>
      <c r="AK72" s="1352"/>
      <c r="AZ72" s="1391" t="str">
        <f t="shared" ref="AZ72:BA72" si="156">AJ58</f>
        <v>E4</v>
      </c>
      <c r="BA72" s="1391" t="str">
        <f t="shared" si="156"/>
        <v>E2</v>
      </c>
      <c r="BB72" s="1391" t="str">
        <f t="shared" ref="BB72:BC72" si="157">INDEX($X$4:$X$13, MATCH(AZ72,$Z$4:$Z$13,0))</f>
        <v>METAMOOKDAWGS</v>
      </c>
      <c r="BC72" s="1391" t="str">
        <f t="shared" si="157"/>
        <v>EAGLES</v>
      </c>
    </row>
    <row r="73" ht="15.75" customHeight="1">
      <c r="AB73" s="1359" t="s">
        <v>1120</v>
      </c>
      <c r="AC73" s="554"/>
      <c r="AD73" s="1359" t="s">
        <v>1125</v>
      </c>
      <c r="AE73" s="554"/>
      <c r="AF73" s="1359" t="s">
        <v>1126</v>
      </c>
      <c r="AG73" s="554"/>
      <c r="AH73" s="1359" t="s">
        <v>1127</v>
      </c>
      <c r="AI73" s="554"/>
      <c r="AJ73" s="1359" t="s">
        <v>1128</v>
      </c>
      <c r="AK73" s="554"/>
      <c r="AY73" s="313"/>
    </row>
    <row r="74" ht="15.75" customHeight="1">
      <c r="AB74" s="1362" t="s">
        <v>645</v>
      </c>
      <c r="AC74" s="705" t="s">
        <v>646</v>
      </c>
      <c r="AD74" s="1362" t="s">
        <v>645</v>
      </c>
      <c r="AE74" s="705" t="s">
        <v>646</v>
      </c>
      <c r="AF74" s="1362" t="s">
        <v>645</v>
      </c>
      <c r="AG74" s="705" t="s">
        <v>646</v>
      </c>
      <c r="AH74" s="1362" t="s">
        <v>645</v>
      </c>
      <c r="AI74" s="705" t="s">
        <v>646</v>
      </c>
      <c r="AJ74" s="1362" t="s">
        <v>645</v>
      </c>
      <c r="AK74" s="705" t="s">
        <v>646</v>
      </c>
    </row>
    <row r="75" ht="15.75" customHeight="1">
      <c r="AB75" s="720" t="s">
        <v>1109</v>
      </c>
      <c r="AC75" s="724" t="s">
        <v>1111</v>
      </c>
      <c r="AD75" s="720" t="s">
        <v>1112</v>
      </c>
      <c r="AE75" s="724" t="s">
        <v>1113</v>
      </c>
      <c r="AF75" s="720" t="s">
        <v>1114</v>
      </c>
      <c r="AG75" s="724" t="s">
        <v>1117</v>
      </c>
      <c r="AH75" s="720" t="s">
        <v>1116</v>
      </c>
      <c r="AI75" s="724" t="s">
        <v>1118</v>
      </c>
      <c r="AJ75" s="1414" t="s">
        <v>1115</v>
      </c>
      <c r="AK75" s="1416" t="s">
        <v>1110</v>
      </c>
    </row>
    <row r="76" ht="15.75" customHeight="1">
      <c r="AB76" s="1350" t="s">
        <v>518</v>
      </c>
      <c r="AC76" s="1351"/>
      <c r="AD76" s="1351"/>
      <c r="AE76" s="1351"/>
      <c r="AF76" s="1351"/>
      <c r="AG76" s="1351"/>
      <c r="AH76" s="1351"/>
      <c r="AI76" s="1351"/>
      <c r="AJ76" s="1351"/>
      <c r="AK76" s="1352"/>
    </row>
    <row r="77" ht="15.75" customHeight="1">
      <c r="AB77" s="1359" t="s">
        <v>1120</v>
      </c>
      <c r="AC77" s="554"/>
      <c r="AD77" s="1359" t="s">
        <v>1125</v>
      </c>
      <c r="AE77" s="554"/>
      <c r="AF77" s="1359" t="s">
        <v>1126</v>
      </c>
      <c r="AG77" s="554"/>
      <c r="AH77" s="1359" t="s">
        <v>1127</v>
      </c>
      <c r="AI77" s="554"/>
      <c r="AJ77" s="1359" t="s">
        <v>1128</v>
      </c>
      <c r="AK77" s="554"/>
    </row>
    <row r="78" ht="15.75" customHeight="1">
      <c r="AB78" s="1362" t="s">
        <v>645</v>
      </c>
      <c r="AC78" s="705" t="s">
        <v>646</v>
      </c>
      <c r="AD78" s="1362" t="s">
        <v>645</v>
      </c>
      <c r="AE78" s="705" t="s">
        <v>646</v>
      </c>
      <c r="AF78" s="1362" t="s">
        <v>645</v>
      </c>
      <c r="AG78" s="705" t="s">
        <v>646</v>
      </c>
      <c r="AH78" s="1362" t="s">
        <v>645</v>
      </c>
      <c r="AI78" s="705" t="s">
        <v>646</v>
      </c>
      <c r="AJ78" s="1362" t="s">
        <v>645</v>
      </c>
      <c r="AK78" s="705" t="s">
        <v>646</v>
      </c>
      <c r="AY78" s="313"/>
    </row>
    <row r="79" ht="15.75" customHeight="1">
      <c r="AB79" s="720" t="s">
        <v>1109</v>
      </c>
      <c r="AC79" s="724" t="s">
        <v>1112</v>
      </c>
      <c r="AD79" s="720" t="s">
        <v>1110</v>
      </c>
      <c r="AE79" s="724" t="s">
        <v>1111</v>
      </c>
      <c r="AF79" s="720" t="s">
        <v>1114</v>
      </c>
      <c r="AG79" s="724" t="s">
        <v>1116</v>
      </c>
      <c r="AH79" s="720" t="s">
        <v>1115</v>
      </c>
      <c r="AI79" s="724" t="s">
        <v>1117</v>
      </c>
      <c r="AJ79" s="1414" t="s">
        <v>1113</v>
      </c>
      <c r="AK79" s="1416" t="s">
        <v>1118</v>
      </c>
    </row>
    <row r="80" ht="15.75" customHeight="1">
      <c r="AB80" s="1350" t="s">
        <v>519</v>
      </c>
      <c r="AC80" s="1351"/>
      <c r="AD80" s="1351"/>
      <c r="AE80" s="1351"/>
      <c r="AF80" s="1351"/>
      <c r="AG80" s="1351"/>
      <c r="AH80" s="1351"/>
      <c r="AI80" s="1351"/>
      <c r="AJ80" s="1351"/>
      <c r="AK80" s="1352"/>
    </row>
    <row r="81" ht="15.75" customHeight="1">
      <c r="AB81" s="1359" t="s">
        <v>1120</v>
      </c>
      <c r="AC81" s="554"/>
      <c r="AD81" s="1359" t="s">
        <v>1125</v>
      </c>
      <c r="AE81" s="554"/>
      <c r="AF81" s="1359" t="s">
        <v>1126</v>
      </c>
      <c r="AG81" s="554"/>
      <c r="AH81" s="1359" t="s">
        <v>1127</v>
      </c>
      <c r="AI81" s="554"/>
      <c r="AJ81" s="1359" t="s">
        <v>1128</v>
      </c>
      <c r="AK81" s="554"/>
    </row>
    <row r="82" ht="15.75" customHeight="1">
      <c r="AB82" s="1362" t="s">
        <v>645</v>
      </c>
      <c r="AC82" s="705" t="s">
        <v>646</v>
      </c>
      <c r="AD82" s="1362" t="s">
        <v>645</v>
      </c>
      <c r="AE82" s="705" t="s">
        <v>646</v>
      </c>
      <c r="AF82" s="1362" t="s">
        <v>645</v>
      </c>
      <c r="AG82" s="705" t="s">
        <v>646</v>
      </c>
      <c r="AH82" s="1362" t="s">
        <v>645</v>
      </c>
      <c r="AI82" s="705" t="s">
        <v>646</v>
      </c>
      <c r="AJ82" s="1362" t="s">
        <v>645</v>
      </c>
      <c r="AK82" s="705" t="s">
        <v>646</v>
      </c>
    </row>
    <row r="83" ht="15.75" customHeight="1">
      <c r="AB83" s="720" t="s">
        <v>1109</v>
      </c>
      <c r="AC83" s="724" t="s">
        <v>1113</v>
      </c>
      <c r="AD83" s="720" t="s">
        <v>1110</v>
      </c>
      <c r="AE83" s="724" t="s">
        <v>1112</v>
      </c>
      <c r="AF83" s="720" t="s">
        <v>1114</v>
      </c>
      <c r="AG83" s="724" t="s">
        <v>1118</v>
      </c>
      <c r="AH83" s="720" t="s">
        <v>1115</v>
      </c>
      <c r="AI83" s="724" t="s">
        <v>1116</v>
      </c>
      <c r="AJ83" s="1414" t="s">
        <v>1111</v>
      </c>
      <c r="AK83" s="1416" t="s">
        <v>1117</v>
      </c>
    </row>
    <row r="84" ht="15.75" customHeight="1">
      <c r="AB84" s="1350" t="s">
        <v>520</v>
      </c>
      <c r="AC84" s="1351"/>
      <c r="AD84" s="1351"/>
      <c r="AE84" s="1351"/>
      <c r="AF84" s="1351"/>
      <c r="AG84" s="1351"/>
      <c r="AH84" s="1351"/>
      <c r="AI84" s="1351"/>
      <c r="AJ84" s="1351"/>
      <c r="AK84" s="1352"/>
    </row>
    <row r="85" ht="15.75" customHeight="1">
      <c r="AB85" s="1359" t="s">
        <v>1120</v>
      </c>
      <c r="AC85" s="554"/>
      <c r="AD85" s="1359" t="s">
        <v>1125</v>
      </c>
      <c r="AE85" s="554"/>
      <c r="AF85" s="1359" t="s">
        <v>1126</v>
      </c>
      <c r="AG85" s="554"/>
      <c r="AH85" s="1359" t="s">
        <v>1127</v>
      </c>
      <c r="AI85" s="554"/>
      <c r="AJ85" s="1359" t="s">
        <v>1128</v>
      </c>
      <c r="AK85" s="554"/>
    </row>
    <row r="86" ht="15.75" customHeight="1">
      <c r="AB86" s="1362" t="s">
        <v>645</v>
      </c>
      <c r="AC86" s="705" t="s">
        <v>646</v>
      </c>
      <c r="AD86" s="1362" t="s">
        <v>645</v>
      </c>
      <c r="AE86" s="705" t="s">
        <v>646</v>
      </c>
      <c r="AF86" s="1362" t="s">
        <v>645</v>
      </c>
      <c r="AG86" s="705" t="s">
        <v>646</v>
      </c>
      <c r="AH86" s="1362" t="s">
        <v>645</v>
      </c>
      <c r="AI86" s="705" t="s">
        <v>646</v>
      </c>
      <c r="AJ86" s="1362" t="s">
        <v>645</v>
      </c>
      <c r="AK86" s="705" t="s">
        <v>646</v>
      </c>
    </row>
    <row r="87" ht="15.75" customHeight="1">
      <c r="AB87" s="720" t="s">
        <v>1110</v>
      </c>
      <c r="AC87" s="724" t="s">
        <v>1113</v>
      </c>
      <c r="AD87" s="720" t="s">
        <v>1111</v>
      </c>
      <c r="AE87" s="724" t="s">
        <v>1112</v>
      </c>
      <c r="AF87" s="720" t="s">
        <v>1115</v>
      </c>
      <c r="AG87" s="724" t="s">
        <v>1118</v>
      </c>
      <c r="AH87" s="720" t="s">
        <v>1116</v>
      </c>
      <c r="AI87" s="724" t="s">
        <v>1117</v>
      </c>
      <c r="AJ87" s="1414" t="s">
        <v>1109</v>
      </c>
      <c r="AK87" s="1416" t="s">
        <v>1114</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AB36:AC36"/>
    <mergeCell ref="AD36:AE36"/>
    <mergeCell ref="AB12:AC12"/>
    <mergeCell ref="AD12:AE12"/>
    <mergeCell ref="AB16:AC16"/>
    <mergeCell ref="AD16:AE16"/>
    <mergeCell ref="AB20:AC20"/>
    <mergeCell ref="AD20:AE20"/>
    <mergeCell ref="AD24:AE24"/>
    <mergeCell ref="H2:K2"/>
    <mergeCell ref="M3:N7"/>
    <mergeCell ref="AY3:AY7"/>
    <mergeCell ref="AD4:AE4"/>
    <mergeCell ref="AF4:AG4"/>
    <mergeCell ref="AH4:AI4"/>
    <mergeCell ref="AJ4:AK4"/>
    <mergeCell ref="AB4:AC4"/>
    <mergeCell ref="AB8:AC8"/>
    <mergeCell ref="AD8:AE8"/>
    <mergeCell ref="AF8:AG8"/>
    <mergeCell ref="AH8:AI8"/>
    <mergeCell ref="AJ8:AK8"/>
    <mergeCell ref="AY8:AY12"/>
    <mergeCell ref="AJ12:AK12"/>
    <mergeCell ref="AF12:AG12"/>
    <mergeCell ref="AH12:AI12"/>
    <mergeCell ref="AY13:AY17"/>
    <mergeCell ref="AF16:AG16"/>
    <mergeCell ref="AH16:AI16"/>
    <mergeCell ref="AJ16:AK16"/>
    <mergeCell ref="AJ20:AK20"/>
    <mergeCell ref="AB24:AC24"/>
    <mergeCell ref="AB28:AC28"/>
    <mergeCell ref="AD28:AE28"/>
    <mergeCell ref="AF28:AG28"/>
    <mergeCell ref="AH28:AI28"/>
    <mergeCell ref="AJ28:AK28"/>
    <mergeCell ref="AB32:AC32"/>
    <mergeCell ref="AD32:AE32"/>
    <mergeCell ref="AF32:AG32"/>
    <mergeCell ref="AH32:AI32"/>
    <mergeCell ref="AJ32:AK32"/>
    <mergeCell ref="BT33:BU33"/>
    <mergeCell ref="AF20:AG20"/>
    <mergeCell ref="AH20:AI20"/>
    <mergeCell ref="AF24:AG24"/>
    <mergeCell ref="AH24:AI24"/>
    <mergeCell ref="AJ24:AK24"/>
    <mergeCell ref="AH36:AI36"/>
    <mergeCell ref="AJ36:AK36"/>
    <mergeCell ref="BN47:BO47"/>
    <mergeCell ref="BP47:BQ47"/>
    <mergeCell ref="AY18:AY22"/>
    <mergeCell ref="AY23:AY27"/>
    <mergeCell ref="AY28:AY32"/>
    <mergeCell ref="AY33:AY37"/>
    <mergeCell ref="AY38:AY42"/>
    <mergeCell ref="AY43:AY47"/>
    <mergeCell ref="BL47:BM47"/>
    <mergeCell ref="AB73:AC73"/>
    <mergeCell ref="AD73:AE73"/>
    <mergeCell ref="AF73:AG73"/>
    <mergeCell ref="AH73:AI73"/>
    <mergeCell ref="AJ73:AK73"/>
    <mergeCell ref="AB77:AC77"/>
    <mergeCell ref="AD77:AE77"/>
    <mergeCell ref="AJ77:AK77"/>
    <mergeCell ref="AF77:AG77"/>
    <mergeCell ref="AH77:AI77"/>
    <mergeCell ref="AB81:AC81"/>
    <mergeCell ref="AD81:AE81"/>
    <mergeCell ref="AF81:AG81"/>
    <mergeCell ref="AH81:AI81"/>
    <mergeCell ref="AJ81:AK81"/>
    <mergeCell ref="AF36:AG36"/>
    <mergeCell ref="AB40:AC40"/>
    <mergeCell ref="AD40:AE40"/>
    <mergeCell ref="AF40:AG40"/>
    <mergeCell ref="AH40:AI40"/>
    <mergeCell ref="AJ40:AK40"/>
    <mergeCell ref="AB44:AC44"/>
    <mergeCell ref="AD44:AE44"/>
    <mergeCell ref="AF44:AG44"/>
    <mergeCell ref="AB48:AC48"/>
    <mergeCell ref="AD48:AE48"/>
    <mergeCell ref="AF48:AG48"/>
    <mergeCell ref="AH48:AI48"/>
    <mergeCell ref="AJ48:AK48"/>
    <mergeCell ref="AY53:AY57"/>
    <mergeCell ref="AY58:AY62"/>
    <mergeCell ref="AY63:AY67"/>
    <mergeCell ref="AY68:AY72"/>
    <mergeCell ref="AY73:AY77"/>
    <mergeCell ref="AY78:AY82"/>
    <mergeCell ref="AH44:AI44"/>
    <mergeCell ref="AJ44:AK44"/>
    <mergeCell ref="AY48:AY52"/>
    <mergeCell ref="AH52:AI52"/>
    <mergeCell ref="AJ52:AK52"/>
    <mergeCell ref="AH56:AI56"/>
    <mergeCell ref="AJ56:AK56"/>
    <mergeCell ref="AD69:AE69"/>
    <mergeCell ref="AF69:AG69"/>
    <mergeCell ref="AH69:AI69"/>
    <mergeCell ref="AJ69:AK69"/>
    <mergeCell ref="AB52:AC52"/>
    <mergeCell ref="AD52:AE52"/>
    <mergeCell ref="AF52:AG52"/>
    <mergeCell ref="AB56:AC56"/>
    <mergeCell ref="AD56:AE56"/>
    <mergeCell ref="AF56:AG56"/>
    <mergeCell ref="AB69:AC69"/>
    <mergeCell ref="AB85:AC85"/>
    <mergeCell ref="AD85:AE85"/>
    <mergeCell ref="AF85:AG85"/>
    <mergeCell ref="AH85:AI85"/>
    <mergeCell ref="AJ85:AK85"/>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1.22" defaultRowHeight="15.0"/>
  <cols>
    <col customWidth="1" min="1" max="1" width="18.0"/>
    <col customWidth="1" min="2" max="3" width="10.56"/>
    <col customWidth="1" min="4" max="4" width="12.11"/>
    <col customWidth="1" min="5" max="5" width="10.56"/>
    <col customWidth="1" min="6" max="6" width="16.44"/>
    <col customWidth="1" min="7" max="7" width="10.56"/>
    <col customWidth="1" min="8" max="8" width="8.67"/>
    <col customWidth="1" min="9" max="9" width="7.78"/>
    <col customWidth="1" min="10" max="10" width="18.44"/>
    <col customWidth="1" min="11" max="11" width="18.0"/>
    <col customWidth="1" min="12" max="12" width="4.67"/>
    <col customWidth="1" min="13" max="13" width="5.0"/>
    <col customWidth="1" min="14" max="15" width="10.56"/>
    <col customWidth="1" min="16" max="16" width="19.11"/>
    <col customWidth="1" min="17" max="17" width="7.0"/>
    <col customWidth="1" min="18" max="18" width="7.11"/>
    <col customWidth="1" min="19" max="19" width="5.33"/>
    <col customWidth="1" min="20" max="20" width="4.78"/>
    <col customWidth="1" min="21" max="21" width="18.0"/>
    <col customWidth="1" min="22" max="22" width="13.0"/>
    <col customWidth="1" min="23" max="23" width="9.11"/>
    <col customWidth="1" min="24" max="24" width="18.0"/>
    <col customWidth="1" min="25" max="25" width="10.56"/>
    <col customWidth="1" min="26" max="26" width="5.44"/>
    <col customWidth="1" min="27" max="27" width="10.56"/>
    <col customWidth="1" min="28" max="28" width="7.44"/>
    <col customWidth="1" min="29" max="37" width="6.33"/>
    <col customWidth="1" min="38" max="38" width="10.56"/>
    <col customWidth="1" min="39" max="49" width="3.11"/>
    <col customWidth="1" min="50" max="50" width="10.56"/>
    <col customWidth="1" min="51" max="53" width="10.78"/>
    <col customWidth="1" min="54" max="54" width="18.67"/>
    <col customWidth="1" min="55" max="55" width="18.0"/>
    <col customWidth="1" min="56" max="56" width="10.33"/>
    <col customWidth="1" min="57" max="57" width="3.11"/>
    <col customWidth="1" min="58" max="58" width="2.11"/>
    <col customWidth="1" min="59" max="59" width="29.78"/>
    <col customWidth="1" min="60" max="60" width="19.78"/>
    <col customWidth="1" min="61" max="73" width="10.56"/>
  </cols>
  <sheetData>
    <row r="1" ht="15.75" customHeight="1">
      <c r="J1" s="314" t="s">
        <v>1099</v>
      </c>
      <c r="K1" s="314" t="s">
        <v>1100</v>
      </c>
    </row>
    <row r="2" ht="15.75" customHeight="1">
      <c r="A2" s="1334" t="s">
        <v>1101</v>
      </c>
      <c r="B2" s="1334" t="s">
        <v>1102</v>
      </c>
      <c r="C2" s="1334" t="s">
        <v>1103</v>
      </c>
      <c r="D2" s="1334" t="s">
        <v>1104</v>
      </c>
      <c r="E2" s="120"/>
      <c r="F2" s="1335" t="s">
        <v>1105</v>
      </c>
      <c r="H2" s="1336" t="s">
        <v>1106</v>
      </c>
      <c r="I2" s="954"/>
      <c r="J2" s="954"/>
      <c r="K2" s="1337"/>
      <c r="P2" s="1335" t="s">
        <v>1107</v>
      </c>
      <c r="R2" s="1335" t="s">
        <v>1108</v>
      </c>
      <c r="AN2" s="1338" t="s">
        <v>1109</v>
      </c>
      <c r="AO2" s="1338" t="s">
        <v>1110</v>
      </c>
      <c r="AP2" s="1338" t="s">
        <v>1111</v>
      </c>
      <c r="AQ2" s="1338" t="s">
        <v>1112</v>
      </c>
      <c r="AR2" s="1338" t="s">
        <v>1113</v>
      </c>
      <c r="AS2" s="1339" t="s">
        <v>1114</v>
      </c>
      <c r="AT2" s="1339" t="s">
        <v>1115</v>
      </c>
      <c r="AU2" s="1339" t="s">
        <v>1116</v>
      </c>
      <c r="AV2" s="1339" t="s">
        <v>1117</v>
      </c>
      <c r="AW2" s="1339" t="s">
        <v>1118</v>
      </c>
    </row>
    <row r="3" ht="15.75" customHeight="1">
      <c r="A3" s="120" t="s">
        <v>493</v>
      </c>
      <c r="B3" s="120" t="s">
        <v>629</v>
      </c>
      <c r="C3" s="120" t="s">
        <v>1030</v>
      </c>
      <c r="D3" s="1341" t="s">
        <v>1119</v>
      </c>
      <c r="E3" s="120"/>
      <c r="F3" s="1342" t="s">
        <v>1030</v>
      </c>
      <c r="H3" s="1343" t="s">
        <v>512</v>
      </c>
      <c r="I3" s="645" t="s">
        <v>1120</v>
      </c>
      <c r="J3" s="1344" t="s">
        <v>477</v>
      </c>
      <c r="K3" s="1345" t="s">
        <v>537</v>
      </c>
      <c r="L3" s="201"/>
      <c r="M3" s="1346"/>
      <c r="N3" s="1347"/>
      <c r="O3" s="314"/>
      <c r="P3" s="1348">
        <v>10.0</v>
      </c>
      <c r="R3" s="1348">
        <v>2024.0</v>
      </c>
      <c r="U3" s="120"/>
      <c r="V3" s="13" t="s">
        <v>1121</v>
      </c>
      <c r="W3" s="13" t="s">
        <v>80</v>
      </c>
      <c r="X3" s="13" t="s">
        <v>169</v>
      </c>
      <c r="Y3" s="13" t="s">
        <v>247</v>
      </c>
      <c r="Z3" s="13" t="s">
        <v>1122</v>
      </c>
      <c r="AB3" s="1350" t="s">
        <v>512</v>
      </c>
      <c r="AC3" s="1351"/>
      <c r="AD3" s="1351"/>
      <c r="AE3" s="1351"/>
      <c r="AF3" s="1351"/>
      <c r="AG3" s="1351"/>
      <c r="AH3" s="1351"/>
      <c r="AI3" s="1351"/>
      <c r="AJ3" s="1351"/>
      <c r="AK3" s="1352"/>
      <c r="AM3" s="1338" t="s">
        <v>1109</v>
      </c>
      <c r="AN3" s="201">
        <f t="shared" ref="AN3:AW3" si="1">COUNTIFS($AZ:$AZ,$AM3,$BA:$BA,AN$2)+COUNTIFS($BA:$BA,$AM3,$AZ:$AZ,AN$2)</f>
        <v>0</v>
      </c>
      <c r="AO3" s="1167">
        <f t="shared" si="1"/>
        <v>2</v>
      </c>
      <c r="AP3" s="1167">
        <f t="shared" si="1"/>
        <v>2</v>
      </c>
      <c r="AQ3" s="1167">
        <f t="shared" si="1"/>
        <v>2</v>
      </c>
      <c r="AR3" s="1167">
        <f t="shared" si="1"/>
        <v>2</v>
      </c>
      <c r="AS3" s="288">
        <f t="shared" si="1"/>
        <v>2</v>
      </c>
      <c r="AT3" s="471">
        <f t="shared" si="1"/>
        <v>1</v>
      </c>
      <c r="AU3" s="471">
        <f t="shared" si="1"/>
        <v>1</v>
      </c>
      <c r="AV3" s="471">
        <f t="shared" si="1"/>
        <v>1</v>
      </c>
      <c r="AW3" s="471">
        <f t="shared" si="1"/>
        <v>1</v>
      </c>
      <c r="AY3" s="313" t="s">
        <v>512</v>
      </c>
      <c r="AZ3" s="13" t="str">
        <f t="shared" ref="AZ3:BA3" si="2">AB6</f>
        <v>E1</v>
      </c>
      <c r="BA3" s="13" t="str">
        <f t="shared" si="2"/>
        <v>P1</v>
      </c>
      <c r="BB3" s="13" t="str">
        <f t="shared" ref="BB3:BC3" si="3">INDEX($X$4:$X$13, MATCH(AZ3,$Z$4:$Z$13,0))</f>
        <v>YARDIES</v>
      </c>
      <c r="BC3" s="13" t="str">
        <f t="shared" si="3"/>
        <v>KINGS</v>
      </c>
      <c r="BD3" s="336"/>
      <c r="BE3" s="336"/>
      <c r="BF3" s="336"/>
      <c r="BG3" s="336"/>
      <c r="BH3" s="336"/>
    </row>
    <row r="4" ht="15.75" customHeight="1">
      <c r="A4" s="120" t="s">
        <v>494</v>
      </c>
      <c r="B4" s="120" t="s">
        <v>1123</v>
      </c>
      <c r="C4" s="120" t="s">
        <v>1030</v>
      </c>
      <c r="D4" s="1353" t="s">
        <v>1124</v>
      </c>
      <c r="E4" s="120"/>
      <c r="F4" s="1348" t="s">
        <v>1031</v>
      </c>
      <c r="H4" s="1354" t="s">
        <v>512</v>
      </c>
      <c r="I4" s="365" t="s">
        <v>1125</v>
      </c>
      <c r="J4" s="1355" t="s">
        <v>494</v>
      </c>
      <c r="K4" s="1356" t="s">
        <v>497</v>
      </c>
      <c r="L4" s="201"/>
      <c r="M4" s="1357"/>
      <c r="N4" s="1358"/>
      <c r="O4" s="314"/>
      <c r="V4" s="13">
        <v>1.0</v>
      </c>
      <c r="W4" s="13">
        <v>1.0</v>
      </c>
      <c r="X4" s="18" t="s">
        <v>537</v>
      </c>
      <c r="Y4" s="13" t="str">
        <f t="shared" ref="Y4:Y13" si="7">INDEX($C$3:$C$13, MATCH(X4,$A$3:$A$13,0))</f>
        <v>ESTEEMED</v>
      </c>
      <c r="Z4" s="13" t="str">
        <f t="shared" ref="Z4:Z13" si="8">IF(Y4="PRODIGY", "P", "E") &amp; W4</f>
        <v>E1</v>
      </c>
      <c r="AB4" s="1359" t="s">
        <v>1120</v>
      </c>
      <c r="AC4" s="554"/>
      <c r="AD4" s="1359" t="s">
        <v>1125</v>
      </c>
      <c r="AE4" s="554"/>
      <c r="AF4" s="1359" t="s">
        <v>1126</v>
      </c>
      <c r="AG4" s="554"/>
      <c r="AH4" s="1359" t="s">
        <v>1127</v>
      </c>
      <c r="AI4" s="554"/>
      <c r="AJ4" s="1359" t="s">
        <v>1128</v>
      </c>
      <c r="AK4" s="554"/>
      <c r="AM4" s="1338" t="s">
        <v>1110</v>
      </c>
      <c r="AN4" s="201">
        <f t="shared" ref="AN4:AW4" si="4">COUNTIFS($AZ:$AZ,$AM4,$BA:$BA,AN$2)+COUNTIFS($BA:$BA,$AM4,$AZ:$AZ,AN$2)</f>
        <v>2</v>
      </c>
      <c r="AO4" s="201">
        <f t="shared" si="4"/>
        <v>0</v>
      </c>
      <c r="AP4" s="1167">
        <f t="shared" si="4"/>
        <v>2</v>
      </c>
      <c r="AQ4" s="1167">
        <f t="shared" si="4"/>
        <v>2</v>
      </c>
      <c r="AR4" s="1167">
        <f t="shared" si="4"/>
        <v>2</v>
      </c>
      <c r="AS4" s="471">
        <f t="shared" si="4"/>
        <v>1</v>
      </c>
      <c r="AT4" s="288">
        <f t="shared" si="4"/>
        <v>2</v>
      </c>
      <c r="AU4" s="471">
        <f t="shared" si="4"/>
        <v>1</v>
      </c>
      <c r="AV4" s="471">
        <f t="shared" si="4"/>
        <v>1</v>
      </c>
      <c r="AW4" s="471">
        <f t="shared" si="4"/>
        <v>1</v>
      </c>
      <c r="AZ4" s="13" t="str">
        <f t="shared" ref="AZ4:BA4" si="5">AD6</f>
        <v>E3</v>
      </c>
      <c r="BA4" s="13" t="str">
        <f t="shared" si="5"/>
        <v>E4</v>
      </c>
      <c r="BB4" s="13" t="str">
        <f t="shared" ref="BB4:BC4" si="6">INDEX($X$4:$X$13, MATCH(AZ4,$Z$4:$Z$13,0))</f>
        <v>MUTTS</v>
      </c>
      <c r="BC4" s="13" t="str">
        <f t="shared" si="6"/>
        <v>METAMOOKDAWGS</v>
      </c>
      <c r="BE4" s="336"/>
    </row>
    <row r="5" ht="15.75" customHeight="1">
      <c r="A5" s="120" t="s">
        <v>495</v>
      </c>
      <c r="B5" s="120" t="s">
        <v>631</v>
      </c>
      <c r="C5" s="120" t="s">
        <v>1030</v>
      </c>
      <c r="D5" s="1353" t="s">
        <v>1129</v>
      </c>
      <c r="E5" s="120"/>
      <c r="F5" s="120"/>
      <c r="H5" s="1354" t="s">
        <v>512</v>
      </c>
      <c r="I5" s="698" t="s">
        <v>1126</v>
      </c>
      <c r="J5" s="1360" t="s">
        <v>493</v>
      </c>
      <c r="K5" s="1361" t="s">
        <v>495</v>
      </c>
      <c r="L5" s="201"/>
      <c r="M5" s="1357"/>
      <c r="N5" s="1358"/>
      <c r="O5" s="314"/>
      <c r="V5" s="13">
        <v>2.0</v>
      </c>
      <c r="W5" s="13">
        <v>1.0</v>
      </c>
      <c r="X5" s="18" t="s">
        <v>477</v>
      </c>
      <c r="Y5" s="13" t="str">
        <f t="shared" si="7"/>
        <v>PRODIGY</v>
      </c>
      <c r="Z5" s="13" t="str">
        <f t="shared" si="8"/>
        <v>P1</v>
      </c>
      <c r="AB5" s="1362" t="s">
        <v>645</v>
      </c>
      <c r="AC5" s="705" t="s">
        <v>646</v>
      </c>
      <c r="AD5" s="1362" t="s">
        <v>645</v>
      </c>
      <c r="AE5" s="705" t="s">
        <v>646</v>
      </c>
      <c r="AF5" s="1362" t="s">
        <v>645</v>
      </c>
      <c r="AG5" s="705" t="s">
        <v>646</v>
      </c>
      <c r="AH5" s="1362" t="s">
        <v>645</v>
      </c>
      <c r="AI5" s="705" t="s">
        <v>646</v>
      </c>
      <c r="AJ5" s="1362" t="s">
        <v>645</v>
      </c>
      <c r="AK5" s="705" t="s">
        <v>646</v>
      </c>
      <c r="AM5" s="1338" t="s">
        <v>1111</v>
      </c>
      <c r="AN5" s="201">
        <f t="shared" ref="AN5:AW5" si="9">COUNTIFS($AZ:$AZ,$AM5,$BA:$BA,AN$2)+COUNTIFS($BA:$BA,$AM5,$AZ:$AZ,AN$2)</f>
        <v>2</v>
      </c>
      <c r="AO5" s="201">
        <f t="shared" si="9"/>
        <v>2</v>
      </c>
      <c r="AP5" s="201">
        <f t="shared" si="9"/>
        <v>0</v>
      </c>
      <c r="AQ5" s="1167">
        <f t="shared" si="9"/>
        <v>2</v>
      </c>
      <c r="AR5" s="1167">
        <f t="shared" si="9"/>
        <v>2</v>
      </c>
      <c r="AS5" s="471">
        <f t="shared" si="9"/>
        <v>1</v>
      </c>
      <c r="AT5" s="471">
        <f t="shared" si="9"/>
        <v>1</v>
      </c>
      <c r="AU5" s="288">
        <f t="shared" si="9"/>
        <v>2</v>
      </c>
      <c r="AV5" s="471">
        <f t="shared" si="9"/>
        <v>1</v>
      </c>
      <c r="AW5" s="471">
        <f t="shared" si="9"/>
        <v>1</v>
      </c>
      <c r="AZ5" s="13" t="str">
        <f t="shared" ref="AZ5:BA5" si="10">AF6</f>
        <v>E2</v>
      </c>
      <c r="BA5" s="13" t="str">
        <f t="shared" si="10"/>
        <v>E5</v>
      </c>
      <c r="BB5" s="13" t="str">
        <f t="shared" ref="BB5:BC5" si="11">INDEX($X$4:$X$13, MATCH(AZ5,$Z$4:$Z$13,0))</f>
        <v>EAGLES</v>
      </c>
      <c r="BC5" s="13" t="str">
        <f t="shared" si="11"/>
        <v>CHAMPS</v>
      </c>
      <c r="BE5" s="336"/>
    </row>
    <row r="6" ht="15.75" customHeight="1">
      <c r="A6" s="120" t="s">
        <v>497</v>
      </c>
      <c r="B6" s="120" t="s">
        <v>632</v>
      </c>
      <c r="C6" s="120" t="s">
        <v>1030</v>
      </c>
      <c r="D6" s="1353" t="s">
        <v>1131</v>
      </c>
      <c r="E6" s="120"/>
      <c r="F6" s="120"/>
      <c r="H6" s="1354" t="s">
        <v>512</v>
      </c>
      <c r="I6" s="698" t="s">
        <v>1127</v>
      </c>
      <c r="J6" s="1365" t="s">
        <v>478</v>
      </c>
      <c r="K6" s="1366" t="s">
        <v>536</v>
      </c>
      <c r="L6" s="201"/>
      <c r="M6" s="1357"/>
      <c r="N6" s="1358"/>
      <c r="O6" s="314"/>
      <c r="V6" s="13">
        <v>3.0</v>
      </c>
      <c r="W6" s="13">
        <v>2.0</v>
      </c>
      <c r="X6" s="18" t="s">
        <v>478</v>
      </c>
      <c r="Y6" s="13" t="str">
        <f t="shared" si="7"/>
        <v>ESTEEMED</v>
      </c>
      <c r="Z6" s="13" t="str">
        <f t="shared" si="8"/>
        <v>E2</v>
      </c>
      <c r="AB6" s="1367" t="s">
        <v>1114</v>
      </c>
      <c r="AC6" s="1368" t="s">
        <v>1109</v>
      </c>
      <c r="AD6" s="1369" t="s">
        <v>1116</v>
      </c>
      <c r="AE6" s="1370" t="s">
        <v>1117</v>
      </c>
      <c r="AF6" s="1369" t="s">
        <v>1115</v>
      </c>
      <c r="AG6" s="1370" t="s">
        <v>1118</v>
      </c>
      <c r="AH6" s="1369" t="s">
        <v>1111</v>
      </c>
      <c r="AI6" s="1370" t="s">
        <v>1112</v>
      </c>
      <c r="AJ6" s="1369" t="s">
        <v>1113</v>
      </c>
      <c r="AK6" s="1370" t="s">
        <v>1110</v>
      </c>
      <c r="AM6" s="1338" t="s">
        <v>1112</v>
      </c>
      <c r="AN6" s="201">
        <f t="shared" ref="AN6:AW6" si="12">COUNTIFS($AZ:$AZ,$AM6,$BA:$BA,AN$2)+COUNTIFS($BA:$BA,$AM6,$AZ:$AZ,AN$2)</f>
        <v>2</v>
      </c>
      <c r="AO6" s="201">
        <f t="shared" si="12"/>
        <v>2</v>
      </c>
      <c r="AP6" s="201">
        <f t="shared" si="12"/>
        <v>2</v>
      </c>
      <c r="AQ6" s="201">
        <f t="shared" si="12"/>
        <v>0</v>
      </c>
      <c r="AR6" s="1167">
        <f t="shared" si="12"/>
        <v>2</v>
      </c>
      <c r="AS6" s="471">
        <f t="shared" si="12"/>
        <v>1</v>
      </c>
      <c r="AT6" s="471">
        <f t="shared" si="12"/>
        <v>1</v>
      </c>
      <c r="AU6" s="471">
        <f t="shared" si="12"/>
        <v>1</v>
      </c>
      <c r="AV6" s="471">
        <f t="shared" si="12"/>
        <v>1</v>
      </c>
      <c r="AW6" s="288">
        <f t="shared" si="12"/>
        <v>2</v>
      </c>
      <c r="AZ6" s="13" t="str">
        <f t="shared" ref="AZ6:BA6" si="13">AH6</f>
        <v>P3</v>
      </c>
      <c r="BA6" s="13" t="str">
        <f t="shared" si="13"/>
        <v>P4</v>
      </c>
      <c r="BB6" s="13" t="str">
        <f t="shared" ref="BB6:BC6" si="14">INDEX($X$4:$X$13, MATCH(AZ6,$Z$4:$Z$13,0))</f>
        <v>DECOUPES</v>
      </c>
      <c r="BC6" s="13" t="str">
        <f t="shared" si="14"/>
        <v>GREEN</v>
      </c>
      <c r="BE6" s="336"/>
    </row>
    <row r="7" ht="15.75" customHeight="1">
      <c r="A7" s="120" t="s">
        <v>536</v>
      </c>
      <c r="B7" s="120" t="s">
        <v>635</v>
      </c>
      <c r="C7" s="120" t="s">
        <v>1031</v>
      </c>
      <c r="D7" s="1353" t="s">
        <v>1132</v>
      </c>
      <c r="E7" s="120"/>
      <c r="F7" s="120"/>
      <c r="H7" s="1373" t="s">
        <v>512</v>
      </c>
      <c r="I7" s="1193" t="s">
        <v>1128</v>
      </c>
      <c r="J7" s="1374" t="s">
        <v>538</v>
      </c>
      <c r="K7" s="1375" t="s">
        <v>578</v>
      </c>
      <c r="L7" s="201"/>
      <c r="M7" s="1376"/>
      <c r="N7" s="1289"/>
      <c r="O7" s="314"/>
      <c r="V7" s="13">
        <v>4.0</v>
      </c>
      <c r="W7" s="13">
        <v>2.0</v>
      </c>
      <c r="X7" s="18" t="s">
        <v>494</v>
      </c>
      <c r="Y7" s="13" t="str">
        <f t="shared" si="7"/>
        <v>PRODIGY</v>
      </c>
      <c r="Z7" s="13" t="str">
        <f t="shared" si="8"/>
        <v>P2</v>
      </c>
      <c r="AB7" s="1350" t="s">
        <v>513</v>
      </c>
      <c r="AC7" s="1351"/>
      <c r="AD7" s="1351"/>
      <c r="AE7" s="1351"/>
      <c r="AF7" s="1351"/>
      <c r="AG7" s="1351"/>
      <c r="AH7" s="1351"/>
      <c r="AI7" s="1351"/>
      <c r="AJ7" s="1351"/>
      <c r="AK7" s="1352"/>
      <c r="AM7" s="1338" t="s">
        <v>1113</v>
      </c>
      <c r="AN7" s="201">
        <f t="shared" ref="AN7:AW7" si="15">COUNTIFS($AZ:$AZ,$AM7,$BA:$BA,AN$2)+COUNTIFS($BA:$BA,$AM7,$AZ:$AZ,AN$2)</f>
        <v>2</v>
      </c>
      <c r="AO7" s="201">
        <f t="shared" si="15"/>
        <v>2</v>
      </c>
      <c r="AP7" s="201">
        <f t="shared" si="15"/>
        <v>2</v>
      </c>
      <c r="AQ7" s="201">
        <f t="shared" si="15"/>
        <v>2</v>
      </c>
      <c r="AR7" s="201">
        <f t="shared" si="15"/>
        <v>0</v>
      </c>
      <c r="AS7" s="471">
        <f t="shared" si="15"/>
        <v>1</v>
      </c>
      <c r="AT7" s="471">
        <f t="shared" si="15"/>
        <v>1</v>
      </c>
      <c r="AU7" s="471">
        <f t="shared" si="15"/>
        <v>1</v>
      </c>
      <c r="AV7" s="288">
        <f t="shared" si="15"/>
        <v>2</v>
      </c>
      <c r="AW7" s="471">
        <f t="shared" si="15"/>
        <v>1</v>
      </c>
      <c r="AZ7" s="13" t="str">
        <f t="shared" ref="AZ7:BA7" si="16">AJ6</f>
        <v>P5</v>
      </c>
      <c r="BA7" s="13" t="str">
        <f t="shared" si="16"/>
        <v>P2</v>
      </c>
      <c r="BB7" s="13" t="str">
        <f t="shared" ref="BB7:BC7" si="17">INDEX($X$4:$X$13, MATCH(AZ7,$Z$4:$Z$13,0))</f>
        <v>SAVAGES</v>
      </c>
      <c r="BC7" s="13" t="str">
        <f t="shared" si="17"/>
        <v>POPEYES</v>
      </c>
      <c r="BE7" s="336"/>
    </row>
    <row r="8" ht="15.75" customHeight="1">
      <c r="A8" s="120" t="s">
        <v>578</v>
      </c>
      <c r="B8" s="120" t="s">
        <v>633</v>
      </c>
      <c r="C8" s="120" t="s">
        <v>1031</v>
      </c>
      <c r="D8" s="1353" t="s">
        <v>1133</v>
      </c>
      <c r="E8" s="120"/>
      <c r="F8" s="120"/>
      <c r="H8" s="1379" t="s">
        <v>513</v>
      </c>
      <c r="I8" s="645" t="s">
        <v>1120</v>
      </c>
      <c r="J8" s="13" t="s">
        <v>477</v>
      </c>
      <c r="K8" s="13" t="s">
        <v>493</v>
      </c>
      <c r="L8" s="1338"/>
      <c r="M8" s="471"/>
      <c r="N8" s="471"/>
      <c r="V8" s="13">
        <v>5.0</v>
      </c>
      <c r="W8" s="13">
        <v>3.0</v>
      </c>
      <c r="X8" s="13" t="s">
        <v>493</v>
      </c>
      <c r="Y8" s="13" t="str">
        <f t="shared" si="7"/>
        <v>PRODIGY</v>
      </c>
      <c r="Z8" s="13" t="str">
        <f t="shared" si="8"/>
        <v>P3</v>
      </c>
      <c r="AB8" s="1359" t="s">
        <v>1120</v>
      </c>
      <c r="AC8" s="554"/>
      <c r="AD8" s="1359" t="s">
        <v>1125</v>
      </c>
      <c r="AE8" s="554"/>
      <c r="AF8" s="1359" t="s">
        <v>1126</v>
      </c>
      <c r="AG8" s="554"/>
      <c r="AH8" s="1359" t="s">
        <v>1127</v>
      </c>
      <c r="AI8" s="554"/>
      <c r="AJ8" s="1359" t="s">
        <v>1128</v>
      </c>
      <c r="AK8" s="554"/>
      <c r="AM8" s="1339" t="s">
        <v>1114</v>
      </c>
      <c r="AN8" s="201">
        <f t="shared" ref="AN8:AW8" si="18">COUNTIFS($AZ:$AZ,$AM8,$BA:$BA,AN$2)+COUNTIFS($BA:$BA,$AM8,$AZ:$AZ,AN$2)</f>
        <v>2</v>
      </c>
      <c r="AO8" s="201">
        <f t="shared" si="18"/>
        <v>1</v>
      </c>
      <c r="AP8" s="201">
        <f t="shared" si="18"/>
        <v>1</v>
      </c>
      <c r="AQ8" s="201">
        <f t="shared" si="18"/>
        <v>1</v>
      </c>
      <c r="AR8" s="201">
        <f t="shared" si="18"/>
        <v>1</v>
      </c>
      <c r="AS8" s="201">
        <f t="shared" si="18"/>
        <v>0</v>
      </c>
      <c r="AT8" s="1167">
        <f t="shared" si="18"/>
        <v>2</v>
      </c>
      <c r="AU8" s="1167">
        <f t="shared" si="18"/>
        <v>2</v>
      </c>
      <c r="AV8" s="1167">
        <f t="shared" si="18"/>
        <v>2</v>
      </c>
      <c r="AW8" s="1167">
        <f t="shared" si="18"/>
        <v>2</v>
      </c>
      <c r="AY8" s="313" t="s">
        <v>513</v>
      </c>
      <c r="AZ8" s="13" t="str">
        <f t="shared" ref="AZ8:BA8" si="19">AB10</f>
        <v>E4</v>
      </c>
      <c r="BA8" s="13" t="str">
        <f t="shared" si="19"/>
        <v>E1</v>
      </c>
      <c r="BB8" s="13" t="str">
        <f t="shared" ref="BB8:BC8" si="20">INDEX($X$4:$X$13, MATCH(AZ8,$Z$4:$Z$13,0))</f>
        <v>METAMOOKDAWGS</v>
      </c>
      <c r="BC8" s="13" t="str">
        <f t="shared" si="20"/>
        <v>YARDIES</v>
      </c>
    </row>
    <row r="9" ht="15.75" customHeight="1">
      <c r="A9" s="120" t="s">
        <v>537</v>
      </c>
      <c r="B9" s="120" t="s">
        <v>636</v>
      </c>
      <c r="C9" s="120" t="s">
        <v>1031</v>
      </c>
      <c r="D9" s="1353" t="s">
        <v>1134</v>
      </c>
      <c r="E9" s="120"/>
      <c r="F9" s="120"/>
      <c r="H9" s="1383" t="s">
        <v>513</v>
      </c>
      <c r="I9" s="365" t="s">
        <v>1125</v>
      </c>
      <c r="J9" s="13" t="s">
        <v>494</v>
      </c>
      <c r="K9" s="13" t="s">
        <v>478</v>
      </c>
      <c r="L9" s="1338"/>
      <c r="M9" s="365"/>
      <c r="N9" s="365"/>
      <c r="Q9" s="13" t="s">
        <v>645</v>
      </c>
      <c r="R9" s="13" t="s">
        <v>646</v>
      </c>
      <c r="V9" s="13">
        <v>6.0</v>
      </c>
      <c r="W9" s="13">
        <v>3.0</v>
      </c>
      <c r="X9" s="13" t="s">
        <v>538</v>
      </c>
      <c r="Y9" s="13" t="str">
        <f t="shared" si="7"/>
        <v>ESTEEMED</v>
      </c>
      <c r="Z9" s="13" t="str">
        <f t="shared" si="8"/>
        <v>E3</v>
      </c>
      <c r="AB9" s="1362" t="s">
        <v>645</v>
      </c>
      <c r="AC9" s="705" t="s">
        <v>646</v>
      </c>
      <c r="AD9" s="1362" t="s">
        <v>645</v>
      </c>
      <c r="AE9" s="705" t="s">
        <v>646</v>
      </c>
      <c r="AF9" s="1362" t="s">
        <v>645</v>
      </c>
      <c r="AG9" s="705" t="s">
        <v>646</v>
      </c>
      <c r="AH9" s="1362" t="s">
        <v>645</v>
      </c>
      <c r="AI9" s="705" t="s">
        <v>646</v>
      </c>
      <c r="AJ9" s="1362" t="s">
        <v>645</v>
      </c>
      <c r="AK9" s="705" t="s">
        <v>646</v>
      </c>
      <c r="AM9" s="1339" t="s">
        <v>1115</v>
      </c>
      <c r="AN9" s="201">
        <f t="shared" ref="AN9:AW9" si="21">COUNTIFS($AZ:$AZ,$AM9,$BA:$BA,AN$2)+COUNTIFS($BA:$BA,$AM9,$AZ:$AZ,AN$2)</f>
        <v>1</v>
      </c>
      <c r="AO9" s="201">
        <f t="shared" si="21"/>
        <v>2</v>
      </c>
      <c r="AP9" s="201">
        <f t="shared" si="21"/>
        <v>1</v>
      </c>
      <c r="AQ9" s="201">
        <f t="shared" si="21"/>
        <v>1</v>
      </c>
      <c r="AR9" s="201">
        <f t="shared" si="21"/>
        <v>1</v>
      </c>
      <c r="AS9" s="201">
        <f t="shared" si="21"/>
        <v>2</v>
      </c>
      <c r="AT9" s="201">
        <f t="shared" si="21"/>
        <v>0</v>
      </c>
      <c r="AU9" s="1167">
        <f t="shared" si="21"/>
        <v>2</v>
      </c>
      <c r="AV9" s="1167">
        <f t="shared" si="21"/>
        <v>2</v>
      </c>
      <c r="AW9" s="1167">
        <f t="shared" si="21"/>
        <v>2</v>
      </c>
      <c r="AZ9" s="13" t="str">
        <f t="shared" ref="AZ9:BA9" si="22">AD10</f>
        <v>E5</v>
      </c>
      <c r="BA9" s="13" t="str">
        <f t="shared" si="22"/>
        <v>E3</v>
      </c>
      <c r="BB9" s="13" t="str">
        <f t="shared" ref="BB9:BC9" si="23">INDEX($X$4:$X$13, MATCH(AZ9,$Z$4:$Z$13,0))</f>
        <v>CHAMPS</v>
      </c>
      <c r="BC9" s="13" t="str">
        <f t="shared" si="23"/>
        <v>MUTTS</v>
      </c>
    </row>
    <row r="10" ht="15.75" customHeight="1">
      <c r="A10" s="120" t="s">
        <v>538</v>
      </c>
      <c r="B10" s="120" t="s">
        <v>634</v>
      </c>
      <c r="C10" s="120" t="s">
        <v>1031</v>
      </c>
      <c r="D10" s="1353" t="s">
        <v>1136</v>
      </c>
      <c r="E10" s="120"/>
      <c r="F10" s="120"/>
      <c r="H10" s="1383" t="s">
        <v>513</v>
      </c>
      <c r="I10" s="698" t="s">
        <v>1126</v>
      </c>
      <c r="J10" s="13" t="s">
        <v>495</v>
      </c>
      <c r="K10" s="1366" t="s">
        <v>497</v>
      </c>
      <c r="L10" s="1338"/>
      <c r="M10" s="698"/>
      <c r="N10" s="698"/>
      <c r="P10" s="120" t="str">
        <f t="shared" ref="P10:P19" si="27">A3</f>
        <v>DECOUPES</v>
      </c>
      <c r="Q10" s="13">
        <f t="shared" ref="Q10:Q19" si="28">COUNTIF($J$3:$J$72,P10)</f>
        <v>10</v>
      </c>
      <c r="R10" s="13">
        <f t="shared" ref="R10:R19" si="29">COUNTIF($K$3:$K$72,P10)</f>
        <v>4</v>
      </c>
      <c r="V10" s="13">
        <v>7.0</v>
      </c>
      <c r="W10" s="13">
        <v>4.0</v>
      </c>
      <c r="X10" s="13" t="s">
        <v>495</v>
      </c>
      <c r="Y10" s="13" t="str">
        <f t="shared" si="7"/>
        <v>PRODIGY</v>
      </c>
      <c r="Z10" s="13" t="str">
        <f t="shared" si="8"/>
        <v>P4</v>
      </c>
      <c r="AB10" s="1369" t="s">
        <v>1117</v>
      </c>
      <c r="AC10" s="1370" t="s">
        <v>1114</v>
      </c>
      <c r="AD10" s="1369" t="s">
        <v>1118</v>
      </c>
      <c r="AE10" s="1370" t="s">
        <v>1116</v>
      </c>
      <c r="AF10" s="1367" t="s">
        <v>1110</v>
      </c>
      <c r="AG10" s="1368" t="s">
        <v>1115</v>
      </c>
      <c r="AH10" s="1369" t="s">
        <v>1109</v>
      </c>
      <c r="AI10" s="1370" t="s">
        <v>1111</v>
      </c>
      <c r="AJ10" s="1369" t="s">
        <v>1112</v>
      </c>
      <c r="AK10" s="1370" t="s">
        <v>1113</v>
      </c>
      <c r="AM10" s="1339" t="s">
        <v>1116</v>
      </c>
      <c r="AN10" s="201">
        <f t="shared" ref="AN10:AW10" si="24">COUNTIFS($AZ:$AZ,$AM10,$BA:$BA,AN$2)+COUNTIFS($BA:$BA,$AM10,$AZ:$AZ,AN$2)</f>
        <v>1</v>
      </c>
      <c r="AO10" s="201">
        <f t="shared" si="24"/>
        <v>1</v>
      </c>
      <c r="AP10" s="201">
        <f t="shared" si="24"/>
        <v>2</v>
      </c>
      <c r="AQ10" s="201">
        <f t="shared" si="24"/>
        <v>1</v>
      </c>
      <c r="AR10" s="201">
        <f t="shared" si="24"/>
        <v>1</v>
      </c>
      <c r="AS10" s="201">
        <f t="shared" si="24"/>
        <v>2</v>
      </c>
      <c r="AT10" s="201">
        <f t="shared" si="24"/>
        <v>2</v>
      </c>
      <c r="AU10" s="201">
        <f t="shared" si="24"/>
        <v>0</v>
      </c>
      <c r="AV10" s="1167">
        <f t="shared" si="24"/>
        <v>2</v>
      </c>
      <c r="AW10" s="1167">
        <f t="shared" si="24"/>
        <v>2</v>
      </c>
      <c r="AZ10" s="13" t="str">
        <f t="shared" ref="AZ10:BA10" si="25">AF10</f>
        <v>P2</v>
      </c>
      <c r="BA10" s="13" t="str">
        <f t="shared" si="25"/>
        <v>E2</v>
      </c>
      <c r="BB10" s="13" t="str">
        <f t="shared" ref="BB10:BC10" si="26">INDEX($X$4:$X$13, MATCH(AZ10,$Z$4:$Z$13,0))</f>
        <v>POPEYES</v>
      </c>
      <c r="BC10" s="13" t="str">
        <f t="shared" si="26"/>
        <v>EAGLES</v>
      </c>
      <c r="BH10" s="13"/>
    </row>
    <row r="11" ht="15.75" customHeight="1">
      <c r="A11" s="120" t="s">
        <v>478</v>
      </c>
      <c r="B11" s="120" t="s">
        <v>1137</v>
      </c>
      <c r="C11" s="120" t="s">
        <v>1031</v>
      </c>
      <c r="H11" s="1383" t="s">
        <v>513</v>
      </c>
      <c r="I11" s="698" t="s">
        <v>1127</v>
      </c>
      <c r="J11" s="13" t="s">
        <v>537</v>
      </c>
      <c r="K11" s="13" t="s">
        <v>578</v>
      </c>
      <c r="L11" s="1338"/>
      <c r="P11" s="120" t="str">
        <f t="shared" si="27"/>
        <v>POPEYES</v>
      </c>
      <c r="Q11" s="13">
        <f t="shared" si="28"/>
        <v>11</v>
      </c>
      <c r="R11" s="13">
        <f t="shared" si="29"/>
        <v>3</v>
      </c>
      <c r="V11" s="13">
        <v>8.0</v>
      </c>
      <c r="W11" s="13">
        <v>4.0</v>
      </c>
      <c r="X11" s="13" t="s">
        <v>578</v>
      </c>
      <c r="Y11" s="13" t="str">
        <f t="shared" si="7"/>
        <v>ESTEEMED</v>
      </c>
      <c r="Z11" s="13" t="str">
        <f t="shared" si="8"/>
        <v>E4</v>
      </c>
      <c r="AB11" s="1350" t="s">
        <v>514</v>
      </c>
      <c r="AC11" s="1351"/>
      <c r="AD11" s="1351"/>
      <c r="AE11" s="1351"/>
      <c r="AF11" s="1351"/>
      <c r="AG11" s="1351"/>
      <c r="AH11" s="1351"/>
      <c r="AI11" s="1351"/>
      <c r="AJ11" s="1351"/>
      <c r="AK11" s="1352"/>
      <c r="AM11" s="1339" t="s">
        <v>1117</v>
      </c>
      <c r="AN11" s="201">
        <f t="shared" ref="AN11:AW11" si="30">COUNTIFS($AZ:$AZ,$AM11,$BA:$BA,AN$2)+COUNTIFS($BA:$BA,$AM11,$AZ:$AZ,AN$2)</f>
        <v>1</v>
      </c>
      <c r="AO11" s="201">
        <f t="shared" si="30"/>
        <v>1</v>
      </c>
      <c r="AP11" s="201">
        <f t="shared" si="30"/>
        <v>1</v>
      </c>
      <c r="AQ11" s="201">
        <f t="shared" si="30"/>
        <v>1</v>
      </c>
      <c r="AR11" s="201">
        <f t="shared" si="30"/>
        <v>2</v>
      </c>
      <c r="AS11" s="201">
        <f t="shared" si="30"/>
        <v>2</v>
      </c>
      <c r="AT11" s="201">
        <f t="shared" si="30"/>
        <v>2</v>
      </c>
      <c r="AU11" s="201">
        <f t="shared" si="30"/>
        <v>2</v>
      </c>
      <c r="AV11" s="201">
        <f t="shared" si="30"/>
        <v>0</v>
      </c>
      <c r="AW11" s="1167">
        <f t="shared" si="30"/>
        <v>2</v>
      </c>
      <c r="AZ11" s="13" t="str">
        <f t="shared" ref="AZ11:BA11" si="31">AH10</f>
        <v>P1</v>
      </c>
      <c r="BA11" s="13" t="str">
        <f t="shared" si="31"/>
        <v>P3</v>
      </c>
      <c r="BB11" s="13" t="str">
        <f t="shared" ref="BB11:BC11" si="32">INDEX($X$4:$X$13, MATCH(AZ11,$Z$4:$Z$13,0))</f>
        <v>KINGS</v>
      </c>
      <c r="BC11" s="13" t="str">
        <f t="shared" si="32"/>
        <v>DECOUPES</v>
      </c>
      <c r="BG11" s="13"/>
      <c r="BH11" s="13"/>
      <c r="BI11" s="13"/>
    </row>
    <row r="12" ht="15.75" customHeight="1">
      <c r="A12" s="120" t="s">
        <v>477</v>
      </c>
      <c r="B12" s="120" t="s">
        <v>1143</v>
      </c>
      <c r="C12" s="120" t="s">
        <v>1030</v>
      </c>
      <c r="H12" s="1387" t="s">
        <v>513</v>
      </c>
      <c r="I12" s="1193" t="s">
        <v>1128</v>
      </c>
      <c r="J12" s="13" t="s">
        <v>538</v>
      </c>
      <c r="K12" s="13" t="s">
        <v>536</v>
      </c>
      <c r="L12" s="1338"/>
      <c r="N12" s="1167"/>
      <c r="P12" s="120" t="str">
        <f t="shared" si="27"/>
        <v>GREEN</v>
      </c>
      <c r="Q12" s="13">
        <f t="shared" si="28"/>
        <v>9</v>
      </c>
      <c r="R12" s="13">
        <f t="shared" si="29"/>
        <v>5</v>
      </c>
      <c r="V12" s="13">
        <v>9.0</v>
      </c>
      <c r="W12" s="13">
        <v>5.0</v>
      </c>
      <c r="X12" s="13" t="s">
        <v>536</v>
      </c>
      <c r="Y12" s="13" t="str">
        <f t="shared" si="7"/>
        <v>ESTEEMED</v>
      </c>
      <c r="Z12" s="13" t="str">
        <f t="shared" si="8"/>
        <v>E5</v>
      </c>
      <c r="AB12" s="1359" t="s">
        <v>1120</v>
      </c>
      <c r="AC12" s="554"/>
      <c r="AD12" s="1359" t="s">
        <v>1125</v>
      </c>
      <c r="AE12" s="554"/>
      <c r="AF12" s="1359" t="s">
        <v>1126</v>
      </c>
      <c r="AG12" s="554"/>
      <c r="AH12" s="1359" t="s">
        <v>1127</v>
      </c>
      <c r="AI12" s="554"/>
      <c r="AJ12" s="1359" t="s">
        <v>1128</v>
      </c>
      <c r="AK12" s="554"/>
      <c r="AM12" s="1339" t="s">
        <v>1118</v>
      </c>
      <c r="AN12" s="201">
        <f t="shared" ref="AN12:AW12" si="33">COUNTIFS($AZ:$AZ,$AM12,$BA:$BA,AN$2)+COUNTIFS($BA:$BA,$AM12,$AZ:$AZ,AN$2)</f>
        <v>1</v>
      </c>
      <c r="AO12" s="201">
        <f t="shared" si="33"/>
        <v>1</v>
      </c>
      <c r="AP12" s="201">
        <f t="shared" si="33"/>
        <v>1</v>
      </c>
      <c r="AQ12" s="201">
        <f t="shared" si="33"/>
        <v>2</v>
      </c>
      <c r="AR12" s="201">
        <f t="shared" si="33"/>
        <v>1</v>
      </c>
      <c r="AS12" s="201">
        <f t="shared" si="33"/>
        <v>2</v>
      </c>
      <c r="AT12" s="201">
        <f t="shared" si="33"/>
        <v>2</v>
      </c>
      <c r="AU12" s="201">
        <f t="shared" si="33"/>
        <v>2</v>
      </c>
      <c r="AV12" s="201">
        <f t="shared" si="33"/>
        <v>2</v>
      </c>
      <c r="AW12" s="201">
        <f t="shared" si="33"/>
        <v>0</v>
      </c>
      <c r="AZ12" s="13" t="str">
        <f t="shared" ref="AZ12:BA12" si="34">AJ10</f>
        <v>P4</v>
      </c>
      <c r="BA12" s="13" t="str">
        <f t="shared" si="34"/>
        <v>P5</v>
      </c>
      <c r="BB12" s="13" t="str">
        <f t="shared" ref="BB12:BC12" si="35">INDEX($X$4:$X$13, MATCH(AZ12,$Z$4:$Z$13,0))</f>
        <v>GREEN</v>
      </c>
      <c r="BC12" s="13" t="str">
        <f t="shared" si="35"/>
        <v>SAVAGES</v>
      </c>
      <c r="BF12" s="13"/>
      <c r="BG12" s="13"/>
      <c r="BH12" s="13"/>
      <c r="BI12" s="13"/>
    </row>
    <row r="13" ht="15.75" customHeight="1">
      <c r="H13" s="1343" t="s">
        <v>514</v>
      </c>
      <c r="I13" s="645" t="s">
        <v>1120</v>
      </c>
      <c r="J13" s="13" t="s">
        <v>477</v>
      </c>
      <c r="K13" s="13" t="s">
        <v>578</v>
      </c>
      <c r="L13" s="201"/>
      <c r="P13" s="120" t="str">
        <f t="shared" si="27"/>
        <v>SAVAGES</v>
      </c>
      <c r="Q13" s="13">
        <f t="shared" si="28"/>
        <v>6</v>
      </c>
      <c r="R13" s="13">
        <f t="shared" si="29"/>
        <v>8</v>
      </c>
      <c r="V13" s="13">
        <v>10.0</v>
      </c>
      <c r="W13" s="13">
        <v>5.0</v>
      </c>
      <c r="X13" s="13" t="s">
        <v>497</v>
      </c>
      <c r="Y13" s="13" t="str">
        <f t="shared" si="7"/>
        <v>PRODIGY</v>
      </c>
      <c r="Z13" s="13" t="str">
        <f t="shared" si="8"/>
        <v>P5</v>
      </c>
      <c r="AB13" s="1362" t="s">
        <v>645</v>
      </c>
      <c r="AC13" s="705" t="s">
        <v>646</v>
      </c>
      <c r="AD13" s="1362" t="s">
        <v>645</v>
      </c>
      <c r="AE13" s="705" t="s">
        <v>646</v>
      </c>
      <c r="AF13" s="1362" t="s">
        <v>645</v>
      </c>
      <c r="AG13" s="705" t="s">
        <v>646</v>
      </c>
      <c r="AH13" s="1362" t="s">
        <v>645</v>
      </c>
      <c r="AI13" s="705" t="s">
        <v>646</v>
      </c>
      <c r="AJ13" s="1362" t="s">
        <v>645</v>
      </c>
      <c r="AK13" s="705" t="s">
        <v>646</v>
      </c>
      <c r="AY13" s="313" t="s">
        <v>514</v>
      </c>
      <c r="AZ13" s="13" t="str">
        <f t="shared" ref="AZ13:BA13" si="36">AB14</f>
        <v>E4</v>
      </c>
      <c r="BA13" s="13" t="str">
        <f t="shared" si="36"/>
        <v>P1</v>
      </c>
      <c r="BB13" s="13" t="str">
        <f t="shared" ref="BB13:BC13" si="37">INDEX($X$4:$X$13, MATCH(AZ13,$Z$4:$Z$13,0))</f>
        <v>METAMOOKDAWGS</v>
      </c>
      <c r="BC13" s="13" t="str">
        <f t="shared" si="37"/>
        <v>KINGS</v>
      </c>
      <c r="BE13" s="13"/>
      <c r="BF13" s="13"/>
      <c r="BG13" s="13"/>
      <c r="BH13" s="13"/>
      <c r="BI13" s="13"/>
    </row>
    <row r="14" ht="15.75" customHeight="1">
      <c r="H14" s="1354" t="s">
        <v>514</v>
      </c>
      <c r="I14" s="365" t="s">
        <v>1125</v>
      </c>
      <c r="J14" s="1366" t="s">
        <v>494</v>
      </c>
      <c r="K14" s="13" t="s">
        <v>538</v>
      </c>
      <c r="L14" s="201"/>
      <c r="P14" s="120" t="str">
        <f t="shared" si="27"/>
        <v>CHAMPS</v>
      </c>
      <c r="Q14" s="13">
        <f t="shared" si="28"/>
        <v>0</v>
      </c>
      <c r="R14" s="13">
        <f t="shared" si="29"/>
        <v>14</v>
      </c>
      <c r="AB14" s="1388" t="s">
        <v>1117</v>
      </c>
      <c r="AC14" s="1389" t="s">
        <v>1109</v>
      </c>
      <c r="AD14" s="1388" t="s">
        <v>1116</v>
      </c>
      <c r="AE14" s="1389" t="s">
        <v>1110</v>
      </c>
      <c r="AF14" s="1388" t="s">
        <v>1118</v>
      </c>
      <c r="AG14" s="1389" t="s">
        <v>1111</v>
      </c>
      <c r="AH14" s="1388" t="s">
        <v>1112</v>
      </c>
      <c r="AI14" s="1389" t="s">
        <v>1114</v>
      </c>
      <c r="AJ14" s="1388" t="s">
        <v>1113</v>
      </c>
      <c r="AK14" s="1389" t="s">
        <v>1115</v>
      </c>
      <c r="AZ14" s="13" t="str">
        <f t="shared" ref="AZ14:BA14" si="38">AD14</f>
        <v>E3</v>
      </c>
      <c r="BA14" s="13" t="str">
        <f t="shared" si="38"/>
        <v>P2</v>
      </c>
      <c r="BB14" s="13" t="str">
        <f t="shared" ref="BB14:BC14" si="39">INDEX($X$4:$X$13, MATCH(AZ14,$Z$4:$Z$13,0))</f>
        <v>MUTTS</v>
      </c>
      <c r="BC14" s="13" t="str">
        <f t="shared" si="39"/>
        <v>POPEYES</v>
      </c>
      <c r="BD14" s="13"/>
      <c r="BE14" s="13"/>
      <c r="BF14" s="13"/>
      <c r="BG14" s="13"/>
      <c r="BH14" s="13"/>
      <c r="BI14" s="13"/>
    </row>
    <row r="15" ht="15.75" customHeight="1">
      <c r="H15" s="1354" t="s">
        <v>514</v>
      </c>
      <c r="I15" s="698" t="s">
        <v>1126</v>
      </c>
      <c r="J15" s="13" t="s">
        <v>493</v>
      </c>
      <c r="K15" s="13" t="s">
        <v>536</v>
      </c>
      <c r="L15" s="201"/>
      <c r="P15" s="120" t="str">
        <f t="shared" si="27"/>
        <v>METAMOOKDAWGS</v>
      </c>
      <c r="Q15" s="13">
        <f t="shared" si="28"/>
        <v>3</v>
      </c>
      <c r="R15" s="13">
        <f t="shared" si="29"/>
        <v>11</v>
      </c>
      <c r="AB15" s="1350" t="s">
        <v>515</v>
      </c>
      <c r="AC15" s="1351"/>
      <c r="AD15" s="1351"/>
      <c r="AE15" s="1351"/>
      <c r="AF15" s="1351"/>
      <c r="AG15" s="1351"/>
      <c r="AH15" s="1351"/>
      <c r="AI15" s="1351"/>
      <c r="AJ15" s="1351"/>
      <c r="AK15" s="1352"/>
      <c r="AZ15" s="13" t="str">
        <f t="shared" ref="AZ15:BA15" si="40">AF14</f>
        <v>E5</v>
      </c>
      <c r="BA15" s="13" t="str">
        <f t="shared" si="40"/>
        <v>P3</v>
      </c>
      <c r="BB15" s="13" t="str">
        <f t="shared" ref="BB15:BC15" si="41">INDEX($X$4:$X$13, MATCH(AZ15,$Z$4:$Z$13,0))</f>
        <v>CHAMPS</v>
      </c>
      <c r="BC15" s="13" t="str">
        <f t="shared" si="41"/>
        <v>DECOUPES</v>
      </c>
      <c r="BD15" s="13"/>
      <c r="BE15" s="13"/>
      <c r="BF15" s="13"/>
      <c r="BG15" s="13"/>
      <c r="BH15" s="13"/>
      <c r="BI15" s="13"/>
    </row>
    <row r="16" ht="15.75" customHeight="1">
      <c r="H16" s="1354" t="s">
        <v>514</v>
      </c>
      <c r="I16" s="698" t="s">
        <v>1127</v>
      </c>
      <c r="J16" s="13" t="s">
        <v>495</v>
      </c>
      <c r="K16" s="13" t="s">
        <v>537</v>
      </c>
      <c r="L16" s="201"/>
      <c r="P16" s="120" t="str">
        <f t="shared" si="27"/>
        <v>YARDIES</v>
      </c>
      <c r="Q16" s="13">
        <f t="shared" si="28"/>
        <v>8</v>
      </c>
      <c r="R16" s="13">
        <f t="shared" si="29"/>
        <v>6</v>
      </c>
      <c r="AB16" s="1359" t="s">
        <v>1120</v>
      </c>
      <c r="AC16" s="554"/>
      <c r="AD16" s="1359" t="s">
        <v>1125</v>
      </c>
      <c r="AE16" s="554"/>
      <c r="AF16" s="1359" t="s">
        <v>1126</v>
      </c>
      <c r="AG16" s="554"/>
      <c r="AH16" s="1359" t="s">
        <v>1127</v>
      </c>
      <c r="AI16" s="554"/>
      <c r="AJ16" s="1359" t="s">
        <v>1128</v>
      </c>
      <c r="AK16" s="554"/>
      <c r="AZ16" s="13" t="str">
        <f t="shared" ref="AZ16:BA16" si="42">AH14</f>
        <v>P4</v>
      </c>
      <c r="BA16" s="13" t="str">
        <f t="shared" si="42"/>
        <v>E1</v>
      </c>
      <c r="BB16" s="13" t="str">
        <f t="shared" ref="BB16:BC16" si="43">INDEX($X$4:$X$13, MATCH(AZ16,$Z$4:$Z$13,0))</f>
        <v>GREEN</v>
      </c>
      <c r="BC16" s="13" t="str">
        <f t="shared" si="43"/>
        <v>YARDIES</v>
      </c>
      <c r="BI16" s="13"/>
    </row>
    <row r="17" ht="15.75" customHeight="1">
      <c r="H17" s="1373" t="s">
        <v>514</v>
      </c>
      <c r="I17" s="1193" t="s">
        <v>1128</v>
      </c>
      <c r="J17" s="13" t="s">
        <v>497</v>
      </c>
      <c r="K17" s="13" t="s">
        <v>478</v>
      </c>
      <c r="L17" s="201"/>
      <c r="P17" s="120" t="str">
        <f t="shared" si="27"/>
        <v>MUTTS</v>
      </c>
      <c r="Q17" s="13">
        <f t="shared" si="28"/>
        <v>4</v>
      </c>
      <c r="R17" s="13">
        <f t="shared" si="29"/>
        <v>10</v>
      </c>
      <c r="AB17" s="1362" t="s">
        <v>645</v>
      </c>
      <c r="AC17" s="705" t="s">
        <v>646</v>
      </c>
      <c r="AD17" s="1362" t="s">
        <v>645</v>
      </c>
      <c r="AE17" s="705" t="s">
        <v>646</v>
      </c>
      <c r="AF17" s="1362" t="s">
        <v>645</v>
      </c>
      <c r="AG17" s="705" t="s">
        <v>646</v>
      </c>
      <c r="AH17" s="1362" t="s">
        <v>645</v>
      </c>
      <c r="AI17" s="705" t="s">
        <v>646</v>
      </c>
      <c r="AJ17" s="1362" t="s">
        <v>645</v>
      </c>
      <c r="AK17" s="705" t="s">
        <v>646</v>
      </c>
      <c r="AP17" s="18" t="s">
        <v>1145</v>
      </c>
      <c r="AQ17" s="18" t="s">
        <v>1144</v>
      </c>
      <c r="AR17" s="18" t="s">
        <v>1168</v>
      </c>
      <c r="AS17" s="18" t="s">
        <v>1169</v>
      </c>
      <c r="AT17" s="18" t="s">
        <v>1170</v>
      </c>
      <c r="AU17" s="18" t="s">
        <v>1171</v>
      </c>
      <c r="AZ17" s="720" t="str">
        <f t="shared" ref="AZ17:BA17" si="44">AJ14</f>
        <v>P5</v>
      </c>
      <c r="BA17" s="724" t="str">
        <f t="shared" si="44"/>
        <v>E2</v>
      </c>
      <c r="BB17" s="13" t="str">
        <f t="shared" ref="BB17:BC17" si="45">INDEX($X$4:$X$13, MATCH(AZ17,$Z$4:$Z$13,0))</f>
        <v>SAVAGES</v>
      </c>
      <c r="BC17" s="13" t="str">
        <f t="shared" si="45"/>
        <v>EAGLES</v>
      </c>
      <c r="BD17" s="13"/>
      <c r="BE17" s="13"/>
      <c r="BF17" s="13"/>
      <c r="BG17" s="13"/>
      <c r="BH17" s="13"/>
      <c r="BI17" s="13"/>
    </row>
    <row r="18" ht="15.75" customHeight="1">
      <c r="H18" s="1379" t="s">
        <v>515</v>
      </c>
      <c r="I18" s="645" t="s">
        <v>1120</v>
      </c>
      <c r="J18" s="13" t="s">
        <v>477</v>
      </c>
      <c r="K18" s="13" t="s">
        <v>538</v>
      </c>
      <c r="L18" s="1338"/>
      <c r="P18" s="120" t="str">
        <f t="shared" si="27"/>
        <v>EAGLES</v>
      </c>
      <c r="Q18" s="13">
        <f t="shared" si="28"/>
        <v>5</v>
      </c>
      <c r="R18" s="13">
        <f t="shared" si="29"/>
        <v>9</v>
      </c>
      <c r="AB18" s="1388" t="s">
        <v>1109</v>
      </c>
      <c r="AC18" s="1389" t="s">
        <v>1116</v>
      </c>
      <c r="AD18" s="1388" t="s">
        <v>1110</v>
      </c>
      <c r="AE18" s="1389" t="s">
        <v>1118</v>
      </c>
      <c r="AF18" s="1388" t="s">
        <v>1114</v>
      </c>
      <c r="AG18" s="1389" t="s">
        <v>1111</v>
      </c>
      <c r="AH18" s="1388" t="s">
        <v>1115</v>
      </c>
      <c r="AI18" s="1389" t="s">
        <v>1112</v>
      </c>
      <c r="AJ18" s="1367" t="s">
        <v>1117</v>
      </c>
      <c r="AK18" s="1368" t="s">
        <v>1113</v>
      </c>
      <c r="AO18" s="18" t="s">
        <v>1109</v>
      </c>
      <c r="AP18" s="1478">
        <f t="shared" ref="AP18:AP27" si="48">countif(AZ:AZ,AO18)</f>
        <v>7</v>
      </c>
      <c r="AQ18" s="1478">
        <f t="shared" ref="AQ18:AQ27" si="49">countif(BA:BA,AO18)</f>
        <v>7</v>
      </c>
      <c r="AR18" s="1479">
        <f t="shared" ref="AR18:AR27" si="50">countif($AZ$3:$AZ$37,AO18)</f>
        <v>3</v>
      </c>
      <c r="AS18" s="1479">
        <f t="shared" ref="AS18:AS27" si="51">countif($BA$3:$BA$37,AO18)</f>
        <v>4</v>
      </c>
      <c r="AT18" s="850">
        <f t="shared" ref="AT18:AT27" si="52">countif($AZ$38:$AZ$72,AO18)</f>
        <v>4</v>
      </c>
      <c r="AU18" s="850">
        <f t="shared" ref="AU18:AU27" si="53">countif($BA$38:$BA$72,AO18)</f>
        <v>3</v>
      </c>
      <c r="AY18" s="313" t="s">
        <v>515</v>
      </c>
      <c r="AZ18" s="13" t="str">
        <f t="shared" ref="AZ18:BA18" si="46">AB18</f>
        <v>P1</v>
      </c>
      <c r="BA18" s="13" t="str">
        <f t="shared" si="46"/>
        <v>E3</v>
      </c>
      <c r="BB18" s="13" t="str">
        <f t="shared" ref="BB18:BC18" si="47">INDEX($X$4:$X$13, MATCH(AZ18,$Z$4:$Z$13,0))</f>
        <v>KINGS</v>
      </c>
      <c r="BC18" s="13" t="str">
        <f t="shared" si="47"/>
        <v>MUTTS</v>
      </c>
      <c r="BD18" s="13"/>
      <c r="BE18" s="13"/>
      <c r="BF18" s="13"/>
      <c r="BG18" s="13"/>
      <c r="BH18" s="13"/>
      <c r="BI18" s="13"/>
    </row>
    <row r="19" ht="15.75" customHeight="1">
      <c r="H19" s="1383" t="s">
        <v>515</v>
      </c>
      <c r="I19" s="365" t="s">
        <v>1125</v>
      </c>
      <c r="J19" s="1366" t="s">
        <v>494</v>
      </c>
      <c r="K19" s="13" t="s">
        <v>536</v>
      </c>
      <c r="L19" s="1338"/>
      <c r="P19" s="120" t="str">
        <f t="shared" si="27"/>
        <v>KINGS</v>
      </c>
      <c r="Q19" s="13">
        <f t="shared" si="28"/>
        <v>14</v>
      </c>
      <c r="R19" s="13">
        <f t="shared" si="29"/>
        <v>0</v>
      </c>
      <c r="AB19" s="1350" t="s">
        <v>516</v>
      </c>
      <c r="AC19" s="1351"/>
      <c r="AD19" s="1351"/>
      <c r="AE19" s="1351"/>
      <c r="AF19" s="1351"/>
      <c r="AG19" s="1351"/>
      <c r="AH19" s="1351"/>
      <c r="AI19" s="1351"/>
      <c r="AJ19" s="1351"/>
      <c r="AK19" s="1352"/>
      <c r="AO19" s="18" t="s">
        <v>1110</v>
      </c>
      <c r="AP19" s="1478">
        <f t="shared" si="48"/>
        <v>7</v>
      </c>
      <c r="AQ19" s="1478">
        <f t="shared" si="49"/>
        <v>7</v>
      </c>
      <c r="AR19" s="1479">
        <f t="shared" si="50"/>
        <v>4</v>
      </c>
      <c r="AS19" s="1479">
        <f t="shared" si="51"/>
        <v>3</v>
      </c>
      <c r="AT19" s="850">
        <f t="shared" si="52"/>
        <v>3</v>
      </c>
      <c r="AU19" s="850">
        <f t="shared" si="53"/>
        <v>4</v>
      </c>
      <c r="AZ19" s="13" t="str">
        <f t="shared" ref="AZ19:BA19" si="54">AD18</f>
        <v>P2</v>
      </c>
      <c r="BA19" s="13" t="str">
        <f t="shared" si="54"/>
        <v>E5</v>
      </c>
      <c r="BB19" s="13" t="str">
        <f t="shared" ref="BB19:BC19" si="55">INDEX($X$4:$X$13, MATCH(AZ19,$Z$4:$Z$13,0))</f>
        <v>POPEYES</v>
      </c>
      <c r="BC19" s="13" t="str">
        <f t="shared" si="55"/>
        <v>CHAMPS</v>
      </c>
      <c r="BD19" s="13"/>
      <c r="BE19" s="13"/>
      <c r="BF19" s="13"/>
      <c r="BG19" s="13"/>
      <c r="BH19" s="13"/>
      <c r="BI19" s="13"/>
    </row>
    <row r="20" ht="15.75" customHeight="1">
      <c r="H20" s="1383" t="s">
        <v>515</v>
      </c>
      <c r="I20" s="698" t="s">
        <v>1126</v>
      </c>
      <c r="J20" s="13" t="s">
        <v>493</v>
      </c>
      <c r="K20" s="13" t="s">
        <v>537</v>
      </c>
      <c r="L20" s="1338"/>
      <c r="AB20" s="1359" t="s">
        <v>1120</v>
      </c>
      <c r="AC20" s="554"/>
      <c r="AD20" s="1359" t="s">
        <v>1125</v>
      </c>
      <c r="AE20" s="554"/>
      <c r="AF20" s="1359" t="s">
        <v>1126</v>
      </c>
      <c r="AG20" s="554"/>
      <c r="AH20" s="1359" t="s">
        <v>1127</v>
      </c>
      <c r="AI20" s="554"/>
      <c r="AJ20" s="1359" t="s">
        <v>1128</v>
      </c>
      <c r="AK20" s="554"/>
      <c r="AO20" s="18" t="s">
        <v>1111</v>
      </c>
      <c r="AP20" s="1478">
        <f t="shared" si="48"/>
        <v>7</v>
      </c>
      <c r="AQ20" s="1478">
        <f t="shared" si="49"/>
        <v>7</v>
      </c>
      <c r="AR20" s="1479">
        <f t="shared" si="50"/>
        <v>2</v>
      </c>
      <c r="AS20" s="1479">
        <f t="shared" si="51"/>
        <v>5</v>
      </c>
      <c r="AT20" s="850">
        <f t="shared" si="52"/>
        <v>5</v>
      </c>
      <c r="AU20" s="850">
        <f t="shared" si="53"/>
        <v>2</v>
      </c>
      <c r="AZ20" s="13" t="str">
        <f t="shared" ref="AZ20:BA20" si="56">AF18</f>
        <v>E1</v>
      </c>
      <c r="BA20" s="13" t="str">
        <f t="shared" si="56"/>
        <v>P3</v>
      </c>
      <c r="BB20" s="13" t="str">
        <f t="shared" ref="BB20:BC20" si="57">INDEX($X$4:$X$13, MATCH(AZ20,$Z$4:$Z$13,0))</f>
        <v>YARDIES</v>
      </c>
      <c r="BC20" s="13" t="str">
        <f t="shared" si="57"/>
        <v>DECOUPES</v>
      </c>
      <c r="BD20" s="13"/>
      <c r="BE20" s="13"/>
      <c r="BF20" s="13"/>
      <c r="BG20" s="13"/>
    </row>
    <row r="21" ht="15.75" customHeight="1">
      <c r="H21" s="1383" t="s">
        <v>515</v>
      </c>
      <c r="I21" s="698" t="s">
        <v>1127</v>
      </c>
      <c r="J21" s="13" t="s">
        <v>495</v>
      </c>
      <c r="K21" s="13" t="s">
        <v>478</v>
      </c>
      <c r="L21" s="1338"/>
      <c r="AB21" s="1362" t="s">
        <v>645</v>
      </c>
      <c r="AC21" s="705" t="s">
        <v>646</v>
      </c>
      <c r="AD21" s="1362" t="s">
        <v>645</v>
      </c>
      <c r="AE21" s="705" t="s">
        <v>646</v>
      </c>
      <c r="AF21" s="1362" t="s">
        <v>645</v>
      </c>
      <c r="AG21" s="705" t="s">
        <v>646</v>
      </c>
      <c r="AH21" s="1362" t="s">
        <v>645</v>
      </c>
      <c r="AI21" s="705" t="s">
        <v>646</v>
      </c>
      <c r="AJ21" s="1362" t="s">
        <v>645</v>
      </c>
      <c r="AK21" s="705" t="s">
        <v>646</v>
      </c>
      <c r="AO21" s="18" t="s">
        <v>1112</v>
      </c>
      <c r="AP21" s="1478">
        <f t="shared" si="48"/>
        <v>7</v>
      </c>
      <c r="AQ21" s="1478">
        <f t="shared" si="49"/>
        <v>7</v>
      </c>
      <c r="AR21" s="1479">
        <f t="shared" si="50"/>
        <v>4</v>
      </c>
      <c r="AS21" s="1479">
        <f t="shared" si="51"/>
        <v>3</v>
      </c>
      <c r="AT21" s="850">
        <f t="shared" si="52"/>
        <v>3</v>
      </c>
      <c r="AU21" s="850">
        <f t="shared" si="53"/>
        <v>4</v>
      </c>
      <c r="AZ21" s="13" t="str">
        <f t="shared" ref="AZ21:BA21" si="58">AH18</f>
        <v>E2</v>
      </c>
      <c r="BA21" s="13" t="str">
        <f t="shared" si="58"/>
        <v>P4</v>
      </c>
      <c r="BB21" s="13" t="str">
        <f t="shared" ref="BB21:BC21" si="59">INDEX($X$4:$X$13, MATCH(AZ21,$Z$4:$Z$13,0))</f>
        <v>EAGLES</v>
      </c>
      <c r="BC21" s="13" t="str">
        <f t="shared" si="59"/>
        <v>GREEN</v>
      </c>
      <c r="BD21" s="13"/>
      <c r="BE21" s="13"/>
      <c r="BF21" s="13"/>
    </row>
    <row r="22" ht="15.75" customHeight="1">
      <c r="H22" s="1387" t="s">
        <v>515</v>
      </c>
      <c r="I22" s="1193" t="s">
        <v>1128</v>
      </c>
      <c r="J22" s="13" t="s">
        <v>497</v>
      </c>
      <c r="K22" s="13" t="s">
        <v>578</v>
      </c>
      <c r="L22" s="1338"/>
      <c r="AB22" s="1396" t="s">
        <v>1114</v>
      </c>
      <c r="AC22" s="1397" t="s">
        <v>1117</v>
      </c>
      <c r="AD22" s="1369" t="s">
        <v>1116</v>
      </c>
      <c r="AE22" s="1370" t="s">
        <v>1115</v>
      </c>
      <c r="AF22" s="1396" t="s">
        <v>1111</v>
      </c>
      <c r="AG22" s="1397" t="s">
        <v>1109</v>
      </c>
      <c r="AH22" s="1396" t="s">
        <v>1110</v>
      </c>
      <c r="AI22" s="1397" t="s">
        <v>1113</v>
      </c>
      <c r="AJ22" s="1398" t="s">
        <v>1112</v>
      </c>
      <c r="AK22" s="1399" t="s">
        <v>1118</v>
      </c>
      <c r="AO22" s="18" t="s">
        <v>1113</v>
      </c>
      <c r="AP22" s="1478">
        <f t="shared" si="48"/>
        <v>7</v>
      </c>
      <c r="AQ22" s="1478">
        <f t="shared" si="49"/>
        <v>7</v>
      </c>
      <c r="AR22" s="1479">
        <f t="shared" si="50"/>
        <v>4</v>
      </c>
      <c r="AS22" s="1479">
        <f t="shared" si="51"/>
        <v>3</v>
      </c>
      <c r="AT22" s="850">
        <f t="shared" si="52"/>
        <v>3</v>
      </c>
      <c r="AU22" s="850">
        <f t="shared" si="53"/>
        <v>4</v>
      </c>
      <c r="AZ22" s="13" t="str">
        <f t="shared" ref="AZ22:BA22" si="60">AJ18</f>
        <v>E4</v>
      </c>
      <c r="BA22" s="13" t="str">
        <f t="shared" si="60"/>
        <v>P5</v>
      </c>
      <c r="BB22" s="13" t="str">
        <f t="shared" ref="BB22:BC22" si="61">INDEX($X$4:$X$13, MATCH(AZ22,$Z$4:$Z$13,0))</f>
        <v>METAMOOKDAWGS</v>
      </c>
      <c r="BC22" s="13" t="str">
        <f t="shared" si="61"/>
        <v>SAVAGES</v>
      </c>
      <c r="BD22" s="13"/>
      <c r="BE22" s="13"/>
    </row>
    <row r="23" ht="15.75" customHeight="1">
      <c r="H23" s="1400" t="s">
        <v>516</v>
      </c>
      <c r="I23" s="645" t="s">
        <v>1120</v>
      </c>
      <c r="J23" s="13" t="s">
        <v>477</v>
      </c>
      <c r="K23" s="13" t="s">
        <v>493</v>
      </c>
      <c r="L23" s="201"/>
      <c r="AB23" s="1350" t="s">
        <v>517</v>
      </c>
      <c r="AC23" s="1351"/>
      <c r="AD23" s="1351"/>
      <c r="AE23" s="1351"/>
      <c r="AF23" s="1351"/>
      <c r="AG23" s="1351"/>
      <c r="AH23" s="1351"/>
      <c r="AI23" s="1351"/>
      <c r="AJ23" s="1351"/>
      <c r="AK23" s="1352"/>
      <c r="AO23" s="18" t="s">
        <v>1114</v>
      </c>
      <c r="AP23" s="1478">
        <f t="shared" si="48"/>
        <v>7</v>
      </c>
      <c r="AQ23" s="1478">
        <f t="shared" si="49"/>
        <v>7</v>
      </c>
      <c r="AR23" s="1479">
        <f t="shared" si="50"/>
        <v>4</v>
      </c>
      <c r="AS23" s="1479">
        <f t="shared" si="51"/>
        <v>3</v>
      </c>
      <c r="AT23" s="850">
        <f t="shared" si="52"/>
        <v>3</v>
      </c>
      <c r="AU23" s="850">
        <f t="shared" si="53"/>
        <v>4</v>
      </c>
      <c r="AY23" s="313" t="s">
        <v>516</v>
      </c>
      <c r="AZ23" s="13" t="str">
        <f t="shared" ref="AZ23:BA23" si="62">AB22</f>
        <v>E1</v>
      </c>
      <c r="BA23" s="13" t="str">
        <f t="shared" si="62"/>
        <v>E4</v>
      </c>
      <c r="BB23" s="13" t="str">
        <f t="shared" ref="BB23:BC23" si="63">INDEX($X$4:$X$13, MATCH(AZ23,$Z$4:$Z$13,0))</f>
        <v>YARDIES</v>
      </c>
      <c r="BC23" s="13" t="str">
        <f t="shared" si="63"/>
        <v>METAMOOKDAWGS</v>
      </c>
      <c r="BD23" s="13"/>
      <c r="BI23" s="13"/>
    </row>
    <row r="24" ht="15.75" customHeight="1">
      <c r="H24" s="1402" t="s">
        <v>516</v>
      </c>
      <c r="I24" s="365" t="s">
        <v>1125</v>
      </c>
      <c r="J24" s="1366" t="s">
        <v>494</v>
      </c>
      <c r="K24" s="13" t="s">
        <v>497</v>
      </c>
      <c r="L24" s="201"/>
      <c r="AB24" s="1359" t="s">
        <v>1120</v>
      </c>
      <c r="AC24" s="554"/>
      <c r="AD24" s="1359" t="s">
        <v>1125</v>
      </c>
      <c r="AE24" s="554"/>
      <c r="AF24" s="1359" t="s">
        <v>1126</v>
      </c>
      <c r="AG24" s="554"/>
      <c r="AH24" s="1359" t="s">
        <v>1127</v>
      </c>
      <c r="AI24" s="554"/>
      <c r="AJ24" s="1359" t="s">
        <v>1128</v>
      </c>
      <c r="AK24" s="554"/>
      <c r="AO24" s="18" t="s">
        <v>1115</v>
      </c>
      <c r="AP24" s="1478">
        <f t="shared" si="48"/>
        <v>7</v>
      </c>
      <c r="AQ24" s="1478">
        <f t="shared" si="49"/>
        <v>7</v>
      </c>
      <c r="AR24" s="1479">
        <f t="shared" si="50"/>
        <v>3</v>
      </c>
      <c r="AS24" s="1479">
        <f t="shared" si="51"/>
        <v>4</v>
      </c>
      <c r="AT24" s="850">
        <f t="shared" si="52"/>
        <v>4</v>
      </c>
      <c r="AU24" s="850">
        <f t="shared" si="53"/>
        <v>3</v>
      </c>
      <c r="AZ24" s="13" t="str">
        <f t="shared" ref="AZ24:BA24" si="64">AD22</f>
        <v>E3</v>
      </c>
      <c r="BA24" s="13" t="str">
        <f t="shared" si="64"/>
        <v>E2</v>
      </c>
      <c r="BB24" s="13" t="str">
        <f t="shared" ref="BB24:BC24" si="65">INDEX($X$4:$X$13, MATCH(AZ24,$Z$4:$Z$13,0))</f>
        <v>MUTTS</v>
      </c>
      <c r="BC24" s="13" t="str">
        <f t="shared" si="65"/>
        <v>EAGLES</v>
      </c>
      <c r="BI24" s="13"/>
    </row>
    <row r="25" ht="15.75" customHeight="1">
      <c r="H25" s="1402" t="s">
        <v>516</v>
      </c>
      <c r="I25" s="698" t="s">
        <v>1126</v>
      </c>
      <c r="J25" s="13" t="s">
        <v>478</v>
      </c>
      <c r="K25" s="13" t="s">
        <v>538</v>
      </c>
      <c r="L25" s="201"/>
      <c r="AB25" s="1362" t="s">
        <v>645</v>
      </c>
      <c r="AC25" s="705" t="s">
        <v>646</v>
      </c>
      <c r="AD25" s="1362" t="s">
        <v>645</v>
      </c>
      <c r="AE25" s="705" t="s">
        <v>646</v>
      </c>
      <c r="AF25" s="1362" t="s">
        <v>645</v>
      </c>
      <c r="AG25" s="705" t="s">
        <v>646</v>
      </c>
      <c r="AH25" s="1362" t="s">
        <v>645</v>
      </c>
      <c r="AI25" s="705" t="s">
        <v>646</v>
      </c>
      <c r="AJ25" s="1362" t="s">
        <v>645</v>
      </c>
      <c r="AK25" s="705" t="s">
        <v>646</v>
      </c>
      <c r="AO25" s="18" t="s">
        <v>1116</v>
      </c>
      <c r="AP25" s="1478">
        <f t="shared" si="48"/>
        <v>7</v>
      </c>
      <c r="AQ25" s="1478">
        <f t="shared" si="49"/>
        <v>7</v>
      </c>
      <c r="AR25" s="1479">
        <f t="shared" si="50"/>
        <v>4</v>
      </c>
      <c r="AS25" s="1479">
        <f t="shared" si="51"/>
        <v>3</v>
      </c>
      <c r="AT25" s="850">
        <f t="shared" si="52"/>
        <v>3</v>
      </c>
      <c r="AU25" s="850">
        <f t="shared" si="53"/>
        <v>4</v>
      </c>
      <c r="AZ25" s="13" t="str">
        <f t="shared" ref="AZ25:BA25" si="66">AF22</f>
        <v>P3</v>
      </c>
      <c r="BA25" s="13" t="str">
        <f t="shared" si="66"/>
        <v>P1</v>
      </c>
      <c r="BB25" s="13" t="str">
        <f t="shared" ref="BB25:BC25" si="67">INDEX($X$4:$X$13, MATCH(AZ25,$Z$4:$Z$13,0))</f>
        <v>DECOUPES</v>
      </c>
      <c r="BC25" s="13" t="str">
        <f t="shared" si="67"/>
        <v>KINGS</v>
      </c>
    </row>
    <row r="26" ht="15.75" customHeight="1">
      <c r="H26" s="1402" t="s">
        <v>516</v>
      </c>
      <c r="I26" s="698" t="s">
        <v>1127</v>
      </c>
      <c r="J26" s="13" t="s">
        <v>537</v>
      </c>
      <c r="K26" s="13" t="s">
        <v>578</v>
      </c>
      <c r="L26" s="201"/>
      <c r="AB26" s="1396" t="s">
        <v>1118</v>
      </c>
      <c r="AC26" s="1397" t="s">
        <v>1115</v>
      </c>
      <c r="AD26" s="1369" t="s">
        <v>1114</v>
      </c>
      <c r="AE26" s="1370" t="s">
        <v>1116</v>
      </c>
      <c r="AF26" s="1369" t="s">
        <v>1110</v>
      </c>
      <c r="AG26" s="1370" t="s">
        <v>1111</v>
      </c>
      <c r="AH26" s="1369" t="s">
        <v>1112</v>
      </c>
      <c r="AI26" s="1370" t="s">
        <v>1109</v>
      </c>
      <c r="AJ26" s="1404" t="s">
        <v>1113</v>
      </c>
      <c r="AK26" s="1405" t="s">
        <v>1117</v>
      </c>
      <c r="AO26" s="18" t="s">
        <v>1117</v>
      </c>
      <c r="AP26" s="1478">
        <f t="shared" si="48"/>
        <v>7</v>
      </c>
      <c r="AQ26" s="1478">
        <f t="shared" si="49"/>
        <v>7</v>
      </c>
      <c r="AR26" s="1479">
        <f t="shared" si="50"/>
        <v>4</v>
      </c>
      <c r="AS26" s="1479">
        <f t="shared" si="51"/>
        <v>3</v>
      </c>
      <c r="AT26" s="850">
        <f t="shared" si="52"/>
        <v>3</v>
      </c>
      <c r="AU26" s="850">
        <f t="shared" si="53"/>
        <v>4</v>
      </c>
      <c r="AZ26" s="13" t="str">
        <f t="shared" ref="AZ26:BA26" si="68">AH22</f>
        <v>P2</v>
      </c>
      <c r="BA26" s="13" t="str">
        <f t="shared" si="68"/>
        <v>P5</v>
      </c>
      <c r="BB26" s="13" t="str">
        <f t="shared" ref="BB26:BC26" si="69">INDEX($X$4:$X$13, MATCH(AZ26,$Z$4:$Z$13,0))</f>
        <v>POPEYES</v>
      </c>
      <c r="BC26" s="13" t="str">
        <f t="shared" si="69"/>
        <v>SAVAGES</v>
      </c>
    </row>
    <row r="27" ht="15.75" customHeight="1">
      <c r="H27" s="1408" t="s">
        <v>516</v>
      </c>
      <c r="I27" s="1193" t="s">
        <v>1128</v>
      </c>
      <c r="J27" s="13" t="s">
        <v>495</v>
      </c>
      <c r="K27" s="13" t="s">
        <v>536</v>
      </c>
      <c r="L27" s="201"/>
      <c r="AB27" s="1350" t="s">
        <v>518</v>
      </c>
      <c r="AC27" s="1351"/>
      <c r="AD27" s="1351"/>
      <c r="AE27" s="1351"/>
      <c r="AF27" s="1351"/>
      <c r="AG27" s="1351"/>
      <c r="AH27" s="1351"/>
      <c r="AI27" s="1351"/>
      <c r="AJ27" s="1351"/>
      <c r="AK27" s="1352"/>
      <c r="AO27" s="18" t="s">
        <v>1118</v>
      </c>
      <c r="AP27" s="1478">
        <f t="shared" si="48"/>
        <v>7</v>
      </c>
      <c r="AQ27" s="1478">
        <f t="shared" si="49"/>
        <v>7</v>
      </c>
      <c r="AR27" s="1479">
        <f t="shared" si="50"/>
        <v>3</v>
      </c>
      <c r="AS27" s="1479">
        <f t="shared" si="51"/>
        <v>4</v>
      </c>
      <c r="AT27" s="850">
        <f t="shared" si="52"/>
        <v>4</v>
      </c>
      <c r="AU27" s="850">
        <f t="shared" si="53"/>
        <v>3</v>
      </c>
      <c r="AZ27" s="13" t="str">
        <f t="shared" ref="AZ27:BA27" si="70">AJ22</f>
        <v>P4</v>
      </c>
      <c r="BA27" s="13" t="str">
        <f t="shared" si="70"/>
        <v>E5</v>
      </c>
      <c r="BB27" s="13" t="str">
        <f t="shared" ref="BB27:BC27" si="71">INDEX($X$4:$X$13, MATCH(AZ27,$Z$4:$Z$13,0))</f>
        <v>GREEN</v>
      </c>
      <c r="BC27" s="13" t="str">
        <f t="shared" si="71"/>
        <v>CHAMPS</v>
      </c>
    </row>
    <row r="28" ht="15.75" customHeight="1">
      <c r="H28" s="1343" t="s">
        <v>517</v>
      </c>
      <c r="I28" s="645" t="s">
        <v>1120</v>
      </c>
      <c r="J28" s="1366" t="s">
        <v>494</v>
      </c>
      <c r="K28" s="13" t="s">
        <v>493</v>
      </c>
      <c r="L28" s="1338"/>
      <c r="AB28" s="1359" t="s">
        <v>1120</v>
      </c>
      <c r="AC28" s="554"/>
      <c r="AD28" s="1359" t="s">
        <v>1125</v>
      </c>
      <c r="AE28" s="554"/>
      <c r="AF28" s="1359" t="s">
        <v>1126</v>
      </c>
      <c r="AG28" s="554"/>
      <c r="AH28" s="1359" t="s">
        <v>1127</v>
      </c>
      <c r="AI28" s="554"/>
      <c r="AJ28" s="1359" t="s">
        <v>1128</v>
      </c>
      <c r="AK28" s="554"/>
      <c r="AY28" s="313" t="s">
        <v>517</v>
      </c>
      <c r="AZ28" s="13" t="str">
        <f t="shared" ref="AZ28:BA28" si="72">AB26</f>
        <v>E5</v>
      </c>
      <c r="BA28" s="13" t="str">
        <f t="shared" si="72"/>
        <v>E2</v>
      </c>
      <c r="BB28" s="13" t="str">
        <f t="shared" ref="BB28:BC28" si="73">INDEX($X$4:$X$13, MATCH(AZ28,$Z$4:$Z$13,0))</f>
        <v>CHAMPS</v>
      </c>
      <c r="BC28" s="13" t="str">
        <f t="shared" si="73"/>
        <v>EAGLES</v>
      </c>
    </row>
    <row r="29" ht="15.75" customHeight="1">
      <c r="H29" s="1354" t="s">
        <v>517</v>
      </c>
      <c r="I29" s="365" t="s">
        <v>1125</v>
      </c>
      <c r="J29" s="13" t="s">
        <v>477</v>
      </c>
      <c r="K29" s="13" t="s">
        <v>495</v>
      </c>
      <c r="L29" s="1338"/>
      <c r="AB29" s="1362" t="s">
        <v>645</v>
      </c>
      <c r="AC29" s="705" t="s">
        <v>646</v>
      </c>
      <c r="AD29" s="1362" t="s">
        <v>645</v>
      </c>
      <c r="AE29" s="705" t="s">
        <v>646</v>
      </c>
      <c r="AF29" s="1362" t="s">
        <v>645</v>
      </c>
      <c r="AG29" s="705" t="s">
        <v>646</v>
      </c>
      <c r="AH29" s="1362" t="s">
        <v>645</v>
      </c>
      <c r="AI29" s="705" t="s">
        <v>646</v>
      </c>
      <c r="AJ29" s="1362" t="s">
        <v>645</v>
      </c>
      <c r="AK29" s="705" t="s">
        <v>646</v>
      </c>
      <c r="AZ29" s="13" t="str">
        <f t="shared" ref="AZ29:BA29" si="74">AD26</f>
        <v>E1</v>
      </c>
      <c r="BA29" s="13" t="str">
        <f t="shared" si="74"/>
        <v>E3</v>
      </c>
      <c r="BB29" s="13" t="str">
        <f t="shared" ref="BB29:BC29" si="75">INDEX($X$4:$X$13, MATCH(AZ29,$Z$4:$Z$13,0))</f>
        <v>YARDIES</v>
      </c>
      <c r="BC29" s="13" t="str">
        <f t="shared" si="75"/>
        <v>MUTTS</v>
      </c>
    </row>
    <row r="30" ht="15.75" customHeight="1">
      <c r="H30" s="1354" t="s">
        <v>517</v>
      </c>
      <c r="I30" s="698" t="s">
        <v>1126</v>
      </c>
      <c r="J30" s="13" t="s">
        <v>537</v>
      </c>
      <c r="K30" s="13" t="s">
        <v>538</v>
      </c>
      <c r="L30" s="1338"/>
      <c r="R30" s="720"/>
      <c r="S30" s="724"/>
      <c r="T30" s="720"/>
      <c r="U30" s="724"/>
      <c r="V30" s="720"/>
      <c r="W30" s="724"/>
      <c r="X30" s="720"/>
      <c r="Y30" s="724"/>
      <c r="Z30" s="1414"/>
      <c r="AA30" s="1416"/>
      <c r="AB30" s="1369" t="s">
        <v>1115</v>
      </c>
      <c r="AC30" s="1370" t="s">
        <v>1114</v>
      </c>
      <c r="AD30" s="1369" t="s">
        <v>1117</v>
      </c>
      <c r="AE30" s="1370" t="s">
        <v>1118</v>
      </c>
      <c r="AF30" s="1369" t="s">
        <v>1109</v>
      </c>
      <c r="AG30" s="1370" t="s">
        <v>1110</v>
      </c>
      <c r="AH30" s="1367" t="s">
        <v>1116</v>
      </c>
      <c r="AI30" s="1368" t="s">
        <v>1111</v>
      </c>
      <c r="AJ30" s="1419" t="s">
        <v>1113</v>
      </c>
      <c r="AK30" s="1420" t="s">
        <v>1112</v>
      </c>
      <c r="AZ30" s="13" t="str">
        <f t="shared" ref="AZ30:BA30" si="76">AF26</f>
        <v>P2</v>
      </c>
      <c r="BA30" s="13" t="str">
        <f t="shared" si="76"/>
        <v>P3</v>
      </c>
      <c r="BB30" s="13" t="str">
        <f t="shared" ref="BB30:BC30" si="77">INDEX($X$4:$X$13, MATCH(AZ30,$Z$4:$Z$13,0))</f>
        <v>POPEYES</v>
      </c>
      <c r="BC30" s="13" t="str">
        <f t="shared" si="77"/>
        <v>DECOUPES</v>
      </c>
    </row>
    <row r="31" ht="15.75" customHeight="1">
      <c r="H31" s="1354" t="s">
        <v>517</v>
      </c>
      <c r="I31" s="698" t="s">
        <v>1127</v>
      </c>
      <c r="J31" s="13" t="s">
        <v>478</v>
      </c>
      <c r="K31" s="13" t="s">
        <v>536</v>
      </c>
      <c r="L31" s="1338"/>
      <c r="AB31" s="1350" t="s">
        <v>519</v>
      </c>
      <c r="AC31" s="1351"/>
      <c r="AD31" s="1351"/>
      <c r="AE31" s="1351"/>
      <c r="AF31" s="1351"/>
      <c r="AG31" s="1351"/>
      <c r="AH31" s="1351"/>
      <c r="AI31" s="1351"/>
      <c r="AJ31" s="1351"/>
      <c r="AK31" s="1352"/>
      <c r="AZ31" s="13" t="str">
        <f t="shared" ref="AZ31:BA31" si="78">AH26</f>
        <v>P4</v>
      </c>
      <c r="BA31" s="13" t="str">
        <f t="shared" si="78"/>
        <v>P1</v>
      </c>
      <c r="BB31" s="13" t="str">
        <f t="shared" ref="BB31:BC31" si="79">INDEX($X$4:$X$13, MATCH(AZ31,$Z$4:$Z$13,0))</f>
        <v>GREEN</v>
      </c>
      <c r="BC31" s="13" t="str">
        <f t="shared" si="79"/>
        <v>KINGS</v>
      </c>
    </row>
    <row r="32" ht="15.75" customHeight="1">
      <c r="H32" s="1373" t="s">
        <v>517</v>
      </c>
      <c r="I32" s="1193" t="s">
        <v>1128</v>
      </c>
      <c r="J32" s="13" t="s">
        <v>497</v>
      </c>
      <c r="K32" s="13" t="s">
        <v>578</v>
      </c>
      <c r="L32" s="1338"/>
      <c r="AB32" s="1359" t="s">
        <v>1120</v>
      </c>
      <c r="AC32" s="554"/>
      <c r="AD32" s="1359" t="s">
        <v>1125</v>
      </c>
      <c r="AE32" s="554"/>
      <c r="AF32" s="1359" t="s">
        <v>1126</v>
      </c>
      <c r="AG32" s="554"/>
      <c r="AH32" s="1359" t="s">
        <v>1127</v>
      </c>
      <c r="AI32" s="554"/>
      <c r="AJ32" s="1359" t="s">
        <v>1128</v>
      </c>
      <c r="AK32" s="554"/>
      <c r="AZ32" s="13" t="str">
        <f t="shared" ref="AZ32:BA32" si="80">AJ26</f>
        <v>P5</v>
      </c>
      <c r="BA32" s="13" t="str">
        <f t="shared" si="80"/>
        <v>E4</v>
      </c>
      <c r="BB32" s="13" t="str">
        <f t="shared" ref="BB32:BC32" si="81">INDEX($X$4:$X$13, MATCH(AZ32,$Z$4:$Z$13,0))</f>
        <v>SAVAGES</v>
      </c>
      <c r="BC32" s="13" t="str">
        <f t="shared" si="81"/>
        <v>METAMOOKDAWGS</v>
      </c>
    </row>
    <row r="33" ht="15.75" customHeight="1">
      <c r="H33" s="1400" t="s">
        <v>518</v>
      </c>
      <c r="I33" s="645" t="s">
        <v>1120</v>
      </c>
      <c r="J33" s="13" t="s">
        <v>477</v>
      </c>
      <c r="K33" s="13" t="s">
        <v>494</v>
      </c>
      <c r="L33" s="201"/>
      <c r="AB33" s="1362" t="s">
        <v>645</v>
      </c>
      <c r="AC33" s="705" t="s">
        <v>646</v>
      </c>
      <c r="AD33" s="1362" t="s">
        <v>645</v>
      </c>
      <c r="AE33" s="705" t="s">
        <v>646</v>
      </c>
      <c r="AF33" s="1362" t="s">
        <v>645</v>
      </c>
      <c r="AG33" s="705" t="s">
        <v>646</v>
      </c>
      <c r="AH33" s="1362" t="s">
        <v>645</v>
      </c>
      <c r="AI33" s="705" t="s">
        <v>646</v>
      </c>
      <c r="AJ33" s="1362" t="s">
        <v>645</v>
      </c>
      <c r="AK33" s="705" t="s">
        <v>646</v>
      </c>
      <c r="AY33" s="1488" t="s">
        <v>518</v>
      </c>
      <c r="AZ33" s="1479" t="str">
        <f t="shared" ref="AZ33:BA33" si="82">AB30</f>
        <v>E2</v>
      </c>
      <c r="BA33" s="1479" t="str">
        <f t="shared" si="82"/>
        <v>E1</v>
      </c>
      <c r="BB33" s="1479" t="str">
        <f t="shared" ref="BB33:BC33" si="83">INDEX($X$4:$X$13, MATCH(AZ33,$Z$4:$Z$13,0))</f>
        <v>EAGLES</v>
      </c>
      <c r="BC33" s="1479" t="str">
        <f t="shared" si="83"/>
        <v>YARDIES</v>
      </c>
      <c r="BT33" s="314"/>
    </row>
    <row r="34" ht="15.75" customHeight="1">
      <c r="H34" s="1402" t="s">
        <v>518</v>
      </c>
      <c r="I34" s="365" t="s">
        <v>1125</v>
      </c>
      <c r="J34" s="13" t="s">
        <v>495</v>
      </c>
      <c r="K34" s="13" t="s">
        <v>497</v>
      </c>
      <c r="L34" s="201"/>
      <c r="AB34" s="1369" t="s">
        <v>1113</v>
      </c>
      <c r="AC34" s="1370" t="s">
        <v>1109</v>
      </c>
      <c r="AD34" s="1426" t="s">
        <v>1112</v>
      </c>
      <c r="AE34" s="1428" t="s">
        <v>1111</v>
      </c>
      <c r="AF34" s="1369" t="s">
        <v>1118</v>
      </c>
      <c r="AG34" s="1370" t="s">
        <v>1114</v>
      </c>
      <c r="AH34" s="1426" t="s">
        <v>1117</v>
      </c>
      <c r="AI34" s="1428" t="s">
        <v>1116</v>
      </c>
      <c r="AJ34" s="1404" t="s">
        <v>1115</v>
      </c>
      <c r="AK34" s="1405" t="s">
        <v>1110</v>
      </c>
      <c r="AZ34" s="1479" t="str">
        <f t="shared" ref="AZ34:BA34" si="84">AD30</f>
        <v>E4</v>
      </c>
      <c r="BA34" s="1479" t="str">
        <f t="shared" si="84"/>
        <v>E5</v>
      </c>
      <c r="BB34" s="1479" t="str">
        <f t="shared" ref="BB34:BC34" si="85">INDEX($X$4:$X$13, MATCH(AZ34,$Z$4:$Z$13,0))</f>
        <v>METAMOOKDAWGS</v>
      </c>
      <c r="BC34" s="1479" t="str">
        <f t="shared" si="85"/>
        <v>CHAMPS</v>
      </c>
    </row>
    <row r="35" ht="15.75" customHeight="1">
      <c r="H35" s="1402" t="s">
        <v>518</v>
      </c>
      <c r="I35" s="698" t="s">
        <v>1126</v>
      </c>
      <c r="J35" s="13" t="s">
        <v>537</v>
      </c>
      <c r="K35" s="13" t="s">
        <v>478</v>
      </c>
      <c r="L35" s="201"/>
      <c r="AB35" s="1350" t="s">
        <v>520</v>
      </c>
      <c r="AC35" s="1351"/>
      <c r="AD35" s="1351"/>
      <c r="AE35" s="1351"/>
      <c r="AF35" s="1351"/>
      <c r="AG35" s="1351"/>
      <c r="AH35" s="1351"/>
      <c r="AI35" s="1351"/>
      <c r="AJ35" s="1351"/>
      <c r="AK35" s="1352"/>
      <c r="AZ35" s="1479" t="str">
        <f t="shared" ref="AZ35:BA35" si="86">AF30</f>
        <v>P1</v>
      </c>
      <c r="BA35" s="1479" t="str">
        <f t="shared" si="86"/>
        <v>P2</v>
      </c>
      <c r="BB35" s="1479" t="str">
        <f t="shared" ref="BB35:BC35" si="87">INDEX($X$4:$X$13, MATCH(AZ35,$Z$4:$Z$13,0))</f>
        <v>KINGS</v>
      </c>
      <c r="BC35" s="1479" t="str">
        <f t="shared" si="87"/>
        <v>POPEYES</v>
      </c>
      <c r="BS35" s="314"/>
      <c r="BU35" s="13"/>
    </row>
    <row r="36" ht="15.75" customHeight="1">
      <c r="H36" s="1402" t="s">
        <v>518</v>
      </c>
      <c r="I36" s="698" t="s">
        <v>1127</v>
      </c>
      <c r="J36" s="13" t="s">
        <v>578</v>
      </c>
      <c r="K36" s="13" t="s">
        <v>536</v>
      </c>
      <c r="L36" s="201"/>
      <c r="AB36" s="1359" t="s">
        <v>1120</v>
      </c>
      <c r="AC36" s="554"/>
      <c r="AD36" s="1359" t="s">
        <v>1125</v>
      </c>
      <c r="AE36" s="554"/>
      <c r="AF36" s="1359" t="s">
        <v>1126</v>
      </c>
      <c r="AG36" s="554"/>
      <c r="AH36" s="1359" t="s">
        <v>1127</v>
      </c>
      <c r="AI36" s="554"/>
      <c r="AJ36" s="1359" t="s">
        <v>1128</v>
      </c>
      <c r="AK36" s="554"/>
      <c r="AZ36" s="1479" t="str">
        <f t="shared" ref="AZ36:BA36" si="88">AH30</f>
        <v>E3</v>
      </c>
      <c r="BA36" s="1479" t="str">
        <f t="shared" si="88"/>
        <v>P3</v>
      </c>
      <c r="BB36" s="1479" t="str">
        <f t="shared" ref="BB36:BC36" si="89">INDEX($X$4:$X$13, MATCH(AZ36,$Z$4:$Z$13,0))</f>
        <v>MUTTS</v>
      </c>
      <c r="BC36" s="1479" t="str">
        <f t="shared" si="89"/>
        <v>DECOUPES</v>
      </c>
      <c r="BS36" s="13"/>
      <c r="BT36" s="13"/>
      <c r="BU36" s="13"/>
    </row>
    <row r="37" ht="15.75" customHeight="1">
      <c r="H37" s="1408" t="s">
        <v>518</v>
      </c>
      <c r="I37" s="1193" t="s">
        <v>1128</v>
      </c>
      <c r="J37" s="1366" t="s">
        <v>493</v>
      </c>
      <c r="K37" s="13" t="s">
        <v>538</v>
      </c>
      <c r="L37" s="201"/>
      <c r="AB37" s="1362" t="s">
        <v>645</v>
      </c>
      <c r="AC37" s="705" t="s">
        <v>646</v>
      </c>
      <c r="AD37" s="1362" t="s">
        <v>645</v>
      </c>
      <c r="AE37" s="705" t="s">
        <v>646</v>
      </c>
      <c r="AF37" s="1362" t="s">
        <v>645</v>
      </c>
      <c r="AG37" s="705" t="s">
        <v>646</v>
      </c>
      <c r="AH37" s="1362" t="s">
        <v>645</v>
      </c>
      <c r="AI37" s="705" t="s">
        <v>646</v>
      </c>
      <c r="AJ37" s="1362" t="s">
        <v>645</v>
      </c>
      <c r="AK37" s="705" t="s">
        <v>646</v>
      </c>
      <c r="AZ37" s="1479" t="str">
        <f t="shared" ref="AZ37:BA37" si="90">AJ30</f>
        <v>P5</v>
      </c>
      <c r="BA37" s="1479" t="str">
        <f t="shared" si="90"/>
        <v>P4</v>
      </c>
      <c r="BB37" s="1479" t="str">
        <f t="shared" ref="BB37:BC37" si="91">INDEX($X$4:$X$13, MATCH(AZ37,$Z$4:$Z$13,0))</f>
        <v>SAVAGES</v>
      </c>
      <c r="BC37" s="1479" t="str">
        <f t="shared" si="91"/>
        <v>GREEN</v>
      </c>
      <c r="BT37" s="13"/>
      <c r="BU37" s="13"/>
    </row>
    <row r="38" ht="15.75" customHeight="1">
      <c r="H38" s="1379" t="s">
        <v>519</v>
      </c>
      <c r="I38" s="645" t="s">
        <v>1120</v>
      </c>
      <c r="J38" s="13" t="s">
        <v>477</v>
      </c>
      <c r="K38" s="13" t="s">
        <v>497</v>
      </c>
      <c r="L38" s="1338"/>
      <c r="AB38" s="1369" t="s">
        <v>1110</v>
      </c>
      <c r="AC38" s="1370" t="s">
        <v>1112</v>
      </c>
      <c r="AD38" s="1435" t="s">
        <v>1111</v>
      </c>
      <c r="AE38" s="1436" t="s">
        <v>1113</v>
      </c>
      <c r="AF38" s="1435" t="s">
        <v>1117</v>
      </c>
      <c r="AG38" s="1436" t="s">
        <v>1115</v>
      </c>
      <c r="AH38" s="1435" t="s">
        <v>1116</v>
      </c>
      <c r="AI38" s="1436" t="s">
        <v>1118</v>
      </c>
      <c r="AJ38" s="1491" t="s">
        <v>1109</v>
      </c>
      <c r="AK38" s="1492" t="s">
        <v>1114</v>
      </c>
      <c r="AY38" s="313" t="s">
        <v>519</v>
      </c>
      <c r="AZ38" s="13" t="str">
        <f t="shared" ref="AZ38:BA38" si="92">AB34</f>
        <v>P5</v>
      </c>
      <c r="BA38" s="13" t="str">
        <f t="shared" si="92"/>
        <v>P1</v>
      </c>
      <c r="BB38" s="13" t="str">
        <f t="shared" ref="BB38:BC38" si="93">INDEX($X$4:$X$13, MATCH(AZ38,$Z$4:$Z$13,0))</f>
        <v>SAVAGES</v>
      </c>
      <c r="BC38" s="13" t="str">
        <f t="shared" si="93"/>
        <v>KINGS</v>
      </c>
      <c r="BH38" s="13"/>
      <c r="BT38" s="13"/>
      <c r="BU38" s="13"/>
    </row>
    <row r="39" ht="15.75" customHeight="1">
      <c r="H39" s="1383" t="s">
        <v>519</v>
      </c>
      <c r="I39" s="365" t="s">
        <v>1125</v>
      </c>
      <c r="J39" s="13" t="s">
        <v>493</v>
      </c>
      <c r="K39" s="13" t="s">
        <v>495</v>
      </c>
      <c r="L39" s="1338"/>
      <c r="AB39" s="1350" t="s">
        <v>521</v>
      </c>
      <c r="AC39" s="1351"/>
      <c r="AD39" s="1351"/>
      <c r="AE39" s="1351"/>
      <c r="AF39" s="1351"/>
      <c r="AG39" s="1351"/>
      <c r="AH39" s="1351"/>
      <c r="AI39" s="1351"/>
      <c r="AJ39" s="1351"/>
      <c r="AK39" s="1352"/>
      <c r="AZ39" s="13" t="str">
        <f t="shared" ref="AZ39:BA39" si="94">AD34</f>
        <v>P4</v>
      </c>
      <c r="BA39" s="13" t="str">
        <f t="shared" si="94"/>
        <v>P3</v>
      </c>
      <c r="BB39" s="13" t="str">
        <f t="shared" ref="BB39:BC39" si="95">INDEX($X$4:$X$13, MATCH(AZ39,$Z$4:$Z$13,0))</f>
        <v>GREEN</v>
      </c>
      <c r="BC39" s="13" t="str">
        <f t="shared" si="95"/>
        <v>DECOUPES</v>
      </c>
      <c r="BG39" s="13"/>
      <c r="BH39" s="13"/>
      <c r="BT39" s="13"/>
      <c r="BU39" s="13"/>
    </row>
    <row r="40" ht="15.75" customHeight="1">
      <c r="H40" s="1383" t="s">
        <v>519</v>
      </c>
      <c r="I40" s="698" t="s">
        <v>1126</v>
      </c>
      <c r="J40" s="13" t="s">
        <v>537</v>
      </c>
      <c r="K40" s="13" t="s">
        <v>536</v>
      </c>
      <c r="L40" s="1338"/>
      <c r="AB40" s="1359" t="s">
        <v>1120</v>
      </c>
      <c r="AC40" s="554"/>
      <c r="AD40" s="1359" t="s">
        <v>1125</v>
      </c>
      <c r="AE40" s="554"/>
      <c r="AF40" s="1359" t="s">
        <v>1126</v>
      </c>
      <c r="AG40" s="554"/>
      <c r="AH40" s="1359" t="s">
        <v>1127</v>
      </c>
      <c r="AI40" s="554"/>
      <c r="AJ40" s="1359" t="s">
        <v>1128</v>
      </c>
      <c r="AK40" s="554"/>
      <c r="AZ40" s="13" t="str">
        <f t="shared" ref="AZ40:BA40" si="96">AF34</f>
        <v>E5</v>
      </c>
      <c r="BA40" s="13" t="str">
        <f t="shared" si="96"/>
        <v>E1</v>
      </c>
      <c r="BB40" s="13" t="str">
        <f t="shared" ref="BB40:BC40" si="97">INDEX($X$4:$X$13, MATCH(AZ40,$Z$4:$Z$13,0))</f>
        <v>CHAMPS</v>
      </c>
      <c r="BC40" s="13" t="str">
        <f t="shared" si="97"/>
        <v>YARDIES</v>
      </c>
      <c r="BF40" s="13"/>
      <c r="BG40" s="13"/>
      <c r="BH40" s="13"/>
      <c r="BT40" s="13"/>
      <c r="BU40" s="13"/>
    </row>
    <row r="41" ht="15.75" customHeight="1">
      <c r="H41" s="1383" t="s">
        <v>519</v>
      </c>
      <c r="I41" s="698" t="s">
        <v>1127</v>
      </c>
      <c r="J41" s="13" t="s">
        <v>538</v>
      </c>
      <c r="K41" s="13" t="s">
        <v>578</v>
      </c>
      <c r="L41" s="1338"/>
      <c r="AB41" s="1362" t="s">
        <v>645</v>
      </c>
      <c r="AC41" s="705" t="s">
        <v>646</v>
      </c>
      <c r="AD41" s="1362" t="s">
        <v>645</v>
      </c>
      <c r="AE41" s="705" t="s">
        <v>646</v>
      </c>
      <c r="AF41" s="1362" t="s">
        <v>645</v>
      </c>
      <c r="AG41" s="705" t="s">
        <v>646</v>
      </c>
      <c r="AH41" s="1362" t="s">
        <v>645</v>
      </c>
      <c r="AI41" s="705" t="s">
        <v>646</v>
      </c>
      <c r="AJ41" s="1362" t="s">
        <v>645</v>
      </c>
      <c r="AK41" s="705" t="s">
        <v>646</v>
      </c>
      <c r="AZ41" s="13" t="str">
        <f t="shared" ref="AZ41:BA41" si="98">AH34</f>
        <v>E4</v>
      </c>
      <c r="BA41" s="13" t="str">
        <f t="shared" si="98"/>
        <v>E3</v>
      </c>
      <c r="BB41" s="13" t="str">
        <f t="shared" ref="BB41:BC41" si="99">INDEX($X$4:$X$13, MATCH(AZ41,$Z$4:$Z$13,0))</f>
        <v>METAMOOKDAWGS</v>
      </c>
      <c r="BC41" s="13" t="str">
        <f t="shared" si="99"/>
        <v>MUTTS</v>
      </c>
      <c r="BE41" s="13"/>
      <c r="BF41" s="13"/>
      <c r="BG41" s="13"/>
      <c r="BH41" s="13"/>
      <c r="BS41" s="13"/>
      <c r="BT41" s="13"/>
      <c r="BU41" s="13"/>
    </row>
    <row r="42" ht="15.75" customHeight="1">
      <c r="H42" s="1387" t="s">
        <v>519</v>
      </c>
      <c r="I42" s="1193" t="s">
        <v>1128</v>
      </c>
      <c r="J42" s="1366" t="s">
        <v>494</v>
      </c>
      <c r="K42" s="13" t="s">
        <v>478</v>
      </c>
      <c r="L42" s="1338"/>
      <c r="AB42" s="1388" t="s">
        <v>1109</v>
      </c>
      <c r="AC42" s="1389" t="s">
        <v>1118</v>
      </c>
      <c r="AD42" s="720" t="s">
        <v>1110</v>
      </c>
      <c r="AE42" s="724" t="s">
        <v>1114</v>
      </c>
      <c r="AF42" s="1388" t="s">
        <v>1111</v>
      </c>
      <c r="AG42" s="1389" t="s">
        <v>1115</v>
      </c>
      <c r="AH42" s="720" t="s">
        <v>1112</v>
      </c>
      <c r="AI42" s="724" t="s">
        <v>1117</v>
      </c>
      <c r="AJ42" s="720" t="s">
        <v>1113</v>
      </c>
      <c r="AK42" s="724" t="s">
        <v>1116</v>
      </c>
      <c r="AZ42" s="13" t="str">
        <f t="shared" ref="AZ42:BA42" si="100">AJ34</f>
        <v>E2</v>
      </c>
      <c r="BA42" s="13" t="str">
        <f t="shared" si="100"/>
        <v>P2</v>
      </c>
      <c r="BB42" s="13" t="str">
        <f t="shared" ref="BB42:BC42" si="101">INDEX($X$4:$X$13, MATCH(AZ42,$Z$4:$Z$13,0))</f>
        <v>EAGLES</v>
      </c>
      <c r="BC42" s="13" t="str">
        <f t="shared" si="101"/>
        <v>POPEYES</v>
      </c>
      <c r="BD42" s="13"/>
      <c r="BE42" s="13"/>
      <c r="BF42" s="13"/>
      <c r="BG42" s="13"/>
      <c r="BH42" s="13"/>
      <c r="BS42" s="13"/>
      <c r="BT42" s="13"/>
      <c r="BU42" s="13"/>
    </row>
    <row r="43" ht="15.75" customHeight="1">
      <c r="H43" s="1343" t="s">
        <v>520</v>
      </c>
      <c r="I43" s="645" t="s">
        <v>1120</v>
      </c>
      <c r="J43" s="13" t="s">
        <v>495</v>
      </c>
      <c r="K43" s="13" t="s">
        <v>494</v>
      </c>
      <c r="L43" s="201"/>
      <c r="AB43" s="1350" t="s">
        <v>522</v>
      </c>
      <c r="AC43" s="1351"/>
      <c r="AD43" s="1351"/>
      <c r="AE43" s="1351"/>
      <c r="AF43" s="1351"/>
      <c r="AG43" s="1351"/>
      <c r="AH43" s="1351"/>
      <c r="AI43" s="1351"/>
      <c r="AJ43" s="1351"/>
      <c r="AK43" s="1352"/>
      <c r="AY43" s="1488" t="s">
        <v>520</v>
      </c>
      <c r="AZ43" s="1479" t="str">
        <f t="shared" ref="AZ43:BA43" si="102">AB38</f>
        <v>P2</v>
      </c>
      <c r="BA43" s="1479" t="str">
        <f t="shared" si="102"/>
        <v>P4</v>
      </c>
      <c r="BB43" s="1479" t="str">
        <f t="shared" ref="BB43:BC43" si="103">INDEX($X$4:$X$13, MATCH(AZ43,$Z$4:$Z$13,0))</f>
        <v>POPEYES</v>
      </c>
      <c r="BC43" s="1479" t="str">
        <f t="shared" si="103"/>
        <v>GREEN</v>
      </c>
      <c r="BD43" s="13"/>
      <c r="BE43" s="13"/>
      <c r="BF43" s="13"/>
      <c r="BG43" s="13"/>
      <c r="BH43" s="13"/>
      <c r="BS43" s="13"/>
      <c r="BT43" s="13"/>
    </row>
    <row r="44" ht="15.75" customHeight="1">
      <c r="H44" s="1354" t="s">
        <v>520</v>
      </c>
      <c r="I44" s="365" t="s">
        <v>1125</v>
      </c>
      <c r="J44" s="1366" t="s">
        <v>493</v>
      </c>
      <c r="K44" s="13" t="s">
        <v>497</v>
      </c>
      <c r="L44" s="201"/>
      <c r="AB44" s="1359" t="s">
        <v>1120</v>
      </c>
      <c r="AC44" s="554"/>
      <c r="AD44" s="1359" t="s">
        <v>1125</v>
      </c>
      <c r="AE44" s="554"/>
      <c r="AF44" s="1359" t="s">
        <v>1126</v>
      </c>
      <c r="AG44" s="554"/>
      <c r="AH44" s="1359" t="s">
        <v>1127</v>
      </c>
      <c r="AI44" s="554"/>
      <c r="AJ44" s="1359" t="s">
        <v>1128</v>
      </c>
      <c r="AK44" s="554"/>
      <c r="AZ44" s="1479" t="str">
        <f t="shared" ref="AZ44:BA44" si="104">AD38</f>
        <v>P3</v>
      </c>
      <c r="BA44" s="1479" t="str">
        <f t="shared" si="104"/>
        <v>P5</v>
      </c>
      <c r="BB44" s="1479" t="str">
        <f t="shared" ref="BB44:BC44" si="105">INDEX($X$4:$X$13, MATCH(AZ44,$Z$4:$Z$13,0))</f>
        <v>DECOUPES</v>
      </c>
      <c r="BC44" s="1479" t="str">
        <f t="shared" si="105"/>
        <v>SAVAGES</v>
      </c>
      <c r="BS44" s="13"/>
    </row>
    <row r="45" ht="15.75" customHeight="1">
      <c r="H45" s="1354" t="s">
        <v>520</v>
      </c>
      <c r="I45" s="698" t="s">
        <v>1126</v>
      </c>
      <c r="J45" s="13" t="s">
        <v>578</v>
      </c>
      <c r="K45" s="13" t="s">
        <v>478</v>
      </c>
      <c r="L45" s="201"/>
      <c r="AB45" s="1362" t="s">
        <v>645</v>
      </c>
      <c r="AC45" s="705" t="s">
        <v>646</v>
      </c>
      <c r="AD45" s="1362" t="s">
        <v>645</v>
      </c>
      <c r="AE45" s="705" t="s">
        <v>646</v>
      </c>
      <c r="AF45" s="1362" t="s">
        <v>645</v>
      </c>
      <c r="AG45" s="705" t="s">
        <v>646</v>
      </c>
      <c r="AH45" s="1362" t="s">
        <v>645</v>
      </c>
      <c r="AI45" s="705" t="s">
        <v>646</v>
      </c>
      <c r="AJ45" s="1362" t="s">
        <v>645</v>
      </c>
      <c r="AK45" s="705" t="s">
        <v>646</v>
      </c>
      <c r="AZ45" s="1479" t="str">
        <f t="shared" ref="AZ45:BA45" si="106">AF38</f>
        <v>E4</v>
      </c>
      <c r="BA45" s="1479" t="str">
        <f t="shared" si="106"/>
        <v>E2</v>
      </c>
      <c r="BB45" s="1479" t="str">
        <f t="shared" ref="BB45:BC45" si="107">INDEX($X$4:$X$13, MATCH(AZ45,$Z$4:$Z$13,0))</f>
        <v>METAMOOKDAWGS</v>
      </c>
      <c r="BC45" s="1479" t="str">
        <f t="shared" si="107"/>
        <v>EAGLES</v>
      </c>
      <c r="BS45" s="13"/>
    </row>
    <row r="46" ht="15.75" customHeight="1">
      <c r="H46" s="1354" t="s">
        <v>520</v>
      </c>
      <c r="I46" s="698" t="s">
        <v>1127</v>
      </c>
      <c r="J46" s="13" t="s">
        <v>538</v>
      </c>
      <c r="K46" s="13" t="s">
        <v>536</v>
      </c>
      <c r="L46" s="201"/>
      <c r="AB46" s="1388" t="s">
        <v>1115</v>
      </c>
      <c r="AC46" s="1389" t="s">
        <v>1109</v>
      </c>
      <c r="AD46" s="1388" t="s">
        <v>1117</v>
      </c>
      <c r="AE46" s="1389" t="s">
        <v>1110</v>
      </c>
      <c r="AF46" s="1496" t="s">
        <v>1111</v>
      </c>
      <c r="AG46" s="1497" t="s">
        <v>1116</v>
      </c>
      <c r="AH46" s="1448" t="s">
        <v>1118</v>
      </c>
      <c r="AI46" s="1449" t="s">
        <v>1112</v>
      </c>
      <c r="AJ46" s="1388" t="s">
        <v>1114</v>
      </c>
      <c r="AK46" s="1389" t="s">
        <v>1113</v>
      </c>
      <c r="AZ46" s="1479" t="str">
        <f t="shared" ref="AZ46:BA46" si="108">AH38</f>
        <v>E3</v>
      </c>
      <c r="BA46" s="1479" t="str">
        <f t="shared" si="108"/>
        <v>E5</v>
      </c>
      <c r="BB46" s="1479" t="str">
        <f t="shared" ref="BB46:BC46" si="109">INDEX($X$4:$X$13, MATCH(AZ46,$Z$4:$Z$13,0))</f>
        <v>MUTTS</v>
      </c>
      <c r="BC46" s="1479" t="str">
        <f t="shared" si="109"/>
        <v>CHAMPS</v>
      </c>
      <c r="BS46" s="13"/>
    </row>
    <row r="47" ht="15.75" customHeight="1">
      <c r="H47" s="1373" t="s">
        <v>520</v>
      </c>
      <c r="I47" s="1193" t="s">
        <v>1128</v>
      </c>
      <c r="J47" s="13" t="s">
        <v>477</v>
      </c>
      <c r="K47" s="13" t="s">
        <v>537</v>
      </c>
      <c r="L47" s="201"/>
      <c r="AB47" s="1350" t="s">
        <v>523</v>
      </c>
      <c r="AC47" s="1351"/>
      <c r="AD47" s="1351"/>
      <c r="AE47" s="1351"/>
      <c r="AF47" s="1351"/>
      <c r="AG47" s="1351"/>
      <c r="AH47" s="1351"/>
      <c r="AI47" s="1351"/>
      <c r="AJ47" s="1351"/>
      <c r="AK47" s="1352"/>
      <c r="AZ47" s="1479" t="str">
        <f t="shared" ref="AZ47:BA47" si="110">AJ38</f>
        <v>P1</v>
      </c>
      <c r="BA47" s="1479" t="str">
        <f t="shared" si="110"/>
        <v>E1</v>
      </c>
      <c r="BB47" s="1479" t="str">
        <f t="shared" ref="BB47:BC47" si="111">INDEX($X$4:$X$13, MATCH(AZ47,$Z$4:$Z$13,0))</f>
        <v>KINGS</v>
      </c>
      <c r="BC47" s="1479" t="str">
        <f t="shared" si="111"/>
        <v>YARDIES</v>
      </c>
      <c r="BL47" s="314"/>
      <c r="BN47" s="314"/>
      <c r="BP47" s="314"/>
      <c r="BR47" s="314"/>
      <c r="BS47" s="13"/>
    </row>
    <row r="48" ht="15.75" customHeight="1">
      <c r="H48" s="1379" t="s">
        <v>521</v>
      </c>
      <c r="I48" s="645" t="s">
        <v>1120</v>
      </c>
      <c r="J48" s="13" t="s">
        <v>477</v>
      </c>
      <c r="K48" s="13" t="s">
        <v>536</v>
      </c>
      <c r="L48" s="1338"/>
      <c r="AB48" s="1359" t="s">
        <v>1120</v>
      </c>
      <c r="AC48" s="554"/>
      <c r="AD48" s="1359" t="s">
        <v>1125</v>
      </c>
      <c r="AE48" s="554"/>
      <c r="AF48" s="1359" t="s">
        <v>1126</v>
      </c>
      <c r="AG48" s="554"/>
      <c r="AH48" s="1359" t="s">
        <v>1127</v>
      </c>
      <c r="AI48" s="554"/>
      <c r="AJ48" s="1359" t="s">
        <v>1128</v>
      </c>
      <c r="AK48" s="554"/>
      <c r="AY48" s="313" t="s">
        <v>521</v>
      </c>
      <c r="AZ48" s="13" t="str">
        <f t="shared" ref="AZ48:BA48" si="112">AB42</f>
        <v>P1</v>
      </c>
      <c r="BA48" s="13" t="str">
        <f t="shared" si="112"/>
        <v>E5</v>
      </c>
      <c r="BB48" s="13" t="str">
        <f t="shared" ref="BB48:BC48" si="113">INDEX($X$4:$X$13, MATCH(AZ48,$Z$4:$Z$13,0))</f>
        <v>KINGS</v>
      </c>
      <c r="BC48" s="13" t="str">
        <f t="shared" si="113"/>
        <v>CHAMPS</v>
      </c>
      <c r="BL48" s="13"/>
      <c r="BM48" s="13"/>
      <c r="BN48" s="13"/>
      <c r="BO48" s="13"/>
      <c r="BP48" s="13"/>
      <c r="BQ48" s="13"/>
      <c r="BR48" s="13"/>
    </row>
    <row r="49" ht="15.75" customHeight="1">
      <c r="H49" s="1383" t="s">
        <v>521</v>
      </c>
      <c r="I49" s="365" t="s">
        <v>1125</v>
      </c>
      <c r="J49" s="13" t="s">
        <v>494</v>
      </c>
      <c r="K49" s="13" t="s">
        <v>537</v>
      </c>
      <c r="L49" s="1338"/>
      <c r="AB49" s="1362" t="s">
        <v>645</v>
      </c>
      <c r="AC49" s="705" t="s">
        <v>646</v>
      </c>
      <c r="AD49" s="1362" t="s">
        <v>645</v>
      </c>
      <c r="AE49" s="705" t="s">
        <v>646</v>
      </c>
      <c r="AF49" s="1362" t="s">
        <v>645</v>
      </c>
      <c r="AG49" s="705" t="s">
        <v>646</v>
      </c>
      <c r="AH49" s="1362" t="s">
        <v>645</v>
      </c>
      <c r="AI49" s="705" t="s">
        <v>646</v>
      </c>
      <c r="AJ49" s="1362" t="s">
        <v>645</v>
      </c>
      <c r="AK49" s="705" t="s">
        <v>646</v>
      </c>
      <c r="AZ49" s="13" t="str">
        <f t="shared" ref="AZ49:BA49" si="114">AD42</f>
        <v>P2</v>
      </c>
      <c r="BA49" s="13" t="str">
        <f t="shared" si="114"/>
        <v>E1</v>
      </c>
      <c r="BB49" s="13" t="str">
        <f t="shared" ref="BB49:BC49" si="115">INDEX($X$4:$X$13, MATCH(AZ49,$Z$4:$Z$13,0))</f>
        <v>POPEYES</v>
      </c>
      <c r="BC49" s="13" t="str">
        <f t="shared" si="115"/>
        <v>YARDIES</v>
      </c>
      <c r="BK49" s="13"/>
      <c r="BL49" s="13"/>
      <c r="BM49" s="13"/>
      <c r="BN49" s="13"/>
      <c r="BO49" s="13"/>
      <c r="BP49" s="13"/>
      <c r="BQ49" s="13"/>
      <c r="BR49" s="13"/>
    </row>
    <row r="50" ht="15.75" customHeight="1">
      <c r="H50" s="1383" t="s">
        <v>521</v>
      </c>
      <c r="I50" s="698" t="s">
        <v>1126</v>
      </c>
      <c r="J50" s="1366" t="s">
        <v>493</v>
      </c>
      <c r="K50" s="13" t="s">
        <v>478</v>
      </c>
      <c r="L50" s="1338"/>
      <c r="AB50" s="1451" t="s">
        <v>1109</v>
      </c>
      <c r="AC50" s="1452" t="s">
        <v>1113</v>
      </c>
      <c r="AD50" s="1426" t="s">
        <v>1112</v>
      </c>
      <c r="AE50" s="1428" t="s">
        <v>1110</v>
      </c>
      <c r="AF50" s="1388" t="s">
        <v>1111</v>
      </c>
      <c r="AG50" s="1389" t="s">
        <v>1117</v>
      </c>
      <c r="AH50" s="1451" t="s">
        <v>1114</v>
      </c>
      <c r="AI50" s="1452" t="s">
        <v>1118</v>
      </c>
      <c r="AJ50" s="1451" t="s">
        <v>1115</v>
      </c>
      <c r="AK50" s="1452" t="s">
        <v>1116</v>
      </c>
      <c r="AZ50" s="13" t="str">
        <f t="shared" ref="AZ50:BA50" si="116">AF42</f>
        <v>P3</v>
      </c>
      <c r="BA50" s="13" t="str">
        <f t="shared" si="116"/>
        <v>E2</v>
      </c>
      <c r="BB50" s="13" t="str">
        <f t="shared" ref="BB50:BC50" si="117">INDEX($X$4:$X$13, MATCH(AZ50,$Z$4:$Z$13,0))</f>
        <v>DECOUPES</v>
      </c>
      <c r="BC50" s="13" t="str">
        <f t="shared" si="117"/>
        <v>EAGLES</v>
      </c>
      <c r="BJ50" s="13"/>
      <c r="BK50" s="13"/>
      <c r="BL50" s="13"/>
      <c r="BM50" s="13"/>
      <c r="BN50" s="13"/>
      <c r="BO50" s="13"/>
      <c r="BP50" s="13"/>
      <c r="BQ50" s="13"/>
    </row>
    <row r="51" ht="15.75" customHeight="1">
      <c r="H51" s="1383" t="s">
        <v>521</v>
      </c>
      <c r="I51" s="698" t="s">
        <v>1127</v>
      </c>
      <c r="J51" s="13" t="s">
        <v>495</v>
      </c>
      <c r="K51" s="13" t="s">
        <v>578</v>
      </c>
      <c r="L51" s="1338"/>
      <c r="AB51" s="1350" t="s">
        <v>524</v>
      </c>
      <c r="AC51" s="1351"/>
      <c r="AD51" s="1351"/>
      <c r="AE51" s="1351"/>
      <c r="AF51" s="1351"/>
      <c r="AG51" s="1351"/>
      <c r="AH51" s="1351"/>
      <c r="AI51" s="1351"/>
      <c r="AJ51" s="1351"/>
      <c r="AK51" s="1352"/>
      <c r="AZ51" s="13" t="str">
        <f t="shared" ref="AZ51:BA51" si="118">AH42</f>
        <v>P4</v>
      </c>
      <c r="BA51" s="13" t="str">
        <f t="shared" si="118"/>
        <v>E4</v>
      </c>
      <c r="BB51" s="13" t="str">
        <f t="shared" ref="BB51:BC51" si="119">INDEX($X$4:$X$13, MATCH(AZ51,$Z$4:$Z$13,0))</f>
        <v>GREEN</v>
      </c>
      <c r="BC51" s="13" t="str">
        <f t="shared" si="119"/>
        <v>METAMOOKDAWGS</v>
      </c>
      <c r="BJ51" s="13"/>
      <c r="BK51" s="13"/>
      <c r="BL51" s="13"/>
      <c r="BM51" s="13"/>
      <c r="BN51" s="13"/>
      <c r="BO51" s="13"/>
      <c r="BP51" s="13"/>
      <c r="BQ51" s="13"/>
    </row>
    <row r="52" ht="15.75" customHeight="1">
      <c r="H52" s="1387" t="s">
        <v>521</v>
      </c>
      <c r="I52" s="1193" t="s">
        <v>1128</v>
      </c>
      <c r="J52" s="13" t="s">
        <v>497</v>
      </c>
      <c r="K52" s="13" t="s">
        <v>538</v>
      </c>
      <c r="L52" s="1338"/>
      <c r="AB52" s="1359" t="s">
        <v>1120</v>
      </c>
      <c r="AC52" s="554"/>
      <c r="AD52" s="1359" t="s">
        <v>1125</v>
      </c>
      <c r="AE52" s="554"/>
      <c r="AF52" s="1359" t="s">
        <v>1126</v>
      </c>
      <c r="AG52" s="554"/>
      <c r="AH52" s="1359" t="s">
        <v>1127</v>
      </c>
      <c r="AI52" s="554"/>
      <c r="AJ52" s="1359" t="s">
        <v>1128</v>
      </c>
      <c r="AK52" s="554"/>
      <c r="AZ52" s="13" t="str">
        <f t="shared" ref="AZ52:BA52" si="120">AJ42</f>
        <v>P5</v>
      </c>
      <c r="BA52" s="13" t="str">
        <f t="shared" si="120"/>
        <v>E3</v>
      </c>
      <c r="BB52" s="13" t="str">
        <f t="shared" ref="BB52:BC52" si="121">INDEX($X$4:$X$13, MATCH(AZ52,$Z$4:$Z$13,0))</f>
        <v>SAVAGES</v>
      </c>
      <c r="BC52" s="13" t="str">
        <f t="shared" si="121"/>
        <v>MUTTS</v>
      </c>
      <c r="BJ52" s="13"/>
      <c r="BK52" s="13"/>
      <c r="BL52" s="13"/>
      <c r="BM52" s="13"/>
      <c r="BN52" s="13"/>
      <c r="BO52" s="13"/>
      <c r="BP52" s="13"/>
      <c r="BQ52" s="13"/>
    </row>
    <row r="53" ht="15.75" customHeight="1">
      <c r="H53" s="1343" t="s">
        <v>522</v>
      </c>
      <c r="I53" s="645" t="s">
        <v>1120</v>
      </c>
      <c r="J53" s="13" t="s">
        <v>477</v>
      </c>
      <c r="K53" s="13" t="s">
        <v>478</v>
      </c>
      <c r="L53" s="201"/>
      <c r="AB53" s="1362" t="s">
        <v>645</v>
      </c>
      <c r="AC53" s="705" t="s">
        <v>646</v>
      </c>
      <c r="AD53" s="1362" t="s">
        <v>645</v>
      </c>
      <c r="AE53" s="705" t="s">
        <v>646</v>
      </c>
      <c r="AF53" s="1362" t="s">
        <v>645</v>
      </c>
      <c r="AG53" s="705" t="s">
        <v>646</v>
      </c>
      <c r="AH53" s="1362" t="s">
        <v>645</v>
      </c>
      <c r="AI53" s="705" t="s">
        <v>646</v>
      </c>
      <c r="AJ53" s="1362" t="s">
        <v>645</v>
      </c>
      <c r="AK53" s="705" t="s">
        <v>646</v>
      </c>
      <c r="AY53" s="1500" t="s">
        <v>522</v>
      </c>
      <c r="AZ53" s="1501" t="str">
        <f t="shared" ref="AZ53:BA53" si="122">AB46</f>
        <v>E2</v>
      </c>
      <c r="BA53" s="1501" t="str">
        <f t="shared" si="122"/>
        <v>P1</v>
      </c>
      <c r="BB53" s="1501" t="str">
        <f t="shared" ref="BB53:BC53" si="123">INDEX($X$4:$X$13, MATCH(AZ53,$Z$4:$Z$13,0))</f>
        <v>EAGLES</v>
      </c>
      <c r="BC53" s="1501" t="str">
        <f t="shared" si="123"/>
        <v>KINGS</v>
      </c>
      <c r="BI53" s="13"/>
      <c r="BJ53" s="13"/>
      <c r="BK53" s="13"/>
      <c r="BL53" s="13"/>
      <c r="BM53" s="13"/>
      <c r="BN53" s="13"/>
      <c r="BO53" s="13"/>
      <c r="BP53" s="13"/>
    </row>
    <row r="54" ht="15.75" customHeight="1">
      <c r="H54" s="1354" t="s">
        <v>522</v>
      </c>
      <c r="I54" s="365" t="s">
        <v>1125</v>
      </c>
      <c r="J54" s="13" t="s">
        <v>494</v>
      </c>
      <c r="K54" s="13" t="s">
        <v>578</v>
      </c>
      <c r="L54" s="201"/>
      <c r="AB54" s="1426" t="s">
        <v>1110</v>
      </c>
      <c r="AC54" s="1428" t="s">
        <v>1109</v>
      </c>
      <c r="AD54" s="1426" t="s">
        <v>1113</v>
      </c>
      <c r="AE54" s="1428" t="s">
        <v>1111</v>
      </c>
      <c r="AF54" s="1388" t="s">
        <v>1116</v>
      </c>
      <c r="AG54" s="1389" t="s">
        <v>1112</v>
      </c>
      <c r="AH54" s="1451" t="s">
        <v>1114</v>
      </c>
      <c r="AI54" s="1452" t="s">
        <v>1115</v>
      </c>
      <c r="AJ54" s="1426" t="s">
        <v>1118</v>
      </c>
      <c r="AK54" s="1428" t="s">
        <v>1117</v>
      </c>
      <c r="AZ54" s="1501" t="str">
        <f t="shared" ref="AZ54:BA54" si="124">AD46</f>
        <v>E4</v>
      </c>
      <c r="BA54" s="1501" t="str">
        <f t="shared" si="124"/>
        <v>P2</v>
      </c>
      <c r="BB54" s="1501" t="str">
        <f t="shared" ref="BB54:BC54" si="125">INDEX($X$4:$X$13, MATCH(AZ54,$Z$4:$Z$13,0))</f>
        <v>METAMOOKDAWGS</v>
      </c>
      <c r="BC54" s="1501" t="str">
        <f t="shared" si="125"/>
        <v>POPEYES</v>
      </c>
      <c r="BI54" s="13"/>
      <c r="BJ54" s="13"/>
      <c r="BK54" s="13"/>
      <c r="BL54" s="13"/>
      <c r="BM54" s="13"/>
      <c r="BN54" s="13"/>
      <c r="BO54" s="13"/>
      <c r="BR54" s="13"/>
    </row>
    <row r="55" ht="15.75" customHeight="1">
      <c r="H55" s="1354" t="s">
        <v>522</v>
      </c>
      <c r="I55" s="698" t="s">
        <v>1126</v>
      </c>
      <c r="J55" s="13" t="s">
        <v>493</v>
      </c>
      <c r="K55" s="13" t="s">
        <v>538</v>
      </c>
      <c r="L55" s="201"/>
      <c r="AB55" s="1350" t="s">
        <v>525</v>
      </c>
      <c r="AC55" s="1351"/>
      <c r="AD55" s="1351"/>
      <c r="AE55" s="1351"/>
      <c r="AF55" s="1351"/>
      <c r="AG55" s="1351"/>
      <c r="AH55" s="1351"/>
      <c r="AI55" s="1351"/>
      <c r="AJ55" s="1351"/>
      <c r="AK55" s="1352"/>
      <c r="AZ55" s="1501" t="str">
        <f t="shared" ref="AZ55:BA55" si="126">AF46</f>
        <v>P3</v>
      </c>
      <c r="BA55" s="1501" t="str">
        <f t="shared" si="126"/>
        <v>E3</v>
      </c>
      <c r="BB55" s="1501" t="str">
        <f t="shared" ref="BB55:BC55" si="127">INDEX($X$4:$X$13, MATCH(AZ55,$Z$4:$Z$13,0))</f>
        <v>DECOUPES</v>
      </c>
      <c r="BC55" s="1501" t="str">
        <f t="shared" si="127"/>
        <v>MUTTS</v>
      </c>
      <c r="BI55" s="13"/>
      <c r="BJ55" s="13"/>
      <c r="BK55" s="13"/>
      <c r="BL55" s="13"/>
      <c r="BM55" s="13"/>
      <c r="BN55" s="13"/>
      <c r="BQ55" s="13"/>
      <c r="BR55" s="13"/>
    </row>
    <row r="56" ht="15.75" customHeight="1">
      <c r="H56" s="1354" t="s">
        <v>522</v>
      </c>
      <c r="I56" s="698" t="s">
        <v>1127</v>
      </c>
      <c r="J56" s="1366" t="s">
        <v>495</v>
      </c>
      <c r="K56" s="13" t="s">
        <v>536</v>
      </c>
      <c r="L56" s="201"/>
      <c r="AB56" s="1359" t="s">
        <v>1120</v>
      </c>
      <c r="AC56" s="554"/>
      <c r="AD56" s="1359" t="s">
        <v>1125</v>
      </c>
      <c r="AE56" s="554"/>
      <c r="AF56" s="1359" t="s">
        <v>1126</v>
      </c>
      <c r="AG56" s="554"/>
      <c r="AH56" s="1359" t="s">
        <v>1127</v>
      </c>
      <c r="AI56" s="554"/>
      <c r="AJ56" s="1359" t="s">
        <v>1128</v>
      </c>
      <c r="AK56" s="554"/>
      <c r="AZ56" s="1501" t="str">
        <f t="shared" ref="AZ56:BA56" si="128">AH46</f>
        <v>E5</v>
      </c>
      <c r="BA56" s="1501" t="str">
        <f t="shared" si="128"/>
        <v>P4</v>
      </c>
      <c r="BB56" s="1501" t="str">
        <f t="shared" ref="BB56:BC56" si="129">INDEX($X$4:$X$13, MATCH(AZ56,$Z$4:$Z$13,0))</f>
        <v>CHAMPS</v>
      </c>
      <c r="BC56" s="1501" t="str">
        <f t="shared" si="129"/>
        <v>GREEN</v>
      </c>
      <c r="BI56" s="13"/>
      <c r="BJ56" s="13"/>
      <c r="BK56" s="13"/>
      <c r="BL56" s="13"/>
      <c r="BM56" s="13"/>
      <c r="BP56" s="13"/>
      <c r="BQ56" s="13"/>
      <c r="BR56" s="13"/>
    </row>
    <row r="57" ht="15.75" customHeight="1">
      <c r="H57" s="1373" t="s">
        <v>522</v>
      </c>
      <c r="I57" s="1193" t="s">
        <v>1128</v>
      </c>
      <c r="J57" s="13" t="s">
        <v>497</v>
      </c>
      <c r="K57" s="13" t="s">
        <v>537</v>
      </c>
      <c r="L57" s="201"/>
      <c r="AB57" s="1362" t="s">
        <v>645</v>
      </c>
      <c r="AC57" s="705" t="s">
        <v>646</v>
      </c>
      <c r="AD57" s="1362" t="s">
        <v>645</v>
      </c>
      <c r="AE57" s="705" t="s">
        <v>646</v>
      </c>
      <c r="AF57" s="1362" t="s">
        <v>645</v>
      </c>
      <c r="AG57" s="705" t="s">
        <v>646</v>
      </c>
      <c r="AH57" s="1362" t="s">
        <v>645</v>
      </c>
      <c r="AI57" s="705" t="s">
        <v>646</v>
      </c>
      <c r="AJ57" s="1362" t="s">
        <v>645</v>
      </c>
      <c r="AK57" s="705" t="s">
        <v>646</v>
      </c>
      <c r="AZ57" s="1501" t="str">
        <f t="shared" ref="AZ57:BA57" si="130">AJ46</f>
        <v>E1</v>
      </c>
      <c r="BA57" s="1501" t="str">
        <f t="shared" si="130"/>
        <v>P5</v>
      </c>
      <c r="BB57" s="1501" t="str">
        <f t="shared" ref="BB57:BC57" si="131">INDEX($X$4:$X$13, MATCH(AZ57,$Z$4:$Z$13,0))</f>
        <v>YARDIES</v>
      </c>
      <c r="BC57" s="1501" t="str">
        <f t="shared" si="131"/>
        <v>SAVAGES</v>
      </c>
      <c r="BI57" s="13"/>
      <c r="BJ57" s="13"/>
      <c r="BK57" s="13"/>
      <c r="BL57" s="13"/>
      <c r="BM57" s="13"/>
      <c r="BP57" s="13"/>
      <c r="BQ57" s="13"/>
      <c r="BR57" s="13"/>
    </row>
    <row r="58" ht="15.75" customHeight="1">
      <c r="H58" s="1379" t="s">
        <v>523</v>
      </c>
      <c r="I58" s="645" t="s">
        <v>1120</v>
      </c>
      <c r="J58" s="13" t="s">
        <v>477</v>
      </c>
      <c r="K58" s="13" t="s">
        <v>497</v>
      </c>
      <c r="L58" s="1338"/>
      <c r="AB58" s="1426" t="s">
        <v>1109</v>
      </c>
      <c r="AC58" s="1428" t="s">
        <v>1112</v>
      </c>
      <c r="AD58" s="1426" t="s">
        <v>1111</v>
      </c>
      <c r="AE58" s="1428" t="s">
        <v>1110</v>
      </c>
      <c r="AF58" s="1388" t="s">
        <v>1118</v>
      </c>
      <c r="AG58" s="1389" t="s">
        <v>1113</v>
      </c>
      <c r="AH58" s="1426" t="s">
        <v>1116</v>
      </c>
      <c r="AI58" s="1428" t="s">
        <v>1114</v>
      </c>
      <c r="AJ58" s="1451" t="s">
        <v>1115</v>
      </c>
      <c r="AK58" s="1452" t="s">
        <v>1117</v>
      </c>
      <c r="AY58" s="313" t="s">
        <v>523</v>
      </c>
      <c r="AZ58" s="13" t="str">
        <f t="shared" ref="AZ58:BA58" si="132">AB50</f>
        <v>P1</v>
      </c>
      <c r="BA58" s="13" t="str">
        <f t="shared" si="132"/>
        <v>P5</v>
      </c>
      <c r="BB58" s="13" t="str">
        <f t="shared" ref="BB58:BC58" si="133">INDEX($X$4:$X$13, MATCH(AZ58,$Z$4:$Z$13,0))</f>
        <v>KINGS</v>
      </c>
      <c r="BC58" s="13" t="str">
        <f t="shared" si="133"/>
        <v>SAVAGES</v>
      </c>
      <c r="BI58" s="13"/>
      <c r="BJ58" s="13"/>
      <c r="BK58" s="13"/>
      <c r="BL58" s="13"/>
      <c r="BM58" s="13"/>
      <c r="BP58" s="13"/>
      <c r="BQ58" s="13"/>
      <c r="BR58" s="13"/>
    </row>
    <row r="59" ht="15.75" customHeight="1">
      <c r="H59" s="1383" t="s">
        <v>523</v>
      </c>
      <c r="I59" s="365" t="s">
        <v>1125</v>
      </c>
      <c r="J59" s="13" t="s">
        <v>494</v>
      </c>
      <c r="K59" s="13" t="s">
        <v>495</v>
      </c>
      <c r="L59" s="1338"/>
      <c r="AZ59" s="13" t="str">
        <f t="shared" ref="AZ59:BA59" si="134">AD50</f>
        <v>P4</v>
      </c>
      <c r="BA59" s="13" t="str">
        <f t="shared" si="134"/>
        <v>P2</v>
      </c>
      <c r="BB59" s="13" t="str">
        <f t="shared" ref="BB59:BC59" si="135">INDEX($X$4:$X$13, MATCH(AZ59,$Z$4:$Z$13,0))</f>
        <v>GREEN</v>
      </c>
      <c r="BC59" s="13" t="str">
        <f t="shared" si="135"/>
        <v>POPEYES</v>
      </c>
      <c r="BI59" s="13"/>
      <c r="BJ59" s="13"/>
      <c r="BK59" s="13"/>
      <c r="BL59" s="13"/>
      <c r="BO59" s="13"/>
      <c r="BP59" s="13"/>
      <c r="BQ59" s="13"/>
      <c r="BR59" s="13"/>
    </row>
    <row r="60" ht="15.75" customHeight="1">
      <c r="A60" s="13" t="s">
        <v>1153</v>
      </c>
      <c r="H60" s="1383" t="s">
        <v>523</v>
      </c>
      <c r="I60" s="698" t="s">
        <v>1126</v>
      </c>
      <c r="J60" s="13" t="s">
        <v>493</v>
      </c>
      <c r="K60" s="13" t="s">
        <v>578</v>
      </c>
      <c r="L60" s="1338"/>
      <c r="AZ60" s="13" t="str">
        <f t="shared" ref="AZ60:BA60" si="136">AF50</f>
        <v>P3</v>
      </c>
      <c r="BA60" s="13" t="str">
        <f t="shared" si="136"/>
        <v>E4</v>
      </c>
      <c r="BB60" s="13" t="str">
        <f t="shared" ref="BB60:BC60" si="137">INDEX($X$4:$X$13, MATCH(AZ60,$Z$4:$Z$13,0))</f>
        <v>DECOUPES</v>
      </c>
      <c r="BC60" s="13" t="str">
        <f t="shared" si="137"/>
        <v>METAMOOKDAWGS</v>
      </c>
      <c r="BI60" s="13"/>
      <c r="BJ60" s="13"/>
      <c r="BK60" s="13"/>
      <c r="BN60" s="13"/>
      <c r="BO60" s="13"/>
      <c r="BP60" s="13"/>
      <c r="BQ60" s="13"/>
      <c r="BR60" s="13"/>
    </row>
    <row r="61" ht="15.75" customHeight="1">
      <c r="A61" s="13" t="s">
        <v>1154</v>
      </c>
      <c r="H61" s="1383" t="s">
        <v>523</v>
      </c>
      <c r="I61" s="698" t="s">
        <v>1127</v>
      </c>
      <c r="J61" s="1366" t="s">
        <v>537</v>
      </c>
      <c r="K61" s="13" t="s">
        <v>536</v>
      </c>
      <c r="L61" s="1338"/>
      <c r="AZ61" s="13" t="str">
        <f t="shared" ref="AZ61:BA61" si="138">AH50</f>
        <v>E1</v>
      </c>
      <c r="BA61" s="13" t="str">
        <f t="shared" si="138"/>
        <v>E5</v>
      </c>
      <c r="BB61" s="13" t="str">
        <f t="shared" ref="BB61:BC61" si="139">INDEX($X$4:$X$13, MATCH(AZ61,$Z$4:$Z$13,0))</f>
        <v>YARDIES</v>
      </c>
      <c r="BC61" s="13" t="str">
        <f t="shared" si="139"/>
        <v>CHAMPS</v>
      </c>
      <c r="BI61" s="13"/>
      <c r="BJ61" s="13"/>
      <c r="BM61" s="13"/>
      <c r="BN61" s="13"/>
      <c r="BO61" s="13"/>
      <c r="BP61" s="13"/>
      <c r="BQ61" s="13"/>
      <c r="BR61" s="13"/>
    </row>
    <row r="62" ht="15.75" customHeight="1">
      <c r="H62" s="1387" t="s">
        <v>523</v>
      </c>
      <c r="I62" s="1193" t="s">
        <v>1128</v>
      </c>
      <c r="J62" s="13" t="s">
        <v>478</v>
      </c>
      <c r="K62" s="13" t="s">
        <v>538</v>
      </c>
      <c r="L62" s="1338"/>
      <c r="AZ62" s="13" t="str">
        <f t="shared" ref="AZ62:BA62" si="140">AJ50</f>
        <v>E2</v>
      </c>
      <c r="BA62" s="13" t="str">
        <f t="shared" si="140"/>
        <v>E3</v>
      </c>
      <c r="BB62" s="13" t="str">
        <f t="shared" ref="BB62:BC62" si="141">INDEX($X$4:$X$13, MATCH(AZ62,$Z$4:$Z$13,0))</f>
        <v>EAGLES</v>
      </c>
      <c r="BC62" s="13" t="str">
        <f t="shared" si="141"/>
        <v>MUTTS</v>
      </c>
    </row>
    <row r="63" ht="15.75" customHeight="1">
      <c r="H63" s="1400" t="s">
        <v>524</v>
      </c>
      <c r="I63" s="645" t="s">
        <v>1120</v>
      </c>
      <c r="J63" s="13" t="s">
        <v>477</v>
      </c>
      <c r="K63" s="13" t="s">
        <v>494</v>
      </c>
      <c r="L63" s="201"/>
      <c r="AY63" s="1504" t="s">
        <v>524</v>
      </c>
      <c r="AZ63" s="1505" t="str">
        <f t="shared" ref="AZ63:BA63" si="142">AB54</f>
        <v>P2</v>
      </c>
      <c r="BA63" s="1505" t="str">
        <f t="shared" si="142"/>
        <v>P1</v>
      </c>
      <c r="BB63" s="1505" t="str">
        <f t="shared" ref="BB63:BC63" si="143">INDEX($X$4:$X$13, MATCH(AZ63,$Z$4:$Z$13,0))</f>
        <v>POPEYES</v>
      </c>
      <c r="BC63" s="1505" t="str">
        <f t="shared" si="143"/>
        <v>KINGS</v>
      </c>
    </row>
    <row r="64" ht="15.75" customHeight="1">
      <c r="H64" s="1402" t="s">
        <v>524</v>
      </c>
      <c r="I64" s="365" t="s">
        <v>1125</v>
      </c>
      <c r="J64" s="13" t="s">
        <v>493</v>
      </c>
      <c r="K64" s="13" t="s">
        <v>497</v>
      </c>
      <c r="L64" s="201"/>
      <c r="AZ64" s="1505" t="str">
        <f t="shared" ref="AZ64:BA64" si="144">AD54</f>
        <v>P5</v>
      </c>
      <c r="BA64" s="1505" t="str">
        <f t="shared" si="144"/>
        <v>P3</v>
      </c>
      <c r="BB64" s="1505" t="str">
        <f t="shared" ref="BB64:BC64" si="145">INDEX($X$4:$X$13, MATCH(AZ64,$Z$4:$Z$13,0))</f>
        <v>SAVAGES</v>
      </c>
      <c r="BC64" s="1505" t="str">
        <f t="shared" si="145"/>
        <v>DECOUPES</v>
      </c>
    </row>
    <row r="65" ht="15.75" customHeight="1">
      <c r="H65" s="1402" t="s">
        <v>524</v>
      </c>
      <c r="I65" s="698" t="s">
        <v>1126</v>
      </c>
      <c r="J65" s="13" t="s">
        <v>495</v>
      </c>
      <c r="K65" s="13" t="s">
        <v>538</v>
      </c>
      <c r="L65" s="201"/>
      <c r="AZ65" s="1505" t="str">
        <f t="shared" ref="AZ65:BA65" si="146">AF54</f>
        <v>E3</v>
      </c>
      <c r="BA65" s="1505" t="str">
        <f t="shared" si="146"/>
        <v>P4</v>
      </c>
      <c r="BB65" s="1505" t="str">
        <f t="shared" ref="BB65:BC65" si="147">INDEX($X$4:$X$13, MATCH(AZ65,$Z$4:$Z$13,0))</f>
        <v>MUTTS</v>
      </c>
      <c r="BC65" s="1505" t="str">
        <f t="shared" si="147"/>
        <v>GREEN</v>
      </c>
    </row>
    <row r="66" ht="15.75" customHeight="1">
      <c r="H66" s="1402" t="s">
        <v>524</v>
      </c>
      <c r="I66" s="698" t="s">
        <v>1127</v>
      </c>
      <c r="J66" s="13" t="s">
        <v>537</v>
      </c>
      <c r="K66" s="13" t="s">
        <v>478</v>
      </c>
      <c r="L66" s="201"/>
      <c r="AZ66" s="1505" t="str">
        <f t="shared" ref="AZ66:BA66" si="148">AH54</f>
        <v>E1</v>
      </c>
      <c r="BA66" s="1505" t="str">
        <f t="shared" si="148"/>
        <v>E2</v>
      </c>
      <c r="BB66" s="1505" t="str">
        <f t="shared" ref="BB66:BC66" si="149">INDEX($X$4:$X$13, MATCH(AZ66,$Z$4:$Z$13,0))</f>
        <v>YARDIES</v>
      </c>
      <c r="BC66" s="1505" t="str">
        <f t="shared" si="149"/>
        <v>EAGLES</v>
      </c>
    </row>
    <row r="67" ht="15.75" customHeight="1">
      <c r="H67" s="1408" t="s">
        <v>524</v>
      </c>
      <c r="I67" s="1193" t="s">
        <v>1128</v>
      </c>
      <c r="J67" s="1366" t="s">
        <v>578</v>
      </c>
      <c r="K67" s="13" t="s">
        <v>536</v>
      </c>
      <c r="L67" s="201"/>
      <c r="AZ67" s="1505" t="str">
        <f t="shared" ref="AZ67:BA67" si="150">AJ54</f>
        <v>E5</v>
      </c>
      <c r="BA67" s="1505" t="str">
        <f t="shared" si="150"/>
        <v>E4</v>
      </c>
      <c r="BB67" s="1505" t="str">
        <f t="shared" ref="BB67:BC67" si="151">INDEX($X$4:$X$13, MATCH(AZ67,$Z$4:$Z$13,0))</f>
        <v>CHAMPS</v>
      </c>
      <c r="BC67" s="1505" t="str">
        <f t="shared" si="151"/>
        <v>METAMOOKDAWGS</v>
      </c>
    </row>
    <row r="68" ht="15.75" customHeight="1">
      <c r="H68" s="1379" t="s">
        <v>525</v>
      </c>
      <c r="I68" s="645" t="s">
        <v>1120</v>
      </c>
      <c r="J68" s="1366" t="s">
        <v>477</v>
      </c>
      <c r="K68" s="13" t="s">
        <v>495</v>
      </c>
      <c r="L68" s="1338"/>
      <c r="AB68" s="1350" t="s">
        <v>516</v>
      </c>
      <c r="AC68" s="1351"/>
      <c r="AD68" s="1351"/>
      <c r="AE68" s="1351"/>
      <c r="AF68" s="1351"/>
      <c r="AG68" s="1351"/>
      <c r="AH68" s="1351"/>
      <c r="AI68" s="1351"/>
      <c r="AJ68" s="1351"/>
      <c r="AK68" s="1352"/>
      <c r="AY68" s="313" t="s">
        <v>525</v>
      </c>
      <c r="AZ68" s="13" t="str">
        <f t="shared" ref="AZ68:BA68" si="152">AB58</f>
        <v>P1</v>
      </c>
      <c r="BA68" s="13" t="str">
        <f t="shared" si="152"/>
        <v>P4</v>
      </c>
      <c r="BB68" s="13" t="str">
        <f t="shared" ref="BB68:BC68" si="153">INDEX($X$4:$X$13, MATCH(AZ68,$Z$4:$Z$13,0))</f>
        <v>KINGS</v>
      </c>
      <c r="BC68" s="13" t="str">
        <f t="shared" si="153"/>
        <v>GREEN</v>
      </c>
    </row>
    <row r="69" ht="15.75" customHeight="1">
      <c r="H69" s="1383" t="s">
        <v>525</v>
      </c>
      <c r="I69" s="365" t="s">
        <v>1125</v>
      </c>
      <c r="J69" s="13" t="s">
        <v>494</v>
      </c>
      <c r="K69" s="13" t="s">
        <v>493</v>
      </c>
      <c r="L69" s="1338"/>
      <c r="AB69" s="1359" t="s">
        <v>1120</v>
      </c>
      <c r="AC69" s="554"/>
      <c r="AD69" s="1359" t="s">
        <v>1125</v>
      </c>
      <c r="AE69" s="554"/>
      <c r="AF69" s="1359" t="s">
        <v>1126</v>
      </c>
      <c r="AG69" s="554"/>
      <c r="AH69" s="1359" t="s">
        <v>1127</v>
      </c>
      <c r="AI69" s="554"/>
      <c r="AJ69" s="1359" t="s">
        <v>1128</v>
      </c>
      <c r="AK69" s="554"/>
      <c r="AZ69" s="13" t="str">
        <f t="shared" ref="AZ69:BA69" si="154">AD58</f>
        <v>P3</v>
      </c>
      <c r="BA69" s="13" t="str">
        <f t="shared" si="154"/>
        <v>P2</v>
      </c>
      <c r="BB69" s="13" t="str">
        <f t="shared" ref="BB69:BC69" si="155">INDEX($X$4:$X$13, MATCH(AZ69,$Z$4:$Z$13,0))</f>
        <v>DECOUPES</v>
      </c>
      <c r="BC69" s="13" t="str">
        <f t="shared" si="155"/>
        <v>POPEYES</v>
      </c>
    </row>
    <row r="70" ht="15.75" customHeight="1">
      <c r="H70" s="1383" t="s">
        <v>525</v>
      </c>
      <c r="I70" s="698" t="s">
        <v>1126</v>
      </c>
      <c r="J70" s="13" t="s">
        <v>497</v>
      </c>
      <c r="K70" s="13" t="s">
        <v>536</v>
      </c>
      <c r="L70" s="1338"/>
      <c r="AB70" s="1362" t="s">
        <v>645</v>
      </c>
      <c r="AC70" s="705" t="s">
        <v>646</v>
      </c>
      <c r="AD70" s="1362" t="s">
        <v>645</v>
      </c>
      <c r="AE70" s="705" t="s">
        <v>646</v>
      </c>
      <c r="AF70" s="1362" t="s">
        <v>645</v>
      </c>
      <c r="AG70" s="705" t="s">
        <v>646</v>
      </c>
      <c r="AH70" s="1362" t="s">
        <v>645</v>
      </c>
      <c r="AI70" s="705" t="s">
        <v>646</v>
      </c>
      <c r="AJ70" s="1362" t="s">
        <v>645</v>
      </c>
      <c r="AK70" s="705" t="s">
        <v>646</v>
      </c>
      <c r="AZ70" s="13" t="str">
        <f t="shared" ref="AZ70:BA70" si="156">AF58</f>
        <v>E5</v>
      </c>
      <c r="BA70" s="13" t="str">
        <f t="shared" si="156"/>
        <v>P5</v>
      </c>
      <c r="BB70" s="13" t="str">
        <f t="shared" ref="BB70:BC70" si="157">INDEX($X$4:$X$13, MATCH(AZ70,$Z$4:$Z$13,0))</f>
        <v>CHAMPS</v>
      </c>
      <c r="BC70" s="13" t="str">
        <f t="shared" si="157"/>
        <v>SAVAGES</v>
      </c>
    </row>
    <row r="71" ht="15.75" customHeight="1">
      <c r="H71" s="1383" t="s">
        <v>525</v>
      </c>
      <c r="I71" s="698" t="s">
        <v>1127</v>
      </c>
      <c r="J71" s="13" t="s">
        <v>537</v>
      </c>
      <c r="K71" s="13" t="s">
        <v>538</v>
      </c>
      <c r="L71" s="1338"/>
      <c r="AB71" s="720" t="s">
        <v>1109</v>
      </c>
      <c r="AC71" s="724" t="s">
        <v>1110</v>
      </c>
      <c r="AD71" s="720" t="s">
        <v>1111</v>
      </c>
      <c r="AE71" s="724" t="s">
        <v>1113</v>
      </c>
      <c r="AF71" s="720" t="s">
        <v>1114</v>
      </c>
      <c r="AG71" s="724" t="s">
        <v>1115</v>
      </c>
      <c r="AH71" s="720" t="s">
        <v>1117</v>
      </c>
      <c r="AI71" s="724" t="s">
        <v>1118</v>
      </c>
      <c r="AJ71" s="1414" t="s">
        <v>1112</v>
      </c>
      <c r="AK71" s="1416" t="s">
        <v>1116</v>
      </c>
      <c r="AZ71" s="13" t="str">
        <f t="shared" ref="AZ71:BA71" si="158">AH58</f>
        <v>E3</v>
      </c>
      <c r="BA71" s="13" t="str">
        <f t="shared" si="158"/>
        <v>E1</v>
      </c>
      <c r="BB71" s="13" t="str">
        <f t="shared" ref="BB71:BC71" si="159">INDEX($X$4:$X$13, MATCH(AZ71,$Z$4:$Z$13,0))</f>
        <v>MUTTS</v>
      </c>
      <c r="BC71" s="13" t="str">
        <f t="shared" si="159"/>
        <v>YARDIES</v>
      </c>
    </row>
    <row r="72" ht="15.75" customHeight="1">
      <c r="H72" s="1387" t="s">
        <v>525</v>
      </c>
      <c r="I72" s="1193" t="s">
        <v>1128</v>
      </c>
      <c r="J72" s="13" t="s">
        <v>478</v>
      </c>
      <c r="K72" s="13" t="s">
        <v>578</v>
      </c>
      <c r="L72" s="1338"/>
      <c r="AB72" s="1350" t="s">
        <v>517</v>
      </c>
      <c r="AC72" s="1351"/>
      <c r="AD72" s="1351"/>
      <c r="AE72" s="1351"/>
      <c r="AF72" s="1351"/>
      <c r="AG72" s="1351"/>
      <c r="AH72" s="1351"/>
      <c r="AI72" s="1351"/>
      <c r="AJ72" s="1351"/>
      <c r="AK72" s="1352"/>
      <c r="AZ72" s="13" t="str">
        <f t="shared" ref="AZ72:BA72" si="160">AJ58</f>
        <v>E2</v>
      </c>
      <c r="BA72" s="13" t="str">
        <f t="shared" si="160"/>
        <v>E4</v>
      </c>
      <c r="BB72" s="13" t="str">
        <f t="shared" ref="BB72:BC72" si="161">INDEX($X$4:$X$13, MATCH(AZ72,$Z$4:$Z$13,0))</f>
        <v>EAGLES</v>
      </c>
      <c r="BC72" s="13" t="str">
        <f t="shared" si="161"/>
        <v>METAMOOKDAWGS</v>
      </c>
    </row>
    <row r="73" ht="15.75" customHeight="1">
      <c r="AB73" s="1359" t="s">
        <v>1120</v>
      </c>
      <c r="AC73" s="554"/>
      <c r="AD73" s="1359" t="s">
        <v>1125</v>
      </c>
      <c r="AE73" s="554"/>
      <c r="AF73" s="1359" t="s">
        <v>1126</v>
      </c>
      <c r="AG73" s="554"/>
      <c r="AH73" s="1359" t="s">
        <v>1127</v>
      </c>
      <c r="AI73" s="554"/>
      <c r="AJ73" s="1359" t="s">
        <v>1128</v>
      </c>
      <c r="AK73" s="554"/>
      <c r="AY73" s="313"/>
    </row>
    <row r="74" ht="15.75" customHeight="1">
      <c r="AB74" s="1362" t="s">
        <v>645</v>
      </c>
      <c r="AC74" s="705" t="s">
        <v>646</v>
      </c>
      <c r="AD74" s="1362" t="s">
        <v>645</v>
      </c>
      <c r="AE74" s="705" t="s">
        <v>646</v>
      </c>
      <c r="AF74" s="1362" t="s">
        <v>645</v>
      </c>
      <c r="AG74" s="705" t="s">
        <v>646</v>
      </c>
      <c r="AH74" s="1362" t="s">
        <v>645</v>
      </c>
      <c r="AI74" s="705" t="s">
        <v>646</v>
      </c>
      <c r="AJ74" s="1362" t="s">
        <v>645</v>
      </c>
      <c r="AK74" s="705" t="s">
        <v>646</v>
      </c>
    </row>
    <row r="75" ht="15.75" customHeight="1">
      <c r="AB75" s="720" t="s">
        <v>1109</v>
      </c>
      <c r="AC75" s="724" t="s">
        <v>1111</v>
      </c>
      <c r="AD75" s="720" t="s">
        <v>1112</v>
      </c>
      <c r="AE75" s="724" t="s">
        <v>1113</v>
      </c>
      <c r="AF75" s="720" t="s">
        <v>1114</v>
      </c>
      <c r="AG75" s="724" t="s">
        <v>1117</v>
      </c>
      <c r="AH75" s="720" t="s">
        <v>1116</v>
      </c>
      <c r="AI75" s="724" t="s">
        <v>1118</v>
      </c>
      <c r="AJ75" s="1414" t="s">
        <v>1115</v>
      </c>
      <c r="AK75" s="1416" t="s">
        <v>1110</v>
      </c>
    </row>
    <row r="76" ht="15.75" customHeight="1">
      <c r="AB76" s="1350" t="s">
        <v>518</v>
      </c>
      <c r="AC76" s="1351"/>
      <c r="AD76" s="1351"/>
      <c r="AE76" s="1351"/>
      <c r="AF76" s="1351"/>
      <c r="AG76" s="1351"/>
      <c r="AH76" s="1351"/>
      <c r="AI76" s="1351"/>
      <c r="AJ76" s="1351"/>
      <c r="AK76" s="1352"/>
    </row>
    <row r="77" ht="15.75" customHeight="1">
      <c r="AB77" s="1359" t="s">
        <v>1120</v>
      </c>
      <c r="AC77" s="554"/>
      <c r="AD77" s="1359" t="s">
        <v>1125</v>
      </c>
      <c r="AE77" s="554"/>
      <c r="AF77" s="1359" t="s">
        <v>1126</v>
      </c>
      <c r="AG77" s="554"/>
      <c r="AH77" s="1359" t="s">
        <v>1127</v>
      </c>
      <c r="AI77" s="554"/>
      <c r="AJ77" s="1359" t="s">
        <v>1128</v>
      </c>
      <c r="AK77" s="554"/>
    </row>
    <row r="78" ht="15.75" customHeight="1">
      <c r="AB78" s="1362" t="s">
        <v>645</v>
      </c>
      <c r="AC78" s="705" t="s">
        <v>646</v>
      </c>
      <c r="AD78" s="1362" t="s">
        <v>645</v>
      </c>
      <c r="AE78" s="705" t="s">
        <v>646</v>
      </c>
      <c r="AF78" s="1362" t="s">
        <v>645</v>
      </c>
      <c r="AG78" s="705" t="s">
        <v>646</v>
      </c>
      <c r="AH78" s="1362" t="s">
        <v>645</v>
      </c>
      <c r="AI78" s="705" t="s">
        <v>646</v>
      </c>
      <c r="AJ78" s="1362" t="s">
        <v>645</v>
      </c>
      <c r="AK78" s="705" t="s">
        <v>646</v>
      </c>
      <c r="AY78" s="313"/>
    </row>
    <row r="79" ht="15.75" customHeight="1">
      <c r="AB79" s="720" t="s">
        <v>1109</v>
      </c>
      <c r="AC79" s="724" t="s">
        <v>1112</v>
      </c>
      <c r="AD79" s="720" t="s">
        <v>1110</v>
      </c>
      <c r="AE79" s="724" t="s">
        <v>1111</v>
      </c>
      <c r="AF79" s="720" t="s">
        <v>1114</v>
      </c>
      <c r="AG79" s="724" t="s">
        <v>1116</v>
      </c>
      <c r="AH79" s="720" t="s">
        <v>1115</v>
      </c>
      <c r="AI79" s="724" t="s">
        <v>1117</v>
      </c>
      <c r="AJ79" s="1414" t="s">
        <v>1113</v>
      </c>
      <c r="AK79" s="1416" t="s">
        <v>1118</v>
      </c>
    </row>
    <row r="80" ht="15.75" customHeight="1">
      <c r="AB80" s="1350" t="s">
        <v>519</v>
      </c>
      <c r="AC80" s="1351"/>
      <c r="AD80" s="1351"/>
      <c r="AE80" s="1351"/>
      <c r="AF80" s="1351"/>
      <c r="AG80" s="1351"/>
      <c r="AH80" s="1351"/>
      <c r="AI80" s="1351"/>
      <c r="AJ80" s="1351"/>
      <c r="AK80" s="1352"/>
    </row>
    <row r="81" ht="15.75" customHeight="1">
      <c r="AB81" s="1359" t="s">
        <v>1120</v>
      </c>
      <c r="AC81" s="554"/>
      <c r="AD81" s="1359" t="s">
        <v>1125</v>
      </c>
      <c r="AE81" s="554"/>
      <c r="AF81" s="1359" t="s">
        <v>1126</v>
      </c>
      <c r="AG81" s="554"/>
      <c r="AH81" s="1359" t="s">
        <v>1127</v>
      </c>
      <c r="AI81" s="554"/>
      <c r="AJ81" s="1359" t="s">
        <v>1128</v>
      </c>
      <c r="AK81" s="554"/>
    </row>
    <row r="82" ht="15.75" customHeight="1">
      <c r="AB82" s="1362" t="s">
        <v>645</v>
      </c>
      <c r="AC82" s="705" t="s">
        <v>646</v>
      </c>
      <c r="AD82" s="1362" t="s">
        <v>645</v>
      </c>
      <c r="AE82" s="705" t="s">
        <v>646</v>
      </c>
      <c r="AF82" s="1362" t="s">
        <v>645</v>
      </c>
      <c r="AG82" s="705" t="s">
        <v>646</v>
      </c>
      <c r="AH82" s="1362" t="s">
        <v>645</v>
      </c>
      <c r="AI82" s="705" t="s">
        <v>646</v>
      </c>
      <c r="AJ82" s="1362" t="s">
        <v>645</v>
      </c>
      <c r="AK82" s="705" t="s">
        <v>646</v>
      </c>
    </row>
    <row r="83" ht="15.75" customHeight="1">
      <c r="AB83" s="720" t="s">
        <v>1109</v>
      </c>
      <c r="AC83" s="724" t="s">
        <v>1113</v>
      </c>
      <c r="AD83" s="720" t="s">
        <v>1110</v>
      </c>
      <c r="AE83" s="724" t="s">
        <v>1112</v>
      </c>
      <c r="AF83" s="720" t="s">
        <v>1114</v>
      </c>
      <c r="AG83" s="724" t="s">
        <v>1118</v>
      </c>
      <c r="AH83" s="720" t="s">
        <v>1115</v>
      </c>
      <c r="AI83" s="724" t="s">
        <v>1116</v>
      </c>
      <c r="AJ83" s="1414" t="s">
        <v>1111</v>
      </c>
      <c r="AK83" s="1416" t="s">
        <v>1117</v>
      </c>
    </row>
    <row r="84" ht="15.75" customHeight="1">
      <c r="AB84" s="1350" t="s">
        <v>520</v>
      </c>
      <c r="AC84" s="1351"/>
      <c r="AD84" s="1351"/>
      <c r="AE84" s="1351"/>
      <c r="AF84" s="1351"/>
      <c r="AG84" s="1351"/>
      <c r="AH84" s="1351"/>
      <c r="AI84" s="1351"/>
      <c r="AJ84" s="1351"/>
      <c r="AK84" s="1352"/>
    </row>
    <row r="85" ht="15.75" customHeight="1">
      <c r="AB85" s="1359" t="s">
        <v>1120</v>
      </c>
      <c r="AC85" s="554"/>
      <c r="AD85" s="1359" t="s">
        <v>1125</v>
      </c>
      <c r="AE85" s="554"/>
      <c r="AF85" s="1359" t="s">
        <v>1126</v>
      </c>
      <c r="AG85" s="554"/>
      <c r="AH85" s="1359" t="s">
        <v>1127</v>
      </c>
      <c r="AI85" s="554"/>
      <c r="AJ85" s="1359" t="s">
        <v>1128</v>
      </c>
      <c r="AK85" s="554"/>
    </row>
    <row r="86" ht="15.75" customHeight="1">
      <c r="AB86" s="1362" t="s">
        <v>645</v>
      </c>
      <c r="AC86" s="705" t="s">
        <v>646</v>
      </c>
      <c r="AD86" s="1362" t="s">
        <v>645</v>
      </c>
      <c r="AE86" s="705" t="s">
        <v>646</v>
      </c>
      <c r="AF86" s="1362" t="s">
        <v>645</v>
      </c>
      <c r="AG86" s="705" t="s">
        <v>646</v>
      </c>
      <c r="AH86" s="1362" t="s">
        <v>645</v>
      </c>
      <c r="AI86" s="705" t="s">
        <v>646</v>
      </c>
      <c r="AJ86" s="1362" t="s">
        <v>645</v>
      </c>
      <c r="AK86" s="705" t="s">
        <v>646</v>
      </c>
    </row>
    <row r="87" ht="15.75" customHeight="1">
      <c r="AB87" s="720" t="s">
        <v>1110</v>
      </c>
      <c r="AC87" s="724" t="s">
        <v>1113</v>
      </c>
      <c r="AD87" s="720" t="s">
        <v>1111</v>
      </c>
      <c r="AE87" s="724" t="s">
        <v>1112</v>
      </c>
      <c r="AF87" s="720" t="s">
        <v>1115</v>
      </c>
      <c r="AG87" s="724" t="s">
        <v>1118</v>
      </c>
      <c r="AH87" s="720" t="s">
        <v>1116</v>
      </c>
      <c r="AI87" s="724" t="s">
        <v>1117</v>
      </c>
      <c r="AJ87" s="1414" t="s">
        <v>1109</v>
      </c>
      <c r="AK87" s="1416" t="s">
        <v>1114</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AB36:AC36"/>
    <mergeCell ref="AD36:AE36"/>
    <mergeCell ref="AB12:AC12"/>
    <mergeCell ref="AD12:AE12"/>
    <mergeCell ref="AB16:AC16"/>
    <mergeCell ref="AD16:AE16"/>
    <mergeCell ref="AB20:AC20"/>
    <mergeCell ref="AD20:AE20"/>
    <mergeCell ref="AD24:AE24"/>
    <mergeCell ref="H2:K2"/>
    <mergeCell ref="M3:N7"/>
    <mergeCell ref="AY3:AY7"/>
    <mergeCell ref="AD4:AE4"/>
    <mergeCell ref="AF4:AG4"/>
    <mergeCell ref="AH4:AI4"/>
    <mergeCell ref="AJ4:AK4"/>
    <mergeCell ref="AB4:AC4"/>
    <mergeCell ref="AB8:AC8"/>
    <mergeCell ref="AD8:AE8"/>
    <mergeCell ref="AF8:AG8"/>
    <mergeCell ref="AH8:AI8"/>
    <mergeCell ref="AJ8:AK8"/>
    <mergeCell ref="AY8:AY12"/>
    <mergeCell ref="AJ12:AK12"/>
    <mergeCell ref="AF12:AG12"/>
    <mergeCell ref="AH12:AI12"/>
    <mergeCell ref="AY13:AY17"/>
    <mergeCell ref="AF16:AG16"/>
    <mergeCell ref="AH16:AI16"/>
    <mergeCell ref="AJ16:AK16"/>
    <mergeCell ref="AJ20:AK20"/>
    <mergeCell ref="AB24:AC24"/>
    <mergeCell ref="AB28:AC28"/>
    <mergeCell ref="AD28:AE28"/>
    <mergeCell ref="AF28:AG28"/>
    <mergeCell ref="AH28:AI28"/>
    <mergeCell ref="AJ28:AK28"/>
    <mergeCell ref="AB32:AC32"/>
    <mergeCell ref="AD32:AE32"/>
    <mergeCell ref="AF32:AG32"/>
    <mergeCell ref="AH32:AI32"/>
    <mergeCell ref="AJ32:AK32"/>
    <mergeCell ref="BT33:BU33"/>
    <mergeCell ref="AF20:AG20"/>
    <mergeCell ref="AH20:AI20"/>
    <mergeCell ref="AF24:AG24"/>
    <mergeCell ref="AH24:AI24"/>
    <mergeCell ref="AJ24:AK24"/>
    <mergeCell ref="AH36:AI36"/>
    <mergeCell ref="AJ36:AK36"/>
    <mergeCell ref="BN47:BO47"/>
    <mergeCell ref="BP47:BQ47"/>
    <mergeCell ref="AY18:AY22"/>
    <mergeCell ref="AY23:AY27"/>
    <mergeCell ref="AY28:AY32"/>
    <mergeCell ref="AY33:AY37"/>
    <mergeCell ref="AY38:AY42"/>
    <mergeCell ref="AY43:AY47"/>
    <mergeCell ref="BL47:BM47"/>
    <mergeCell ref="AB73:AC73"/>
    <mergeCell ref="AD73:AE73"/>
    <mergeCell ref="AF73:AG73"/>
    <mergeCell ref="AH73:AI73"/>
    <mergeCell ref="AJ73:AK73"/>
    <mergeCell ref="AB77:AC77"/>
    <mergeCell ref="AD77:AE77"/>
    <mergeCell ref="AJ77:AK77"/>
    <mergeCell ref="AF77:AG77"/>
    <mergeCell ref="AH77:AI77"/>
    <mergeCell ref="AB81:AC81"/>
    <mergeCell ref="AD81:AE81"/>
    <mergeCell ref="AF81:AG81"/>
    <mergeCell ref="AH81:AI81"/>
    <mergeCell ref="AJ81:AK81"/>
    <mergeCell ref="AF36:AG36"/>
    <mergeCell ref="AB40:AC40"/>
    <mergeCell ref="AD40:AE40"/>
    <mergeCell ref="AF40:AG40"/>
    <mergeCell ref="AH40:AI40"/>
    <mergeCell ref="AJ40:AK40"/>
    <mergeCell ref="AB44:AC44"/>
    <mergeCell ref="AD44:AE44"/>
    <mergeCell ref="AF44:AG44"/>
    <mergeCell ref="AB48:AC48"/>
    <mergeCell ref="AD48:AE48"/>
    <mergeCell ref="AF48:AG48"/>
    <mergeCell ref="AH48:AI48"/>
    <mergeCell ref="AJ48:AK48"/>
    <mergeCell ref="AY53:AY57"/>
    <mergeCell ref="AY58:AY62"/>
    <mergeCell ref="AY63:AY67"/>
    <mergeCell ref="AY68:AY72"/>
    <mergeCell ref="AY73:AY77"/>
    <mergeCell ref="AY78:AY82"/>
    <mergeCell ref="AH44:AI44"/>
    <mergeCell ref="AJ44:AK44"/>
    <mergeCell ref="AY48:AY52"/>
    <mergeCell ref="AH52:AI52"/>
    <mergeCell ref="AJ52:AK52"/>
    <mergeCell ref="AH56:AI56"/>
    <mergeCell ref="AJ56:AK56"/>
    <mergeCell ref="AD69:AE69"/>
    <mergeCell ref="AF69:AG69"/>
    <mergeCell ref="AH69:AI69"/>
    <mergeCell ref="AJ69:AK69"/>
    <mergeCell ref="AB52:AC52"/>
    <mergeCell ref="AD52:AE52"/>
    <mergeCell ref="AF52:AG52"/>
    <mergeCell ref="AB56:AC56"/>
    <mergeCell ref="AD56:AE56"/>
    <mergeCell ref="AF56:AG56"/>
    <mergeCell ref="AB69:AC69"/>
    <mergeCell ref="AB85:AC85"/>
    <mergeCell ref="AD85:AE85"/>
    <mergeCell ref="AF85:AG85"/>
    <mergeCell ref="AH85:AI85"/>
    <mergeCell ref="AJ85:AK85"/>
  </mergeCells>
  <dataValidations>
    <dataValidation type="list" allowBlank="1" showErrorMessage="1" sqref="C3:C10">
      <formula1>$G$3:$G$4</formula1>
    </dataValidation>
    <dataValidation type="list" allowBlank="1" showErrorMessage="1" sqref="J3:K5 J6 J7:K7 BH10 BG11:BI11 BF12:BI12 X4:X13 BE13:BI13 BD14:BI15 BI16 BD17:BI19 BD20:BG20 BD21:BF21 BD22:BE22 BD23 BI23:BI24 BU35 BS36:BU36 BH38 BG39:BH39 BF40:BH40 BT37:BU40 BE41:BH41 BS41:BU42 BD42:BH43 BS43:BT43 BS44:BS47 BL48:BR48 BK49:BR49 BJ50:BQ52 BI53:BP53 BI54:BO54 BR54 BI55:BN55 BQ55:BR55 BI56:BM58 BP56:BR58 BI59:BL59 BO59:BR59 BI60:BK60 BN60:BR60 BI61:BJ61 BM61:BR61">
      <formula1>$A$3:$A$12</formula1>
    </dataValidation>
  </dataValidation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44"/>
    <col customWidth="1" min="2" max="2" width="31.33"/>
    <col customWidth="1" min="3" max="3" width="33.44"/>
    <col customWidth="1" min="4" max="4" width="38.67"/>
    <col customWidth="1" hidden="1" min="5" max="5" width="7.44"/>
    <col customWidth="1" hidden="1" min="6" max="6" width="8.11"/>
    <col customWidth="1" hidden="1" min="7" max="7" width="7.11"/>
    <col customWidth="1" min="8" max="8" width="7.0"/>
    <col customWidth="1" min="9" max="26" width="10.56"/>
  </cols>
  <sheetData>
    <row r="1" ht="15.75" customHeight="1">
      <c r="A1" s="13" t="s">
        <v>1179</v>
      </c>
      <c r="B1" s="13" t="s">
        <v>43</v>
      </c>
      <c r="C1" s="1534" t="s">
        <v>1180</v>
      </c>
      <c r="I1" s="13" t="s">
        <v>298</v>
      </c>
      <c r="J1" s="13" t="s">
        <v>7</v>
      </c>
      <c r="K1" s="13" t="s">
        <v>509</v>
      </c>
      <c r="L1" s="13" t="s">
        <v>510</v>
      </c>
    </row>
    <row r="2" ht="15.75" hidden="1" customHeight="1">
      <c r="A2" s="13">
        <v>1.0</v>
      </c>
      <c r="B2" s="13" t="s">
        <v>1181</v>
      </c>
      <c r="C2" s="1183" t="s">
        <v>1182</v>
      </c>
      <c r="D2" s="1183" t="s">
        <v>1183</v>
      </c>
      <c r="E2" s="1183" t="s">
        <v>625</v>
      </c>
      <c r="L2" s="13" t="s">
        <v>1184</v>
      </c>
    </row>
    <row r="3" ht="15.75" customHeight="1">
      <c r="A3" s="13">
        <v>2.0</v>
      </c>
      <c r="B3" s="13" t="str">
        <f t="shared" ref="B3:B70" si="1">B2</f>
        <v>Bandera Decoupes  </v>
      </c>
      <c r="C3" s="1182" t="s">
        <v>1185</v>
      </c>
      <c r="D3" s="1182" t="s">
        <v>1186</v>
      </c>
      <c r="E3" s="1182" t="s">
        <v>1187</v>
      </c>
      <c r="F3" s="1182" t="s">
        <v>1188</v>
      </c>
      <c r="G3" s="1182" t="s">
        <v>1189</v>
      </c>
      <c r="H3" s="1182" t="s">
        <v>1190</v>
      </c>
    </row>
    <row r="4" ht="15.75" hidden="1" customHeight="1">
      <c r="A4" s="13">
        <v>3.0</v>
      </c>
      <c r="B4" s="13" t="str">
        <f t="shared" si="1"/>
        <v>Bandera Decoupes  </v>
      </c>
      <c r="C4" s="1182"/>
      <c r="D4" s="1535" t="s">
        <v>1191</v>
      </c>
    </row>
    <row r="5" ht="15.75" customHeight="1">
      <c r="A5" s="13">
        <v>4.0</v>
      </c>
      <c r="B5" s="13" t="str">
        <f t="shared" si="1"/>
        <v>Bandera Decoupes  </v>
      </c>
      <c r="C5" s="1535" t="s">
        <v>100</v>
      </c>
      <c r="D5" s="1185" t="s">
        <v>1192</v>
      </c>
      <c r="E5" s="1186" t="s">
        <v>1193</v>
      </c>
      <c r="F5" s="1186" t="s">
        <v>1194</v>
      </c>
      <c r="G5" s="1535">
        <v>19.6</v>
      </c>
      <c r="H5" s="1535">
        <v>16.64</v>
      </c>
    </row>
    <row r="6" ht="15.75" hidden="1" customHeight="1">
      <c r="A6" s="13">
        <v>5.0</v>
      </c>
      <c r="B6" s="13" t="str">
        <f t="shared" si="1"/>
        <v>Bandera Decoupes  </v>
      </c>
      <c r="C6" s="1535"/>
      <c r="D6" s="1537" t="s">
        <v>1195</v>
      </c>
      <c r="E6" s="1186"/>
      <c r="F6" s="1186"/>
      <c r="G6" s="1535"/>
      <c r="H6" s="1535"/>
    </row>
    <row r="7" ht="15.75" hidden="1" customHeight="1">
      <c r="A7" s="13">
        <v>6.0</v>
      </c>
      <c r="B7" s="13" t="str">
        <f t="shared" si="1"/>
        <v>Bandera Decoupes  </v>
      </c>
      <c r="C7" s="1535"/>
      <c r="D7" s="1535" t="s">
        <v>1196</v>
      </c>
      <c r="E7" s="1186"/>
      <c r="F7" s="1186"/>
      <c r="G7" s="1535"/>
      <c r="H7" s="1535"/>
    </row>
    <row r="8" ht="15.75" customHeight="1">
      <c r="A8" s="13">
        <v>7.0</v>
      </c>
      <c r="B8" s="13" t="str">
        <f t="shared" si="1"/>
        <v>Bandera Decoupes  </v>
      </c>
      <c r="C8" s="1535" t="s">
        <v>106</v>
      </c>
      <c r="D8" s="1185" t="s">
        <v>1197</v>
      </c>
      <c r="E8" s="1186" t="s">
        <v>603</v>
      </c>
      <c r="F8" s="1186" t="s">
        <v>1198</v>
      </c>
      <c r="G8" s="1535">
        <v>18.7</v>
      </c>
      <c r="H8" s="1535">
        <v>15.8</v>
      </c>
    </row>
    <row r="9" ht="15.75" hidden="1" customHeight="1">
      <c r="A9" s="13">
        <v>8.0</v>
      </c>
      <c r="B9" s="13" t="str">
        <f t="shared" si="1"/>
        <v>Bandera Decoupes  </v>
      </c>
      <c r="C9" s="1535"/>
      <c r="D9" s="1537" t="s">
        <v>1199</v>
      </c>
      <c r="E9" s="1186"/>
      <c r="F9" s="1186"/>
      <c r="G9" s="1535"/>
      <c r="H9" s="1535"/>
    </row>
    <row r="10" ht="15.75" hidden="1" customHeight="1">
      <c r="A10" s="13">
        <v>9.0</v>
      </c>
      <c r="B10" s="13" t="str">
        <f t="shared" si="1"/>
        <v>Bandera Decoupes  </v>
      </c>
      <c r="C10" s="1535"/>
      <c r="D10" s="1535" t="s">
        <v>1200</v>
      </c>
      <c r="E10" s="1186"/>
      <c r="F10" s="1186"/>
      <c r="G10" s="1535"/>
      <c r="H10" s="1535"/>
    </row>
    <row r="11" ht="15.75" customHeight="1">
      <c r="A11" s="13">
        <v>10.0</v>
      </c>
      <c r="B11" s="13" t="str">
        <f t="shared" si="1"/>
        <v>Bandera Decoupes  </v>
      </c>
      <c r="C11" s="1535" t="s">
        <v>106</v>
      </c>
      <c r="D11" s="1185" t="s">
        <v>1201</v>
      </c>
      <c r="E11" s="1186" t="s">
        <v>619</v>
      </c>
      <c r="F11" s="1186" t="s">
        <v>1202</v>
      </c>
      <c r="G11" s="1535">
        <v>18.7</v>
      </c>
      <c r="H11" s="1535">
        <v>17.5</v>
      </c>
    </row>
    <row r="12" ht="15.75" hidden="1" customHeight="1">
      <c r="A12" s="13">
        <v>11.0</v>
      </c>
      <c r="B12" s="13" t="str">
        <f t="shared" si="1"/>
        <v>Bandera Decoupes  </v>
      </c>
      <c r="C12" s="1535"/>
      <c r="D12" s="1537" t="s">
        <v>1203</v>
      </c>
      <c r="E12" s="1186"/>
      <c r="F12" s="1186"/>
      <c r="G12" s="1535"/>
      <c r="H12" s="1535"/>
    </row>
    <row r="13" ht="15.75" hidden="1" customHeight="1">
      <c r="A13" s="13">
        <v>12.0</v>
      </c>
      <c r="B13" s="13" t="str">
        <f t="shared" si="1"/>
        <v>Bandera Decoupes  </v>
      </c>
      <c r="C13" s="1535"/>
      <c r="D13" s="1535" t="s">
        <v>1204</v>
      </c>
      <c r="E13" s="1186"/>
      <c r="F13" s="1186"/>
      <c r="G13" s="1535"/>
      <c r="H13" s="1535"/>
    </row>
    <row r="14" ht="15.75" customHeight="1">
      <c r="A14" s="13">
        <v>13.0</v>
      </c>
      <c r="B14" s="13" t="str">
        <f t="shared" si="1"/>
        <v>Bandera Decoupes  </v>
      </c>
      <c r="C14" s="1535" t="s">
        <v>106</v>
      </c>
      <c r="D14" s="1185" t="s">
        <v>1205</v>
      </c>
      <c r="E14" s="1186" t="s">
        <v>1206</v>
      </c>
      <c r="F14" s="1186" t="s">
        <v>1207</v>
      </c>
      <c r="G14" s="1535">
        <v>13.9</v>
      </c>
      <c r="H14" s="1535">
        <v>0.3</v>
      </c>
    </row>
    <row r="15" ht="15.75" hidden="1" customHeight="1">
      <c r="A15" s="13">
        <v>14.0</v>
      </c>
      <c r="B15" s="13" t="str">
        <f t="shared" si="1"/>
        <v>Bandera Decoupes  </v>
      </c>
      <c r="C15" s="1535"/>
      <c r="D15" s="1537" t="s">
        <v>1208</v>
      </c>
      <c r="E15" s="1186"/>
      <c r="F15" s="1186"/>
      <c r="G15" s="1535"/>
      <c r="H15" s="1535"/>
    </row>
    <row r="16" ht="15.75" hidden="1" customHeight="1">
      <c r="A16" s="13">
        <v>15.0</v>
      </c>
      <c r="B16" s="13" t="str">
        <f t="shared" si="1"/>
        <v>Bandera Decoupes  </v>
      </c>
      <c r="C16" s="1535"/>
      <c r="D16" s="1535" t="s">
        <v>1209</v>
      </c>
      <c r="E16" s="1186"/>
      <c r="F16" s="1186"/>
      <c r="G16" s="1535"/>
      <c r="H16" s="1535"/>
    </row>
    <row r="17" ht="15.75" customHeight="1">
      <c r="A17" s="13">
        <v>16.0</v>
      </c>
      <c r="B17" s="13" t="str">
        <f t="shared" si="1"/>
        <v>Bandera Decoupes  </v>
      </c>
      <c r="C17" s="1535" t="s">
        <v>117</v>
      </c>
      <c r="D17" s="1185" t="s">
        <v>1210</v>
      </c>
      <c r="E17" s="1186" t="s">
        <v>1193</v>
      </c>
      <c r="F17" s="1186" t="s">
        <v>1194</v>
      </c>
      <c r="G17" s="1535">
        <v>17.3</v>
      </c>
      <c r="H17" s="1535">
        <v>29.9</v>
      </c>
    </row>
    <row r="18" ht="15.75" hidden="1" customHeight="1">
      <c r="A18" s="13">
        <v>17.0</v>
      </c>
      <c r="B18" s="13" t="str">
        <f t="shared" si="1"/>
        <v>Bandera Decoupes  </v>
      </c>
      <c r="C18" s="1535"/>
      <c r="D18" s="1537" t="s">
        <v>1211</v>
      </c>
      <c r="E18" s="1186"/>
      <c r="F18" s="1186"/>
      <c r="G18" s="1535"/>
      <c r="H18" s="1535"/>
    </row>
    <row r="19" ht="15.75" hidden="1" customHeight="1">
      <c r="A19" s="13">
        <v>18.0</v>
      </c>
      <c r="B19" s="13" t="str">
        <f t="shared" si="1"/>
        <v>Bandera Decoupes  </v>
      </c>
      <c r="C19" s="1535"/>
      <c r="D19" s="1535" t="s">
        <v>1212</v>
      </c>
      <c r="E19" s="1186"/>
      <c r="F19" s="1186"/>
      <c r="G19" s="1535"/>
      <c r="H19" s="1535"/>
    </row>
    <row r="20" ht="15.75" customHeight="1">
      <c r="A20" s="13">
        <v>19.0</v>
      </c>
      <c r="B20" s="13" t="str">
        <f t="shared" si="1"/>
        <v>Bandera Decoupes  </v>
      </c>
      <c r="C20" s="1535" t="s">
        <v>117</v>
      </c>
      <c r="D20" s="1185" t="s">
        <v>1213</v>
      </c>
      <c r="E20" s="1186" t="s">
        <v>1214</v>
      </c>
      <c r="F20" s="1186" t="s">
        <v>1215</v>
      </c>
      <c r="G20" s="1535">
        <v>15.1</v>
      </c>
      <c r="H20" s="1535">
        <v>28.1</v>
      </c>
    </row>
    <row r="21" ht="15.75" hidden="1" customHeight="1">
      <c r="A21" s="13">
        <v>20.0</v>
      </c>
      <c r="B21" s="13" t="str">
        <f t="shared" si="1"/>
        <v>Bandera Decoupes  </v>
      </c>
      <c r="C21" s="1535"/>
      <c r="D21" s="1537" t="s">
        <v>1216</v>
      </c>
      <c r="E21" s="1186"/>
      <c r="F21" s="1186"/>
      <c r="G21" s="1535"/>
      <c r="H21" s="1535"/>
    </row>
    <row r="22" ht="15.75" hidden="1" customHeight="1">
      <c r="A22" s="13">
        <v>21.0</v>
      </c>
      <c r="B22" s="13" t="str">
        <f t="shared" si="1"/>
        <v>Bandera Decoupes  </v>
      </c>
      <c r="C22" s="1535"/>
      <c r="D22" s="1535" t="s">
        <v>1217</v>
      </c>
      <c r="E22" s="1186"/>
      <c r="F22" s="1186"/>
      <c r="G22" s="1535"/>
      <c r="H22" s="1535"/>
    </row>
    <row r="23" ht="15.75" customHeight="1">
      <c r="A23" s="13">
        <v>22.0</v>
      </c>
      <c r="B23" s="13" t="str">
        <f t="shared" si="1"/>
        <v>Bandera Decoupes  </v>
      </c>
      <c r="C23" s="1535" t="s">
        <v>117</v>
      </c>
      <c r="D23" s="1185" t="s">
        <v>1218</v>
      </c>
      <c r="E23" s="1186" t="s">
        <v>593</v>
      </c>
      <c r="F23" s="1186" t="s">
        <v>1219</v>
      </c>
      <c r="G23" s="1535">
        <v>16.1</v>
      </c>
      <c r="H23" s="1535">
        <v>18.1</v>
      </c>
    </row>
    <row r="24" ht="15.75" hidden="1" customHeight="1">
      <c r="A24" s="13">
        <v>23.0</v>
      </c>
      <c r="B24" s="13" t="str">
        <f t="shared" si="1"/>
        <v>Bandera Decoupes  </v>
      </c>
      <c r="C24" s="1535"/>
      <c r="D24" s="1537" t="s">
        <v>1220</v>
      </c>
      <c r="E24" s="1186"/>
      <c r="F24" s="1186"/>
      <c r="G24" s="1535"/>
      <c r="H24" s="1535"/>
    </row>
    <row r="25" ht="15.75" hidden="1" customHeight="1">
      <c r="A25" s="13">
        <v>24.0</v>
      </c>
      <c r="B25" s="13" t="str">
        <f t="shared" si="1"/>
        <v>Bandera Decoupes  </v>
      </c>
      <c r="C25" s="1535"/>
      <c r="D25" s="1535" t="s">
        <v>1221</v>
      </c>
      <c r="E25" s="1186"/>
      <c r="F25" s="1186"/>
      <c r="G25" s="1535"/>
      <c r="H25" s="1535"/>
    </row>
    <row r="26" ht="15.75" customHeight="1">
      <c r="A26" s="13">
        <v>25.0</v>
      </c>
      <c r="B26" s="13" t="str">
        <f t="shared" si="1"/>
        <v>Bandera Decoupes  </v>
      </c>
      <c r="C26" s="1535" t="s">
        <v>117</v>
      </c>
      <c r="D26" s="1185" t="s">
        <v>1222</v>
      </c>
      <c r="E26" s="1186" t="s">
        <v>1223</v>
      </c>
      <c r="F26" s="1186" t="s">
        <v>1224</v>
      </c>
      <c r="G26" s="1535">
        <v>13.0</v>
      </c>
      <c r="H26" s="1535">
        <v>11.2</v>
      </c>
    </row>
    <row r="27" ht="15.75" hidden="1" customHeight="1">
      <c r="A27" s="13">
        <v>26.0</v>
      </c>
      <c r="B27" s="13" t="str">
        <f t="shared" si="1"/>
        <v>Bandera Decoupes  </v>
      </c>
      <c r="C27" s="1535"/>
      <c r="D27" s="1537" t="s">
        <v>1225</v>
      </c>
      <c r="E27" s="1186"/>
      <c r="F27" s="1186"/>
      <c r="G27" s="1535"/>
      <c r="H27" s="1535"/>
    </row>
    <row r="28" ht="15.75" hidden="1" customHeight="1">
      <c r="A28" s="13">
        <v>27.0</v>
      </c>
      <c r="B28" s="13" t="str">
        <f t="shared" si="1"/>
        <v>Bandera Decoupes  </v>
      </c>
      <c r="C28" s="1535"/>
      <c r="D28" s="1535" t="s">
        <v>1226</v>
      </c>
      <c r="E28" s="1186"/>
      <c r="F28" s="1186"/>
      <c r="G28" s="1535"/>
      <c r="H28" s="1535"/>
    </row>
    <row r="29" ht="15.75" customHeight="1">
      <c r="A29" s="13">
        <v>28.0</v>
      </c>
      <c r="B29" s="13" t="str">
        <f t="shared" si="1"/>
        <v>Bandera Decoupes  </v>
      </c>
      <c r="C29" s="1535" t="s">
        <v>132</v>
      </c>
      <c r="D29" s="1185" t="s">
        <v>1227</v>
      </c>
      <c r="E29" s="1186" t="s">
        <v>1228</v>
      </c>
      <c r="F29" s="1186" t="s">
        <v>1229</v>
      </c>
      <c r="G29" s="1535">
        <v>12.1</v>
      </c>
      <c r="H29" s="1535">
        <v>11.9</v>
      </c>
    </row>
    <row r="30" ht="15.75" hidden="1" customHeight="1">
      <c r="A30" s="13">
        <v>29.0</v>
      </c>
      <c r="B30" s="13" t="str">
        <f t="shared" si="1"/>
        <v>Bandera Decoupes  </v>
      </c>
      <c r="C30" s="1535"/>
      <c r="D30" s="1537" t="s">
        <v>1230</v>
      </c>
      <c r="E30" s="1186"/>
      <c r="F30" s="1186"/>
      <c r="G30" s="1535"/>
      <c r="H30" s="1535"/>
    </row>
    <row r="31" ht="15.75" hidden="1" customHeight="1">
      <c r="A31" s="13">
        <v>30.0</v>
      </c>
      <c r="B31" s="13" t="str">
        <f t="shared" si="1"/>
        <v>Bandera Decoupes  </v>
      </c>
      <c r="C31" s="1535"/>
      <c r="D31" s="1535" t="s">
        <v>1231</v>
      </c>
      <c r="E31" s="1186"/>
      <c r="F31" s="1186"/>
      <c r="G31" s="1535"/>
      <c r="H31" s="1535"/>
    </row>
    <row r="32" ht="15.75" customHeight="1">
      <c r="A32" s="13">
        <v>31.0</v>
      </c>
      <c r="B32" s="13" t="str">
        <f t="shared" si="1"/>
        <v>Bandera Decoupes  </v>
      </c>
      <c r="C32" s="1535" t="s">
        <v>136</v>
      </c>
      <c r="D32" s="1185" t="s">
        <v>1232</v>
      </c>
      <c r="E32" s="1186" t="s">
        <v>1233</v>
      </c>
      <c r="F32" s="1186" t="s">
        <v>1234</v>
      </c>
      <c r="G32" s="1535">
        <v>12.4</v>
      </c>
      <c r="H32" s="1535">
        <v>13.9</v>
      </c>
    </row>
    <row r="33" ht="15.75" hidden="1" customHeight="1">
      <c r="A33" s="13">
        <v>32.0</v>
      </c>
      <c r="B33" s="13" t="str">
        <f t="shared" si="1"/>
        <v>Bandera Decoupes  </v>
      </c>
      <c r="C33" s="1535"/>
      <c r="D33" s="1537" t="s">
        <v>1235</v>
      </c>
      <c r="E33" s="1186"/>
      <c r="F33" s="1186"/>
      <c r="G33" s="1535"/>
      <c r="H33" s="1535"/>
    </row>
    <row r="34" ht="15.75" hidden="1" customHeight="1">
      <c r="A34" s="13">
        <v>33.0</v>
      </c>
      <c r="B34" s="13" t="str">
        <f t="shared" si="1"/>
        <v>Bandera Decoupes  </v>
      </c>
      <c r="C34" s="1535"/>
      <c r="D34" s="1535" t="s">
        <v>1236</v>
      </c>
      <c r="E34" s="1186"/>
      <c r="F34" s="1186"/>
      <c r="G34" s="1535"/>
      <c r="H34" s="1535"/>
    </row>
    <row r="35" ht="15.75" customHeight="1">
      <c r="A35" s="13">
        <v>34.0</v>
      </c>
      <c r="B35" s="13" t="str">
        <f t="shared" si="1"/>
        <v>Bandera Decoupes  </v>
      </c>
      <c r="C35" s="1535" t="s">
        <v>139</v>
      </c>
      <c r="D35" s="1185" t="s">
        <v>1237</v>
      </c>
      <c r="E35" s="1186" t="s">
        <v>1238</v>
      </c>
      <c r="F35" s="1186" t="s">
        <v>1239</v>
      </c>
      <c r="G35" s="1535">
        <v>15.6</v>
      </c>
      <c r="H35" s="1535">
        <v>12.94</v>
      </c>
    </row>
    <row r="36" ht="15.75" hidden="1" customHeight="1">
      <c r="A36" s="13">
        <v>35.0</v>
      </c>
      <c r="B36" s="13" t="str">
        <f t="shared" si="1"/>
        <v>Bandera Decoupes  </v>
      </c>
      <c r="C36" s="1535"/>
      <c r="D36" s="1537" t="s">
        <v>1240</v>
      </c>
      <c r="E36" s="1186"/>
      <c r="F36" s="1186"/>
      <c r="G36" s="1535"/>
      <c r="H36" s="1535"/>
    </row>
    <row r="37" ht="15.75" hidden="1" customHeight="1">
      <c r="A37" s="13">
        <v>36.0</v>
      </c>
      <c r="B37" s="13" t="str">
        <f t="shared" si="1"/>
        <v>Bandera Decoupes  </v>
      </c>
      <c r="C37" s="1535"/>
      <c r="D37" s="1535" t="s">
        <v>1241</v>
      </c>
      <c r="E37" s="1186"/>
      <c r="F37" s="1186"/>
      <c r="G37" s="1535"/>
      <c r="H37" s="1535"/>
    </row>
    <row r="38" ht="15.75" customHeight="1">
      <c r="A38" s="13">
        <v>37.0</v>
      </c>
      <c r="B38" s="13" t="str">
        <f t="shared" si="1"/>
        <v>Bandera Decoupes  </v>
      </c>
      <c r="C38" s="1535" t="s">
        <v>146</v>
      </c>
      <c r="D38" s="1185" t="s">
        <v>1242</v>
      </c>
      <c r="E38" s="1186" t="s">
        <v>1243</v>
      </c>
      <c r="F38" s="1186" t="s">
        <v>1244</v>
      </c>
      <c r="G38" s="1535">
        <v>8.0</v>
      </c>
      <c r="H38" s="1535">
        <v>10.0</v>
      </c>
    </row>
    <row r="39" ht="15.75" hidden="1" customHeight="1">
      <c r="A39" s="13">
        <v>38.0</v>
      </c>
      <c r="B39" s="13" t="str">
        <f t="shared" si="1"/>
        <v>Bandera Decoupes  </v>
      </c>
      <c r="C39" s="1535"/>
      <c r="D39" s="1537" t="s">
        <v>1245</v>
      </c>
      <c r="E39" s="1186"/>
      <c r="F39" s="1186"/>
      <c r="G39" s="1535"/>
      <c r="H39" s="1535"/>
    </row>
    <row r="40" ht="15.75" hidden="1" customHeight="1">
      <c r="A40" s="13">
        <v>39.0</v>
      </c>
      <c r="B40" s="13" t="str">
        <f t="shared" si="1"/>
        <v>Bandera Decoupes  </v>
      </c>
      <c r="C40" s="1535"/>
      <c r="D40" s="1535" t="s">
        <v>1246</v>
      </c>
      <c r="E40" s="1186"/>
      <c r="F40" s="1186"/>
      <c r="G40" s="1535"/>
      <c r="H40" s="1535"/>
    </row>
    <row r="41" ht="15.75" customHeight="1">
      <c r="A41" s="13">
        <v>40.0</v>
      </c>
      <c r="B41" s="13" t="str">
        <f t="shared" si="1"/>
        <v>Bandera Decoupes  </v>
      </c>
      <c r="C41" s="1535" t="s">
        <v>162</v>
      </c>
      <c r="D41" s="1185" t="s">
        <v>1247</v>
      </c>
      <c r="E41" s="1186" t="s">
        <v>1233</v>
      </c>
      <c r="F41" s="1186" t="s">
        <v>1234</v>
      </c>
      <c r="G41" s="1535">
        <v>9.6</v>
      </c>
      <c r="H41" s="1535">
        <v>13.2</v>
      </c>
    </row>
    <row r="42" ht="15.75" hidden="1" customHeight="1">
      <c r="A42" s="13">
        <v>41.0</v>
      </c>
      <c r="B42" s="13" t="str">
        <f t="shared" si="1"/>
        <v>Bandera Decoupes  </v>
      </c>
      <c r="C42" s="1535"/>
      <c r="D42" s="1537" t="s">
        <v>1248</v>
      </c>
      <c r="E42" s="1186"/>
      <c r="F42" s="1186"/>
      <c r="G42" s="1535"/>
      <c r="H42" s="1535"/>
    </row>
    <row r="43" ht="15.75" hidden="1" customHeight="1">
      <c r="A43" s="13">
        <v>42.0</v>
      </c>
      <c r="B43" s="13" t="str">
        <f t="shared" si="1"/>
        <v>Bandera Decoupes  </v>
      </c>
      <c r="C43" s="1535"/>
      <c r="E43" s="1186"/>
      <c r="F43" s="1186"/>
      <c r="G43" s="1535"/>
      <c r="H43" s="1535"/>
    </row>
    <row r="44" ht="15.75" hidden="1" customHeight="1">
      <c r="A44" s="13">
        <v>43.0</v>
      </c>
      <c r="B44" s="13" t="str">
        <f t="shared" si="1"/>
        <v>Bandera Decoupes  </v>
      </c>
      <c r="D44" s="13" t="s">
        <v>1249</v>
      </c>
      <c r="E44" s="13" t="s">
        <v>1250</v>
      </c>
      <c r="F44" s="13">
        <v>190.2</v>
      </c>
      <c r="G44" s="13">
        <v>199.48</v>
      </c>
    </row>
    <row r="45" ht="15.75" customHeight="1">
      <c r="A45" s="13">
        <v>44.0</v>
      </c>
      <c r="B45" s="13" t="str">
        <f t="shared" si="1"/>
        <v>Bandera Decoupes  </v>
      </c>
      <c r="C45" s="13" t="s">
        <v>1251</v>
      </c>
      <c r="D45" s="13" t="s">
        <v>1252</v>
      </c>
      <c r="E45" s="13" t="s">
        <v>600</v>
      </c>
      <c r="F45" s="13" t="s">
        <v>1253</v>
      </c>
      <c r="G45" s="13">
        <v>11.8</v>
      </c>
      <c r="H45" s="13">
        <v>12.4</v>
      </c>
    </row>
    <row r="46" ht="18.0" hidden="1" customHeight="1">
      <c r="A46" s="13">
        <v>45.0</v>
      </c>
      <c r="B46" s="13" t="str">
        <f t="shared" si="1"/>
        <v>Bandera Decoupes  </v>
      </c>
      <c r="D46" s="13" t="s">
        <v>1254</v>
      </c>
    </row>
    <row r="47" ht="15.75" hidden="1" customHeight="1">
      <c r="A47" s="13">
        <v>46.0</v>
      </c>
      <c r="B47" s="13" t="str">
        <f t="shared" si="1"/>
        <v>Bandera Decoupes  </v>
      </c>
      <c r="C47" s="1534"/>
      <c r="D47" s="1183" t="s">
        <v>1255</v>
      </c>
    </row>
    <row r="48" ht="15.75" customHeight="1">
      <c r="A48" s="13">
        <v>47.0</v>
      </c>
      <c r="B48" s="13" t="str">
        <f t="shared" si="1"/>
        <v>Bandera Decoupes  </v>
      </c>
      <c r="C48" s="1183" t="s">
        <v>1251</v>
      </c>
      <c r="D48" s="1182" t="s">
        <v>1256</v>
      </c>
      <c r="E48" s="1183" t="s">
        <v>1257</v>
      </c>
      <c r="F48" s="13" t="s">
        <v>1258</v>
      </c>
      <c r="G48" s="13">
        <v>11.5</v>
      </c>
      <c r="H48" s="13">
        <v>11.7</v>
      </c>
    </row>
    <row r="49" ht="15.75" hidden="1" customHeight="1">
      <c r="A49" s="13">
        <v>48.0</v>
      </c>
      <c r="B49" s="13" t="str">
        <f t="shared" si="1"/>
        <v>Bandera Decoupes  </v>
      </c>
      <c r="C49" s="1182"/>
      <c r="D49" s="1535" t="s">
        <v>1259</v>
      </c>
      <c r="E49" s="1182"/>
      <c r="F49" s="1182"/>
      <c r="G49" s="1182"/>
      <c r="H49" s="1182"/>
    </row>
    <row r="50" ht="15.75" hidden="1" customHeight="1">
      <c r="A50" s="13">
        <v>49.0</v>
      </c>
      <c r="B50" s="13" t="str">
        <f t="shared" si="1"/>
        <v>Bandera Decoupes  </v>
      </c>
      <c r="C50" s="1535"/>
      <c r="D50" s="1185" t="s">
        <v>1260</v>
      </c>
      <c r="E50" s="1186"/>
      <c r="F50" s="1186"/>
      <c r="G50" s="1535"/>
      <c r="H50" s="1535"/>
    </row>
    <row r="51" ht="15.75" customHeight="1">
      <c r="A51" s="13">
        <v>50.0</v>
      </c>
      <c r="B51" s="13" t="str">
        <f t="shared" si="1"/>
        <v>Bandera Decoupes  </v>
      </c>
      <c r="C51" s="1535" t="s">
        <v>1251</v>
      </c>
      <c r="D51" s="1537" t="s">
        <v>1261</v>
      </c>
      <c r="E51" s="1186" t="s">
        <v>1262</v>
      </c>
      <c r="F51" s="1186" t="s">
        <v>1263</v>
      </c>
      <c r="G51" s="1535">
        <v>11.8</v>
      </c>
      <c r="H51" s="1535">
        <v>21.1</v>
      </c>
    </row>
    <row r="52" ht="15.75" hidden="1" customHeight="1">
      <c r="A52" s="13">
        <v>51.0</v>
      </c>
      <c r="B52" s="13" t="str">
        <f t="shared" si="1"/>
        <v>Bandera Decoupes  </v>
      </c>
      <c r="C52" s="1535"/>
      <c r="D52" s="1535" t="s">
        <v>1264</v>
      </c>
      <c r="E52" s="1186"/>
      <c r="F52" s="1186"/>
      <c r="G52" s="1535"/>
      <c r="H52" s="1535"/>
    </row>
    <row r="53" ht="15.75" hidden="1" customHeight="1">
      <c r="A53" s="13">
        <v>52.0</v>
      </c>
      <c r="B53" s="13" t="str">
        <f t="shared" si="1"/>
        <v>Bandera Decoupes  </v>
      </c>
      <c r="C53" s="1535"/>
      <c r="D53" s="1185" t="s">
        <v>1265</v>
      </c>
      <c r="E53" s="1186"/>
      <c r="F53" s="1186"/>
      <c r="G53" s="1535"/>
      <c r="H53" s="1535"/>
    </row>
    <row r="54" ht="15.75" customHeight="1">
      <c r="A54" s="13">
        <v>53.0</v>
      </c>
      <c r="B54" s="13" t="str">
        <f t="shared" si="1"/>
        <v>Bandera Decoupes  </v>
      </c>
      <c r="C54" s="1535" t="s">
        <v>1251</v>
      </c>
      <c r="D54" s="1537" t="s">
        <v>1266</v>
      </c>
      <c r="E54" s="1186" t="s">
        <v>1238</v>
      </c>
      <c r="F54" s="1186" t="s">
        <v>1239</v>
      </c>
      <c r="G54" s="1535">
        <v>18.8</v>
      </c>
      <c r="H54" s="1535">
        <v>5.62</v>
      </c>
    </row>
    <row r="55" ht="15.75" hidden="1" customHeight="1">
      <c r="A55" s="13">
        <v>54.0</v>
      </c>
      <c r="B55" s="13" t="str">
        <f t="shared" si="1"/>
        <v>Bandera Decoupes  </v>
      </c>
      <c r="C55" s="1535"/>
      <c r="D55" s="1535" t="s">
        <v>1267</v>
      </c>
      <c r="E55" s="1186"/>
      <c r="F55" s="1186"/>
      <c r="G55" s="1535"/>
      <c r="H55" s="1535"/>
    </row>
    <row r="56" ht="15.75" hidden="1" customHeight="1">
      <c r="A56" s="13">
        <v>55.0</v>
      </c>
      <c r="B56" s="13" t="str">
        <f t="shared" si="1"/>
        <v>Bandera Decoupes  </v>
      </c>
      <c r="C56" s="1535"/>
      <c r="D56" s="1185" t="s">
        <v>1268</v>
      </c>
      <c r="E56" s="1186"/>
      <c r="F56" s="1186"/>
      <c r="G56" s="1535"/>
      <c r="H56" s="1535"/>
    </row>
    <row r="57" ht="15.75" customHeight="1">
      <c r="A57" s="13">
        <v>56.0</v>
      </c>
      <c r="B57" s="13" t="str">
        <f t="shared" si="1"/>
        <v>Bandera Decoupes  </v>
      </c>
      <c r="C57" s="1535" t="s">
        <v>1251</v>
      </c>
      <c r="D57" s="1537" t="s">
        <v>1269</v>
      </c>
      <c r="E57" s="1186" t="s">
        <v>1270</v>
      </c>
      <c r="F57" s="1186" t="s">
        <v>1271</v>
      </c>
      <c r="G57" s="1535">
        <v>9.4</v>
      </c>
      <c r="H57" s="1535">
        <v>1.5</v>
      </c>
    </row>
    <row r="58" ht="15.75" hidden="1" customHeight="1">
      <c r="A58" s="13">
        <v>57.0</v>
      </c>
      <c r="B58" s="13" t="str">
        <f t="shared" si="1"/>
        <v>Bandera Decoupes  </v>
      </c>
      <c r="C58" s="1535"/>
      <c r="D58" s="1535" t="s">
        <v>1272</v>
      </c>
      <c r="E58" s="1186"/>
      <c r="F58" s="1186"/>
      <c r="G58" s="1535"/>
      <c r="H58" s="1535"/>
    </row>
    <row r="59" ht="15.75" hidden="1" customHeight="1">
      <c r="A59" s="13">
        <v>58.0</v>
      </c>
      <c r="B59" s="13" t="str">
        <f t="shared" si="1"/>
        <v>Bandera Decoupes  </v>
      </c>
      <c r="C59" s="1535"/>
      <c r="D59" s="1185" t="s">
        <v>1273</v>
      </c>
      <c r="E59" s="1186"/>
      <c r="F59" s="1186"/>
      <c r="G59" s="1535"/>
      <c r="H59" s="1535"/>
    </row>
    <row r="60" ht="15.75" customHeight="1">
      <c r="A60" s="13">
        <v>59.0</v>
      </c>
      <c r="B60" s="13" t="str">
        <f t="shared" si="1"/>
        <v>Bandera Decoupes  </v>
      </c>
      <c r="C60" s="1535" t="s">
        <v>1251</v>
      </c>
      <c r="D60" s="1537" t="s">
        <v>1274</v>
      </c>
      <c r="E60" s="1186" t="s">
        <v>1206</v>
      </c>
      <c r="F60" s="1186" t="s">
        <v>1207</v>
      </c>
      <c r="G60" s="1535">
        <v>5.5</v>
      </c>
      <c r="H60" s="1535">
        <v>-5.0</v>
      </c>
    </row>
    <row r="61" ht="15.75" hidden="1" customHeight="1">
      <c r="A61" s="13">
        <v>60.0</v>
      </c>
      <c r="B61" s="13" t="str">
        <f t="shared" si="1"/>
        <v>Bandera Decoupes  </v>
      </c>
      <c r="C61" s="1535"/>
      <c r="D61" s="1535" t="s">
        <v>1275</v>
      </c>
      <c r="E61" s="1186"/>
      <c r="F61" s="1186"/>
      <c r="G61" s="1535"/>
      <c r="H61" s="1535"/>
    </row>
    <row r="62" ht="15.75" hidden="1" customHeight="1">
      <c r="A62" s="13">
        <v>61.0</v>
      </c>
      <c r="B62" s="13" t="str">
        <f t="shared" si="1"/>
        <v>Bandera Decoupes  </v>
      </c>
      <c r="C62" s="1535"/>
      <c r="D62" s="1185" t="s">
        <v>1276</v>
      </c>
      <c r="E62" s="1186"/>
      <c r="F62" s="1186"/>
      <c r="G62" s="1535"/>
      <c r="H62" s="1535"/>
    </row>
    <row r="63" ht="15.75" customHeight="1">
      <c r="A63" s="13">
        <v>62.0</v>
      </c>
      <c r="B63" s="13" t="str">
        <f t="shared" si="1"/>
        <v>Bandera Decoupes  </v>
      </c>
      <c r="C63" s="1535" t="s">
        <v>1251</v>
      </c>
      <c r="D63" s="1537" t="s">
        <v>1277</v>
      </c>
      <c r="E63" s="1186" t="s">
        <v>1278</v>
      </c>
      <c r="F63" s="1186" t="s">
        <v>1279</v>
      </c>
      <c r="G63" s="1535">
        <v>13.8</v>
      </c>
      <c r="H63" s="1535">
        <v>17.77</v>
      </c>
    </row>
    <row r="64" ht="15.75" hidden="1" customHeight="1">
      <c r="A64" s="13">
        <v>63.0</v>
      </c>
      <c r="B64" s="13" t="str">
        <f t="shared" si="1"/>
        <v>Bandera Decoupes  </v>
      </c>
      <c r="C64" s="1535"/>
      <c r="D64" s="1535" t="s">
        <v>1280</v>
      </c>
      <c r="E64" s="1186"/>
      <c r="F64" s="1186"/>
      <c r="G64" s="1535"/>
      <c r="H64" s="1535"/>
    </row>
    <row r="65" ht="15.75" hidden="1" customHeight="1">
      <c r="A65" s="13">
        <v>64.0</v>
      </c>
      <c r="B65" s="13" t="str">
        <f t="shared" si="1"/>
        <v>Bandera Decoupes  </v>
      </c>
      <c r="C65" s="1535"/>
      <c r="D65" s="1185" t="s">
        <v>1281</v>
      </c>
      <c r="E65" s="1186"/>
      <c r="F65" s="1186"/>
      <c r="G65" s="1535"/>
      <c r="H65" s="1535"/>
    </row>
    <row r="66" ht="15.75" customHeight="1">
      <c r="A66" s="13">
        <v>65.0</v>
      </c>
      <c r="B66" s="13" t="str">
        <f t="shared" si="1"/>
        <v>Bandera Decoupes  </v>
      </c>
      <c r="C66" s="1535" t="s">
        <v>1251</v>
      </c>
      <c r="D66" s="1537" t="s">
        <v>1282</v>
      </c>
      <c r="E66" s="1186" t="s">
        <v>610</v>
      </c>
      <c r="F66" s="1186" t="s">
        <v>1283</v>
      </c>
      <c r="G66" s="1535">
        <v>7.9</v>
      </c>
      <c r="H66" s="1535">
        <v>5.5</v>
      </c>
    </row>
    <row r="67" ht="15.75" hidden="1" customHeight="1">
      <c r="A67" s="13">
        <v>66.0</v>
      </c>
      <c r="B67" s="13" t="str">
        <f t="shared" si="1"/>
        <v>Bandera Decoupes  </v>
      </c>
      <c r="C67" s="1535"/>
      <c r="D67" s="1535" t="s">
        <v>1284</v>
      </c>
      <c r="E67" s="1186"/>
      <c r="F67" s="1186"/>
      <c r="G67" s="1535"/>
      <c r="H67" s="1535"/>
    </row>
    <row r="68" ht="15.75" hidden="1" customHeight="1">
      <c r="A68" s="13">
        <v>67.0</v>
      </c>
      <c r="B68" s="13" t="str">
        <f t="shared" si="1"/>
        <v>Bandera Decoupes  </v>
      </c>
      <c r="C68" s="1535"/>
      <c r="D68" s="1185"/>
      <c r="E68" s="1186"/>
      <c r="F68" s="1186"/>
      <c r="G68" s="1535"/>
      <c r="H68" s="1535"/>
    </row>
    <row r="69" ht="15.75" hidden="1" customHeight="1">
      <c r="A69" s="13">
        <v>68.0</v>
      </c>
      <c r="B69" s="13" t="str">
        <f t="shared" si="1"/>
        <v>Bandera Decoupes  </v>
      </c>
      <c r="C69" s="1535"/>
      <c r="D69" s="1537"/>
      <c r="E69" s="1186" t="s">
        <v>1250</v>
      </c>
      <c r="F69" s="1186">
        <v>90.4</v>
      </c>
      <c r="G69" s="1535">
        <v>70.59</v>
      </c>
      <c r="H69" s="1535"/>
    </row>
    <row r="70" ht="15.75" hidden="1" customHeight="1">
      <c r="A70" s="13">
        <v>69.0</v>
      </c>
      <c r="B70" s="13" t="str">
        <f t="shared" si="1"/>
        <v>Bandera Decoupes  </v>
      </c>
      <c r="C70" s="1535" t="s">
        <v>1285</v>
      </c>
      <c r="D70" s="1535" t="s">
        <v>1183</v>
      </c>
      <c r="E70" s="1186"/>
      <c r="F70" s="1186"/>
      <c r="G70" s="1535"/>
      <c r="H70" s="1535"/>
    </row>
    <row r="71" ht="15.75" hidden="1" customHeight="1">
      <c r="A71" s="13">
        <v>70.0</v>
      </c>
      <c r="B71" s="13" t="s">
        <v>1286</v>
      </c>
      <c r="C71" s="1535" t="s">
        <v>1182</v>
      </c>
      <c r="D71" s="1185" t="s">
        <v>1186</v>
      </c>
      <c r="E71" s="1186" t="s">
        <v>625</v>
      </c>
      <c r="F71" s="1186"/>
      <c r="G71" s="1535"/>
      <c r="H71" s="1535"/>
    </row>
    <row r="72" ht="15.75" customHeight="1">
      <c r="A72" s="13">
        <v>71.0</v>
      </c>
      <c r="B72" s="13" t="s">
        <v>1286</v>
      </c>
      <c r="C72" s="1535" t="s">
        <v>1185</v>
      </c>
      <c r="D72" s="1537" t="s">
        <v>1287</v>
      </c>
      <c r="E72" s="1186" t="s">
        <v>1187</v>
      </c>
      <c r="F72" s="1186" t="s">
        <v>1188</v>
      </c>
      <c r="G72" s="1535" t="s">
        <v>1189</v>
      </c>
      <c r="H72" s="1535" t="s">
        <v>1190</v>
      </c>
    </row>
    <row r="73" ht="15.75" customHeight="1">
      <c r="A73" s="13">
        <v>72.0</v>
      </c>
      <c r="B73" s="13" t="s">
        <v>1286</v>
      </c>
      <c r="C73" s="1535" t="s">
        <v>100</v>
      </c>
      <c r="D73" s="1535" t="s">
        <v>1288</v>
      </c>
      <c r="E73" s="1186" t="s">
        <v>1289</v>
      </c>
      <c r="F73" s="1186" t="s">
        <v>1290</v>
      </c>
      <c r="G73" s="1535">
        <v>24.0</v>
      </c>
      <c r="H73" s="1535">
        <v>21.99</v>
      </c>
    </row>
    <row r="74" ht="15.75" hidden="1" customHeight="1">
      <c r="A74" s="13">
        <v>73.0</v>
      </c>
      <c r="B74" s="13" t="s">
        <v>1286</v>
      </c>
      <c r="C74" s="1535"/>
      <c r="D74" s="1185" t="s">
        <v>1291</v>
      </c>
      <c r="E74" s="1186"/>
      <c r="F74" s="1186"/>
      <c r="G74" s="1535"/>
      <c r="H74" s="1535"/>
    </row>
    <row r="75" ht="15.75" hidden="1" customHeight="1">
      <c r="A75" s="13">
        <v>74.0</v>
      </c>
      <c r="B75" s="13" t="s">
        <v>1286</v>
      </c>
      <c r="C75" s="1535"/>
      <c r="D75" s="1537" t="s">
        <v>1292</v>
      </c>
      <c r="E75" s="1186"/>
      <c r="F75" s="1186"/>
      <c r="G75" s="1535"/>
      <c r="H75" s="1535"/>
    </row>
    <row r="76" ht="15.75" customHeight="1">
      <c r="A76" s="13">
        <v>75.0</v>
      </c>
      <c r="B76" s="13" t="s">
        <v>1286</v>
      </c>
      <c r="C76" s="1535" t="s">
        <v>106</v>
      </c>
      <c r="D76" s="1535" t="s">
        <v>1293</v>
      </c>
      <c r="E76" s="1186" t="s">
        <v>610</v>
      </c>
      <c r="F76" s="1186" t="s">
        <v>1283</v>
      </c>
      <c r="G76" s="1535">
        <v>21.3</v>
      </c>
      <c r="H76" s="1535">
        <v>12.6</v>
      </c>
    </row>
    <row r="77" ht="15.75" hidden="1" customHeight="1">
      <c r="A77" s="13">
        <v>76.0</v>
      </c>
      <c r="B77" s="13" t="s">
        <v>1286</v>
      </c>
      <c r="C77" s="1535"/>
      <c r="D77" s="1185" t="s">
        <v>1294</v>
      </c>
      <c r="E77" s="1186"/>
      <c r="F77" s="1186"/>
      <c r="G77" s="1535"/>
      <c r="H77" s="1535"/>
    </row>
    <row r="78" ht="15.75" hidden="1" customHeight="1">
      <c r="A78" s="13">
        <v>77.0</v>
      </c>
      <c r="B78" s="13" t="s">
        <v>1286</v>
      </c>
      <c r="C78" s="1535"/>
      <c r="D78" s="1537" t="s">
        <v>1295</v>
      </c>
      <c r="E78" s="1186"/>
      <c r="F78" s="1186"/>
      <c r="G78" s="1535"/>
      <c r="H78" s="1535"/>
    </row>
    <row r="79" ht="15.75" customHeight="1">
      <c r="A79" s="13">
        <v>78.0</v>
      </c>
      <c r="B79" s="13" t="s">
        <v>1286</v>
      </c>
      <c r="C79" s="1535" t="s">
        <v>106</v>
      </c>
      <c r="D79" s="1535" t="s">
        <v>1296</v>
      </c>
      <c r="E79" s="1186" t="s">
        <v>1297</v>
      </c>
      <c r="F79" s="1186" t="s">
        <v>1298</v>
      </c>
      <c r="G79" s="1535">
        <v>20.5</v>
      </c>
      <c r="H79" s="1535">
        <v>8.5</v>
      </c>
    </row>
    <row r="80" ht="15.75" hidden="1" customHeight="1">
      <c r="A80" s="13">
        <v>79.0</v>
      </c>
      <c r="B80" s="13" t="s">
        <v>1286</v>
      </c>
      <c r="C80" s="1535"/>
      <c r="D80" s="1185" t="s">
        <v>1299</v>
      </c>
      <c r="E80" s="1186"/>
      <c r="F80" s="1186"/>
      <c r="G80" s="1535"/>
      <c r="H80" s="1535"/>
    </row>
    <row r="81" ht="15.75" hidden="1" customHeight="1">
      <c r="A81" s="13">
        <v>80.0</v>
      </c>
      <c r="B81" s="13" t="s">
        <v>1286</v>
      </c>
      <c r="C81" s="1535"/>
      <c r="D81" s="1537" t="s">
        <v>1300</v>
      </c>
      <c r="E81" s="1186"/>
      <c r="F81" s="1186"/>
      <c r="G81" s="1535"/>
      <c r="H81" s="1535"/>
    </row>
    <row r="82" ht="15.75" customHeight="1">
      <c r="A82" s="13">
        <v>81.0</v>
      </c>
      <c r="B82" s="13" t="s">
        <v>1286</v>
      </c>
      <c r="C82" s="1535" t="s">
        <v>106</v>
      </c>
      <c r="D82" s="1535" t="s">
        <v>1301</v>
      </c>
      <c r="E82" s="1186" t="s">
        <v>1302</v>
      </c>
      <c r="F82" s="1186" t="s">
        <v>1303</v>
      </c>
      <c r="G82" s="1535">
        <v>17.4</v>
      </c>
      <c r="H82" s="1535">
        <v>29.0</v>
      </c>
    </row>
    <row r="83" ht="15.75" hidden="1" customHeight="1">
      <c r="A83" s="13">
        <v>82.0</v>
      </c>
      <c r="B83" s="13" t="s">
        <v>1286</v>
      </c>
      <c r="C83" s="1535"/>
      <c r="D83" s="1185" t="s">
        <v>1304</v>
      </c>
      <c r="E83" s="1186"/>
      <c r="F83" s="1186"/>
      <c r="G83" s="1535"/>
      <c r="H83" s="1535"/>
    </row>
    <row r="84" ht="15.75" hidden="1" customHeight="1">
      <c r="A84" s="13">
        <v>83.0</v>
      </c>
      <c r="B84" s="13" t="s">
        <v>1286</v>
      </c>
      <c r="C84" s="1535"/>
      <c r="D84" s="1537" t="s">
        <v>1305</v>
      </c>
      <c r="E84" s="1186"/>
      <c r="F84" s="1186"/>
      <c r="G84" s="1535"/>
      <c r="H84" s="1535"/>
    </row>
    <row r="85" ht="15.75" customHeight="1">
      <c r="A85" s="13">
        <v>84.0</v>
      </c>
      <c r="B85" s="13" t="s">
        <v>1286</v>
      </c>
      <c r="C85" s="1535" t="s">
        <v>117</v>
      </c>
      <c r="D85" s="1535" t="s">
        <v>1306</v>
      </c>
      <c r="E85" s="1186" t="s">
        <v>610</v>
      </c>
      <c r="F85" s="1186" t="s">
        <v>1283</v>
      </c>
      <c r="G85" s="1535">
        <v>14.2</v>
      </c>
      <c r="H85" s="1535">
        <v>10.6</v>
      </c>
    </row>
    <row r="86" ht="15.75" hidden="1" customHeight="1">
      <c r="A86" s="13">
        <v>85.0</v>
      </c>
      <c r="B86" s="13" t="s">
        <v>1286</v>
      </c>
      <c r="C86" s="1535"/>
      <c r="D86" s="1185" t="s">
        <v>1307</v>
      </c>
      <c r="E86" s="1186"/>
      <c r="F86" s="1186"/>
      <c r="G86" s="1535"/>
      <c r="H86" s="1535"/>
    </row>
    <row r="87" ht="15.75" hidden="1" customHeight="1">
      <c r="A87" s="13">
        <v>86.0</v>
      </c>
      <c r="B87" s="13" t="s">
        <v>1286</v>
      </c>
      <c r="C87" s="1535"/>
      <c r="D87" s="1537" t="s">
        <v>1308</v>
      </c>
      <c r="E87" s="1186"/>
      <c r="F87" s="1186"/>
      <c r="G87" s="1535"/>
      <c r="H87" s="1535"/>
    </row>
    <row r="88" ht="15.75" customHeight="1">
      <c r="A88" s="13">
        <v>87.0</v>
      </c>
      <c r="B88" s="13" t="s">
        <v>1286</v>
      </c>
      <c r="C88" s="1535" t="s">
        <v>117</v>
      </c>
      <c r="D88" s="13" t="s">
        <v>1309</v>
      </c>
      <c r="E88" s="1186" t="s">
        <v>1310</v>
      </c>
      <c r="F88" s="1186" t="s">
        <v>1311</v>
      </c>
      <c r="G88" s="1535">
        <v>15.0</v>
      </c>
      <c r="H88" s="1535">
        <v>12.5</v>
      </c>
    </row>
    <row r="89" ht="15.75" hidden="1" customHeight="1">
      <c r="A89" s="13">
        <v>88.0</v>
      </c>
      <c r="B89" s="13" t="s">
        <v>1286</v>
      </c>
      <c r="D89" s="13" t="s">
        <v>1312</v>
      </c>
    </row>
    <row r="90" ht="15.75" hidden="1" customHeight="1">
      <c r="A90" s="13">
        <v>89.0</v>
      </c>
      <c r="B90" s="13" t="s">
        <v>1286</v>
      </c>
      <c r="D90" s="13" t="s">
        <v>1313</v>
      </c>
    </row>
    <row r="91" ht="15.75" customHeight="1">
      <c r="A91" s="13">
        <v>90.0</v>
      </c>
      <c r="B91" s="13" t="s">
        <v>1286</v>
      </c>
      <c r="C91" s="13" t="s">
        <v>117</v>
      </c>
      <c r="D91" s="13" t="s">
        <v>1314</v>
      </c>
      <c r="E91" s="13" t="s">
        <v>602</v>
      </c>
      <c r="F91" s="13" t="s">
        <v>1315</v>
      </c>
      <c r="G91" s="13">
        <v>13.9</v>
      </c>
      <c r="H91" s="13">
        <v>15.2</v>
      </c>
    </row>
    <row r="92" ht="15.75" hidden="1" customHeight="1">
      <c r="A92" s="13">
        <v>91.0</v>
      </c>
      <c r="B92" s="13" t="s">
        <v>1286</v>
      </c>
      <c r="D92" s="13" t="s">
        <v>1316</v>
      </c>
    </row>
    <row r="93" ht="15.75" hidden="1" customHeight="1">
      <c r="A93" s="13">
        <v>92.0</v>
      </c>
      <c r="B93" s="13" t="s">
        <v>1286</v>
      </c>
      <c r="D93" s="13" t="s">
        <v>1317</v>
      </c>
    </row>
    <row r="94" ht="15.75" customHeight="1">
      <c r="A94" s="13">
        <v>93.0</v>
      </c>
      <c r="B94" s="13" t="s">
        <v>1286</v>
      </c>
      <c r="C94" s="13" t="s">
        <v>117</v>
      </c>
      <c r="D94" s="13" t="s">
        <v>1318</v>
      </c>
      <c r="E94" s="13" t="s">
        <v>1319</v>
      </c>
      <c r="F94" s="13" t="s">
        <v>1320</v>
      </c>
      <c r="G94" s="13">
        <v>13.3</v>
      </c>
      <c r="H94" s="13">
        <v>8.6</v>
      </c>
    </row>
    <row r="95" ht="15.75" hidden="1" customHeight="1">
      <c r="A95" s="13">
        <v>94.0</v>
      </c>
      <c r="B95" s="13" t="s">
        <v>1286</v>
      </c>
      <c r="D95" s="13" t="s">
        <v>1321</v>
      </c>
    </row>
    <row r="96" ht="15.75" hidden="1" customHeight="1">
      <c r="A96" s="13">
        <v>95.0</v>
      </c>
      <c r="B96" s="13" t="s">
        <v>1286</v>
      </c>
      <c r="D96" s="13" t="s">
        <v>1322</v>
      </c>
    </row>
    <row r="97" ht="15.75" customHeight="1">
      <c r="A97" s="13">
        <v>96.0</v>
      </c>
      <c r="B97" s="13" t="s">
        <v>1286</v>
      </c>
      <c r="C97" s="13" t="s">
        <v>132</v>
      </c>
      <c r="D97" s="13" t="s">
        <v>1323</v>
      </c>
      <c r="E97" s="13" t="s">
        <v>1233</v>
      </c>
      <c r="F97" s="13" t="s">
        <v>1234</v>
      </c>
      <c r="G97" s="13">
        <v>14.6</v>
      </c>
      <c r="H97" s="13">
        <v>10.2</v>
      </c>
    </row>
    <row r="98" ht="15.75" hidden="1" customHeight="1">
      <c r="A98" s="13">
        <v>97.0</v>
      </c>
      <c r="B98" s="13" t="s">
        <v>1286</v>
      </c>
      <c r="D98" s="13" t="s">
        <v>1324</v>
      </c>
    </row>
    <row r="99" ht="15.75" hidden="1" customHeight="1">
      <c r="A99" s="13">
        <v>98.0</v>
      </c>
      <c r="B99" s="13" t="s">
        <v>1286</v>
      </c>
      <c r="D99" s="13" t="s">
        <v>1325</v>
      </c>
    </row>
    <row r="100" ht="15.75" customHeight="1">
      <c r="A100" s="13">
        <v>99.0</v>
      </c>
      <c r="B100" s="13" t="s">
        <v>1286</v>
      </c>
      <c r="C100" s="13" t="s">
        <v>136</v>
      </c>
      <c r="D100" s="13" t="s">
        <v>1326</v>
      </c>
      <c r="E100" s="13" t="s">
        <v>1327</v>
      </c>
      <c r="F100" s="13" t="s">
        <v>1215</v>
      </c>
      <c r="G100" s="13">
        <v>12.0</v>
      </c>
      <c r="H100" s="13">
        <v>9.0</v>
      </c>
    </row>
    <row r="101" ht="15.75" hidden="1" customHeight="1">
      <c r="A101" s="13">
        <v>100.0</v>
      </c>
      <c r="B101" s="13" t="s">
        <v>1286</v>
      </c>
      <c r="D101" s="13" t="s">
        <v>1328</v>
      </c>
    </row>
    <row r="102" ht="15.75" hidden="1" customHeight="1">
      <c r="A102" s="13">
        <v>101.0</v>
      </c>
      <c r="B102" s="13" t="s">
        <v>1286</v>
      </c>
      <c r="D102" s="13" t="s">
        <v>1329</v>
      </c>
    </row>
    <row r="103" ht="15.75" customHeight="1">
      <c r="A103" s="13">
        <v>102.0</v>
      </c>
      <c r="B103" s="13" t="s">
        <v>1286</v>
      </c>
      <c r="C103" s="13" t="s">
        <v>139</v>
      </c>
      <c r="D103" s="13" t="s">
        <v>1330</v>
      </c>
      <c r="E103" s="13" t="s">
        <v>1233</v>
      </c>
      <c r="F103" s="13" t="s">
        <v>1234</v>
      </c>
      <c r="G103" s="13">
        <v>12.5</v>
      </c>
      <c r="H103" s="13">
        <v>16.36</v>
      </c>
    </row>
    <row r="104" ht="15.75" hidden="1" customHeight="1">
      <c r="A104" s="13">
        <v>103.0</v>
      </c>
      <c r="B104" s="13" t="s">
        <v>1286</v>
      </c>
      <c r="D104" s="13" t="s">
        <v>1331</v>
      </c>
    </row>
    <row r="105" ht="15.75" hidden="1" customHeight="1">
      <c r="A105" s="13">
        <v>104.0</v>
      </c>
      <c r="B105" s="13" t="s">
        <v>1286</v>
      </c>
      <c r="D105" s="13" t="s">
        <v>1332</v>
      </c>
    </row>
    <row r="106" ht="15.75" customHeight="1">
      <c r="A106" s="13">
        <v>105.0</v>
      </c>
      <c r="B106" s="13" t="s">
        <v>1286</v>
      </c>
      <c r="C106" s="13" t="s">
        <v>146</v>
      </c>
      <c r="D106" s="13" t="s">
        <v>1333</v>
      </c>
      <c r="E106" s="13" t="s">
        <v>1214</v>
      </c>
      <c r="F106" s="13" t="s">
        <v>1215</v>
      </c>
      <c r="G106" s="13">
        <v>9.0</v>
      </c>
      <c r="H106" s="13">
        <v>7.0</v>
      </c>
    </row>
    <row r="107" ht="15.75" hidden="1" customHeight="1">
      <c r="A107" s="13">
        <v>106.0</v>
      </c>
      <c r="B107" s="13" t="s">
        <v>1286</v>
      </c>
      <c r="D107" s="13" t="s">
        <v>1334</v>
      </c>
    </row>
    <row r="108" ht="15.75" hidden="1" customHeight="1">
      <c r="A108" s="13">
        <v>107.0</v>
      </c>
      <c r="B108" s="13" t="s">
        <v>1286</v>
      </c>
      <c r="D108" s="13" t="s">
        <v>1335</v>
      </c>
    </row>
    <row r="109" ht="15.75" customHeight="1">
      <c r="A109" s="13">
        <v>108.0</v>
      </c>
      <c r="B109" s="13" t="s">
        <v>1286</v>
      </c>
      <c r="C109" s="13" t="s">
        <v>162</v>
      </c>
      <c r="D109" s="13" t="s">
        <v>1336</v>
      </c>
      <c r="E109" s="13" t="s">
        <v>1289</v>
      </c>
      <c r="F109" s="13" t="s">
        <v>1290</v>
      </c>
      <c r="G109" s="13">
        <v>11.1</v>
      </c>
      <c r="H109" s="13">
        <v>13.4</v>
      </c>
    </row>
    <row r="110" ht="15.75" hidden="1" customHeight="1">
      <c r="A110" s="13">
        <v>109.0</v>
      </c>
      <c r="B110" s="13" t="s">
        <v>1286</v>
      </c>
      <c r="D110" s="13" t="s">
        <v>1337</v>
      </c>
    </row>
    <row r="111" ht="15.75" hidden="1" customHeight="1">
      <c r="A111" s="13">
        <v>110.0</v>
      </c>
      <c r="B111" s="13" t="s">
        <v>1286</v>
      </c>
    </row>
    <row r="112" ht="15.75" hidden="1" customHeight="1">
      <c r="A112" s="13">
        <v>111.0</v>
      </c>
      <c r="B112" s="13" t="s">
        <v>1286</v>
      </c>
      <c r="D112" s="13" t="s">
        <v>1338</v>
      </c>
      <c r="E112" s="13" t="s">
        <v>1250</v>
      </c>
      <c r="F112" s="13">
        <v>198.8</v>
      </c>
      <c r="G112" s="13">
        <v>174.95</v>
      </c>
    </row>
    <row r="113" ht="15.75" customHeight="1">
      <c r="A113" s="13">
        <v>112.0</v>
      </c>
      <c r="B113" s="13" t="s">
        <v>1286</v>
      </c>
      <c r="C113" s="13" t="s">
        <v>1251</v>
      </c>
      <c r="D113" s="13" t="s">
        <v>1339</v>
      </c>
      <c r="E113" s="13" t="s">
        <v>1262</v>
      </c>
      <c r="F113" s="13" t="s">
        <v>1263</v>
      </c>
      <c r="G113" s="13">
        <v>21.4</v>
      </c>
      <c r="H113" s="13">
        <v>0.85</v>
      </c>
    </row>
    <row r="114" ht="15.75" hidden="1" customHeight="1">
      <c r="A114" s="13">
        <v>113.0</v>
      </c>
      <c r="B114" s="13" t="s">
        <v>1286</v>
      </c>
      <c r="D114" s="13" t="s">
        <v>1340</v>
      </c>
    </row>
    <row r="115" ht="15.75" hidden="1" customHeight="1">
      <c r="A115" s="13">
        <v>114.0</v>
      </c>
      <c r="B115" s="13" t="s">
        <v>1286</v>
      </c>
      <c r="D115" s="13" t="s">
        <v>1341</v>
      </c>
    </row>
    <row r="116" ht="15.75" customHeight="1">
      <c r="A116" s="13">
        <v>115.0</v>
      </c>
      <c r="B116" s="13" t="s">
        <v>1286</v>
      </c>
      <c r="C116" s="13" t="s">
        <v>1251</v>
      </c>
      <c r="D116" s="13" t="s">
        <v>1342</v>
      </c>
      <c r="E116" s="13" t="s">
        <v>1206</v>
      </c>
      <c r="F116" s="13" t="s">
        <v>1207</v>
      </c>
      <c r="G116" s="13">
        <v>13.0</v>
      </c>
      <c r="H116" s="13">
        <v>2.2</v>
      </c>
    </row>
    <row r="117" ht="15.75" hidden="1" customHeight="1">
      <c r="A117" s="13">
        <v>116.0</v>
      </c>
      <c r="B117" s="13" t="s">
        <v>1286</v>
      </c>
      <c r="D117" s="13" t="s">
        <v>1343</v>
      </c>
    </row>
    <row r="118" ht="15.75" hidden="1" customHeight="1">
      <c r="A118" s="13">
        <v>117.0</v>
      </c>
      <c r="B118" s="13" t="s">
        <v>1286</v>
      </c>
      <c r="D118" s="13" t="s">
        <v>1344</v>
      </c>
    </row>
    <row r="119" ht="15.75" customHeight="1">
      <c r="A119" s="13">
        <v>118.0</v>
      </c>
      <c r="B119" s="13" t="s">
        <v>1286</v>
      </c>
      <c r="C119" s="13" t="s">
        <v>1251</v>
      </c>
      <c r="D119" s="13" t="s">
        <v>1345</v>
      </c>
      <c r="E119" s="13" t="s">
        <v>1319</v>
      </c>
      <c r="F119" s="13" t="s">
        <v>1320</v>
      </c>
      <c r="G119" s="13">
        <v>12.4</v>
      </c>
      <c r="H119" s="13">
        <v>5.8</v>
      </c>
    </row>
    <row r="120" ht="15.75" hidden="1" customHeight="1">
      <c r="A120" s="13">
        <v>119.0</v>
      </c>
      <c r="B120" s="13" t="s">
        <v>1286</v>
      </c>
      <c r="D120" s="13" t="s">
        <v>1321</v>
      </c>
    </row>
    <row r="121" ht="15.75" hidden="1" customHeight="1">
      <c r="A121" s="13">
        <v>120.0</v>
      </c>
      <c r="B121" s="13" t="s">
        <v>1286</v>
      </c>
      <c r="D121" s="13" t="s">
        <v>1346</v>
      </c>
    </row>
    <row r="122" ht="15.75" customHeight="1">
      <c r="A122" s="13">
        <v>121.0</v>
      </c>
      <c r="B122" s="13" t="s">
        <v>1286</v>
      </c>
      <c r="C122" s="13" t="s">
        <v>1251</v>
      </c>
      <c r="D122" s="13" t="s">
        <v>1347</v>
      </c>
      <c r="E122" s="13" t="s">
        <v>619</v>
      </c>
      <c r="F122" s="13" t="s">
        <v>1202</v>
      </c>
      <c r="G122" s="13">
        <v>6.0</v>
      </c>
      <c r="H122" s="13">
        <v>-1.7</v>
      </c>
    </row>
    <row r="123" ht="15.75" hidden="1" customHeight="1">
      <c r="A123" s="13">
        <v>122.0</v>
      </c>
      <c r="B123" s="13" t="s">
        <v>1286</v>
      </c>
      <c r="D123" s="13" t="s">
        <v>1348</v>
      </c>
    </row>
    <row r="124" ht="15.75" hidden="1" customHeight="1">
      <c r="A124" s="13">
        <v>123.0</v>
      </c>
      <c r="B124" s="13" t="s">
        <v>1286</v>
      </c>
      <c r="D124" s="13" t="s">
        <v>1349</v>
      </c>
    </row>
    <row r="125" ht="15.75" customHeight="1">
      <c r="A125" s="13">
        <v>124.0</v>
      </c>
      <c r="B125" s="13" t="s">
        <v>1286</v>
      </c>
      <c r="C125" s="13" t="s">
        <v>1251</v>
      </c>
      <c r="D125" s="13" t="s">
        <v>1350</v>
      </c>
      <c r="E125" s="13" t="s">
        <v>1289</v>
      </c>
      <c r="F125" s="13" t="s">
        <v>1290</v>
      </c>
      <c r="G125" s="13">
        <v>14.9</v>
      </c>
      <c r="H125" s="13">
        <v>9.9</v>
      </c>
    </row>
    <row r="126" ht="15.75" hidden="1" customHeight="1">
      <c r="A126" s="13">
        <v>125.0</v>
      </c>
      <c r="B126" s="13" t="s">
        <v>1286</v>
      </c>
      <c r="D126" s="13" t="s">
        <v>1351</v>
      </c>
    </row>
    <row r="127" ht="15.75" hidden="1" customHeight="1">
      <c r="A127" s="13">
        <v>126.0</v>
      </c>
      <c r="B127" s="13" t="s">
        <v>1286</v>
      </c>
      <c r="D127" s="13" t="s">
        <v>1352</v>
      </c>
    </row>
    <row r="128" ht="15.75" customHeight="1">
      <c r="A128" s="13">
        <v>127.0</v>
      </c>
      <c r="B128" s="13" t="s">
        <v>1286</v>
      </c>
      <c r="C128" s="13" t="s">
        <v>1251</v>
      </c>
      <c r="D128" s="13" t="s">
        <v>1353</v>
      </c>
      <c r="E128" s="13" t="s">
        <v>617</v>
      </c>
      <c r="F128" s="13" t="s">
        <v>1354</v>
      </c>
      <c r="G128" s="13">
        <v>7.9</v>
      </c>
      <c r="H128" s="13">
        <v>0.0</v>
      </c>
    </row>
    <row r="129" ht="15.75" hidden="1" customHeight="1">
      <c r="A129" s="13">
        <v>128.0</v>
      </c>
      <c r="B129" s="13" t="s">
        <v>1286</v>
      </c>
      <c r="D129" s="13" t="s">
        <v>1355</v>
      </c>
    </row>
    <row r="130" ht="15.75" hidden="1" customHeight="1">
      <c r="A130" s="13">
        <v>129.0</v>
      </c>
      <c r="B130" s="13" t="s">
        <v>1286</v>
      </c>
      <c r="D130" s="13" t="s">
        <v>1356</v>
      </c>
    </row>
    <row r="131" ht="15.75" customHeight="1">
      <c r="A131" s="13">
        <v>130.0</v>
      </c>
      <c r="B131" s="13" t="s">
        <v>1286</v>
      </c>
      <c r="C131" s="13" t="s">
        <v>1251</v>
      </c>
      <c r="D131" s="13" t="s">
        <v>1357</v>
      </c>
      <c r="E131" s="13" t="s">
        <v>1223</v>
      </c>
      <c r="F131" s="13" t="s">
        <v>1224</v>
      </c>
      <c r="G131" s="13">
        <v>8.2</v>
      </c>
      <c r="H131" s="13">
        <v>10.5</v>
      </c>
    </row>
    <row r="132" ht="15.75" hidden="1" customHeight="1">
      <c r="A132" s="13">
        <v>131.0</v>
      </c>
      <c r="B132" s="13" t="s">
        <v>1286</v>
      </c>
      <c r="D132" s="13" t="s">
        <v>1358</v>
      </c>
    </row>
    <row r="133" ht="15.75" hidden="1" customHeight="1">
      <c r="A133" s="13">
        <v>132.0</v>
      </c>
      <c r="B133" s="13" t="s">
        <v>1286</v>
      </c>
      <c r="D133" s="13" t="s">
        <v>1359</v>
      </c>
    </row>
    <row r="134" ht="15.75" customHeight="1">
      <c r="A134" s="13">
        <v>133.0</v>
      </c>
      <c r="B134" s="13" t="s">
        <v>1286</v>
      </c>
      <c r="C134" s="13" t="s">
        <v>1251</v>
      </c>
      <c r="D134" s="13" t="s">
        <v>1360</v>
      </c>
      <c r="E134" s="13" t="s">
        <v>1361</v>
      </c>
      <c r="F134" s="13" t="s">
        <v>1362</v>
      </c>
      <c r="G134" s="13">
        <v>10.1</v>
      </c>
      <c r="H134" s="13">
        <v>13.36</v>
      </c>
    </row>
    <row r="135" ht="15.75" hidden="1" customHeight="1">
      <c r="A135" s="13">
        <v>134.0</v>
      </c>
      <c r="B135" s="13" t="s">
        <v>1286</v>
      </c>
      <c r="D135" s="13" t="s">
        <v>1363</v>
      </c>
    </row>
    <row r="136" ht="15.75" hidden="1" customHeight="1">
      <c r="A136" s="13">
        <v>135.0</v>
      </c>
      <c r="B136" s="13" t="s">
        <v>1286</v>
      </c>
    </row>
    <row r="137" ht="15.75" hidden="1" customHeight="1">
      <c r="A137" s="13">
        <v>136.0</v>
      </c>
      <c r="B137" s="13" t="s">
        <v>1286</v>
      </c>
      <c r="E137" s="13" t="s">
        <v>1250</v>
      </c>
      <c r="F137" s="13">
        <v>94.1</v>
      </c>
      <c r="G137" s="13">
        <v>40.91</v>
      </c>
    </row>
    <row r="138" ht="15.75" hidden="1" customHeight="1">
      <c r="A138" s="13">
        <v>137.0</v>
      </c>
      <c r="B138" s="13" t="s">
        <v>1286</v>
      </c>
      <c r="C138" s="13" t="s">
        <v>1364</v>
      </c>
      <c r="D138" s="13" t="s">
        <v>1183</v>
      </c>
    </row>
    <row r="139" ht="15.75" hidden="1" customHeight="1">
      <c r="A139" s="13">
        <v>138.0</v>
      </c>
      <c r="B139" s="13" t="s">
        <v>1365</v>
      </c>
      <c r="C139" s="13" t="s">
        <v>1182</v>
      </c>
      <c r="D139" s="13" t="s">
        <v>1186</v>
      </c>
      <c r="E139" s="13" t="s">
        <v>625</v>
      </c>
    </row>
    <row r="140" ht="15.75" customHeight="1">
      <c r="A140" s="13">
        <v>139.0</v>
      </c>
      <c r="B140" s="13" t="s">
        <v>1365</v>
      </c>
      <c r="C140" s="13" t="s">
        <v>1185</v>
      </c>
      <c r="D140" s="13" t="s">
        <v>1366</v>
      </c>
      <c r="E140" s="13" t="s">
        <v>1187</v>
      </c>
      <c r="F140" s="13" t="s">
        <v>1188</v>
      </c>
      <c r="G140" s="13" t="s">
        <v>1189</v>
      </c>
      <c r="H140" s="13" t="s">
        <v>1190</v>
      </c>
    </row>
    <row r="141" ht="15.75" customHeight="1">
      <c r="A141" s="13">
        <v>140.0</v>
      </c>
      <c r="B141" s="13" t="s">
        <v>1365</v>
      </c>
      <c r="C141" s="13" t="s">
        <v>100</v>
      </c>
      <c r="D141" s="13" t="s">
        <v>1367</v>
      </c>
      <c r="E141" s="13" t="s">
        <v>602</v>
      </c>
      <c r="F141" s="13" t="s">
        <v>1315</v>
      </c>
      <c r="G141" s="13">
        <v>19.6</v>
      </c>
      <c r="H141" s="13">
        <v>-0.48</v>
      </c>
    </row>
    <row r="142" ht="15.75" hidden="1" customHeight="1">
      <c r="A142" s="13">
        <v>141.0</v>
      </c>
      <c r="B142" s="13" t="s">
        <v>1365</v>
      </c>
      <c r="D142" s="13" t="s">
        <v>1368</v>
      </c>
    </row>
    <row r="143" ht="15.75" hidden="1" customHeight="1">
      <c r="A143" s="13">
        <v>142.0</v>
      </c>
      <c r="B143" s="13" t="s">
        <v>1365</v>
      </c>
      <c r="D143" s="13" t="s">
        <v>1369</v>
      </c>
    </row>
    <row r="144" ht="15.75" customHeight="1">
      <c r="A144" s="13">
        <v>143.0</v>
      </c>
      <c r="B144" s="13" t="s">
        <v>1365</v>
      </c>
      <c r="C144" s="13" t="s">
        <v>106</v>
      </c>
      <c r="D144" s="13" t="s">
        <v>1370</v>
      </c>
      <c r="E144" s="13" t="s">
        <v>1310</v>
      </c>
      <c r="F144" s="13" t="s">
        <v>1311</v>
      </c>
      <c r="G144" s="13">
        <v>18.3</v>
      </c>
      <c r="H144" s="13">
        <v>11.6</v>
      </c>
    </row>
    <row r="145" ht="15.75" hidden="1" customHeight="1">
      <c r="A145" s="13">
        <v>144.0</v>
      </c>
      <c r="B145" s="13" t="s">
        <v>1365</v>
      </c>
      <c r="D145" s="13" t="s">
        <v>1371</v>
      </c>
    </row>
    <row r="146" ht="15.75" hidden="1" customHeight="1">
      <c r="A146" s="13">
        <v>145.0</v>
      </c>
      <c r="B146" s="13" t="s">
        <v>1365</v>
      </c>
      <c r="D146" s="13" t="s">
        <v>1372</v>
      </c>
    </row>
    <row r="147" ht="15.75" customHeight="1">
      <c r="A147" s="13">
        <v>146.0</v>
      </c>
      <c r="B147" s="13" t="s">
        <v>1365</v>
      </c>
      <c r="C147" s="13" t="s">
        <v>106</v>
      </c>
      <c r="D147" s="13" t="s">
        <v>1373</v>
      </c>
      <c r="E147" s="13" t="s">
        <v>1228</v>
      </c>
      <c r="F147" s="13" t="s">
        <v>1229</v>
      </c>
      <c r="G147" s="13">
        <v>17.6</v>
      </c>
      <c r="H147" s="13">
        <v>36.2</v>
      </c>
    </row>
    <row r="148" ht="15.75" hidden="1" customHeight="1">
      <c r="A148" s="13">
        <v>147.0</v>
      </c>
      <c r="B148" s="13" t="s">
        <v>1365</v>
      </c>
      <c r="D148" s="13" t="s">
        <v>1374</v>
      </c>
    </row>
    <row r="149" ht="15.75" hidden="1" customHeight="1">
      <c r="A149" s="13">
        <v>148.0</v>
      </c>
      <c r="B149" s="13" t="s">
        <v>1365</v>
      </c>
      <c r="D149" s="13" t="s">
        <v>1375</v>
      </c>
    </row>
    <row r="150" ht="15.75" customHeight="1">
      <c r="A150" s="13">
        <v>149.0</v>
      </c>
      <c r="B150" s="13" t="s">
        <v>1365</v>
      </c>
      <c r="C150" s="13" t="s">
        <v>106</v>
      </c>
      <c r="D150" s="13" t="s">
        <v>1376</v>
      </c>
      <c r="E150" s="13" t="s">
        <v>1238</v>
      </c>
      <c r="F150" s="13" t="s">
        <v>1239</v>
      </c>
      <c r="G150" s="13">
        <v>17.5</v>
      </c>
      <c r="H150" s="13">
        <v>4.7</v>
      </c>
    </row>
    <row r="151" ht="15.75" hidden="1" customHeight="1">
      <c r="A151" s="13">
        <v>150.0</v>
      </c>
      <c r="B151" s="13" t="s">
        <v>1365</v>
      </c>
      <c r="D151" s="13" t="s">
        <v>1377</v>
      </c>
    </row>
    <row r="152" ht="15.75" hidden="1" customHeight="1">
      <c r="A152" s="13">
        <v>151.0</v>
      </c>
      <c r="B152" s="13" t="s">
        <v>1365</v>
      </c>
      <c r="D152" s="13" t="s">
        <v>1378</v>
      </c>
    </row>
    <row r="153" ht="15.75" customHeight="1">
      <c r="A153" s="13">
        <v>152.0</v>
      </c>
      <c r="B153" s="13" t="s">
        <v>1365</v>
      </c>
      <c r="C153" s="13" t="s">
        <v>117</v>
      </c>
      <c r="D153" s="13" t="s">
        <v>1379</v>
      </c>
      <c r="E153" s="13" t="s">
        <v>1206</v>
      </c>
      <c r="F153" s="13" t="s">
        <v>1207</v>
      </c>
      <c r="G153" s="13">
        <v>20.1</v>
      </c>
      <c r="H153" s="13">
        <v>32.8</v>
      </c>
    </row>
    <row r="154" ht="15.75" hidden="1" customHeight="1">
      <c r="A154" s="13">
        <v>153.0</v>
      </c>
      <c r="B154" s="13" t="s">
        <v>1365</v>
      </c>
      <c r="D154" s="13" t="s">
        <v>1343</v>
      </c>
    </row>
    <row r="155" ht="15.75" hidden="1" customHeight="1">
      <c r="A155" s="13">
        <v>154.0</v>
      </c>
      <c r="B155" s="13" t="s">
        <v>1365</v>
      </c>
      <c r="D155" s="13" t="s">
        <v>1380</v>
      </c>
    </row>
    <row r="156" ht="15.75" customHeight="1">
      <c r="A156" s="13">
        <v>155.0</v>
      </c>
      <c r="B156" s="13" t="s">
        <v>1365</v>
      </c>
      <c r="C156" s="13" t="s">
        <v>117</v>
      </c>
      <c r="D156" s="13" t="s">
        <v>1381</v>
      </c>
      <c r="E156" s="13" t="s">
        <v>1238</v>
      </c>
      <c r="F156" s="13" t="s">
        <v>1239</v>
      </c>
      <c r="G156" s="13">
        <v>17.2</v>
      </c>
      <c r="H156" s="13">
        <v>13.4</v>
      </c>
    </row>
    <row r="157" ht="15.75" hidden="1" customHeight="1">
      <c r="A157" s="13">
        <v>156.0</v>
      </c>
      <c r="B157" s="13" t="s">
        <v>1365</v>
      </c>
      <c r="D157" s="13" t="s">
        <v>1382</v>
      </c>
    </row>
    <row r="158" ht="15.75" hidden="1" customHeight="1">
      <c r="A158" s="13">
        <v>157.0</v>
      </c>
      <c r="B158" s="13" t="s">
        <v>1365</v>
      </c>
      <c r="D158" s="13" t="s">
        <v>1383</v>
      </c>
    </row>
    <row r="159" ht="15.75" customHeight="1">
      <c r="A159" s="13">
        <v>158.0</v>
      </c>
      <c r="B159" s="13" t="s">
        <v>1365</v>
      </c>
      <c r="C159" s="13" t="s">
        <v>117</v>
      </c>
      <c r="D159" s="13" t="s">
        <v>1384</v>
      </c>
      <c r="E159" s="13" t="s">
        <v>1193</v>
      </c>
      <c r="F159" s="13" t="s">
        <v>1194</v>
      </c>
      <c r="G159" s="13">
        <v>14.8</v>
      </c>
      <c r="H159" s="13">
        <v>4.7</v>
      </c>
    </row>
    <row r="160" ht="15.75" hidden="1" customHeight="1">
      <c r="A160" s="13">
        <v>159.0</v>
      </c>
      <c r="B160" s="13" t="s">
        <v>1365</v>
      </c>
      <c r="D160" s="13" t="s">
        <v>1211</v>
      </c>
    </row>
    <row r="161" ht="15.75" hidden="1" customHeight="1">
      <c r="A161" s="13">
        <v>160.0</v>
      </c>
      <c r="B161" s="13" t="s">
        <v>1365</v>
      </c>
      <c r="D161" s="13" t="s">
        <v>1385</v>
      </c>
    </row>
    <row r="162" ht="15.75" customHeight="1">
      <c r="A162" s="13">
        <v>161.0</v>
      </c>
      <c r="B162" s="13" t="s">
        <v>1365</v>
      </c>
      <c r="C162" s="13" t="s">
        <v>117</v>
      </c>
      <c r="D162" s="13" t="s">
        <v>1386</v>
      </c>
      <c r="E162" s="13" t="s">
        <v>619</v>
      </c>
      <c r="F162" s="13" t="s">
        <v>1202</v>
      </c>
      <c r="G162" s="13">
        <v>14.7</v>
      </c>
      <c r="H162" s="13">
        <v>14.3</v>
      </c>
    </row>
    <row r="163" ht="15.75" hidden="1" customHeight="1">
      <c r="A163" s="13">
        <v>162.0</v>
      </c>
      <c r="B163" s="13" t="s">
        <v>1365</v>
      </c>
      <c r="D163" s="13" t="s">
        <v>1387</v>
      </c>
    </row>
    <row r="164" ht="15.75" hidden="1" customHeight="1">
      <c r="A164" s="13">
        <v>163.0</v>
      </c>
      <c r="B164" s="13" t="s">
        <v>1365</v>
      </c>
      <c r="D164" s="13" t="s">
        <v>1388</v>
      </c>
    </row>
    <row r="165" ht="15.75" customHeight="1">
      <c r="A165" s="13">
        <v>164.0</v>
      </c>
      <c r="B165" s="13" t="s">
        <v>1365</v>
      </c>
      <c r="C165" s="13" t="s">
        <v>132</v>
      </c>
      <c r="D165" s="13" t="s">
        <v>1389</v>
      </c>
      <c r="E165" s="13" t="s">
        <v>1289</v>
      </c>
      <c r="F165" s="13" t="s">
        <v>1290</v>
      </c>
      <c r="G165" s="13">
        <v>10.1</v>
      </c>
      <c r="H165" s="13">
        <v>9.0</v>
      </c>
    </row>
    <row r="166" ht="15.75" hidden="1" customHeight="1">
      <c r="A166" s="13">
        <v>165.0</v>
      </c>
      <c r="B166" s="13" t="s">
        <v>1365</v>
      </c>
      <c r="D166" s="13" t="s">
        <v>1390</v>
      </c>
    </row>
    <row r="167" ht="15.75" hidden="1" customHeight="1">
      <c r="A167" s="13">
        <v>166.0</v>
      </c>
      <c r="B167" s="13" t="s">
        <v>1365</v>
      </c>
      <c r="D167" s="13" t="s">
        <v>1391</v>
      </c>
    </row>
    <row r="168" ht="15.75" customHeight="1">
      <c r="A168" s="13">
        <v>167.0</v>
      </c>
      <c r="B168" s="13" t="s">
        <v>1365</v>
      </c>
      <c r="C168" s="13" t="s">
        <v>136</v>
      </c>
      <c r="D168" s="13" t="s">
        <v>1392</v>
      </c>
      <c r="E168" s="13" t="s">
        <v>1302</v>
      </c>
      <c r="F168" s="13" t="s">
        <v>1303</v>
      </c>
      <c r="G168" s="13">
        <v>16.4</v>
      </c>
      <c r="H168" s="13">
        <v>9.7</v>
      </c>
    </row>
    <row r="169" ht="15.75" hidden="1" customHeight="1">
      <c r="A169" s="13">
        <v>168.0</v>
      </c>
      <c r="B169" s="13" t="s">
        <v>1365</v>
      </c>
      <c r="D169" s="13" t="s">
        <v>1304</v>
      </c>
    </row>
    <row r="170" ht="15.75" hidden="1" customHeight="1">
      <c r="A170" s="13">
        <v>169.0</v>
      </c>
      <c r="B170" s="13" t="s">
        <v>1365</v>
      </c>
      <c r="D170" s="13" t="s">
        <v>1393</v>
      </c>
    </row>
    <row r="171" ht="15.75" customHeight="1">
      <c r="A171" s="13">
        <v>170.0</v>
      </c>
      <c r="B171" s="13" t="s">
        <v>1365</v>
      </c>
      <c r="C171" s="13" t="s">
        <v>139</v>
      </c>
      <c r="D171" s="13" t="s">
        <v>1394</v>
      </c>
      <c r="E171" s="13" t="s">
        <v>1214</v>
      </c>
      <c r="F171" s="13" t="s">
        <v>1215</v>
      </c>
      <c r="G171" s="13">
        <v>14.4</v>
      </c>
      <c r="H171" s="13">
        <v>13.72</v>
      </c>
    </row>
    <row r="172" ht="15.75" hidden="1" customHeight="1">
      <c r="A172" s="13">
        <v>171.0</v>
      </c>
      <c r="B172" s="13" t="s">
        <v>1365</v>
      </c>
      <c r="D172" s="13" t="s">
        <v>1395</v>
      </c>
    </row>
    <row r="173" ht="15.75" hidden="1" customHeight="1">
      <c r="A173" s="13">
        <v>172.0</v>
      </c>
      <c r="B173" s="13" t="s">
        <v>1365</v>
      </c>
      <c r="D173" s="13" t="s">
        <v>1396</v>
      </c>
    </row>
    <row r="174" ht="15.75" customHeight="1">
      <c r="A174" s="13">
        <v>173.0</v>
      </c>
      <c r="B174" s="13" t="s">
        <v>1365</v>
      </c>
      <c r="C174" s="13" t="s">
        <v>146</v>
      </c>
      <c r="D174" s="13" t="s">
        <v>1397</v>
      </c>
      <c r="E174" s="13" t="s">
        <v>1270</v>
      </c>
      <c r="F174" s="13" t="s">
        <v>1271</v>
      </c>
      <c r="G174" s="13">
        <v>7.6</v>
      </c>
      <c r="H174" s="13">
        <v>8.0</v>
      </c>
    </row>
    <row r="175" ht="15.75" hidden="1" customHeight="1">
      <c r="A175" s="13">
        <v>174.0</v>
      </c>
      <c r="B175" s="13" t="s">
        <v>1365</v>
      </c>
      <c r="D175" s="13" t="s">
        <v>1398</v>
      </c>
    </row>
    <row r="176" ht="15.75" hidden="1" customHeight="1">
      <c r="A176" s="13">
        <v>175.0</v>
      </c>
      <c r="B176" s="13" t="s">
        <v>1365</v>
      </c>
      <c r="D176" s="13" t="s">
        <v>1399</v>
      </c>
    </row>
    <row r="177" ht="15.75" customHeight="1">
      <c r="A177" s="13">
        <v>176.0</v>
      </c>
      <c r="B177" s="13" t="s">
        <v>1365</v>
      </c>
      <c r="C177" s="13" t="s">
        <v>162</v>
      </c>
      <c r="D177" s="13" t="s">
        <v>1400</v>
      </c>
      <c r="E177" s="13" t="s">
        <v>1223</v>
      </c>
      <c r="F177" s="13" t="s">
        <v>1224</v>
      </c>
      <c r="G177" s="13">
        <v>10.9</v>
      </c>
      <c r="H177" s="13">
        <v>2.8</v>
      </c>
    </row>
    <row r="178" ht="15.75" hidden="1" customHeight="1">
      <c r="A178" s="13">
        <v>177.0</v>
      </c>
      <c r="B178" s="13" t="s">
        <v>1365</v>
      </c>
      <c r="D178" s="13" t="s">
        <v>1401</v>
      </c>
    </row>
    <row r="179" ht="15.75" hidden="1" customHeight="1">
      <c r="A179" s="13">
        <v>178.0</v>
      </c>
      <c r="B179" s="13" t="s">
        <v>1365</v>
      </c>
    </row>
    <row r="180" ht="15.75" hidden="1" customHeight="1">
      <c r="A180" s="13">
        <v>179.0</v>
      </c>
      <c r="B180" s="13" t="s">
        <v>1365</v>
      </c>
      <c r="D180" s="13" t="s">
        <v>1402</v>
      </c>
      <c r="E180" s="13" t="s">
        <v>1250</v>
      </c>
      <c r="F180" s="13">
        <v>199.2</v>
      </c>
      <c r="G180" s="13">
        <v>160.44</v>
      </c>
    </row>
    <row r="181" ht="15.75" customHeight="1">
      <c r="A181" s="13">
        <v>180.0</v>
      </c>
      <c r="B181" s="13" t="s">
        <v>1365</v>
      </c>
      <c r="C181" s="13" t="s">
        <v>1251</v>
      </c>
      <c r="D181" s="13" t="s">
        <v>1403</v>
      </c>
      <c r="E181" s="13" t="s">
        <v>1361</v>
      </c>
      <c r="F181" s="13" t="s">
        <v>1362</v>
      </c>
      <c r="G181" s="13">
        <v>8.6</v>
      </c>
      <c r="H181" s="13">
        <v>1.1</v>
      </c>
    </row>
    <row r="182" ht="15.75" hidden="1" customHeight="1">
      <c r="A182" s="13">
        <v>181.0</v>
      </c>
      <c r="B182" s="13" t="s">
        <v>1365</v>
      </c>
      <c r="D182" s="13" t="s">
        <v>1404</v>
      </c>
    </row>
    <row r="183" ht="15.75" hidden="1" customHeight="1">
      <c r="A183" s="13">
        <v>182.0</v>
      </c>
      <c r="B183" s="13" t="s">
        <v>1365</v>
      </c>
      <c r="D183" s="13" t="s">
        <v>1405</v>
      </c>
    </row>
    <row r="184" ht="15.75" customHeight="1">
      <c r="A184" s="13">
        <v>183.0</v>
      </c>
      <c r="B184" s="13" t="s">
        <v>1365</v>
      </c>
      <c r="C184" s="13" t="s">
        <v>1251</v>
      </c>
      <c r="D184" s="13" t="s">
        <v>1406</v>
      </c>
      <c r="E184" s="13" t="s">
        <v>1257</v>
      </c>
      <c r="F184" s="13" t="s">
        <v>1258</v>
      </c>
      <c r="G184" s="13">
        <v>10.5</v>
      </c>
      <c r="H184" s="13">
        <v>6.5</v>
      </c>
    </row>
    <row r="185" ht="15.75" hidden="1" customHeight="1">
      <c r="A185" s="13">
        <v>184.0</v>
      </c>
      <c r="B185" s="13" t="s">
        <v>1365</v>
      </c>
      <c r="D185" s="13" t="s">
        <v>1407</v>
      </c>
    </row>
    <row r="186" ht="15.75" hidden="1" customHeight="1">
      <c r="A186" s="13">
        <v>185.0</v>
      </c>
      <c r="B186" s="13" t="s">
        <v>1365</v>
      </c>
      <c r="D186" s="13" t="s">
        <v>1408</v>
      </c>
    </row>
    <row r="187" ht="15.75" customHeight="1">
      <c r="A187" s="13">
        <v>186.0</v>
      </c>
      <c r="B187" s="13" t="s">
        <v>1365</v>
      </c>
      <c r="C187" s="13" t="s">
        <v>1251</v>
      </c>
      <c r="D187" s="13" t="s">
        <v>1409</v>
      </c>
      <c r="E187" s="13" t="s">
        <v>1206</v>
      </c>
      <c r="F187" s="13" t="s">
        <v>1207</v>
      </c>
      <c r="G187" s="13">
        <v>17.9</v>
      </c>
      <c r="H187" s="13">
        <v>6.7</v>
      </c>
    </row>
    <row r="188" ht="15.75" hidden="1" customHeight="1">
      <c r="A188" s="13">
        <v>187.0</v>
      </c>
      <c r="B188" s="13" t="s">
        <v>1365</v>
      </c>
      <c r="D188" s="13" t="s">
        <v>1410</v>
      </c>
    </row>
    <row r="189" ht="15.75" hidden="1" customHeight="1">
      <c r="A189" s="13">
        <v>188.0</v>
      </c>
      <c r="B189" s="13" t="s">
        <v>1365</v>
      </c>
      <c r="D189" s="13" t="s">
        <v>1411</v>
      </c>
    </row>
    <row r="190" ht="15.75" customHeight="1">
      <c r="A190" s="13">
        <v>189.0</v>
      </c>
      <c r="B190" s="13" t="s">
        <v>1365</v>
      </c>
      <c r="C190" s="13" t="s">
        <v>1251</v>
      </c>
      <c r="D190" s="13" t="s">
        <v>1412</v>
      </c>
      <c r="E190" s="13" t="s">
        <v>1413</v>
      </c>
      <c r="G190" s="13">
        <v>13.0</v>
      </c>
      <c r="H190" s="13">
        <v>6.6</v>
      </c>
    </row>
    <row r="191" ht="15.75" hidden="1" customHeight="1">
      <c r="A191" s="13">
        <v>190.0</v>
      </c>
      <c r="B191" s="13" t="s">
        <v>1365</v>
      </c>
      <c r="D191" s="13" t="s">
        <v>1414</v>
      </c>
    </row>
    <row r="192" ht="15.75" hidden="1" customHeight="1">
      <c r="A192" s="13">
        <v>191.0</v>
      </c>
      <c r="B192" s="13" t="s">
        <v>1365</v>
      </c>
      <c r="D192" s="13" t="s">
        <v>1415</v>
      </c>
    </row>
    <row r="193" ht="15.75" customHeight="1">
      <c r="A193" s="13">
        <v>192.0</v>
      </c>
      <c r="B193" s="13" t="s">
        <v>1365</v>
      </c>
      <c r="C193" s="13" t="s">
        <v>1251</v>
      </c>
      <c r="D193" s="13" t="s">
        <v>1416</v>
      </c>
      <c r="E193" s="13" t="s">
        <v>1270</v>
      </c>
      <c r="F193" s="13" t="s">
        <v>1271</v>
      </c>
      <c r="G193" s="13">
        <v>12.3</v>
      </c>
      <c r="H193" s="13">
        <v>8.7</v>
      </c>
    </row>
    <row r="194" ht="15.75" hidden="1" customHeight="1">
      <c r="A194" s="13">
        <v>193.0</v>
      </c>
      <c r="B194" s="13" t="s">
        <v>1365</v>
      </c>
      <c r="D194" s="13" t="s">
        <v>1417</v>
      </c>
    </row>
    <row r="195" ht="15.75" hidden="1" customHeight="1">
      <c r="A195" s="13">
        <v>194.0</v>
      </c>
      <c r="B195" s="13" t="s">
        <v>1365</v>
      </c>
      <c r="D195" s="13" t="s">
        <v>1418</v>
      </c>
    </row>
    <row r="196" ht="15.75" customHeight="1">
      <c r="A196" s="13">
        <v>195.0</v>
      </c>
      <c r="B196" s="13" t="s">
        <v>1365</v>
      </c>
      <c r="C196" s="13" t="s">
        <v>1251</v>
      </c>
      <c r="D196" s="13" t="s">
        <v>1419</v>
      </c>
      <c r="E196" s="13" t="s">
        <v>1420</v>
      </c>
      <c r="F196" s="13" t="s">
        <v>1421</v>
      </c>
      <c r="G196" s="13">
        <v>12.4</v>
      </c>
      <c r="H196" s="13">
        <v>9.96</v>
      </c>
    </row>
    <row r="197" ht="15.75" hidden="1" customHeight="1">
      <c r="A197" s="13">
        <v>196.0</v>
      </c>
      <c r="B197" s="13" t="s">
        <v>1365</v>
      </c>
      <c r="D197" s="13" t="s">
        <v>1422</v>
      </c>
    </row>
    <row r="198" ht="15.75" hidden="1" customHeight="1">
      <c r="A198" s="13">
        <v>197.0</v>
      </c>
      <c r="B198" s="13" t="s">
        <v>1365</v>
      </c>
      <c r="D198" s="13" t="s">
        <v>1423</v>
      </c>
    </row>
    <row r="199" ht="15.75" customHeight="1">
      <c r="A199" s="13">
        <v>198.0</v>
      </c>
      <c r="B199" s="13" t="s">
        <v>1365</v>
      </c>
      <c r="C199" s="13" t="s">
        <v>1251</v>
      </c>
      <c r="D199" s="13" t="s">
        <v>1424</v>
      </c>
      <c r="E199" s="13" t="s">
        <v>1262</v>
      </c>
      <c r="F199" s="13" t="s">
        <v>1263</v>
      </c>
      <c r="G199" s="13">
        <v>9.5</v>
      </c>
      <c r="H199" s="13">
        <v>-3.9</v>
      </c>
    </row>
    <row r="200" ht="15.75" hidden="1" customHeight="1">
      <c r="A200" s="13">
        <v>199.0</v>
      </c>
      <c r="B200" s="13" t="s">
        <v>1365</v>
      </c>
      <c r="D200" s="13" t="s">
        <v>1425</v>
      </c>
    </row>
    <row r="201" ht="15.75" hidden="1" customHeight="1">
      <c r="A201" s="13">
        <v>200.0</v>
      </c>
      <c r="B201" s="13" t="s">
        <v>1365</v>
      </c>
      <c r="D201" s="13" t="s">
        <v>1426</v>
      </c>
    </row>
    <row r="202" ht="15.75" customHeight="1">
      <c r="A202" s="13">
        <v>201.0</v>
      </c>
      <c r="B202" s="13" t="s">
        <v>1365</v>
      </c>
      <c r="C202" s="13" t="s">
        <v>1251</v>
      </c>
      <c r="D202" s="13" t="s">
        <v>1427</v>
      </c>
      <c r="E202" s="13" t="s">
        <v>1257</v>
      </c>
      <c r="F202" s="13" t="s">
        <v>1258</v>
      </c>
      <c r="G202" s="13">
        <v>7.5</v>
      </c>
      <c r="H202" s="13">
        <v>13.0</v>
      </c>
    </row>
    <row r="203" ht="15.75" hidden="1" customHeight="1">
      <c r="A203" s="13">
        <v>202.0</v>
      </c>
      <c r="B203" s="13" t="s">
        <v>1365</v>
      </c>
      <c r="D203" s="13" t="s">
        <v>1428</v>
      </c>
    </row>
    <row r="204" ht="15.75" hidden="1" customHeight="1">
      <c r="A204" s="13">
        <v>203.0</v>
      </c>
      <c r="B204" s="13" t="s">
        <v>1365</v>
      </c>
    </row>
    <row r="205" ht="15.75" hidden="1" customHeight="1">
      <c r="A205" s="13">
        <v>204.0</v>
      </c>
      <c r="B205" s="13" t="s">
        <v>1365</v>
      </c>
      <c r="E205" s="13" t="s">
        <v>1250</v>
      </c>
      <c r="F205" s="13">
        <v>91.8</v>
      </c>
      <c r="G205" s="13">
        <v>48.66</v>
      </c>
    </row>
    <row r="206" ht="15.75" hidden="1" customHeight="1">
      <c r="A206" s="13">
        <v>205.0</v>
      </c>
      <c r="B206" s="13" t="s">
        <v>1365</v>
      </c>
      <c r="C206" s="13" t="s">
        <v>1429</v>
      </c>
      <c r="D206" s="13" t="s">
        <v>1183</v>
      </c>
    </row>
    <row r="207" ht="15.75" hidden="1" customHeight="1">
      <c r="A207" s="13">
        <v>206.0</v>
      </c>
      <c r="B207" s="13" t="s">
        <v>1430</v>
      </c>
      <c r="C207" s="13" t="s">
        <v>1182</v>
      </c>
      <c r="D207" s="13" t="s">
        <v>1186</v>
      </c>
      <c r="E207" s="13" t="s">
        <v>625</v>
      </c>
    </row>
    <row r="208" ht="15.75" customHeight="1">
      <c r="A208" s="13">
        <v>207.0</v>
      </c>
      <c r="B208" s="13" t="s">
        <v>1430</v>
      </c>
      <c r="C208" s="13" t="s">
        <v>1185</v>
      </c>
      <c r="D208" s="13" t="s">
        <v>1431</v>
      </c>
      <c r="E208" s="13" t="s">
        <v>1187</v>
      </c>
      <c r="F208" s="13" t="s">
        <v>1188</v>
      </c>
      <c r="G208" s="13" t="s">
        <v>1189</v>
      </c>
      <c r="H208" s="13" t="s">
        <v>1190</v>
      </c>
    </row>
    <row r="209" ht="15.75" customHeight="1">
      <c r="A209" s="13">
        <v>208.0</v>
      </c>
      <c r="B209" s="13" t="s">
        <v>1430</v>
      </c>
      <c r="C209" s="13" t="s">
        <v>100</v>
      </c>
      <c r="D209" s="13" t="s">
        <v>1432</v>
      </c>
      <c r="E209" s="13" t="s">
        <v>1433</v>
      </c>
      <c r="F209" s="13" t="s">
        <v>1434</v>
      </c>
      <c r="G209" s="13">
        <v>24.3</v>
      </c>
      <c r="H209" s="13">
        <v>45.0</v>
      </c>
    </row>
    <row r="210" ht="15.75" hidden="1" customHeight="1">
      <c r="A210" s="13">
        <v>209.0</v>
      </c>
      <c r="B210" s="13" t="s">
        <v>1430</v>
      </c>
      <c r="D210" s="13" t="s">
        <v>1435</v>
      </c>
    </row>
    <row r="211" ht="15.75" hidden="1" customHeight="1">
      <c r="A211" s="13">
        <v>210.0</v>
      </c>
      <c r="B211" s="13" t="s">
        <v>1430</v>
      </c>
      <c r="D211" s="13" t="s">
        <v>1436</v>
      </c>
    </row>
    <row r="212" ht="15.75" customHeight="1">
      <c r="A212" s="13">
        <v>211.0</v>
      </c>
      <c r="B212" s="13" t="s">
        <v>1430</v>
      </c>
      <c r="C212" s="13" t="s">
        <v>106</v>
      </c>
      <c r="D212" s="13" t="s">
        <v>1437</v>
      </c>
      <c r="E212" s="13" t="s">
        <v>1223</v>
      </c>
      <c r="F212" s="13" t="s">
        <v>1224</v>
      </c>
      <c r="G212" s="13">
        <v>16.9</v>
      </c>
      <c r="H212" s="13">
        <v>20.5</v>
      </c>
    </row>
    <row r="213" ht="15.75" hidden="1" customHeight="1">
      <c r="A213" s="13">
        <v>212.0</v>
      </c>
      <c r="B213" s="13" t="s">
        <v>1430</v>
      </c>
      <c r="D213" s="13" t="s">
        <v>1438</v>
      </c>
    </row>
    <row r="214" ht="15.75" hidden="1" customHeight="1">
      <c r="A214" s="13">
        <v>213.0</v>
      </c>
      <c r="B214" s="13" t="s">
        <v>1430</v>
      </c>
      <c r="D214" s="13" t="s">
        <v>1439</v>
      </c>
    </row>
    <row r="215" ht="15.75" customHeight="1">
      <c r="A215" s="13">
        <v>214.0</v>
      </c>
      <c r="B215" s="13" t="s">
        <v>1430</v>
      </c>
      <c r="C215" s="13" t="s">
        <v>106</v>
      </c>
      <c r="D215" s="13" t="s">
        <v>1440</v>
      </c>
      <c r="E215" s="13" t="s">
        <v>1413</v>
      </c>
      <c r="G215" s="13">
        <v>14.7</v>
      </c>
      <c r="H215" s="13">
        <v>6.9</v>
      </c>
    </row>
    <row r="216" ht="15.75" hidden="1" customHeight="1">
      <c r="A216" s="13">
        <v>215.0</v>
      </c>
      <c r="B216" s="13" t="s">
        <v>1430</v>
      </c>
      <c r="D216" s="13" t="s">
        <v>1441</v>
      </c>
    </row>
    <row r="217" ht="15.75" hidden="1" customHeight="1">
      <c r="A217" s="13">
        <v>216.0</v>
      </c>
      <c r="B217" s="13" t="s">
        <v>1430</v>
      </c>
      <c r="D217" s="13" t="s">
        <v>1442</v>
      </c>
    </row>
    <row r="218" ht="15.75" customHeight="1">
      <c r="A218" s="13">
        <v>217.0</v>
      </c>
      <c r="B218" s="13" t="s">
        <v>1430</v>
      </c>
      <c r="C218" s="13" t="s">
        <v>106</v>
      </c>
      <c r="D218" s="13" t="s">
        <v>1443</v>
      </c>
      <c r="E218" s="13" t="s">
        <v>1444</v>
      </c>
      <c r="F218" s="13" t="s">
        <v>1445</v>
      </c>
      <c r="G218" s="13">
        <v>14.8</v>
      </c>
      <c r="H218" s="13">
        <v>8.9</v>
      </c>
    </row>
    <row r="219" ht="15.75" hidden="1" customHeight="1">
      <c r="A219" s="13">
        <v>218.0</v>
      </c>
      <c r="B219" s="13" t="s">
        <v>1430</v>
      </c>
      <c r="D219" s="13" t="s">
        <v>1446</v>
      </c>
    </row>
    <row r="220" ht="15.75" hidden="1" customHeight="1">
      <c r="A220" s="13">
        <v>219.0</v>
      </c>
      <c r="B220" s="13" t="s">
        <v>1430</v>
      </c>
      <c r="D220" s="13" t="s">
        <v>1447</v>
      </c>
    </row>
    <row r="221" ht="15.75" customHeight="1">
      <c r="A221" s="13">
        <v>220.0</v>
      </c>
      <c r="B221" s="13" t="s">
        <v>1430</v>
      </c>
      <c r="C221" s="13" t="s">
        <v>117</v>
      </c>
      <c r="D221" s="13" t="s">
        <v>1448</v>
      </c>
      <c r="E221" s="13" t="s">
        <v>1420</v>
      </c>
      <c r="F221" s="13" t="s">
        <v>1421</v>
      </c>
      <c r="G221" s="13">
        <v>14.5</v>
      </c>
      <c r="H221" s="13">
        <v>13.8</v>
      </c>
    </row>
    <row r="222" ht="15.75" hidden="1" customHeight="1">
      <c r="A222" s="13">
        <v>221.0</v>
      </c>
      <c r="B222" s="13" t="s">
        <v>1430</v>
      </c>
      <c r="D222" s="13" t="s">
        <v>1449</v>
      </c>
    </row>
    <row r="223" ht="15.75" hidden="1" customHeight="1">
      <c r="A223" s="13">
        <v>222.0</v>
      </c>
      <c r="B223" s="13" t="s">
        <v>1430</v>
      </c>
      <c r="D223" s="13" t="s">
        <v>1450</v>
      </c>
    </row>
    <row r="224" ht="15.75" customHeight="1">
      <c r="A224" s="13">
        <v>223.0</v>
      </c>
      <c r="B224" s="13" t="s">
        <v>1430</v>
      </c>
      <c r="C224" s="13" t="s">
        <v>117</v>
      </c>
      <c r="D224" s="13" t="s">
        <v>1451</v>
      </c>
      <c r="E224" s="13" t="s">
        <v>1243</v>
      </c>
      <c r="F224" s="13" t="s">
        <v>1244</v>
      </c>
      <c r="G224" s="13">
        <v>13.4</v>
      </c>
      <c r="H224" s="13">
        <v>5.3</v>
      </c>
    </row>
    <row r="225" ht="15.75" hidden="1" customHeight="1">
      <c r="A225" s="13">
        <v>224.0</v>
      </c>
      <c r="B225" s="13" t="s">
        <v>1430</v>
      </c>
      <c r="D225" s="13" t="s">
        <v>1452</v>
      </c>
    </row>
    <row r="226" ht="15.75" hidden="1" customHeight="1">
      <c r="A226" s="13">
        <v>225.0</v>
      </c>
      <c r="B226" s="13" t="s">
        <v>1430</v>
      </c>
      <c r="D226" s="13" t="s">
        <v>1453</v>
      </c>
    </row>
    <row r="227" ht="15.75" customHeight="1">
      <c r="A227" s="13">
        <v>226.0</v>
      </c>
      <c r="B227" s="13" t="s">
        <v>1430</v>
      </c>
      <c r="C227" s="13" t="s">
        <v>117</v>
      </c>
      <c r="D227" s="13" t="s">
        <v>1454</v>
      </c>
      <c r="E227" s="13" t="s">
        <v>1444</v>
      </c>
      <c r="F227" s="13" t="s">
        <v>1445</v>
      </c>
      <c r="G227" s="13">
        <v>13.1</v>
      </c>
      <c r="H227" s="13">
        <v>18.7</v>
      </c>
    </row>
    <row r="228" ht="15.75" hidden="1" customHeight="1">
      <c r="A228" s="13">
        <v>227.0</v>
      </c>
      <c r="B228" s="13" t="s">
        <v>1430</v>
      </c>
      <c r="D228" s="13" t="s">
        <v>1455</v>
      </c>
    </row>
    <row r="229" ht="15.75" hidden="1" customHeight="1">
      <c r="A229" s="13">
        <v>228.0</v>
      </c>
      <c r="B229" s="13" t="s">
        <v>1430</v>
      </c>
      <c r="D229" s="13" t="s">
        <v>1456</v>
      </c>
    </row>
    <row r="230" ht="15.75" customHeight="1">
      <c r="A230" s="13">
        <v>229.0</v>
      </c>
      <c r="B230" s="13" t="s">
        <v>1430</v>
      </c>
      <c r="C230" s="13" t="s">
        <v>117</v>
      </c>
      <c r="D230" s="13" t="s">
        <v>1457</v>
      </c>
      <c r="E230" s="13" t="s">
        <v>1458</v>
      </c>
      <c r="F230" s="13" t="s">
        <v>1459</v>
      </c>
      <c r="G230" s="13">
        <v>13.0</v>
      </c>
      <c r="H230" s="13">
        <v>9.9</v>
      </c>
    </row>
    <row r="231" ht="15.75" hidden="1" customHeight="1">
      <c r="A231" s="13">
        <v>230.0</v>
      </c>
      <c r="B231" s="13" t="s">
        <v>1430</v>
      </c>
      <c r="D231" s="13" t="s">
        <v>1460</v>
      </c>
    </row>
    <row r="232" ht="15.75" hidden="1" customHeight="1">
      <c r="A232" s="13">
        <v>231.0</v>
      </c>
      <c r="B232" s="13" t="s">
        <v>1430</v>
      </c>
      <c r="D232" s="13" t="s">
        <v>1461</v>
      </c>
    </row>
    <row r="233" ht="15.75" customHeight="1">
      <c r="A233" s="13">
        <v>232.0</v>
      </c>
      <c r="B233" s="13" t="s">
        <v>1430</v>
      </c>
      <c r="C233" s="13" t="s">
        <v>132</v>
      </c>
      <c r="D233" s="13" t="s">
        <v>1462</v>
      </c>
      <c r="E233" s="13" t="s">
        <v>1433</v>
      </c>
      <c r="F233" s="13" t="s">
        <v>1434</v>
      </c>
      <c r="G233" s="13">
        <v>14.4</v>
      </c>
      <c r="H233" s="13">
        <v>27.1</v>
      </c>
    </row>
    <row r="234" ht="15.75" hidden="1" customHeight="1">
      <c r="A234" s="13">
        <v>233.0</v>
      </c>
      <c r="B234" s="13" t="s">
        <v>1430</v>
      </c>
      <c r="D234" s="13" t="s">
        <v>1463</v>
      </c>
    </row>
    <row r="235" ht="15.75" hidden="1" customHeight="1">
      <c r="A235" s="13">
        <v>234.0</v>
      </c>
      <c r="B235" s="13" t="s">
        <v>1430</v>
      </c>
      <c r="D235" s="13" t="s">
        <v>1464</v>
      </c>
    </row>
    <row r="236" ht="15.75" customHeight="1">
      <c r="A236" s="13">
        <v>235.0</v>
      </c>
      <c r="B236" s="13" t="s">
        <v>1430</v>
      </c>
      <c r="C236" s="13" t="s">
        <v>136</v>
      </c>
      <c r="D236" s="13" t="s">
        <v>1465</v>
      </c>
      <c r="E236" s="13" t="s">
        <v>1420</v>
      </c>
      <c r="F236" s="13" t="s">
        <v>1421</v>
      </c>
      <c r="G236" s="13">
        <v>19.4</v>
      </c>
      <c r="H236" s="13">
        <v>21.4</v>
      </c>
    </row>
    <row r="237" ht="15.75" hidden="1" customHeight="1">
      <c r="A237" s="13">
        <v>236.0</v>
      </c>
      <c r="B237" s="13" t="s">
        <v>1430</v>
      </c>
      <c r="D237" s="13" t="s">
        <v>1466</v>
      </c>
    </row>
    <row r="238" ht="15.75" hidden="1" customHeight="1">
      <c r="A238" s="13">
        <v>237.0</v>
      </c>
      <c r="B238" s="13" t="s">
        <v>1430</v>
      </c>
      <c r="D238" s="13" t="s">
        <v>1467</v>
      </c>
    </row>
    <row r="239" ht="15.75" customHeight="1">
      <c r="A239" s="13">
        <v>238.0</v>
      </c>
      <c r="B239" s="13" t="s">
        <v>1430</v>
      </c>
      <c r="C239" s="13" t="s">
        <v>139</v>
      </c>
      <c r="D239" s="13" t="s">
        <v>1468</v>
      </c>
      <c r="E239" s="13" t="s">
        <v>593</v>
      </c>
      <c r="F239" s="13" t="s">
        <v>1219</v>
      </c>
      <c r="G239" s="13">
        <v>12.4</v>
      </c>
      <c r="H239" s="13">
        <v>25.4</v>
      </c>
    </row>
    <row r="240" ht="15.75" hidden="1" customHeight="1">
      <c r="A240" s="13">
        <v>239.0</v>
      </c>
      <c r="B240" s="13" t="s">
        <v>1430</v>
      </c>
      <c r="D240" s="13" t="s">
        <v>1469</v>
      </c>
    </row>
    <row r="241" ht="15.75" hidden="1" customHeight="1">
      <c r="A241" s="13">
        <v>240.0</v>
      </c>
      <c r="B241" s="13" t="s">
        <v>1430</v>
      </c>
      <c r="D241" s="13" t="s">
        <v>1470</v>
      </c>
    </row>
    <row r="242" ht="15.75" customHeight="1">
      <c r="A242" s="13">
        <v>241.0</v>
      </c>
      <c r="B242" s="13" t="s">
        <v>1430</v>
      </c>
      <c r="C242" s="13" t="s">
        <v>146</v>
      </c>
      <c r="D242" s="13" t="s">
        <v>1471</v>
      </c>
      <c r="E242" s="13" t="s">
        <v>1193</v>
      </c>
      <c r="F242" s="13" t="s">
        <v>1194</v>
      </c>
      <c r="G242" s="13">
        <v>9.1</v>
      </c>
      <c r="H242" s="13">
        <v>7.0</v>
      </c>
    </row>
    <row r="243" ht="15.75" hidden="1" customHeight="1">
      <c r="A243" s="13">
        <v>242.0</v>
      </c>
      <c r="B243" s="13" t="s">
        <v>1430</v>
      </c>
      <c r="D243" s="13" t="s">
        <v>1472</v>
      </c>
    </row>
    <row r="244" ht="15.75" hidden="1" customHeight="1">
      <c r="A244" s="13">
        <v>243.0</v>
      </c>
      <c r="B244" s="13" t="s">
        <v>1430</v>
      </c>
      <c r="D244" s="13" t="s">
        <v>1473</v>
      </c>
    </row>
    <row r="245" ht="15.75" customHeight="1">
      <c r="A245" s="13">
        <v>244.0</v>
      </c>
      <c r="B245" s="13" t="s">
        <v>1430</v>
      </c>
      <c r="C245" s="13" t="s">
        <v>162</v>
      </c>
      <c r="D245" s="13" t="s">
        <v>1474</v>
      </c>
      <c r="E245" s="13" t="s">
        <v>1193</v>
      </c>
      <c r="F245" s="13" t="s">
        <v>1194</v>
      </c>
      <c r="G245" s="13">
        <v>11.1</v>
      </c>
      <c r="H245" s="13">
        <v>4.0</v>
      </c>
    </row>
    <row r="246" ht="15.75" hidden="1" customHeight="1">
      <c r="A246" s="13">
        <v>245.0</v>
      </c>
      <c r="B246" s="13" t="s">
        <v>1430</v>
      </c>
      <c r="D246" s="13" t="s">
        <v>1475</v>
      </c>
    </row>
    <row r="247" ht="15.75" hidden="1" customHeight="1">
      <c r="A247" s="13">
        <v>246.0</v>
      </c>
      <c r="B247" s="13" t="s">
        <v>1430</v>
      </c>
    </row>
    <row r="248" ht="15.75" hidden="1" customHeight="1">
      <c r="A248" s="13">
        <v>247.0</v>
      </c>
      <c r="B248" s="13" t="s">
        <v>1430</v>
      </c>
      <c r="D248" s="13" t="s">
        <v>1476</v>
      </c>
      <c r="E248" s="13" t="s">
        <v>1250</v>
      </c>
      <c r="F248" s="13">
        <v>191.2</v>
      </c>
      <c r="G248" s="13">
        <v>213.9</v>
      </c>
    </row>
    <row r="249" ht="15.75" customHeight="1">
      <c r="A249" s="13">
        <v>248.0</v>
      </c>
      <c r="B249" s="13" t="s">
        <v>1430</v>
      </c>
      <c r="C249" s="13" t="s">
        <v>1251</v>
      </c>
      <c r="D249" s="13" t="s">
        <v>1477</v>
      </c>
      <c r="E249" s="13" t="s">
        <v>1270</v>
      </c>
      <c r="F249" s="13" t="s">
        <v>1271</v>
      </c>
      <c r="G249" s="13">
        <v>10.6</v>
      </c>
      <c r="H249" s="13">
        <v>29.6</v>
      </c>
    </row>
    <row r="250" ht="15.75" hidden="1" customHeight="1">
      <c r="A250" s="13">
        <v>249.0</v>
      </c>
      <c r="B250" s="13" t="s">
        <v>1430</v>
      </c>
      <c r="D250" s="13" t="s">
        <v>1478</v>
      </c>
    </row>
    <row r="251" ht="15.75" hidden="1" customHeight="1">
      <c r="A251" s="13">
        <v>250.0</v>
      </c>
      <c r="B251" s="13" t="s">
        <v>1430</v>
      </c>
      <c r="D251" s="13" t="s">
        <v>1479</v>
      </c>
    </row>
    <row r="252" ht="15.75" customHeight="1">
      <c r="A252" s="13">
        <v>251.0</v>
      </c>
      <c r="B252" s="13" t="s">
        <v>1430</v>
      </c>
      <c r="C252" s="13" t="s">
        <v>1251</v>
      </c>
      <c r="D252" s="13" t="s">
        <v>1480</v>
      </c>
      <c r="E252" s="13" t="s">
        <v>617</v>
      </c>
      <c r="F252" s="13" t="s">
        <v>1354</v>
      </c>
      <c r="G252" s="13">
        <v>11.9</v>
      </c>
      <c r="H252" s="13">
        <v>10.0</v>
      </c>
    </row>
    <row r="253" ht="15.75" hidden="1" customHeight="1">
      <c r="A253" s="13">
        <v>252.0</v>
      </c>
      <c r="B253" s="13" t="s">
        <v>1430</v>
      </c>
      <c r="D253" s="13" t="s">
        <v>1481</v>
      </c>
    </row>
    <row r="254" ht="15.75" hidden="1" customHeight="1">
      <c r="A254" s="13">
        <v>253.0</v>
      </c>
      <c r="B254" s="13" t="s">
        <v>1430</v>
      </c>
      <c r="D254" s="13" t="s">
        <v>1482</v>
      </c>
    </row>
    <row r="255" ht="15.75" customHeight="1">
      <c r="A255" s="13">
        <v>254.0</v>
      </c>
      <c r="B255" s="13" t="s">
        <v>1430</v>
      </c>
      <c r="C255" s="13" t="s">
        <v>1251</v>
      </c>
      <c r="D255" s="13" t="s">
        <v>1483</v>
      </c>
      <c r="E255" s="13" t="s">
        <v>1223</v>
      </c>
      <c r="F255" s="13" t="s">
        <v>1224</v>
      </c>
      <c r="G255" s="13">
        <v>20.1</v>
      </c>
      <c r="H255" s="13">
        <v>18.1</v>
      </c>
    </row>
    <row r="256" ht="15.75" hidden="1" customHeight="1">
      <c r="A256" s="13">
        <v>255.0</v>
      </c>
      <c r="B256" s="13" t="s">
        <v>1430</v>
      </c>
      <c r="D256" s="13" t="s">
        <v>1484</v>
      </c>
    </row>
    <row r="257" ht="15.75" hidden="1" customHeight="1">
      <c r="A257" s="13">
        <v>256.0</v>
      </c>
      <c r="B257" s="13" t="s">
        <v>1430</v>
      </c>
      <c r="D257" s="13" t="s">
        <v>1485</v>
      </c>
    </row>
    <row r="258" ht="15.75" customHeight="1">
      <c r="A258" s="13">
        <v>257.0</v>
      </c>
      <c r="B258" s="13" t="s">
        <v>1430</v>
      </c>
      <c r="C258" s="13" t="s">
        <v>1251</v>
      </c>
      <c r="D258" s="13" t="s">
        <v>1486</v>
      </c>
      <c r="E258" s="13" t="s">
        <v>1361</v>
      </c>
      <c r="F258" s="13" t="s">
        <v>1362</v>
      </c>
      <c r="G258" s="13">
        <v>9.4</v>
      </c>
      <c r="H258" s="13">
        <v>21.0</v>
      </c>
    </row>
    <row r="259" ht="15.75" hidden="1" customHeight="1">
      <c r="A259" s="13">
        <v>258.0</v>
      </c>
      <c r="B259" s="13" t="s">
        <v>1430</v>
      </c>
      <c r="D259" s="13" t="s">
        <v>1487</v>
      </c>
    </row>
    <row r="260" ht="15.75" hidden="1" customHeight="1">
      <c r="A260" s="13">
        <v>259.0</v>
      </c>
      <c r="B260" s="13" t="s">
        <v>1430</v>
      </c>
      <c r="D260" s="13" t="s">
        <v>1488</v>
      </c>
    </row>
    <row r="261" ht="15.75" customHeight="1">
      <c r="A261" s="13">
        <v>260.0</v>
      </c>
      <c r="B261" s="13" t="s">
        <v>1430</v>
      </c>
      <c r="C261" s="13" t="s">
        <v>1251</v>
      </c>
      <c r="D261" s="13" t="s">
        <v>1489</v>
      </c>
      <c r="E261" s="13" t="s">
        <v>1310</v>
      </c>
      <c r="F261" s="13" t="s">
        <v>1311</v>
      </c>
      <c r="G261" s="13">
        <v>9.5</v>
      </c>
      <c r="H261" s="13">
        <v>12.5</v>
      </c>
    </row>
    <row r="262" ht="15.75" hidden="1" customHeight="1">
      <c r="A262" s="13">
        <v>261.0</v>
      </c>
      <c r="B262" s="13" t="s">
        <v>1430</v>
      </c>
      <c r="D262" s="13" t="s">
        <v>1490</v>
      </c>
    </row>
    <row r="263" ht="15.75" hidden="1" customHeight="1">
      <c r="A263" s="13">
        <v>262.0</v>
      </c>
      <c r="B263" s="13" t="s">
        <v>1430</v>
      </c>
      <c r="D263" s="13" t="s">
        <v>1491</v>
      </c>
    </row>
    <row r="264" ht="15.75" customHeight="1">
      <c r="A264" s="13">
        <v>263.0</v>
      </c>
      <c r="B264" s="13" t="s">
        <v>1430</v>
      </c>
      <c r="C264" s="13" t="s">
        <v>1251</v>
      </c>
      <c r="D264" s="13" t="s">
        <v>1492</v>
      </c>
      <c r="E264" s="13" t="s">
        <v>1458</v>
      </c>
      <c r="F264" s="13" t="s">
        <v>1459</v>
      </c>
      <c r="G264" s="13">
        <v>8.7</v>
      </c>
      <c r="H264" s="13">
        <v>9.2</v>
      </c>
    </row>
    <row r="265" ht="15.75" hidden="1" customHeight="1">
      <c r="A265" s="13">
        <v>264.0</v>
      </c>
      <c r="B265" s="13" t="s">
        <v>1430</v>
      </c>
      <c r="D265" s="13" t="s">
        <v>1460</v>
      </c>
    </row>
    <row r="266" ht="15.75" hidden="1" customHeight="1">
      <c r="A266" s="13">
        <v>265.0</v>
      </c>
      <c r="B266" s="13" t="s">
        <v>1430</v>
      </c>
      <c r="D266" s="13" t="s">
        <v>1493</v>
      </c>
    </row>
    <row r="267" ht="15.75" customHeight="1">
      <c r="A267" s="13">
        <v>266.0</v>
      </c>
      <c r="B267" s="13" t="s">
        <v>1430</v>
      </c>
      <c r="C267" s="13" t="s">
        <v>1251</v>
      </c>
      <c r="D267" s="13" t="s">
        <v>1494</v>
      </c>
      <c r="E267" s="13" t="s">
        <v>602</v>
      </c>
      <c r="F267" s="13" t="s">
        <v>1315</v>
      </c>
      <c r="G267" s="13">
        <v>5.4</v>
      </c>
      <c r="H267" s="13">
        <v>-5.1</v>
      </c>
    </row>
    <row r="268" ht="15.75" hidden="1" customHeight="1">
      <c r="A268" s="13">
        <v>267.0</v>
      </c>
      <c r="B268" s="13" t="s">
        <v>1430</v>
      </c>
      <c r="D268" s="13" t="s">
        <v>1495</v>
      </c>
    </row>
    <row r="269" ht="15.75" hidden="1" customHeight="1">
      <c r="A269" s="13">
        <v>268.0</v>
      </c>
      <c r="B269" s="13" t="s">
        <v>1430</v>
      </c>
      <c r="D269" s="13" t="s">
        <v>1496</v>
      </c>
    </row>
    <row r="270" ht="15.75" customHeight="1">
      <c r="A270" s="13">
        <v>269.0</v>
      </c>
      <c r="B270" s="13" t="s">
        <v>1430</v>
      </c>
      <c r="C270" s="13" t="s">
        <v>1251</v>
      </c>
      <c r="D270" s="13" t="s">
        <v>1497</v>
      </c>
      <c r="E270" s="13" t="s">
        <v>1238</v>
      </c>
      <c r="F270" s="13" t="s">
        <v>1239</v>
      </c>
      <c r="G270" s="13">
        <v>7.7</v>
      </c>
      <c r="H270" s="13">
        <v>4.0</v>
      </c>
    </row>
    <row r="271" ht="15.75" hidden="1" customHeight="1">
      <c r="A271" s="13">
        <v>270.0</v>
      </c>
      <c r="B271" s="13" t="s">
        <v>1430</v>
      </c>
      <c r="D271" s="13" t="s">
        <v>1498</v>
      </c>
    </row>
    <row r="272" ht="15.75" hidden="1" customHeight="1">
      <c r="A272" s="13">
        <v>271.0</v>
      </c>
      <c r="B272" s="13" t="s">
        <v>1430</v>
      </c>
    </row>
    <row r="273" ht="15.75" hidden="1" customHeight="1">
      <c r="A273" s="13">
        <v>272.0</v>
      </c>
      <c r="B273" s="13" t="s">
        <v>1430</v>
      </c>
      <c r="E273" s="13" t="s">
        <v>1250</v>
      </c>
      <c r="F273" s="13">
        <v>83.3</v>
      </c>
      <c r="G273" s="13">
        <v>99.3</v>
      </c>
    </row>
    <row r="274" ht="15.75" hidden="1" customHeight="1">
      <c r="A274" s="13">
        <v>273.0</v>
      </c>
      <c r="B274" s="13" t="s">
        <v>1430</v>
      </c>
      <c r="C274" s="13" t="s">
        <v>1499</v>
      </c>
      <c r="D274" s="13" t="s">
        <v>1183</v>
      </c>
    </row>
    <row r="275" ht="15.75" hidden="1" customHeight="1">
      <c r="A275" s="13">
        <v>274.0</v>
      </c>
      <c r="B275" s="13" t="s">
        <v>1500</v>
      </c>
      <c r="C275" s="13" t="s">
        <v>1182</v>
      </c>
      <c r="D275" s="13" t="s">
        <v>1186</v>
      </c>
      <c r="E275" s="13" t="s">
        <v>625</v>
      </c>
    </row>
    <row r="276" ht="15.75" customHeight="1">
      <c r="A276" s="13">
        <v>275.0</v>
      </c>
      <c r="B276" s="13" t="s">
        <v>1500</v>
      </c>
      <c r="C276" s="13" t="s">
        <v>1185</v>
      </c>
      <c r="D276" s="13" t="s">
        <v>1501</v>
      </c>
      <c r="E276" s="13" t="s">
        <v>1187</v>
      </c>
      <c r="F276" s="13" t="s">
        <v>1188</v>
      </c>
      <c r="G276" s="13" t="s">
        <v>1189</v>
      </c>
      <c r="H276" s="13" t="s">
        <v>1190</v>
      </c>
    </row>
    <row r="277" ht="15.75" customHeight="1">
      <c r="A277" s="13">
        <v>276.0</v>
      </c>
      <c r="B277" s="13" t="s">
        <v>1500</v>
      </c>
      <c r="C277" s="13" t="s">
        <v>100</v>
      </c>
      <c r="D277" s="13" t="s">
        <v>1502</v>
      </c>
      <c r="E277" s="13" t="s">
        <v>1233</v>
      </c>
      <c r="F277" s="13" t="s">
        <v>1234</v>
      </c>
      <c r="G277" s="13">
        <v>22.7</v>
      </c>
      <c r="H277" s="13">
        <v>22.29</v>
      </c>
    </row>
    <row r="278" ht="15.75" hidden="1" customHeight="1">
      <c r="A278" s="13">
        <v>277.0</v>
      </c>
      <c r="B278" s="13" t="s">
        <v>1500</v>
      </c>
      <c r="D278" s="13" t="s">
        <v>1503</v>
      </c>
    </row>
    <row r="279" ht="15.75" hidden="1" customHeight="1">
      <c r="A279" s="13">
        <v>278.0</v>
      </c>
      <c r="B279" s="13" t="s">
        <v>1500</v>
      </c>
      <c r="D279" s="13" t="s">
        <v>1504</v>
      </c>
    </row>
    <row r="280" ht="15.75" customHeight="1">
      <c r="A280" s="13">
        <v>279.0</v>
      </c>
      <c r="B280" s="13" t="s">
        <v>1500</v>
      </c>
      <c r="C280" s="13" t="s">
        <v>106</v>
      </c>
      <c r="D280" s="13" t="s">
        <v>1505</v>
      </c>
      <c r="E280" s="13" t="s">
        <v>1238</v>
      </c>
      <c r="F280" s="13" t="s">
        <v>1239</v>
      </c>
      <c r="G280" s="13">
        <v>22.8</v>
      </c>
      <c r="H280" s="13">
        <v>16.7</v>
      </c>
    </row>
    <row r="281" ht="15.75" hidden="1" customHeight="1">
      <c r="A281" s="13">
        <v>280.0</v>
      </c>
      <c r="B281" s="13" t="s">
        <v>1500</v>
      </c>
      <c r="D281" s="13" t="s">
        <v>1377</v>
      </c>
    </row>
    <row r="282" ht="15.75" hidden="1" customHeight="1">
      <c r="A282" s="13">
        <v>281.0</v>
      </c>
      <c r="B282" s="13" t="s">
        <v>1500</v>
      </c>
      <c r="D282" s="13" t="s">
        <v>1506</v>
      </c>
    </row>
    <row r="283" ht="15.75" customHeight="1">
      <c r="A283" s="13">
        <v>282.0</v>
      </c>
      <c r="B283" s="13" t="s">
        <v>1500</v>
      </c>
      <c r="C283" s="13" t="s">
        <v>106</v>
      </c>
      <c r="D283" s="13" t="s">
        <v>1507</v>
      </c>
      <c r="E283" s="13" t="s">
        <v>1413</v>
      </c>
      <c r="G283" s="13">
        <v>18.7</v>
      </c>
      <c r="H283" s="13">
        <v>18.8</v>
      </c>
    </row>
    <row r="284" ht="15.75" hidden="1" customHeight="1">
      <c r="A284" s="13">
        <v>283.0</v>
      </c>
      <c r="B284" s="13" t="s">
        <v>1500</v>
      </c>
      <c r="D284" s="13" t="s">
        <v>1441</v>
      </c>
    </row>
    <row r="285" ht="15.75" hidden="1" customHeight="1">
      <c r="A285" s="13">
        <v>284.0</v>
      </c>
      <c r="B285" s="13" t="s">
        <v>1500</v>
      </c>
      <c r="D285" s="13" t="s">
        <v>1508</v>
      </c>
    </row>
    <row r="286" ht="15.75" customHeight="1">
      <c r="A286" s="13">
        <v>285.0</v>
      </c>
      <c r="B286" s="13" t="s">
        <v>1500</v>
      </c>
      <c r="C286" s="13" t="s">
        <v>106</v>
      </c>
      <c r="D286" s="13" t="s">
        <v>1509</v>
      </c>
      <c r="E286" s="13" t="s">
        <v>1458</v>
      </c>
      <c r="F286" s="13" t="s">
        <v>1459</v>
      </c>
      <c r="G286" s="13">
        <v>11.3</v>
      </c>
      <c r="H286" s="13">
        <v>10.7</v>
      </c>
    </row>
    <row r="287" ht="15.75" hidden="1" customHeight="1">
      <c r="A287" s="13">
        <v>286.0</v>
      </c>
      <c r="B287" s="13" t="s">
        <v>1500</v>
      </c>
      <c r="D287" s="13" t="s">
        <v>1510</v>
      </c>
    </row>
    <row r="288" ht="15.75" hidden="1" customHeight="1">
      <c r="A288" s="13">
        <v>287.0</v>
      </c>
      <c r="B288" s="13" t="s">
        <v>1500</v>
      </c>
      <c r="D288" s="13" t="s">
        <v>1511</v>
      </c>
    </row>
    <row r="289" ht="15.75" customHeight="1">
      <c r="A289" s="13">
        <v>288.0</v>
      </c>
      <c r="B289" s="13" t="s">
        <v>1500</v>
      </c>
      <c r="C289" s="13" t="s">
        <v>117</v>
      </c>
      <c r="D289" s="13" t="s">
        <v>1512</v>
      </c>
      <c r="E289" s="13" t="s">
        <v>1270</v>
      </c>
      <c r="F289" s="13" t="s">
        <v>1271</v>
      </c>
      <c r="G289" s="13">
        <v>17.0</v>
      </c>
      <c r="H289" s="13">
        <v>27.2</v>
      </c>
    </row>
    <row r="290" ht="15.75" hidden="1" customHeight="1">
      <c r="A290" s="13">
        <v>289.0</v>
      </c>
      <c r="B290" s="13" t="s">
        <v>1500</v>
      </c>
      <c r="D290" s="13" t="s">
        <v>1513</v>
      </c>
    </row>
    <row r="291" ht="15.75" hidden="1" customHeight="1">
      <c r="A291" s="13">
        <v>290.0</v>
      </c>
      <c r="B291" s="13" t="s">
        <v>1500</v>
      </c>
      <c r="D291" s="13" t="s">
        <v>1514</v>
      </c>
    </row>
    <row r="292" ht="15.75" customHeight="1">
      <c r="A292" s="13">
        <v>291.0</v>
      </c>
      <c r="B292" s="13" t="s">
        <v>1500</v>
      </c>
      <c r="C292" s="13" t="s">
        <v>117</v>
      </c>
      <c r="D292" s="13" t="s">
        <v>1515</v>
      </c>
      <c r="E292" s="13" t="s">
        <v>1289</v>
      </c>
      <c r="F292" s="13" t="s">
        <v>1290</v>
      </c>
      <c r="G292" s="13">
        <v>14.6</v>
      </c>
      <c r="H292" s="13">
        <v>26.5</v>
      </c>
    </row>
    <row r="293" ht="15.75" hidden="1" customHeight="1">
      <c r="A293" s="13">
        <v>292.0</v>
      </c>
      <c r="B293" s="13" t="s">
        <v>1500</v>
      </c>
      <c r="D293" s="13" t="s">
        <v>1516</v>
      </c>
    </row>
    <row r="294" ht="15.75" hidden="1" customHeight="1">
      <c r="A294" s="13">
        <v>293.0</v>
      </c>
      <c r="B294" s="13" t="s">
        <v>1500</v>
      </c>
      <c r="D294" s="13" t="s">
        <v>1517</v>
      </c>
    </row>
    <row r="295" ht="15.75" customHeight="1">
      <c r="A295" s="13">
        <v>294.0</v>
      </c>
      <c r="B295" s="13" t="s">
        <v>1500</v>
      </c>
      <c r="C295" s="13" t="s">
        <v>117</v>
      </c>
      <c r="D295" s="13" t="s">
        <v>1518</v>
      </c>
      <c r="E295" s="13" t="s">
        <v>1302</v>
      </c>
      <c r="F295" s="13" t="s">
        <v>1303</v>
      </c>
      <c r="G295" s="13">
        <v>13.3</v>
      </c>
      <c r="H295" s="13">
        <v>20.4</v>
      </c>
    </row>
    <row r="296" ht="15.75" hidden="1" customHeight="1">
      <c r="A296" s="13">
        <v>295.0</v>
      </c>
      <c r="B296" s="13" t="s">
        <v>1500</v>
      </c>
      <c r="D296" s="13" t="s">
        <v>1519</v>
      </c>
    </row>
    <row r="297" ht="15.75" hidden="1" customHeight="1">
      <c r="A297" s="13">
        <v>296.0</v>
      </c>
      <c r="B297" s="13" t="s">
        <v>1500</v>
      </c>
      <c r="D297" s="13" t="s">
        <v>1520</v>
      </c>
    </row>
    <row r="298" ht="15.75" customHeight="1">
      <c r="A298" s="13">
        <v>297.0</v>
      </c>
      <c r="B298" s="13" t="s">
        <v>1500</v>
      </c>
      <c r="C298" s="13" t="s">
        <v>117</v>
      </c>
      <c r="D298" s="13" t="s">
        <v>1521</v>
      </c>
      <c r="E298" s="13" t="s">
        <v>617</v>
      </c>
      <c r="F298" s="13" t="s">
        <v>1354</v>
      </c>
      <c r="G298" s="13">
        <v>11.8</v>
      </c>
      <c r="H298" s="13">
        <v>1.8</v>
      </c>
    </row>
    <row r="299" ht="15.75" hidden="1" customHeight="1">
      <c r="A299" s="13">
        <v>298.0</v>
      </c>
      <c r="B299" s="13" t="s">
        <v>1500</v>
      </c>
      <c r="D299" s="13" t="s">
        <v>1481</v>
      </c>
    </row>
    <row r="300" ht="15.75" hidden="1" customHeight="1">
      <c r="A300" s="13">
        <v>299.0</v>
      </c>
      <c r="B300" s="13" t="s">
        <v>1500</v>
      </c>
      <c r="D300" s="13" t="s">
        <v>1522</v>
      </c>
    </row>
    <row r="301" ht="15.75" customHeight="1">
      <c r="A301" s="13">
        <v>300.0</v>
      </c>
      <c r="B301" s="13" t="s">
        <v>1500</v>
      </c>
      <c r="C301" s="13" t="s">
        <v>132</v>
      </c>
      <c r="D301" s="13" t="s">
        <v>1523</v>
      </c>
      <c r="E301" s="13" t="s">
        <v>1327</v>
      </c>
      <c r="F301" s="13" t="s">
        <v>1215</v>
      </c>
      <c r="G301" s="13">
        <v>11.8</v>
      </c>
      <c r="H301" s="13">
        <v>13.2</v>
      </c>
    </row>
    <row r="302" ht="15.75" hidden="1" customHeight="1">
      <c r="A302" s="13">
        <v>301.0</v>
      </c>
      <c r="B302" s="13" t="s">
        <v>1500</v>
      </c>
      <c r="D302" s="13" t="s">
        <v>1524</v>
      </c>
    </row>
    <row r="303" ht="15.75" hidden="1" customHeight="1">
      <c r="A303" s="13">
        <v>302.0</v>
      </c>
      <c r="B303" s="13" t="s">
        <v>1500</v>
      </c>
      <c r="D303" s="13" t="s">
        <v>1525</v>
      </c>
    </row>
    <row r="304" ht="15.75" customHeight="1">
      <c r="A304" s="13">
        <v>303.0</v>
      </c>
      <c r="B304" s="13" t="s">
        <v>1500</v>
      </c>
      <c r="C304" s="13" t="s">
        <v>136</v>
      </c>
      <c r="D304" s="13" t="s">
        <v>1526</v>
      </c>
      <c r="E304" s="13" t="s">
        <v>1278</v>
      </c>
      <c r="F304" s="13" t="s">
        <v>1279</v>
      </c>
      <c r="G304" s="13">
        <v>13.0</v>
      </c>
      <c r="H304" s="13">
        <v>24.1</v>
      </c>
    </row>
    <row r="305" ht="15.75" hidden="1" customHeight="1">
      <c r="A305" s="13">
        <v>304.0</v>
      </c>
      <c r="B305" s="13" t="s">
        <v>1500</v>
      </c>
      <c r="D305" s="13" t="s">
        <v>1527</v>
      </c>
    </row>
    <row r="306" ht="15.75" hidden="1" customHeight="1">
      <c r="A306" s="13">
        <v>305.0</v>
      </c>
      <c r="B306" s="13" t="s">
        <v>1500</v>
      </c>
      <c r="D306" s="13" t="s">
        <v>1528</v>
      </c>
    </row>
    <row r="307" ht="15.75" customHeight="1">
      <c r="A307" s="13">
        <v>306.0</v>
      </c>
      <c r="B307" s="13" t="s">
        <v>1500</v>
      </c>
      <c r="C307" s="13" t="s">
        <v>139</v>
      </c>
      <c r="D307" s="13" t="s">
        <v>1529</v>
      </c>
      <c r="E307" s="13" t="s">
        <v>1297</v>
      </c>
      <c r="F307" s="13" t="s">
        <v>1298</v>
      </c>
      <c r="G307" s="13">
        <v>16.3</v>
      </c>
      <c r="H307" s="13">
        <v>4.96</v>
      </c>
    </row>
    <row r="308" ht="15.75" hidden="1" customHeight="1">
      <c r="A308" s="13">
        <v>307.0</v>
      </c>
      <c r="B308" s="13" t="s">
        <v>1500</v>
      </c>
      <c r="D308" s="13" t="s">
        <v>1530</v>
      </c>
    </row>
    <row r="309" ht="15.75" hidden="1" customHeight="1">
      <c r="A309" s="13">
        <v>308.0</v>
      </c>
      <c r="B309" s="13" t="s">
        <v>1500</v>
      </c>
      <c r="D309" s="13" t="s">
        <v>1531</v>
      </c>
    </row>
    <row r="310" ht="15.75" customHeight="1">
      <c r="A310" s="13">
        <v>309.0</v>
      </c>
      <c r="B310" s="13" t="s">
        <v>1500</v>
      </c>
      <c r="C310" s="13" t="s">
        <v>146</v>
      </c>
      <c r="D310" s="13" t="s">
        <v>1532</v>
      </c>
      <c r="E310" s="13" t="s">
        <v>603</v>
      </c>
      <c r="F310" s="13" t="s">
        <v>1198</v>
      </c>
      <c r="G310" s="13">
        <v>8.1</v>
      </c>
      <c r="H310" s="13">
        <v>14.0</v>
      </c>
    </row>
    <row r="311" ht="15.75" hidden="1" customHeight="1">
      <c r="A311" s="13">
        <v>310.0</v>
      </c>
      <c r="B311" s="13" t="s">
        <v>1500</v>
      </c>
      <c r="D311" s="13" t="s">
        <v>1533</v>
      </c>
    </row>
    <row r="312" ht="15.75" hidden="1" customHeight="1">
      <c r="A312" s="13">
        <v>311.0</v>
      </c>
      <c r="B312" s="13" t="s">
        <v>1500</v>
      </c>
      <c r="D312" s="13" t="s">
        <v>1534</v>
      </c>
    </row>
    <row r="313" ht="15.75" customHeight="1">
      <c r="A313" s="13">
        <v>312.0</v>
      </c>
      <c r="B313" s="13" t="s">
        <v>1500</v>
      </c>
      <c r="C313" s="13" t="s">
        <v>162</v>
      </c>
      <c r="D313" s="13" t="s">
        <v>1535</v>
      </c>
      <c r="E313" s="13" t="s">
        <v>1257</v>
      </c>
      <c r="F313" s="13" t="s">
        <v>1258</v>
      </c>
      <c r="G313" s="13">
        <v>10.0</v>
      </c>
      <c r="H313" s="13">
        <v>11.7</v>
      </c>
    </row>
    <row r="314" ht="15.75" hidden="1" customHeight="1">
      <c r="A314" s="13">
        <v>313.0</v>
      </c>
      <c r="B314" s="13" t="s">
        <v>1500</v>
      </c>
      <c r="D314" s="13" t="s">
        <v>1536</v>
      </c>
    </row>
    <row r="315" ht="15.75" hidden="1" customHeight="1">
      <c r="A315" s="13">
        <v>314.0</v>
      </c>
      <c r="B315" s="13" t="s">
        <v>1500</v>
      </c>
    </row>
    <row r="316" ht="15.75" hidden="1" customHeight="1">
      <c r="A316" s="13">
        <v>315.0</v>
      </c>
      <c r="B316" s="13" t="s">
        <v>1500</v>
      </c>
      <c r="D316" s="13" t="s">
        <v>1537</v>
      </c>
      <c r="E316" s="13" t="s">
        <v>1250</v>
      </c>
      <c r="F316" s="13">
        <v>191.4</v>
      </c>
      <c r="G316" s="13">
        <v>212.35</v>
      </c>
    </row>
    <row r="317" ht="15.75" customHeight="1">
      <c r="A317" s="13">
        <v>316.0</v>
      </c>
      <c r="B317" s="13" t="s">
        <v>1500</v>
      </c>
      <c r="C317" s="13" t="s">
        <v>1251</v>
      </c>
      <c r="D317" s="13" t="s">
        <v>1538</v>
      </c>
      <c r="E317" s="13" t="s">
        <v>603</v>
      </c>
      <c r="F317" s="13" t="s">
        <v>1198</v>
      </c>
      <c r="G317" s="13">
        <v>16.1</v>
      </c>
      <c r="H317" s="13">
        <v>21.31</v>
      </c>
    </row>
    <row r="318" ht="15.75" hidden="1" customHeight="1">
      <c r="A318" s="13">
        <v>317.0</v>
      </c>
      <c r="B318" s="13" t="s">
        <v>1500</v>
      </c>
      <c r="D318" s="13" t="s">
        <v>1539</v>
      </c>
    </row>
    <row r="319" ht="15.75" hidden="1" customHeight="1">
      <c r="A319" s="13">
        <v>318.0</v>
      </c>
      <c r="B319" s="13" t="s">
        <v>1500</v>
      </c>
      <c r="D319" s="13" t="s">
        <v>1540</v>
      </c>
    </row>
    <row r="320" ht="15.75" customHeight="1">
      <c r="A320" s="13">
        <v>319.0</v>
      </c>
      <c r="B320" s="13" t="s">
        <v>1500</v>
      </c>
      <c r="C320" s="13" t="s">
        <v>1251</v>
      </c>
      <c r="D320" s="13" t="s">
        <v>1541</v>
      </c>
      <c r="E320" s="13" t="s">
        <v>1361</v>
      </c>
      <c r="F320" s="13" t="s">
        <v>1362</v>
      </c>
      <c r="G320" s="13">
        <v>12.3</v>
      </c>
      <c r="H320" s="13">
        <v>5.5</v>
      </c>
    </row>
    <row r="321" ht="15.75" hidden="1" customHeight="1">
      <c r="A321" s="13">
        <v>320.0</v>
      </c>
      <c r="B321" s="13" t="s">
        <v>1500</v>
      </c>
      <c r="D321" s="13" t="s">
        <v>1487</v>
      </c>
    </row>
    <row r="322" ht="15.75" hidden="1" customHeight="1">
      <c r="A322" s="13">
        <v>321.0</v>
      </c>
      <c r="B322" s="13" t="s">
        <v>1500</v>
      </c>
      <c r="D322" s="13" t="s">
        <v>1542</v>
      </c>
    </row>
    <row r="323" ht="15.75" customHeight="1">
      <c r="A323" s="13">
        <v>322.0</v>
      </c>
      <c r="B323" s="13" t="s">
        <v>1500</v>
      </c>
      <c r="C323" s="13" t="s">
        <v>1251</v>
      </c>
      <c r="D323" s="13" t="s">
        <v>1543</v>
      </c>
      <c r="E323" s="13" t="s">
        <v>1289</v>
      </c>
      <c r="F323" s="13" t="s">
        <v>1290</v>
      </c>
      <c r="G323" s="13">
        <v>12.3</v>
      </c>
      <c r="H323" s="13">
        <v>0.0</v>
      </c>
    </row>
    <row r="324" ht="15.75" hidden="1" customHeight="1">
      <c r="A324" s="13">
        <v>323.0</v>
      </c>
      <c r="B324" s="13" t="s">
        <v>1500</v>
      </c>
      <c r="D324" s="13" t="s">
        <v>1516</v>
      </c>
    </row>
    <row r="325" ht="15.75" hidden="1" customHeight="1">
      <c r="A325" s="13">
        <v>324.0</v>
      </c>
      <c r="B325" s="13" t="s">
        <v>1500</v>
      </c>
      <c r="D325" s="13" t="s">
        <v>1544</v>
      </c>
    </row>
    <row r="326" ht="15.75" customHeight="1">
      <c r="A326" s="13">
        <v>325.0</v>
      </c>
      <c r="B326" s="13" t="s">
        <v>1500</v>
      </c>
      <c r="C326" s="13" t="s">
        <v>1251</v>
      </c>
      <c r="D326" s="13" t="s">
        <v>1545</v>
      </c>
      <c r="E326" s="13" t="s">
        <v>1361</v>
      </c>
      <c r="F326" s="13" t="s">
        <v>1362</v>
      </c>
      <c r="G326" s="13">
        <v>9.2</v>
      </c>
      <c r="H326" s="13">
        <v>4.0</v>
      </c>
    </row>
    <row r="327" ht="15.75" hidden="1" customHeight="1">
      <c r="A327" s="13">
        <v>326.0</v>
      </c>
      <c r="B327" s="13" t="s">
        <v>1500</v>
      </c>
      <c r="D327" s="13" t="s">
        <v>1404</v>
      </c>
    </row>
    <row r="328" ht="15.75" hidden="1" customHeight="1">
      <c r="A328" s="13">
        <v>327.0</v>
      </c>
      <c r="B328" s="13" t="s">
        <v>1500</v>
      </c>
      <c r="D328" s="13" t="s">
        <v>1546</v>
      </c>
    </row>
    <row r="329" ht="15.75" customHeight="1">
      <c r="A329" s="13">
        <v>328.0</v>
      </c>
      <c r="B329" s="13" t="s">
        <v>1500</v>
      </c>
      <c r="C329" s="13" t="s">
        <v>1251</v>
      </c>
      <c r="D329" s="13" t="s">
        <v>1547</v>
      </c>
      <c r="E329" s="13" t="s">
        <v>1413</v>
      </c>
      <c r="G329" s="13">
        <v>11.6</v>
      </c>
      <c r="H329" s="13">
        <v>2.3</v>
      </c>
    </row>
    <row r="330" ht="15.75" hidden="1" customHeight="1">
      <c r="A330" s="13">
        <v>329.0</v>
      </c>
      <c r="B330" s="13" t="s">
        <v>1500</v>
      </c>
      <c r="D330" s="13" t="s">
        <v>1414</v>
      </c>
    </row>
    <row r="331" ht="15.75" hidden="1" customHeight="1">
      <c r="A331" s="13">
        <v>330.0</v>
      </c>
      <c r="B331" s="13" t="s">
        <v>1500</v>
      </c>
      <c r="D331" s="13" t="s">
        <v>1548</v>
      </c>
    </row>
    <row r="332" ht="15.75" customHeight="1">
      <c r="A332" s="13">
        <v>331.0</v>
      </c>
      <c r="B332" s="13" t="s">
        <v>1500</v>
      </c>
      <c r="C332" s="13" t="s">
        <v>1251</v>
      </c>
      <c r="D332" s="13" t="s">
        <v>1549</v>
      </c>
      <c r="E332" s="13" t="s">
        <v>1361</v>
      </c>
      <c r="F332" s="13" t="s">
        <v>1362</v>
      </c>
      <c r="G332" s="13">
        <v>8.5</v>
      </c>
      <c r="H332" s="13">
        <v>1.0</v>
      </c>
    </row>
    <row r="333" ht="15.75" hidden="1" customHeight="1">
      <c r="A333" s="13">
        <v>332.0</v>
      </c>
      <c r="B333" s="13" t="s">
        <v>1500</v>
      </c>
      <c r="D333" s="13" t="s">
        <v>1550</v>
      </c>
    </row>
    <row r="334" ht="15.75" hidden="1" customHeight="1">
      <c r="A334" s="13">
        <v>333.0</v>
      </c>
      <c r="B334" s="13" t="s">
        <v>1500</v>
      </c>
      <c r="D334" s="13" t="s">
        <v>1551</v>
      </c>
    </row>
    <row r="335" ht="15.75" customHeight="1">
      <c r="A335" s="13">
        <v>334.0</v>
      </c>
      <c r="B335" s="13" t="s">
        <v>1500</v>
      </c>
      <c r="C335" s="13" t="s">
        <v>1251</v>
      </c>
      <c r="D335" s="13" t="s">
        <v>1552</v>
      </c>
      <c r="E335" s="13" t="s">
        <v>1193</v>
      </c>
      <c r="F335" s="13" t="s">
        <v>1194</v>
      </c>
      <c r="G335" s="13">
        <v>13.4</v>
      </c>
      <c r="H335" s="13">
        <v>9.48</v>
      </c>
    </row>
    <row r="336" ht="15.75" hidden="1" customHeight="1">
      <c r="A336" s="13">
        <v>335.0</v>
      </c>
      <c r="B336" s="13" t="s">
        <v>1500</v>
      </c>
      <c r="D336" s="13" t="s">
        <v>1553</v>
      </c>
    </row>
    <row r="337" ht="15.75" hidden="1" customHeight="1">
      <c r="A337" s="13">
        <v>336.0</v>
      </c>
      <c r="B337" s="13" t="s">
        <v>1500</v>
      </c>
      <c r="D337" s="13" t="s">
        <v>1554</v>
      </c>
    </row>
    <row r="338" ht="15.75" customHeight="1">
      <c r="A338" s="13">
        <v>337.0</v>
      </c>
      <c r="B338" s="13" t="s">
        <v>1500</v>
      </c>
      <c r="C338" s="13" t="s">
        <v>1251</v>
      </c>
      <c r="D338" s="13" t="s">
        <v>1555</v>
      </c>
      <c r="E338" s="13" t="s">
        <v>603</v>
      </c>
      <c r="F338" s="13" t="s">
        <v>1198</v>
      </c>
      <c r="G338" s="13">
        <v>4.8</v>
      </c>
      <c r="H338" s="13">
        <v>12.9</v>
      </c>
    </row>
    <row r="339" ht="15.75" hidden="1" customHeight="1">
      <c r="A339" s="13">
        <v>338.0</v>
      </c>
      <c r="B339" s="13" t="s">
        <v>1500</v>
      </c>
      <c r="D339" s="13" t="s">
        <v>1556</v>
      </c>
    </row>
    <row r="340" ht="15.75" hidden="1" customHeight="1">
      <c r="A340" s="13">
        <v>339.0</v>
      </c>
      <c r="B340" s="13" t="s">
        <v>1500</v>
      </c>
    </row>
    <row r="341" ht="15.75" hidden="1" customHeight="1">
      <c r="A341" s="13">
        <v>340.0</v>
      </c>
      <c r="B341" s="13" t="s">
        <v>1500</v>
      </c>
      <c r="E341" s="13" t="s">
        <v>1250</v>
      </c>
      <c r="F341" s="13">
        <v>88.1</v>
      </c>
      <c r="G341" s="13">
        <v>56.49</v>
      </c>
    </row>
    <row r="342" ht="15.75" hidden="1" customHeight="1">
      <c r="A342" s="13">
        <v>341.0</v>
      </c>
      <c r="B342" s="13" t="s">
        <v>1500</v>
      </c>
      <c r="C342" s="13" t="s">
        <v>1557</v>
      </c>
      <c r="D342" s="13" t="s">
        <v>1183</v>
      </c>
    </row>
    <row r="343" ht="15.75" hidden="1" customHeight="1">
      <c r="A343" s="13">
        <v>342.0</v>
      </c>
      <c r="B343" s="13" t="s">
        <v>1558</v>
      </c>
      <c r="C343" s="13" t="s">
        <v>1182</v>
      </c>
      <c r="D343" s="13" t="s">
        <v>1186</v>
      </c>
      <c r="E343" s="13" t="s">
        <v>625</v>
      </c>
    </row>
    <row r="344" ht="15.75" customHeight="1">
      <c r="A344" s="13">
        <v>343.0</v>
      </c>
      <c r="B344" s="13" t="s">
        <v>1558</v>
      </c>
      <c r="C344" s="13" t="s">
        <v>1185</v>
      </c>
      <c r="D344" s="13" t="s">
        <v>1559</v>
      </c>
      <c r="E344" s="13" t="s">
        <v>1187</v>
      </c>
      <c r="F344" s="13" t="s">
        <v>1188</v>
      </c>
      <c r="G344" s="13" t="s">
        <v>1189</v>
      </c>
      <c r="H344" s="13" t="s">
        <v>1190</v>
      </c>
    </row>
    <row r="345" ht="15.75" customHeight="1">
      <c r="A345" s="13">
        <v>344.0</v>
      </c>
      <c r="B345" s="13" t="s">
        <v>1558</v>
      </c>
      <c r="C345" s="13" t="s">
        <v>100</v>
      </c>
      <c r="D345" s="13" t="s">
        <v>1560</v>
      </c>
      <c r="E345" s="13" t="s">
        <v>1270</v>
      </c>
      <c r="F345" s="13" t="s">
        <v>1271</v>
      </c>
      <c r="G345" s="13">
        <v>23.9</v>
      </c>
      <c r="H345" s="13">
        <v>37.51</v>
      </c>
    </row>
    <row r="346" ht="15.75" hidden="1" customHeight="1">
      <c r="A346" s="13">
        <v>345.0</v>
      </c>
      <c r="B346" s="13" t="s">
        <v>1558</v>
      </c>
      <c r="D346" s="13" t="s">
        <v>1561</v>
      </c>
    </row>
    <row r="347" ht="15.75" hidden="1" customHeight="1">
      <c r="A347" s="13">
        <v>346.0</v>
      </c>
      <c r="B347" s="13" t="s">
        <v>1558</v>
      </c>
      <c r="D347" s="13" t="s">
        <v>1562</v>
      </c>
    </row>
    <row r="348" ht="15.75" customHeight="1">
      <c r="A348" s="13">
        <v>347.0</v>
      </c>
      <c r="B348" s="13" t="s">
        <v>1558</v>
      </c>
      <c r="C348" s="13" t="s">
        <v>106</v>
      </c>
      <c r="D348" s="13" t="s">
        <v>1563</v>
      </c>
      <c r="E348" s="13" t="s">
        <v>1262</v>
      </c>
      <c r="F348" s="13" t="s">
        <v>1263</v>
      </c>
      <c r="G348" s="13">
        <v>17.1</v>
      </c>
      <c r="H348" s="13">
        <v>11.1</v>
      </c>
    </row>
    <row r="349" ht="15.75" hidden="1" customHeight="1">
      <c r="A349" s="13">
        <v>348.0</v>
      </c>
      <c r="B349" s="13" t="s">
        <v>1558</v>
      </c>
      <c r="D349" s="13" t="s">
        <v>1264</v>
      </c>
    </row>
    <row r="350" ht="15.75" hidden="1" customHeight="1">
      <c r="A350" s="13">
        <v>349.0</v>
      </c>
      <c r="B350" s="13" t="s">
        <v>1558</v>
      </c>
      <c r="D350" s="13" t="s">
        <v>1564</v>
      </c>
    </row>
    <row r="351" ht="15.75" customHeight="1">
      <c r="A351" s="13">
        <v>350.0</v>
      </c>
      <c r="B351" s="13" t="s">
        <v>1558</v>
      </c>
      <c r="C351" s="13" t="s">
        <v>106</v>
      </c>
      <c r="D351" s="13" t="s">
        <v>1565</v>
      </c>
      <c r="E351" s="13" t="s">
        <v>602</v>
      </c>
      <c r="F351" s="13" t="s">
        <v>1315</v>
      </c>
      <c r="G351" s="13">
        <v>11.6</v>
      </c>
      <c r="H351" s="13">
        <v>4.8</v>
      </c>
    </row>
    <row r="352" ht="15.75" hidden="1" customHeight="1">
      <c r="A352" s="13">
        <v>351.0</v>
      </c>
      <c r="B352" s="13" t="s">
        <v>1558</v>
      </c>
      <c r="D352" s="13" t="s">
        <v>1566</v>
      </c>
    </row>
    <row r="353" ht="15.75" hidden="1" customHeight="1">
      <c r="A353" s="13">
        <v>352.0</v>
      </c>
      <c r="B353" s="13" t="s">
        <v>1558</v>
      </c>
      <c r="D353" s="13" t="s">
        <v>1567</v>
      </c>
    </row>
    <row r="354" ht="15.75" customHeight="1">
      <c r="A354" s="13">
        <v>353.0</v>
      </c>
      <c r="B354" s="13" t="s">
        <v>1558</v>
      </c>
      <c r="C354" s="13" t="s">
        <v>106</v>
      </c>
      <c r="D354" s="13" t="s">
        <v>1568</v>
      </c>
      <c r="E354" s="13" t="s">
        <v>1458</v>
      </c>
      <c r="F354" s="13" t="s">
        <v>1459</v>
      </c>
      <c r="G354" s="13">
        <v>14.0</v>
      </c>
      <c r="H354" s="13">
        <v>18.0</v>
      </c>
    </row>
    <row r="355" ht="15.75" hidden="1" customHeight="1">
      <c r="A355" s="13">
        <v>354.0</v>
      </c>
      <c r="B355" s="13" t="s">
        <v>1558</v>
      </c>
      <c r="D355" s="13" t="s">
        <v>1510</v>
      </c>
    </row>
    <row r="356" ht="15.75" hidden="1" customHeight="1">
      <c r="A356" s="13">
        <v>355.0</v>
      </c>
      <c r="B356" s="13" t="s">
        <v>1558</v>
      </c>
      <c r="D356" s="13" t="s">
        <v>1569</v>
      </c>
    </row>
    <row r="357" ht="15.75" customHeight="1">
      <c r="A357" s="13">
        <v>356.0</v>
      </c>
      <c r="B357" s="13" t="s">
        <v>1558</v>
      </c>
      <c r="C357" s="13" t="s">
        <v>117</v>
      </c>
      <c r="D357" s="13" t="s">
        <v>1570</v>
      </c>
      <c r="E357" s="13" t="s">
        <v>1243</v>
      </c>
      <c r="F357" s="13" t="s">
        <v>1244</v>
      </c>
      <c r="G357" s="13">
        <v>17.6</v>
      </c>
      <c r="H357" s="13">
        <v>31.1</v>
      </c>
    </row>
    <row r="358" ht="15.75" hidden="1" customHeight="1">
      <c r="A358" s="13">
        <v>357.0</v>
      </c>
      <c r="B358" s="13" t="s">
        <v>1558</v>
      </c>
      <c r="D358" s="13" t="s">
        <v>1452</v>
      </c>
    </row>
    <row r="359" ht="15.75" hidden="1" customHeight="1">
      <c r="A359" s="13">
        <v>358.0</v>
      </c>
      <c r="B359" s="13" t="s">
        <v>1558</v>
      </c>
      <c r="D359" s="13" t="s">
        <v>1571</v>
      </c>
    </row>
    <row r="360" ht="15.75" customHeight="1">
      <c r="A360" s="13">
        <v>359.0</v>
      </c>
      <c r="B360" s="13" t="s">
        <v>1558</v>
      </c>
      <c r="C360" s="13" t="s">
        <v>117</v>
      </c>
      <c r="D360" s="13" t="s">
        <v>1572</v>
      </c>
      <c r="E360" s="13" t="s">
        <v>617</v>
      </c>
      <c r="F360" s="13" t="s">
        <v>1354</v>
      </c>
      <c r="G360" s="13">
        <v>14.8</v>
      </c>
      <c r="H360" s="13">
        <v>8.1</v>
      </c>
    </row>
    <row r="361" ht="15.75" hidden="1" customHeight="1">
      <c r="A361" s="13">
        <v>360.0</v>
      </c>
      <c r="B361" s="13" t="s">
        <v>1558</v>
      </c>
      <c r="D361" s="13" t="s">
        <v>1481</v>
      </c>
    </row>
    <row r="362" ht="15.75" hidden="1" customHeight="1">
      <c r="A362" s="13">
        <v>361.0</v>
      </c>
      <c r="B362" s="13" t="s">
        <v>1558</v>
      </c>
      <c r="D362" s="13" t="s">
        <v>1573</v>
      </c>
    </row>
    <row r="363" ht="15.75" customHeight="1">
      <c r="A363" s="13">
        <v>362.0</v>
      </c>
      <c r="B363" s="13" t="s">
        <v>1558</v>
      </c>
      <c r="C363" s="13" t="s">
        <v>117</v>
      </c>
      <c r="D363" s="13" t="s">
        <v>1574</v>
      </c>
      <c r="E363" s="13" t="s">
        <v>1270</v>
      </c>
      <c r="F363" s="13" t="s">
        <v>1271</v>
      </c>
      <c r="G363" s="13">
        <v>12.4</v>
      </c>
      <c r="H363" s="13">
        <v>18.8</v>
      </c>
    </row>
    <row r="364" ht="15.75" hidden="1" customHeight="1">
      <c r="A364" s="13">
        <v>363.0</v>
      </c>
      <c r="B364" s="13" t="s">
        <v>1558</v>
      </c>
      <c r="D364" s="13" t="s">
        <v>1513</v>
      </c>
    </row>
    <row r="365" ht="15.75" hidden="1" customHeight="1">
      <c r="A365" s="13">
        <v>364.0</v>
      </c>
      <c r="B365" s="13" t="s">
        <v>1558</v>
      </c>
      <c r="D365" s="13" t="s">
        <v>1575</v>
      </c>
    </row>
    <row r="366" ht="15.75" customHeight="1">
      <c r="A366" s="13">
        <v>365.0</v>
      </c>
      <c r="B366" s="13" t="s">
        <v>1558</v>
      </c>
      <c r="C366" s="13" t="s">
        <v>117</v>
      </c>
      <c r="D366" s="13" t="s">
        <v>1576</v>
      </c>
      <c r="E366" s="13" t="s">
        <v>1297</v>
      </c>
      <c r="F366" s="13" t="s">
        <v>1298</v>
      </c>
      <c r="G366" s="13">
        <v>9.6</v>
      </c>
      <c r="H366" s="13">
        <v>9.1</v>
      </c>
    </row>
    <row r="367" ht="15.75" hidden="1" customHeight="1">
      <c r="A367" s="13">
        <v>366.0</v>
      </c>
      <c r="B367" s="13" t="s">
        <v>1558</v>
      </c>
      <c r="D367" s="13" t="s">
        <v>1577</v>
      </c>
    </row>
    <row r="368" ht="15.75" hidden="1" customHeight="1">
      <c r="A368" s="13">
        <v>367.0</v>
      </c>
      <c r="B368" s="13" t="s">
        <v>1558</v>
      </c>
      <c r="D368" s="13" t="s">
        <v>1578</v>
      </c>
    </row>
    <row r="369" ht="15.75" customHeight="1">
      <c r="A369" s="13">
        <v>368.0</v>
      </c>
      <c r="B369" s="13" t="s">
        <v>1558</v>
      </c>
      <c r="C369" s="13" t="s">
        <v>132</v>
      </c>
      <c r="D369" s="13" t="s">
        <v>1579</v>
      </c>
      <c r="E369" s="13" t="s">
        <v>619</v>
      </c>
      <c r="F369" s="13" t="s">
        <v>1202</v>
      </c>
      <c r="G369" s="13">
        <v>10.1</v>
      </c>
      <c r="H369" s="13">
        <v>11.4</v>
      </c>
    </row>
    <row r="370" ht="15.75" hidden="1" customHeight="1">
      <c r="A370" s="13">
        <v>369.0</v>
      </c>
      <c r="B370" s="13" t="s">
        <v>1558</v>
      </c>
      <c r="D370" s="13" t="s">
        <v>1580</v>
      </c>
    </row>
    <row r="371" ht="15.75" hidden="1" customHeight="1">
      <c r="A371" s="13">
        <v>370.0</v>
      </c>
      <c r="B371" s="13" t="s">
        <v>1558</v>
      </c>
      <c r="D371" s="13" t="s">
        <v>1581</v>
      </c>
    </row>
    <row r="372" ht="15.75" customHeight="1">
      <c r="A372" s="13">
        <v>371.0</v>
      </c>
      <c r="B372" s="13" t="s">
        <v>1558</v>
      </c>
      <c r="C372" s="13" t="s">
        <v>136</v>
      </c>
      <c r="D372" s="13" t="s">
        <v>1582</v>
      </c>
      <c r="E372" s="13" t="s">
        <v>1238</v>
      </c>
      <c r="F372" s="13" t="s">
        <v>1239</v>
      </c>
      <c r="G372" s="13">
        <v>11.0</v>
      </c>
      <c r="H372" s="13">
        <v>6.8</v>
      </c>
    </row>
    <row r="373" ht="15.75" hidden="1" customHeight="1">
      <c r="A373" s="13">
        <v>372.0</v>
      </c>
      <c r="B373" s="13" t="s">
        <v>1558</v>
      </c>
      <c r="D373" s="13" t="s">
        <v>1382</v>
      </c>
    </row>
    <row r="374" ht="15.75" hidden="1" customHeight="1">
      <c r="A374" s="13">
        <v>373.0</v>
      </c>
      <c r="B374" s="13" t="s">
        <v>1558</v>
      </c>
      <c r="D374" s="13" t="s">
        <v>1583</v>
      </c>
    </row>
    <row r="375" ht="15.75" customHeight="1">
      <c r="A375" s="13">
        <v>374.0</v>
      </c>
      <c r="B375" s="13" t="s">
        <v>1558</v>
      </c>
      <c r="C375" s="13" t="s">
        <v>139</v>
      </c>
      <c r="D375" s="13" t="s">
        <v>1584</v>
      </c>
      <c r="E375" s="13" t="s">
        <v>1262</v>
      </c>
      <c r="F375" s="13" t="s">
        <v>1263</v>
      </c>
      <c r="G375" s="13">
        <v>10.5</v>
      </c>
      <c r="H375" s="13">
        <v>0.66</v>
      </c>
    </row>
    <row r="376" ht="15.75" hidden="1" customHeight="1">
      <c r="A376" s="13">
        <v>375.0</v>
      </c>
      <c r="B376" s="13" t="s">
        <v>1558</v>
      </c>
      <c r="D376" s="13" t="s">
        <v>1585</v>
      </c>
    </row>
    <row r="377" ht="15.75" hidden="1" customHeight="1">
      <c r="A377" s="13">
        <v>376.0</v>
      </c>
      <c r="B377" s="13" t="s">
        <v>1558</v>
      </c>
      <c r="D377" s="13" t="s">
        <v>1586</v>
      </c>
    </row>
    <row r="378" ht="15.75" customHeight="1">
      <c r="A378" s="13">
        <v>377.0</v>
      </c>
      <c r="B378" s="13" t="s">
        <v>1558</v>
      </c>
      <c r="C378" s="13" t="s">
        <v>146</v>
      </c>
      <c r="D378" s="13" t="s">
        <v>1587</v>
      </c>
      <c r="E378" s="13" t="s">
        <v>1233</v>
      </c>
      <c r="F378" s="13" t="s">
        <v>1234</v>
      </c>
      <c r="G378" s="13">
        <v>8.6</v>
      </c>
      <c r="H378" s="13">
        <v>6.0</v>
      </c>
    </row>
    <row r="379" ht="15.75" hidden="1" customHeight="1">
      <c r="A379" s="13">
        <v>378.0</v>
      </c>
      <c r="B379" s="13" t="s">
        <v>1558</v>
      </c>
      <c r="D379" s="13" t="s">
        <v>1588</v>
      </c>
    </row>
    <row r="380" ht="15.75" hidden="1" customHeight="1">
      <c r="A380" s="13">
        <v>379.0</v>
      </c>
      <c r="B380" s="13" t="s">
        <v>1558</v>
      </c>
      <c r="D380" s="13" t="s">
        <v>1589</v>
      </c>
    </row>
    <row r="381" ht="15.75" customHeight="1">
      <c r="A381" s="13">
        <v>380.0</v>
      </c>
      <c r="B381" s="13" t="s">
        <v>1558</v>
      </c>
      <c r="C381" s="13" t="s">
        <v>162</v>
      </c>
      <c r="D381" s="13" t="s">
        <v>1590</v>
      </c>
      <c r="E381" s="13" t="s">
        <v>1270</v>
      </c>
      <c r="F381" s="13" t="s">
        <v>1271</v>
      </c>
      <c r="G381" s="13">
        <v>9.6</v>
      </c>
      <c r="H381" s="13">
        <v>17.3</v>
      </c>
    </row>
    <row r="382" ht="15.75" hidden="1" customHeight="1">
      <c r="A382" s="13">
        <v>381.0</v>
      </c>
      <c r="B382" s="13" t="s">
        <v>1558</v>
      </c>
      <c r="D382" s="13" t="s">
        <v>1591</v>
      </c>
    </row>
    <row r="383" ht="15.75" hidden="1" customHeight="1">
      <c r="A383" s="13">
        <v>382.0</v>
      </c>
      <c r="B383" s="13" t="s">
        <v>1558</v>
      </c>
    </row>
    <row r="384" ht="15.75" hidden="1" customHeight="1">
      <c r="A384" s="13">
        <v>383.0</v>
      </c>
      <c r="B384" s="13" t="s">
        <v>1558</v>
      </c>
      <c r="D384" s="13" t="s">
        <v>1592</v>
      </c>
      <c r="E384" s="13" t="s">
        <v>1250</v>
      </c>
      <c r="F384" s="13">
        <v>170.9</v>
      </c>
      <c r="G384" s="13">
        <v>180.67</v>
      </c>
    </row>
    <row r="385" ht="15.75" customHeight="1">
      <c r="A385" s="13">
        <v>384.0</v>
      </c>
      <c r="B385" s="13" t="s">
        <v>1558</v>
      </c>
      <c r="C385" s="13" t="s">
        <v>1251</v>
      </c>
      <c r="D385" s="13" t="s">
        <v>1593</v>
      </c>
      <c r="E385" s="13" t="s">
        <v>1257</v>
      </c>
      <c r="F385" s="13" t="s">
        <v>1258</v>
      </c>
      <c r="G385" s="13">
        <v>20.5</v>
      </c>
      <c r="H385" s="13">
        <v>9.86</v>
      </c>
    </row>
    <row r="386" ht="15.75" hidden="1" customHeight="1">
      <c r="A386" s="13">
        <v>385.0</v>
      </c>
      <c r="B386" s="13" t="s">
        <v>1558</v>
      </c>
      <c r="D386" s="13" t="s">
        <v>1594</v>
      </c>
    </row>
    <row r="387" ht="15.75" hidden="1" customHeight="1">
      <c r="A387" s="13">
        <v>386.0</v>
      </c>
      <c r="B387" s="13" t="s">
        <v>1558</v>
      </c>
      <c r="D387" s="13" t="s">
        <v>1595</v>
      </c>
    </row>
    <row r="388" ht="15.75" customHeight="1">
      <c r="A388" s="13">
        <v>387.0</v>
      </c>
      <c r="B388" s="13" t="s">
        <v>1558</v>
      </c>
      <c r="C388" s="13" t="s">
        <v>1251</v>
      </c>
      <c r="D388" s="13" t="s">
        <v>1596</v>
      </c>
      <c r="E388" s="13" t="s">
        <v>602</v>
      </c>
      <c r="F388" s="13" t="s">
        <v>1315</v>
      </c>
      <c r="G388" s="13">
        <v>8.7</v>
      </c>
      <c r="H388" s="13">
        <v>11.09</v>
      </c>
    </row>
    <row r="389" ht="15.75" hidden="1" customHeight="1">
      <c r="A389" s="13">
        <v>388.0</v>
      </c>
      <c r="B389" s="13" t="s">
        <v>1558</v>
      </c>
      <c r="D389" s="13" t="s">
        <v>1597</v>
      </c>
    </row>
    <row r="390" ht="15.75" hidden="1" customHeight="1">
      <c r="A390" s="13">
        <v>389.0</v>
      </c>
      <c r="B390" s="13" t="s">
        <v>1558</v>
      </c>
      <c r="D390" s="13" t="s">
        <v>1598</v>
      </c>
    </row>
    <row r="391" ht="15.75" customHeight="1">
      <c r="A391" s="13">
        <v>390.0</v>
      </c>
      <c r="B391" s="13" t="s">
        <v>1558</v>
      </c>
      <c r="C391" s="13" t="s">
        <v>1251</v>
      </c>
      <c r="D391" s="13" t="s">
        <v>1599</v>
      </c>
      <c r="E391" s="13" t="s">
        <v>1233</v>
      </c>
      <c r="F391" s="13" t="s">
        <v>1234</v>
      </c>
      <c r="G391" s="13">
        <v>0.0</v>
      </c>
      <c r="H391" s="13">
        <v>0.0</v>
      </c>
    </row>
    <row r="392" ht="15.75" hidden="1" customHeight="1">
      <c r="A392" s="13">
        <v>391.0</v>
      </c>
      <c r="B392" s="13" t="s">
        <v>1558</v>
      </c>
      <c r="D392" s="13" t="s">
        <v>1600</v>
      </c>
    </row>
    <row r="393" ht="15.75" hidden="1" customHeight="1">
      <c r="A393" s="13">
        <v>392.0</v>
      </c>
      <c r="B393" s="13" t="s">
        <v>1558</v>
      </c>
      <c r="D393" s="13" t="s">
        <v>1601</v>
      </c>
    </row>
    <row r="394" ht="15.75" customHeight="1">
      <c r="A394" s="13">
        <v>393.0</v>
      </c>
      <c r="B394" s="13" t="s">
        <v>1558</v>
      </c>
      <c r="C394" s="13" t="s">
        <v>1251</v>
      </c>
      <c r="D394" s="13" t="s">
        <v>1602</v>
      </c>
      <c r="E394" s="13" t="s">
        <v>1243</v>
      </c>
      <c r="F394" s="13" t="s">
        <v>1244</v>
      </c>
      <c r="G394" s="13">
        <v>3.7</v>
      </c>
      <c r="H394" s="13">
        <v>2.7</v>
      </c>
    </row>
    <row r="395" ht="15.75" hidden="1" customHeight="1">
      <c r="A395" s="13">
        <v>394.0</v>
      </c>
      <c r="B395" s="13" t="s">
        <v>1558</v>
      </c>
      <c r="D395" s="13" t="s">
        <v>1603</v>
      </c>
    </row>
    <row r="396" ht="15.75" hidden="1" customHeight="1">
      <c r="A396" s="13">
        <v>395.0</v>
      </c>
      <c r="B396" s="13" t="s">
        <v>1558</v>
      </c>
      <c r="D396" s="13" t="s">
        <v>1604</v>
      </c>
    </row>
    <row r="397" ht="15.75" customHeight="1">
      <c r="A397" s="13">
        <v>396.0</v>
      </c>
      <c r="B397" s="13" t="s">
        <v>1558</v>
      </c>
      <c r="C397" s="13" t="s">
        <v>1251</v>
      </c>
      <c r="D397" s="13" t="s">
        <v>1605</v>
      </c>
      <c r="E397" s="13" t="s">
        <v>1606</v>
      </c>
      <c r="F397" s="13" t="s">
        <v>1607</v>
      </c>
      <c r="G397" s="13">
        <v>7.9</v>
      </c>
      <c r="H397" s="13">
        <v>9.6</v>
      </c>
    </row>
    <row r="398" ht="15.75" hidden="1" customHeight="1">
      <c r="A398" s="13">
        <v>397.0</v>
      </c>
      <c r="B398" s="13" t="s">
        <v>1558</v>
      </c>
      <c r="D398" s="13" t="s">
        <v>1608</v>
      </c>
    </row>
    <row r="399" ht="15.75" hidden="1" customHeight="1">
      <c r="A399" s="13">
        <v>398.0</v>
      </c>
      <c r="B399" s="13" t="s">
        <v>1558</v>
      </c>
      <c r="D399" s="13" t="s">
        <v>1609</v>
      </c>
    </row>
    <row r="400" ht="15.75" customHeight="1">
      <c r="A400" s="13">
        <v>399.0</v>
      </c>
      <c r="B400" s="13" t="s">
        <v>1558</v>
      </c>
      <c r="C400" s="13" t="s">
        <v>1251</v>
      </c>
      <c r="D400" s="13" t="s">
        <v>1610</v>
      </c>
      <c r="E400" s="13" t="s">
        <v>619</v>
      </c>
      <c r="F400" s="13" t="s">
        <v>1202</v>
      </c>
      <c r="G400" s="13">
        <v>8.2</v>
      </c>
      <c r="H400" s="13">
        <v>1.0</v>
      </c>
    </row>
    <row r="401" ht="15.75" hidden="1" customHeight="1">
      <c r="A401" s="13">
        <v>400.0</v>
      </c>
      <c r="B401" s="13" t="s">
        <v>1558</v>
      </c>
      <c r="D401" s="13" t="s">
        <v>1611</v>
      </c>
    </row>
    <row r="402" ht="15.75" hidden="1" customHeight="1">
      <c r="A402" s="13">
        <v>401.0</v>
      </c>
      <c r="B402" s="13" t="s">
        <v>1558</v>
      </c>
      <c r="D402" s="13" t="s">
        <v>1612</v>
      </c>
    </row>
    <row r="403" ht="15.75" customHeight="1">
      <c r="A403" s="13">
        <v>402.0</v>
      </c>
      <c r="B403" s="13" t="s">
        <v>1558</v>
      </c>
      <c r="C403" s="13" t="s">
        <v>1251</v>
      </c>
      <c r="D403" s="13" t="s">
        <v>1613</v>
      </c>
      <c r="E403" s="13" t="s">
        <v>1433</v>
      </c>
      <c r="F403" s="13" t="s">
        <v>1434</v>
      </c>
      <c r="G403" s="13">
        <v>5.4</v>
      </c>
      <c r="H403" s="13">
        <v>7.2</v>
      </c>
    </row>
    <row r="404" ht="15.75" hidden="1" customHeight="1">
      <c r="A404" s="13">
        <v>403.0</v>
      </c>
      <c r="B404" s="13" t="s">
        <v>1558</v>
      </c>
      <c r="D404" s="13" t="s">
        <v>1614</v>
      </c>
    </row>
    <row r="405" ht="15.75" hidden="1" customHeight="1">
      <c r="A405" s="13">
        <v>404.0</v>
      </c>
      <c r="B405" s="13" t="s">
        <v>1558</v>
      </c>
      <c r="D405" s="13" t="s">
        <v>1616</v>
      </c>
    </row>
    <row r="406" ht="15.75" customHeight="1">
      <c r="A406" s="13">
        <v>405.0</v>
      </c>
      <c r="B406" s="13" t="s">
        <v>1558</v>
      </c>
      <c r="C406" s="13" t="s">
        <v>1251</v>
      </c>
      <c r="D406" s="13" t="s">
        <v>1617</v>
      </c>
      <c r="E406" s="13" t="s">
        <v>1270</v>
      </c>
      <c r="F406" s="13" t="s">
        <v>1271</v>
      </c>
      <c r="G406" s="13">
        <v>9.5</v>
      </c>
      <c r="H406" s="13">
        <v>13.4</v>
      </c>
    </row>
    <row r="407" ht="15.75" hidden="1" customHeight="1">
      <c r="A407" s="13">
        <v>406.0</v>
      </c>
      <c r="B407" s="13" t="s">
        <v>1558</v>
      </c>
      <c r="D407" s="13" t="s">
        <v>1417</v>
      </c>
    </row>
    <row r="408" ht="15.75" hidden="1" customHeight="1">
      <c r="A408" s="13">
        <v>407.0</v>
      </c>
      <c r="B408" s="13" t="s">
        <v>1558</v>
      </c>
    </row>
    <row r="409" ht="15.75" hidden="1" customHeight="1">
      <c r="A409" s="13">
        <v>408.0</v>
      </c>
      <c r="B409" s="13" t="s">
        <v>1558</v>
      </c>
      <c r="E409" s="13" t="s">
        <v>1250</v>
      </c>
      <c r="F409" s="13">
        <v>64.0</v>
      </c>
      <c r="G409" s="13">
        <v>54.85</v>
      </c>
    </row>
    <row r="410" ht="15.75" hidden="1" customHeight="1">
      <c r="A410" s="13">
        <v>409.0</v>
      </c>
      <c r="B410" s="13" t="s">
        <v>1558</v>
      </c>
      <c r="C410" s="13" t="s">
        <v>1618</v>
      </c>
      <c r="D410" s="13" t="s">
        <v>1183</v>
      </c>
    </row>
    <row r="411" ht="15.75" hidden="1" customHeight="1">
      <c r="A411" s="13">
        <v>410.0</v>
      </c>
      <c r="B411" s="13" t="s">
        <v>1619</v>
      </c>
      <c r="C411" s="13" t="s">
        <v>1182</v>
      </c>
      <c r="D411" s="13" t="s">
        <v>1186</v>
      </c>
      <c r="E411" s="13" t="s">
        <v>625</v>
      </c>
    </row>
    <row r="412" ht="15.75" customHeight="1">
      <c r="A412" s="13">
        <v>411.0</v>
      </c>
      <c r="B412" s="13" t="s">
        <v>1619</v>
      </c>
      <c r="C412" s="13" t="s">
        <v>1185</v>
      </c>
      <c r="D412" s="13" t="s">
        <v>1620</v>
      </c>
      <c r="E412" s="13" t="s">
        <v>1187</v>
      </c>
      <c r="F412" s="13" t="s">
        <v>1188</v>
      </c>
      <c r="G412" s="13" t="s">
        <v>1189</v>
      </c>
      <c r="H412" s="13" t="s">
        <v>1190</v>
      </c>
    </row>
    <row r="413" ht="15.75" customHeight="1">
      <c r="A413" s="13">
        <v>412.0</v>
      </c>
      <c r="B413" s="13" t="s">
        <v>1619</v>
      </c>
      <c r="C413" s="13" t="s">
        <v>100</v>
      </c>
      <c r="D413" s="13" t="s">
        <v>1621</v>
      </c>
      <c r="E413" s="13" t="s">
        <v>610</v>
      </c>
      <c r="F413" s="13" t="s">
        <v>1283</v>
      </c>
      <c r="G413" s="13">
        <v>22.5</v>
      </c>
      <c r="H413" s="13">
        <v>28.87</v>
      </c>
    </row>
    <row r="414" ht="15.75" hidden="1" customHeight="1">
      <c r="A414" s="13">
        <v>413.0</v>
      </c>
      <c r="B414" s="13" t="s">
        <v>1619</v>
      </c>
      <c r="D414" s="13" t="s">
        <v>1622</v>
      </c>
    </row>
    <row r="415" ht="15.75" hidden="1" customHeight="1">
      <c r="A415" s="13">
        <v>414.0</v>
      </c>
      <c r="B415" s="13" t="s">
        <v>1619</v>
      </c>
      <c r="D415" s="13" t="s">
        <v>1623</v>
      </c>
    </row>
    <row r="416" ht="15.75" customHeight="1">
      <c r="A416" s="13">
        <v>415.0</v>
      </c>
      <c r="B416" s="13" t="s">
        <v>1619</v>
      </c>
      <c r="C416" s="13" t="s">
        <v>106</v>
      </c>
      <c r="D416" s="13" t="s">
        <v>1624</v>
      </c>
      <c r="E416" s="13" t="s">
        <v>1214</v>
      </c>
      <c r="F416" s="13" t="s">
        <v>1215</v>
      </c>
      <c r="G416" s="13">
        <v>24.6</v>
      </c>
      <c r="H416" s="13">
        <v>31.6</v>
      </c>
    </row>
    <row r="417" ht="15.75" hidden="1" customHeight="1">
      <c r="A417" s="13">
        <v>416.0</v>
      </c>
      <c r="B417" s="13" t="s">
        <v>1619</v>
      </c>
      <c r="D417" s="13" t="s">
        <v>1625</v>
      </c>
    </row>
    <row r="418" ht="15.75" hidden="1" customHeight="1">
      <c r="A418" s="13">
        <v>417.0</v>
      </c>
      <c r="B418" s="13" t="s">
        <v>1619</v>
      </c>
      <c r="D418" s="13" t="s">
        <v>1626</v>
      </c>
    </row>
    <row r="419" ht="15.75" customHeight="1">
      <c r="A419" s="13">
        <v>418.0</v>
      </c>
      <c r="B419" s="13" t="s">
        <v>1619</v>
      </c>
      <c r="C419" s="13" t="s">
        <v>106</v>
      </c>
      <c r="D419" s="13" t="s">
        <v>1627</v>
      </c>
      <c r="E419" s="13" t="s">
        <v>1193</v>
      </c>
      <c r="F419" s="13" t="s">
        <v>1194</v>
      </c>
      <c r="G419" s="13">
        <v>19.5</v>
      </c>
      <c r="H419" s="13">
        <v>24.2</v>
      </c>
    </row>
    <row r="420" ht="15.75" hidden="1" customHeight="1">
      <c r="A420" s="13">
        <v>419.0</v>
      </c>
      <c r="B420" s="13" t="s">
        <v>1619</v>
      </c>
      <c r="D420" s="13" t="s">
        <v>1628</v>
      </c>
    </row>
    <row r="421" ht="15.75" hidden="1" customHeight="1">
      <c r="A421" s="13">
        <v>420.0</v>
      </c>
      <c r="B421" s="13" t="s">
        <v>1619</v>
      </c>
      <c r="D421" s="13" t="s">
        <v>1629</v>
      </c>
    </row>
    <row r="422" ht="15.75" customHeight="1">
      <c r="A422" s="13">
        <v>421.0</v>
      </c>
      <c r="B422" s="13" t="s">
        <v>1619</v>
      </c>
      <c r="C422" s="13" t="s">
        <v>106</v>
      </c>
      <c r="D422" s="13" t="s">
        <v>1630</v>
      </c>
      <c r="E422" s="13" t="s">
        <v>1243</v>
      </c>
      <c r="F422" s="13" t="s">
        <v>1244</v>
      </c>
      <c r="G422" s="13">
        <v>14.2</v>
      </c>
      <c r="H422" s="13">
        <v>9.3</v>
      </c>
    </row>
    <row r="423" ht="15.75" hidden="1" customHeight="1">
      <c r="A423" s="13">
        <v>422.0</v>
      </c>
      <c r="B423" s="13" t="s">
        <v>1619</v>
      </c>
      <c r="D423" s="13" t="s">
        <v>1631</v>
      </c>
    </row>
    <row r="424" ht="15.75" hidden="1" customHeight="1">
      <c r="A424" s="13">
        <v>423.0</v>
      </c>
      <c r="B424" s="13" t="s">
        <v>1619</v>
      </c>
      <c r="D424" s="13" t="s">
        <v>1632</v>
      </c>
    </row>
    <row r="425" ht="15.75" customHeight="1">
      <c r="A425" s="13">
        <v>424.0</v>
      </c>
      <c r="B425" s="13" t="s">
        <v>1619</v>
      </c>
      <c r="C425" s="13" t="s">
        <v>117</v>
      </c>
      <c r="D425" s="13" t="s">
        <v>1633</v>
      </c>
      <c r="E425" s="13" t="s">
        <v>1257</v>
      </c>
      <c r="F425" s="13" t="s">
        <v>1258</v>
      </c>
      <c r="G425" s="13">
        <v>15.0</v>
      </c>
      <c r="H425" s="13">
        <v>18.1</v>
      </c>
    </row>
    <row r="426" ht="15.75" hidden="1" customHeight="1">
      <c r="A426" s="13">
        <v>425.0</v>
      </c>
      <c r="B426" s="13" t="s">
        <v>1619</v>
      </c>
      <c r="D426" s="13" t="s">
        <v>1407</v>
      </c>
    </row>
    <row r="427" ht="15.75" hidden="1" customHeight="1">
      <c r="A427" s="13">
        <v>426.0</v>
      </c>
      <c r="B427" s="13" t="s">
        <v>1619</v>
      </c>
      <c r="D427" s="13" t="s">
        <v>1634</v>
      </c>
    </row>
    <row r="428" ht="15.75" customHeight="1">
      <c r="A428" s="13">
        <v>427.0</v>
      </c>
      <c r="B428" s="13" t="s">
        <v>1619</v>
      </c>
      <c r="C428" s="13" t="s">
        <v>117</v>
      </c>
      <c r="D428" s="13" t="s">
        <v>1635</v>
      </c>
      <c r="E428" s="13" t="s">
        <v>602</v>
      </c>
      <c r="F428" s="13" t="s">
        <v>1315</v>
      </c>
      <c r="G428" s="13">
        <v>17.5</v>
      </c>
      <c r="H428" s="13">
        <v>4.9</v>
      </c>
    </row>
    <row r="429" ht="15.75" hidden="1" customHeight="1">
      <c r="A429" s="13">
        <v>428.0</v>
      </c>
      <c r="B429" s="13" t="s">
        <v>1619</v>
      </c>
      <c r="D429" s="13" t="s">
        <v>1316</v>
      </c>
    </row>
    <row r="430" ht="15.75" hidden="1" customHeight="1">
      <c r="A430" s="13">
        <v>429.0</v>
      </c>
      <c r="B430" s="13" t="s">
        <v>1619</v>
      </c>
      <c r="D430" s="13" t="s">
        <v>1636</v>
      </c>
    </row>
    <row r="431" ht="15.75" customHeight="1">
      <c r="A431" s="13">
        <v>430.0</v>
      </c>
      <c r="B431" s="13" t="s">
        <v>1619</v>
      </c>
      <c r="C431" s="13" t="s">
        <v>117</v>
      </c>
      <c r="D431" s="13" t="s">
        <v>1637</v>
      </c>
      <c r="E431" s="13" t="s">
        <v>593</v>
      </c>
      <c r="F431" s="13" t="s">
        <v>1219</v>
      </c>
      <c r="G431" s="13">
        <v>14.9</v>
      </c>
      <c r="H431" s="13">
        <v>17.8</v>
      </c>
    </row>
    <row r="432" ht="15.75" hidden="1" customHeight="1">
      <c r="A432" s="13">
        <v>431.0</v>
      </c>
      <c r="B432" s="13" t="s">
        <v>1619</v>
      </c>
      <c r="D432" s="13" t="s">
        <v>1220</v>
      </c>
    </row>
    <row r="433" ht="15.75" hidden="1" customHeight="1">
      <c r="A433" s="13">
        <v>432.0</v>
      </c>
      <c r="B433" s="13" t="s">
        <v>1619</v>
      </c>
      <c r="D433" s="13" t="s">
        <v>1638</v>
      </c>
    </row>
    <row r="434" ht="15.75" customHeight="1">
      <c r="A434" s="13">
        <v>433.0</v>
      </c>
      <c r="B434" s="13" t="s">
        <v>1619</v>
      </c>
      <c r="C434" s="13" t="s">
        <v>117</v>
      </c>
      <c r="D434" s="13" t="s">
        <v>1639</v>
      </c>
      <c r="E434" s="13" t="s">
        <v>1278</v>
      </c>
      <c r="F434" s="13" t="s">
        <v>1279</v>
      </c>
      <c r="G434" s="13">
        <v>11.7</v>
      </c>
      <c r="H434" s="13">
        <v>4.7</v>
      </c>
    </row>
    <row r="435" ht="15.75" hidden="1" customHeight="1">
      <c r="A435" s="13">
        <v>434.0</v>
      </c>
      <c r="B435" s="13" t="s">
        <v>1619</v>
      </c>
      <c r="D435" s="13" t="s">
        <v>1640</v>
      </c>
    </row>
    <row r="436" ht="15.75" hidden="1" customHeight="1">
      <c r="A436" s="13">
        <v>435.0</v>
      </c>
      <c r="B436" s="13" t="s">
        <v>1619</v>
      </c>
      <c r="D436" s="13" t="s">
        <v>1641</v>
      </c>
    </row>
    <row r="437" ht="15.75" customHeight="1">
      <c r="A437" s="13">
        <v>436.0</v>
      </c>
      <c r="B437" s="13" t="s">
        <v>1619</v>
      </c>
      <c r="C437" s="13" t="s">
        <v>132</v>
      </c>
      <c r="D437" s="13" t="s">
        <v>1642</v>
      </c>
      <c r="E437" s="13" t="s">
        <v>600</v>
      </c>
      <c r="F437" s="13" t="s">
        <v>1253</v>
      </c>
      <c r="G437" s="13">
        <v>12.0</v>
      </c>
      <c r="H437" s="13">
        <v>3.9</v>
      </c>
    </row>
    <row r="438" ht="15.75" hidden="1" customHeight="1">
      <c r="A438" s="13">
        <v>437.0</v>
      </c>
      <c r="B438" s="13" t="s">
        <v>1619</v>
      </c>
      <c r="D438" s="13" t="s">
        <v>1643</v>
      </c>
    </row>
    <row r="439" ht="15.75" hidden="1" customHeight="1">
      <c r="A439" s="13">
        <v>438.0</v>
      </c>
      <c r="B439" s="13" t="s">
        <v>1619</v>
      </c>
      <c r="D439" s="13" t="s">
        <v>1644</v>
      </c>
    </row>
    <row r="440" ht="15.75" customHeight="1">
      <c r="A440" s="13">
        <v>439.0</v>
      </c>
      <c r="B440" s="13" t="s">
        <v>1619</v>
      </c>
      <c r="C440" s="13" t="s">
        <v>136</v>
      </c>
      <c r="D440" s="13" t="s">
        <v>1645</v>
      </c>
      <c r="E440" s="13" t="s">
        <v>1327</v>
      </c>
      <c r="F440" s="13" t="s">
        <v>1215</v>
      </c>
      <c r="G440" s="13">
        <v>12.4</v>
      </c>
      <c r="H440" s="13">
        <v>6.0</v>
      </c>
    </row>
    <row r="441" ht="15.75" hidden="1" customHeight="1">
      <c r="A441" s="13">
        <v>440.0</v>
      </c>
      <c r="B441" s="13" t="s">
        <v>1619</v>
      </c>
      <c r="D441" s="13" t="s">
        <v>1328</v>
      </c>
    </row>
    <row r="442" ht="15.75" hidden="1" customHeight="1">
      <c r="A442" s="13">
        <v>441.0</v>
      </c>
      <c r="B442" s="13" t="s">
        <v>1619</v>
      </c>
      <c r="D442" s="13" t="s">
        <v>1646</v>
      </c>
    </row>
    <row r="443" ht="15.75" customHeight="1">
      <c r="A443" s="13">
        <v>442.0</v>
      </c>
      <c r="B443" s="13" t="s">
        <v>1619</v>
      </c>
      <c r="C443" s="13" t="s">
        <v>139</v>
      </c>
      <c r="D443" s="13" t="s">
        <v>1647</v>
      </c>
      <c r="E443" s="13" t="s">
        <v>610</v>
      </c>
      <c r="F443" s="13" t="s">
        <v>1283</v>
      </c>
      <c r="G443" s="13">
        <v>11.9</v>
      </c>
      <c r="H443" s="13">
        <v>27.75</v>
      </c>
    </row>
    <row r="444" ht="15.75" hidden="1" customHeight="1">
      <c r="A444" s="13">
        <v>443.0</v>
      </c>
      <c r="B444" s="13" t="s">
        <v>1619</v>
      </c>
      <c r="D444" s="13" t="s">
        <v>1648</v>
      </c>
    </row>
    <row r="445" ht="15.75" hidden="1" customHeight="1">
      <c r="A445" s="13">
        <v>444.0</v>
      </c>
      <c r="B445" s="13" t="s">
        <v>1619</v>
      </c>
      <c r="D445" s="13" t="s">
        <v>1649</v>
      </c>
    </row>
    <row r="446" ht="15.75" customHeight="1">
      <c r="A446" s="13">
        <v>445.0</v>
      </c>
      <c r="B446" s="13" t="s">
        <v>1619</v>
      </c>
      <c r="C446" s="13" t="s">
        <v>146</v>
      </c>
      <c r="D446" s="13" t="s">
        <v>1650</v>
      </c>
      <c r="E446" s="13" t="s">
        <v>600</v>
      </c>
      <c r="F446" s="13" t="s">
        <v>1253</v>
      </c>
      <c r="G446" s="13">
        <v>7.3</v>
      </c>
      <c r="H446" s="13">
        <v>20.5</v>
      </c>
    </row>
    <row r="447" ht="15.75" hidden="1" customHeight="1">
      <c r="A447" s="13">
        <v>446.0</v>
      </c>
      <c r="B447" s="13" t="s">
        <v>1619</v>
      </c>
      <c r="D447" s="13" t="s">
        <v>1651</v>
      </c>
    </row>
    <row r="448" ht="15.75" hidden="1" customHeight="1">
      <c r="A448" s="13">
        <v>447.0</v>
      </c>
      <c r="B448" s="13" t="s">
        <v>1619</v>
      </c>
      <c r="D448" s="13" t="s">
        <v>1652</v>
      </c>
    </row>
    <row r="449" ht="15.75" customHeight="1">
      <c r="A449" s="13">
        <v>448.0</v>
      </c>
      <c r="B449" s="13" t="s">
        <v>1619</v>
      </c>
      <c r="C449" s="13" t="s">
        <v>162</v>
      </c>
      <c r="D449" s="13" t="s">
        <v>1653</v>
      </c>
      <c r="E449" s="13" t="s">
        <v>610</v>
      </c>
      <c r="F449" s="13" t="s">
        <v>1283</v>
      </c>
      <c r="G449" s="13">
        <v>11.6</v>
      </c>
      <c r="H449" s="13">
        <v>10.2</v>
      </c>
    </row>
    <row r="450" ht="15.75" hidden="1" customHeight="1">
      <c r="A450" s="13">
        <v>449.0</v>
      </c>
      <c r="B450" s="13" t="s">
        <v>1619</v>
      </c>
      <c r="D450" s="13" t="s">
        <v>1654</v>
      </c>
    </row>
    <row r="451" ht="15.75" hidden="1" customHeight="1">
      <c r="A451" s="13">
        <v>450.0</v>
      </c>
      <c r="B451" s="13" t="s">
        <v>1619</v>
      </c>
    </row>
    <row r="452" ht="15.75" hidden="1" customHeight="1">
      <c r="A452" s="13">
        <v>451.0</v>
      </c>
      <c r="B452" s="13" t="s">
        <v>1619</v>
      </c>
      <c r="D452" s="13" t="s">
        <v>1655</v>
      </c>
      <c r="E452" s="13" t="s">
        <v>1250</v>
      </c>
      <c r="F452" s="13">
        <v>195.1</v>
      </c>
      <c r="G452" s="13">
        <v>207.82</v>
      </c>
    </row>
    <row r="453" ht="15.75" customHeight="1">
      <c r="A453" s="13">
        <v>452.0</v>
      </c>
      <c r="B453" s="13" t="s">
        <v>1619</v>
      </c>
      <c r="C453" s="13" t="s">
        <v>1251</v>
      </c>
      <c r="D453" s="13" t="s">
        <v>1656</v>
      </c>
      <c r="E453" s="13" t="s">
        <v>1413</v>
      </c>
      <c r="G453" s="13">
        <v>16.6</v>
      </c>
      <c r="H453" s="13">
        <v>13.76</v>
      </c>
    </row>
    <row r="454" ht="15.75" hidden="1" customHeight="1">
      <c r="A454" s="13">
        <v>453.0</v>
      </c>
      <c r="B454" s="13" t="s">
        <v>1619</v>
      </c>
      <c r="D454" s="13" t="s">
        <v>1657</v>
      </c>
    </row>
    <row r="455" ht="15.75" hidden="1" customHeight="1">
      <c r="A455" s="13">
        <v>454.0</v>
      </c>
      <c r="B455" s="13" t="s">
        <v>1619</v>
      </c>
      <c r="D455" s="13" t="s">
        <v>1658</v>
      </c>
    </row>
    <row r="456" ht="15.75" customHeight="1">
      <c r="A456" s="13">
        <v>455.0</v>
      </c>
      <c r="B456" s="13" t="s">
        <v>1619</v>
      </c>
      <c r="C456" s="13" t="s">
        <v>1251</v>
      </c>
      <c r="D456" s="13" t="s">
        <v>1659</v>
      </c>
      <c r="E456" s="13" t="s">
        <v>1257</v>
      </c>
      <c r="F456" s="13" t="s">
        <v>1258</v>
      </c>
      <c r="G456" s="13">
        <v>10.1</v>
      </c>
      <c r="H456" s="13">
        <v>19.24</v>
      </c>
    </row>
    <row r="457" ht="15.75" hidden="1" customHeight="1">
      <c r="A457" s="13">
        <v>456.0</v>
      </c>
      <c r="B457" s="13" t="s">
        <v>1619</v>
      </c>
      <c r="D457" s="13" t="s">
        <v>1660</v>
      </c>
    </row>
    <row r="458" ht="15.75" hidden="1" customHeight="1">
      <c r="A458" s="13">
        <v>457.0</v>
      </c>
      <c r="B458" s="13" t="s">
        <v>1619</v>
      </c>
      <c r="D458" s="13" t="s">
        <v>1661</v>
      </c>
    </row>
    <row r="459" ht="15.75" customHeight="1">
      <c r="A459" s="13">
        <v>458.0</v>
      </c>
      <c r="B459" s="13" t="s">
        <v>1619</v>
      </c>
      <c r="C459" s="13" t="s">
        <v>1251</v>
      </c>
      <c r="D459" s="13" t="s">
        <v>1662</v>
      </c>
      <c r="E459" s="13" t="s">
        <v>1433</v>
      </c>
      <c r="F459" s="13" t="s">
        <v>1434</v>
      </c>
      <c r="G459" s="13">
        <v>12.3</v>
      </c>
      <c r="H459" s="13">
        <v>2.5</v>
      </c>
    </row>
    <row r="460" ht="15.75" hidden="1" customHeight="1">
      <c r="A460" s="13">
        <v>459.0</v>
      </c>
      <c r="B460" s="13" t="s">
        <v>1619</v>
      </c>
      <c r="D460" s="13" t="s">
        <v>1614</v>
      </c>
    </row>
    <row r="461" ht="15.75" hidden="1" customHeight="1">
      <c r="A461" s="13">
        <v>460.0</v>
      </c>
      <c r="B461" s="13" t="s">
        <v>1619</v>
      </c>
      <c r="D461" s="13" t="s">
        <v>1663</v>
      </c>
    </row>
    <row r="462" ht="15.75" customHeight="1">
      <c r="A462" s="13">
        <v>461.0</v>
      </c>
      <c r="B462" s="13" t="s">
        <v>1619</v>
      </c>
      <c r="C462" s="13" t="s">
        <v>1251</v>
      </c>
      <c r="D462" s="13" t="s">
        <v>1664</v>
      </c>
      <c r="E462" s="13" t="s">
        <v>1297</v>
      </c>
      <c r="F462" s="13" t="s">
        <v>1298</v>
      </c>
      <c r="G462" s="13">
        <v>8.9</v>
      </c>
      <c r="H462" s="13">
        <v>19.4</v>
      </c>
    </row>
    <row r="463" ht="15.75" hidden="1" customHeight="1">
      <c r="A463" s="13">
        <v>462.0</v>
      </c>
      <c r="B463" s="13" t="s">
        <v>1619</v>
      </c>
      <c r="D463" s="13" t="s">
        <v>1577</v>
      </c>
    </row>
    <row r="464" ht="15.75" hidden="1" customHeight="1">
      <c r="A464" s="13">
        <v>463.0</v>
      </c>
      <c r="B464" s="13" t="s">
        <v>1619</v>
      </c>
      <c r="D464" s="13" t="s">
        <v>1665</v>
      </c>
    </row>
    <row r="465" ht="15.75" customHeight="1">
      <c r="A465" s="13">
        <v>464.0</v>
      </c>
      <c r="B465" s="13" t="s">
        <v>1619</v>
      </c>
      <c r="C465" s="13" t="s">
        <v>1251</v>
      </c>
      <c r="D465" s="13" t="s">
        <v>1666</v>
      </c>
      <c r="E465" s="13" t="s">
        <v>603</v>
      </c>
      <c r="F465" s="13" t="s">
        <v>1198</v>
      </c>
      <c r="G465" s="13">
        <v>4.8</v>
      </c>
      <c r="H465" s="13">
        <v>4.4</v>
      </c>
    </row>
    <row r="466" ht="15.75" hidden="1" customHeight="1">
      <c r="A466" s="13">
        <v>465.0</v>
      </c>
      <c r="B466" s="13" t="s">
        <v>1619</v>
      </c>
      <c r="D466" s="13" t="s">
        <v>1199</v>
      </c>
    </row>
    <row r="467" ht="15.75" hidden="1" customHeight="1">
      <c r="A467" s="13">
        <v>466.0</v>
      </c>
      <c r="B467" s="13" t="s">
        <v>1619</v>
      </c>
      <c r="D467" s="13" t="s">
        <v>1667</v>
      </c>
    </row>
    <row r="468" ht="15.75" customHeight="1">
      <c r="A468" s="13">
        <v>467.0</v>
      </c>
      <c r="B468" s="13" t="s">
        <v>1619</v>
      </c>
      <c r="C468" s="13" t="s">
        <v>1251</v>
      </c>
      <c r="D468" s="13" t="s">
        <v>1668</v>
      </c>
      <c r="E468" s="13" t="s">
        <v>1319</v>
      </c>
      <c r="F468" s="13" t="s">
        <v>1320</v>
      </c>
      <c r="G468" s="13">
        <v>8.8</v>
      </c>
      <c r="H468" s="13">
        <v>4.6</v>
      </c>
    </row>
    <row r="469" ht="15.75" hidden="1" customHeight="1">
      <c r="A469" s="13">
        <v>468.0</v>
      </c>
      <c r="B469" s="13" t="s">
        <v>1619</v>
      </c>
      <c r="D469" s="13" t="s">
        <v>1669</v>
      </c>
    </row>
    <row r="470" ht="15.75" hidden="1" customHeight="1">
      <c r="A470" s="13">
        <v>469.0</v>
      </c>
      <c r="B470" s="13" t="s">
        <v>1619</v>
      </c>
      <c r="D470" s="13" t="s">
        <v>1670</v>
      </c>
    </row>
    <row r="471" ht="15.75" customHeight="1">
      <c r="A471" s="13">
        <v>470.0</v>
      </c>
      <c r="B471" s="13" t="s">
        <v>1619</v>
      </c>
      <c r="C471" s="13" t="s">
        <v>1251</v>
      </c>
      <c r="D471" s="13" t="s">
        <v>1671</v>
      </c>
      <c r="E471" s="13" t="s">
        <v>1228</v>
      </c>
      <c r="F471" s="13" t="s">
        <v>1229</v>
      </c>
      <c r="G471" s="13">
        <v>7.9</v>
      </c>
      <c r="H471" s="13">
        <v>1.0</v>
      </c>
    </row>
    <row r="472" ht="15.75" hidden="1" customHeight="1">
      <c r="A472" s="13">
        <v>471.0</v>
      </c>
      <c r="B472" s="13" t="s">
        <v>1619</v>
      </c>
      <c r="D472" s="13" t="s">
        <v>1672</v>
      </c>
    </row>
    <row r="473" ht="15.75" hidden="1" customHeight="1">
      <c r="A473" s="13">
        <v>472.0</v>
      </c>
      <c r="B473" s="13" t="s">
        <v>1619</v>
      </c>
      <c r="D473" s="13" t="s">
        <v>1673</v>
      </c>
    </row>
    <row r="474" ht="15.75" customHeight="1">
      <c r="A474" s="13">
        <v>473.0</v>
      </c>
      <c r="B474" s="13" t="s">
        <v>1619</v>
      </c>
      <c r="C474" s="13" t="s">
        <v>1251</v>
      </c>
      <c r="D474" s="13" t="s">
        <v>1674</v>
      </c>
      <c r="E474" s="13" t="s">
        <v>1238</v>
      </c>
      <c r="F474" s="13" t="s">
        <v>1239</v>
      </c>
      <c r="G474" s="13">
        <v>10.8</v>
      </c>
      <c r="H474" s="13">
        <v>0.0</v>
      </c>
    </row>
    <row r="475" ht="15.75" hidden="1" customHeight="1">
      <c r="A475" s="13">
        <v>474.0</v>
      </c>
      <c r="B475" s="13" t="s">
        <v>1619</v>
      </c>
      <c r="D475" s="13" t="s">
        <v>1675</v>
      </c>
    </row>
    <row r="476" ht="15.75" hidden="1" customHeight="1">
      <c r="A476" s="13">
        <v>475.0</v>
      </c>
      <c r="B476" s="13" t="s">
        <v>1619</v>
      </c>
    </row>
    <row r="477" ht="15.75" hidden="1" customHeight="1">
      <c r="A477" s="13">
        <v>476.0</v>
      </c>
      <c r="B477" s="13" t="s">
        <v>1619</v>
      </c>
      <c r="E477" s="13" t="s">
        <v>1250</v>
      </c>
      <c r="F477" s="13">
        <v>80.2</v>
      </c>
      <c r="G477" s="13">
        <v>64.9</v>
      </c>
    </row>
    <row r="478" ht="15.75" hidden="1" customHeight="1">
      <c r="A478" s="13">
        <v>477.0</v>
      </c>
      <c r="B478" s="13" t="s">
        <v>1619</v>
      </c>
      <c r="C478" s="13" t="s">
        <v>1676</v>
      </c>
      <c r="D478" s="13" t="s">
        <v>1183</v>
      </c>
    </row>
    <row r="479" ht="15.75" hidden="1" customHeight="1">
      <c r="A479" s="13">
        <v>478.0</v>
      </c>
      <c r="B479" s="13" t="s">
        <v>1677</v>
      </c>
      <c r="C479" s="13" t="s">
        <v>1182</v>
      </c>
      <c r="D479" s="13" t="s">
        <v>1186</v>
      </c>
      <c r="E479" s="13" t="s">
        <v>625</v>
      </c>
    </row>
    <row r="480" ht="15.75" customHeight="1">
      <c r="A480" s="13">
        <v>479.0</v>
      </c>
      <c r="B480" s="13" t="s">
        <v>1677</v>
      </c>
      <c r="C480" s="13" t="s">
        <v>1185</v>
      </c>
      <c r="D480" s="13" t="s">
        <v>1678</v>
      </c>
      <c r="E480" s="13" t="s">
        <v>1187</v>
      </c>
      <c r="F480" s="13" t="s">
        <v>1188</v>
      </c>
      <c r="G480" s="13" t="s">
        <v>1189</v>
      </c>
      <c r="H480" s="13" t="s">
        <v>1190</v>
      </c>
    </row>
    <row r="481" ht="15.75" customHeight="1">
      <c r="A481" s="13">
        <v>480.0</v>
      </c>
      <c r="B481" s="13" t="s">
        <v>1677</v>
      </c>
      <c r="C481" s="13" t="s">
        <v>100</v>
      </c>
      <c r="D481" s="13" t="s">
        <v>1679</v>
      </c>
      <c r="E481" s="13" t="s">
        <v>619</v>
      </c>
      <c r="F481" s="13" t="s">
        <v>1202</v>
      </c>
      <c r="G481" s="13">
        <v>21.3</v>
      </c>
      <c r="H481" s="13">
        <v>22.79</v>
      </c>
    </row>
    <row r="482" ht="15.75" hidden="1" customHeight="1">
      <c r="A482" s="13">
        <v>481.0</v>
      </c>
      <c r="B482" s="13" t="s">
        <v>1677</v>
      </c>
      <c r="D482" s="13" t="s">
        <v>1680</v>
      </c>
    </row>
    <row r="483" ht="15.75" hidden="1" customHeight="1">
      <c r="A483" s="13">
        <v>482.0</v>
      </c>
      <c r="B483" s="13" t="s">
        <v>1677</v>
      </c>
      <c r="D483" s="13" t="s">
        <v>1681</v>
      </c>
    </row>
    <row r="484" ht="15.75" customHeight="1">
      <c r="A484" s="13">
        <v>483.0</v>
      </c>
      <c r="B484" s="13" t="s">
        <v>1677</v>
      </c>
      <c r="C484" s="13" t="s">
        <v>106</v>
      </c>
      <c r="D484" s="13" t="s">
        <v>1682</v>
      </c>
      <c r="E484" s="13" t="s">
        <v>605</v>
      </c>
      <c r="F484" s="13" t="s">
        <v>1683</v>
      </c>
      <c r="G484" s="13">
        <v>20.7</v>
      </c>
      <c r="H484" s="13">
        <v>10.3</v>
      </c>
    </row>
    <row r="485" ht="15.75" hidden="1" customHeight="1">
      <c r="A485" s="13">
        <v>484.0</v>
      </c>
      <c r="B485" s="13" t="s">
        <v>1677</v>
      </c>
      <c r="D485" s="13" t="s">
        <v>1684</v>
      </c>
    </row>
    <row r="486" ht="15.75" hidden="1" customHeight="1">
      <c r="A486" s="13">
        <v>485.0</v>
      </c>
      <c r="B486" s="13" t="s">
        <v>1677</v>
      </c>
      <c r="D486" s="13" t="s">
        <v>1685</v>
      </c>
    </row>
    <row r="487" ht="15.75" customHeight="1">
      <c r="A487" s="13">
        <v>486.0</v>
      </c>
      <c r="B487" s="13" t="s">
        <v>1677</v>
      </c>
      <c r="C487" s="13" t="s">
        <v>106</v>
      </c>
      <c r="D487" s="13" t="s">
        <v>1686</v>
      </c>
      <c r="E487" s="13" t="s">
        <v>1278</v>
      </c>
      <c r="F487" s="13" t="s">
        <v>1279</v>
      </c>
      <c r="G487" s="13">
        <v>15.8</v>
      </c>
      <c r="H487" s="13">
        <v>18.5</v>
      </c>
    </row>
    <row r="488" ht="15.75" hidden="1" customHeight="1">
      <c r="A488" s="13">
        <v>487.0</v>
      </c>
      <c r="B488" s="13" t="s">
        <v>1677</v>
      </c>
      <c r="D488" s="13" t="s">
        <v>1527</v>
      </c>
    </row>
    <row r="489" ht="15.75" hidden="1" customHeight="1">
      <c r="A489" s="13">
        <v>488.0</v>
      </c>
      <c r="B489" s="13" t="s">
        <v>1677</v>
      </c>
      <c r="D489" s="13" t="s">
        <v>1687</v>
      </c>
    </row>
    <row r="490" ht="15.75" customHeight="1">
      <c r="A490" s="13">
        <v>489.0</v>
      </c>
      <c r="B490" s="13" t="s">
        <v>1677</v>
      </c>
      <c r="C490" s="13" t="s">
        <v>106</v>
      </c>
      <c r="D490" s="13" t="s">
        <v>1688</v>
      </c>
      <c r="E490" s="13" t="s">
        <v>1606</v>
      </c>
      <c r="F490" s="13" t="s">
        <v>1607</v>
      </c>
      <c r="G490" s="13">
        <v>14.5</v>
      </c>
      <c r="H490" s="13">
        <v>19.8</v>
      </c>
    </row>
    <row r="491" ht="15.75" hidden="1" customHeight="1">
      <c r="A491" s="13">
        <v>490.0</v>
      </c>
      <c r="B491" s="13" t="s">
        <v>1677</v>
      </c>
      <c r="D491" s="13" t="s">
        <v>1689</v>
      </c>
    </row>
    <row r="492" ht="15.75" hidden="1" customHeight="1">
      <c r="A492" s="13">
        <v>491.0</v>
      </c>
      <c r="B492" s="13" t="s">
        <v>1677</v>
      </c>
      <c r="D492" s="13" t="s">
        <v>1690</v>
      </c>
    </row>
    <row r="493" ht="15.75" customHeight="1">
      <c r="A493" s="13">
        <v>492.0</v>
      </c>
      <c r="B493" s="13" t="s">
        <v>1677</v>
      </c>
      <c r="C493" s="13" t="s">
        <v>117</v>
      </c>
      <c r="D493" s="13" t="s">
        <v>1691</v>
      </c>
      <c r="E493" s="13" t="s">
        <v>603</v>
      </c>
      <c r="F493" s="13" t="s">
        <v>1198</v>
      </c>
      <c r="G493" s="13">
        <v>18.3</v>
      </c>
      <c r="H493" s="13">
        <v>40.4</v>
      </c>
    </row>
    <row r="494" ht="15.75" hidden="1" customHeight="1">
      <c r="A494" s="13">
        <v>493.0</v>
      </c>
      <c r="B494" s="13" t="s">
        <v>1677</v>
      </c>
      <c r="D494" s="13" t="s">
        <v>1692</v>
      </c>
    </row>
    <row r="495" ht="15.75" hidden="1" customHeight="1">
      <c r="A495" s="13">
        <v>494.0</v>
      </c>
      <c r="B495" s="13" t="s">
        <v>1677</v>
      </c>
      <c r="D495" s="13" t="s">
        <v>1693</v>
      </c>
    </row>
    <row r="496" ht="15.75" customHeight="1">
      <c r="A496" s="13">
        <v>495.0</v>
      </c>
      <c r="B496" s="13" t="s">
        <v>1677</v>
      </c>
      <c r="C496" s="13" t="s">
        <v>117</v>
      </c>
      <c r="D496" s="13" t="s">
        <v>1694</v>
      </c>
      <c r="E496" s="13" t="s">
        <v>610</v>
      </c>
      <c r="F496" s="13" t="s">
        <v>1283</v>
      </c>
      <c r="G496" s="13">
        <v>14.0</v>
      </c>
      <c r="H496" s="13">
        <v>3.0</v>
      </c>
    </row>
    <row r="497" ht="15.75" hidden="1" customHeight="1">
      <c r="A497" s="13">
        <v>496.0</v>
      </c>
      <c r="B497" s="13" t="s">
        <v>1677</v>
      </c>
      <c r="D497" s="13" t="s">
        <v>1307</v>
      </c>
    </row>
    <row r="498" ht="15.75" hidden="1" customHeight="1">
      <c r="A498" s="13">
        <v>497.0</v>
      </c>
      <c r="B498" s="13" t="s">
        <v>1677</v>
      </c>
      <c r="D498" s="13" t="s">
        <v>1695</v>
      </c>
    </row>
    <row r="499" ht="15.75" customHeight="1">
      <c r="A499" s="13">
        <v>498.0</v>
      </c>
      <c r="B499" s="13" t="s">
        <v>1677</v>
      </c>
      <c r="C499" s="13" t="s">
        <v>117</v>
      </c>
      <c r="D499" s="13" t="s">
        <v>1696</v>
      </c>
      <c r="E499" s="13" t="s">
        <v>1361</v>
      </c>
      <c r="F499" s="13" t="s">
        <v>1362</v>
      </c>
      <c r="G499" s="13">
        <v>12.6</v>
      </c>
      <c r="H499" s="13">
        <v>11.9</v>
      </c>
    </row>
    <row r="500" ht="15.75" hidden="1" customHeight="1">
      <c r="A500" s="13">
        <v>499.0</v>
      </c>
      <c r="B500" s="13" t="s">
        <v>1677</v>
      </c>
      <c r="D500" s="13" t="s">
        <v>1697</v>
      </c>
    </row>
    <row r="501" ht="15.75" hidden="1" customHeight="1">
      <c r="A501" s="13">
        <v>500.0</v>
      </c>
      <c r="B501" s="13" t="s">
        <v>1677</v>
      </c>
      <c r="D501" s="13" t="s">
        <v>1698</v>
      </c>
    </row>
    <row r="502" ht="15.75" customHeight="1">
      <c r="A502" s="13">
        <v>501.0</v>
      </c>
      <c r="B502" s="13" t="s">
        <v>1677</v>
      </c>
      <c r="C502" s="13" t="s">
        <v>117</v>
      </c>
      <c r="D502" s="13" t="s">
        <v>1699</v>
      </c>
      <c r="E502" s="13" t="s">
        <v>1223</v>
      </c>
      <c r="F502" s="13" t="s">
        <v>1224</v>
      </c>
      <c r="G502" s="13">
        <v>13.7</v>
      </c>
      <c r="H502" s="13">
        <v>21.2</v>
      </c>
    </row>
    <row r="503" ht="15.75" hidden="1" customHeight="1">
      <c r="A503" s="13">
        <v>502.0</v>
      </c>
      <c r="B503" s="13" t="s">
        <v>1677</v>
      </c>
      <c r="D503" s="13" t="s">
        <v>1225</v>
      </c>
    </row>
    <row r="504" ht="15.75" hidden="1" customHeight="1">
      <c r="A504" s="13">
        <v>503.0</v>
      </c>
      <c r="B504" s="13" t="s">
        <v>1677</v>
      </c>
      <c r="D504" s="13" t="s">
        <v>1700</v>
      </c>
    </row>
    <row r="505" ht="15.75" customHeight="1">
      <c r="A505" s="13">
        <v>504.0</v>
      </c>
      <c r="B505" s="13" t="s">
        <v>1677</v>
      </c>
      <c r="C505" s="13" t="s">
        <v>132</v>
      </c>
      <c r="D505" s="13" t="s">
        <v>1701</v>
      </c>
      <c r="E505" s="13" t="s">
        <v>603</v>
      </c>
      <c r="F505" s="13" t="s">
        <v>1198</v>
      </c>
      <c r="G505" s="13">
        <v>10.4</v>
      </c>
      <c r="H505" s="13">
        <v>7.8</v>
      </c>
    </row>
    <row r="506" ht="15.75" hidden="1" customHeight="1">
      <c r="A506" s="13">
        <v>505.0</v>
      </c>
      <c r="B506" s="13" t="s">
        <v>1677</v>
      </c>
      <c r="D506" s="13" t="s">
        <v>1702</v>
      </c>
    </row>
    <row r="507" ht="15.75" hidden="1" customHeight="1">
      <c r="A507" s="13">
        <v>506.0</v>
      </c>
      <c r="B507" s="13" t="s">
        <v>1677</v>
      </c>
      <c r="D507" s="13" t="s">
        <v>1703</v>
      </c>
    </row>
    <row r="508" ht="15.75" customHeight="1">
      <c r="A508" s="13">
        <v>507.0</v>
      </c>
      <c r="B508" s="13" t="s">
        <v>1677</v>
      </c>
      <c r="C508" s="13" t="s">
        <v>136</v>
      </c>
      <c r="D508" s="13" t="s">
        <v>1704</v>
      </c>
      <c r="E508" s="13" t="s">
        <v>1297</v>
      </c>
      <c r="F508" s="13" t="s">
        <v>1298</v>
      </c>
      <c r="G508" s="13">
        <v>13.2</v>
      </c>
      <c r="H508" s="13">
        <v>22.7</v>
      </c>
    </row>
    <row r="509" ht="15.75" hidden="1" customHeight="1">
      <c r="A509" s="13">
        <v>508.0</v>
      </c>
      <c r="B509" s="13" t="s">
        <v>1677</v>
      </c>
      <c r="D509" s="13" t="s">
        <v>1577</v>
      </c>
    </row>
    <row r="510" ht="15.75" hidden="1" customHeight="1">
      <c r="A510" s="13">
        <v>509.0</v>
      </c>
      <c r="B510" s="13" t="s">
        <v>1677</v>
      </c>
      <c r="D510" s="13" t="s">
        <v>1705</v>
      </c>
    </row>
    <row r="511" ht="15.75" customHeight="1">
      <c r="A511" s="13">
        <v>510.0</v>
      </c>
      <c r="B511" s="13" t="s">
        <v>1677</v>
      </c>
      <c r="C511" s="13" t="s">
        <v>139</v>
      </c>
      <c r="D511" s="13" t="s">
        <v>1706</v>
      </c>
      <c r="E511" s="13" t="s">
        <v>1289</v>
      </c>
      <c r="F511" s="13" t="s">
        <v>1290</v>
      </c>
      <c r="G511" s="13">
        <v>13.1</v>
      </c>
      <c r="H511" s="13">
        <v>6.94</v>
      </c>
    </row>
    <row r="512" ht="15.75" hidden="1" customHeight="1">
      <c r="A512" s="13">
        <v>511.0</v>
      </c>
      <c r="B512" s="13" t="s">
        <v>1677</v>
      </c>
      <c r="D512" s="13" t="s">
        <v>1707</v>
      </c>
    </row>
    <row r="513" ht="15.75" hidden="1" customHeight="1">
      <c r="A513" s="13">
        <v>512.0</v>
      </c>
      <c r="B513" s="13" t="s">
        <v>1677</v>
      </c>
      <c r="D513" s="13" t="s">
        <v>1708</v>
      </c>
    </row>
    <row r="514" ht="15.75" customHeight="1">
      <c r="A514" s="13">
        <v>513.0</v>
      </c>
      <c r="B514" s="13" t="s">
        <v>1677</v>
      </c>
      <c r="C514" s="13" t="s">
        <v>146</v>
      </c>
      <c r="D514" s="13" t="s">
        <v>1709</v>
      </c>
      <c r="E514" s="13" t="s">
        <v>1433</v>
      </c>
      <c r="F514" s="13" t="s">
        <v>1434</v>
      </c>
      <c r="G514" s="13">
        <v>8.4</v>
      </c>
      <c r="H514" s="13">
        <v>10.0</v>
      </c>
    </row>
    <row r="515" ht="15.75" hidden="1" customHeight="1">
      <c r="A515" s="13">
        <v>514.0</v>
      </c>
      <c r="B515" s="13" t="s">
        <v>1677</v>
      </c>
      <c r="D515" s="13" t="s">
        <v>1710</v>
      </c>
    </row>
    <row r="516" ht="15.75" hidden="1" customHeight="1">
      <c r="A516" s="13">
        <v>515.0</v>
      </c>
      <c r="B516" s="13" t="s">
        <v>1677</v>
      </c>
      <c r="D516" s="13" t="s">
        <v>1711</v>
      </c>
    </row>
    <row r="517" ht="15.75" customHeight="1">
      <c r="A517" s="13">
        <v>516.0</v>
      </c>
      <c r="B517" s="13" t="s">
        <v>1677</v>
      </c>
      <c r="C517" s="13" t="s">
        <v>162</v>
      </c>
      <c r="D517" s="13" t="s">
        <v>1712</v>
      </c>
      <c r="E517" s="13" t="s">
        <v>1214</v>
      </c>
      <c r="F517" s="13" t="s">
        <v>1215</v>
      </c>
      <c r="G517" s="13">
        <v>10.5</v>
      </c>
      <c r="H517" s="13">
        <v>5.0</v>
      </c>
    </row>
    <row r="518" ht="15.75" hidden="1" customHeight="1">
      <c r="A518" s="13">
        <v>517.0</v>
      </c>
      <c r="B518" s="13" t="s">
        <v>1677</v>
      </c>
      <c r="D518" s="13" t="s">
        <v>1713</v>
      </c>
    </row>
    <row r="519" ht="15.75" hidden="1" customHeight="1">
      <c r="A519" s="13">
        <v>518.0</v>
      </c>
      <c r="B519" s="13" t="s">
        <v>1677</v>
      </c>
    </row>
    <row r="520" ht="15.75" hidden="1" customHeight="1">
      <c r="A520" s="13">
        <v>519.0</v>
      </c>
      <c r="B520" s="13" t="s">
        <v>1677</v>
      </c>
      <c r="D520" s="13" t="s">
        <v>1714</v>
      </c>
      <c r="E520" s="13" t="s">
        <v>1250</v>
      </c>
      <c r="F520" s="13">
        <v>186.5</v>
      </c>
      <c r="G520" s="13">
        <v>200.33</v>
      </c>
    </row>
    <row r="521" ht="15.75" customHeight="1">
      <c r="A521" s="13">
        <v>520.0</v>
      </c>
      <c r="B521" s="13" t="s">
        <v>1677</v>
      </c>
      <c r="C521" s="13" t="s">
        <v>1251</v>
      </c>
      <c r="D521" s="13" t="s">
        <v>1715</v>
      </c>
      <c r="E521" s="13" t="s">
        <v>1238</v>
      </c>
      <c r="F521" s="13" t="s">
        <v>1239</v>
      </c>
      <c r="G521" s="13">
        <v>0.0</v>
      </c>
      <c r="H521" s="13">
        <v>0.0</v>
      </c>
    </row>
    <row r="522" ht="15.75" hidden="1" customHeight="1">
      <c r="A522" s="13">
        <v>521.0</v>
      </c>
      <c r="B522" s="13" t="s">
        <v>1677</v>
      </c>
      <c r="D522" s="13" t="s">
        <v>1716</v>
      </c>
    </row>
    <row r="523" ht="15.75" hidden="1" customHeight="1">
      <c r="A523" s="13">
        <v>522.0</v>
      </c>
      <c r="B523" s="13" t="s">
        <v>1677</v>
      </c>
      <c r="D523" s="13" t="s">
        <v>1717</v>
      </c>
    </row>
    <row r="524" ht="15.75" customHeight="1">
      <c r="A524" s="13">
        <v>523.0</v>
      </c>
      <c r="B524" s="13" t="s">
        <v>1677</v>
      </c>
      <c r="C524" s="13" t="s">
        <v>1251</v>
      </c>
      <c r="D524" s="13" t="s">
        <v>1718</v>
      </c>
      <c r="E524" s="13" t="s">
        <v>1433</v>
      </c>
      <c r="F524" s="13" t="s">
        <v>1434</v>
      </c>
      <c r="G524" s="13">
        <v>12.7</v>
      </c>
      <c r="H524" s="13">
        <v>23.1</v>
      </c>
    </row>
    <row r="525" ht="15.75" hidden="1" customHeight="1">
      <c r="A525" s="13">
        <v>524.0</v>
      </c>
      <c r="B525" s="13" t="s">
        <v>1677</v>
      </c>
      <c r="D525" s="13" t="s">
        <v>1719</v>
      </c>
    </row>
    <row r="526" ht="15.75" hidden="1" customHeight="1">
      <c r="A526" s="13">
        <v>525.0</v>
      </c>
      <c r="B526" s="13" t="s">
        <v>1677</v>
      </c>
      <c r="D526" s="13" t="s">
        <v>1720</v>
      </c>
    </row>
    <row r="527" ht="15.75" customHeight="1">
      <c r="A527" s="13">
        <v>526.0</v>
      </c>
      <c r="B527" s="13" t="s">
        <v>1677</v>
      </c>
      <c r="C527" s="13" t="s">
        <v>1251</v>
      </c>
      <c r="D527" s="13" t="s">
        <v>1721</v>
      </c>
      <c r="E527" s="13" t="s">
        <v>1297</v>
      </c>
      <c r="F527" s="13" t="s">
        <v>1298</v>
      </c>
      <c r="G527" s="13">
        <v>16.4</v>
      </c>
      <c r="H527" s="13">
        <v>11.45</v>
      </c>
    </row>
    <row r="528" ht="15.75" hidden="1" customHeight="1">
      <c r="A528" s="13">
        <v>527.0</v>
      </c>
      <c r="B528" s="13" t="s">
        <v>1677</v>
      </c>
      <c r="D528" s="13" t="s">
        <v>1722</v>
      </c>
    </row>
    <row r="529" ht="15.75" hidden="1" customHeight="1">
      <c r="A529" s="13">
        <v>528.0</v>
      </c>
      <c r="B529" s="13" t="s">
        <v>1677</v>
      </c>
      <c r="D529" s="13" t="s">
        <v>1723</v>
      </c>
    </row>
    <row r="530" ht="15.75" customHeight="1">
      <c r="A530" s="13">
        <v>529.0</v>
      </c>
      <c r="B530" s="13" t="s">
        <v>1677</v>
      </c>
      <c r="C530" s="13" t="s">
        <v>1251</v>
      </c>
      <c r="D530" s="13" t="s">
        <v>1724</v>
      </c>
      <c r="E530" s="13" t="s">
        <v>600</v>
      </c>
      <c r="F530" s="13" t="s">
        <v>1253</v>
      </c>
      <c r="G530" s="13">
        <v>13.1</v>
      </c>
      <c r="H530" s="13">
        <v>25.8</v>
      </c>
    </row>
    <row r="531" ht="15.75" hidden="1" customHeight="1">
      <c r="A531" s="13">
        <v>530.0</v>
      </c>
      <c r="B531" s="13" t="s">
        <v>1677</v>
      </c>
      <c r="D531" s="13" t="s">
        <v>1725</v>
      </c>
    </row>
    <row r="532" ht="15.75" hidden="1" customHeight="1">
      <c r="A532" s="13">
        <v>531.0</v>
      </c>
      <c r="B532" s="13" t="s">
        <v>1677</v>
      </c>
      <c r="D532" s="13" t="s">
        <v>1726</v>
      </c>
    </row>
    <row r="533" ht="15.75" customHeight="1">
      <c r="A533" s="13">
        <v>532.0</v>
      </c>
      <c r="B533" s="13" t="s">
        <v>1677</v>
      </c>
      <c r="C533" s="13" t="s">
        <v>1251</v>
      </c>
      <c r="D533" s="13" t="s">
        <v>1727</v>
      </c>
      <c r="E533" s="13" t="s">
        <v>1458</v>
      </c>
      <c r="F533" s="13" t="s">
        <v>1459</v>
      </c>
      <c r="G533" s="13">
        <v>0.0</v>
      </c>
      <c r="H533" s="13">
        <v>0.0</v>
      </c>
    </row>
    <row r="534" ht="15.75" hidden="1" customHeight="1">
      <c r="A534" s="13">
        <v>533.0</v>
      </c>
      <c r="B534" s="13" t="s">
        <v>1677</v>
      </c>
      <c r="D534" s="13" t="s">
        <v>1460</v>
      </c>
    </row>
    <row r="535" ht="15.75" hidden="1" customHeight="1">
      <c r="A535" s="13">
        <v>534.0</v>
      </c>
      <c r="B535" s="13" t="s">
        <v>1677</v>
      </c>
      <c r="D535" s="13" t="s">
        <v>1728</v>
      </c>
    </row>
    <row r="536" ht="15.75" customHeight="1">
      <c r="A536" s="13">
        <v>535.0</v>
      </c>
      <c r="B536" s="13" t="s">
        <v>1677</v>
      </c>
      <c r="C536" s="13" t="s">
        <v>1251</v>
      </c>
      <c r="D536" s="13" t="s">
        <v>1729</v>
      </c>
      <c r="E536" s="13" t="s">
        <v>1310</v>
      </c>
      <c r="F536" s="13" t="s">
        <v>1311</v>
      </c>
      <c r="G536" s="13">
        <v>11.7</v>
      </c>
      <c r="H536" s="13">
        <v>37.65</v>
      </c>
    </row>
    <row r="537" ht="15.75" hidden="1" customHeight="1">
      <c r="A537" s="13">
        <v>536.0</v>
      </c>
      <c r="B537" s="13" t="s">
        <v>1677</v>
      </c>
      <c r="D537" s="13" t="s">
        <v>1730</v>
      </c>
    </row>
    <row r="538" ht="15.75" hidden="1" customHeight="1">
      <c r="A538" s="13">
        <v>537.0</v>
      </c>
      <c r="B538" s="13" t="s">
        <v>1677</v>
      </c>
      <c r="D538" s="13" t="s">
        <v>1731</v>
      </c>
    </row>
    <row r="539" ht="15.75" customHeight="1">
      <c r="A539" s="13">
        <v>538.0</v>
      </c>
      <c r="B539" s="13" t="s">
        <v>1677</v>
      </c>
      <c r="C539" s="13" t="s">
        <v>1251</v>
      </c>
      <c r="D539" s="13" t="s">
        <v>1732</v>
      </c>
      <c r="E539" s="13" t="s">
        <v>1433</v>
      </c>
      <c r="F539" s="13" t="s">
        <v>1434</v>
      </c>
      <c r="G539" s="13">
        <v>10.5</v>
      </c>
      <c r="H539" s="13">
        <v>21.2</v>
      </c>
    </row>
    <row r="540" ht="15.75" hidden="1" customHeight="1">
      <c r="A540" s="13">
        <v>539.0</v>
      </c>
      <c r="B540" s="13" t="s">
        <v>1677</v>
      </c>
      <c r="D540" s="13" t="s">
        <v>1733</v>
      </c>
    </row>
    <row r="541" ht="15.75" hidden="1" customHeight="1">
      <c r="A541" s="13">
        <v>540.0</v>
      </c>
      <c r="B541" s="13" t="s">
        <v>1677</v>
      </c>
      <c r="D541" s="13" t="s">
        <v>1734</v>
      </c>
    </row>
    <row r="542" ht="15.75" customHeight="1">
      <c r="A542" s="13">
        <v>541.0</v>
      </c>
      <c r="B542" s="13" t="s">
        <v>1677</v>
      </c>
      <c r="C542" s="13" t="s">
        <v>1251</v>
      </c>
      <c r="D542" s="13" t="s">
        <v>1735</v>
      </c>
      <c r="E542" s="13" t="s">
        <v>1289</v>
      </c>
      <c r="F542" s="13" t="s">
        <v>1290</v>
      </c>
      <c r="G542" s="13">
        <v>7.7</v>
      </c>
      <c r="H542" s="13">
        <v>8.0</v>
      </c>
    </row>
    <row r="543" ht="15.75" hidden="1" customHeight="1">
      <c r="A543" s="13">
        <v>542.0</v>
      </c>
      <c r="B543" s="13" t="s">
        <v>1677</v>
      </c>
      <c r="D543" s="13" t="s">
        <v>1736</v>
      </c>
    </row>
    <row r="544" ht="15.75" hidden="1" customHeight="1">
      <c r="A544" s="13">
        <v>543.0</v>
      </c>
      <c r="B544" s="13" t="s">
        <v>1677</v>
      </c>
    </row>
    <row r="545" ht="15.75" hidden="1" customHeight="1">
      <c r="B545" s="13" t="s">
        <v>1677</v>
      </c>
      <c r="E545" s="13" t="s">
        <v>1250</v>
      </c>
      <c r="F545" s="13">
        <v>72.0</v>
      </c>
      <c r="G545" s="13">
        <v>127.2</v>
      </c>
    </row>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545">
    <filterColumn colId="7">
      <customFilters>
        <customFilter operator="notEqual" val=" "/>
      </customFilters>
    </filterColumn>
    <sortState ref="A1:L545">
      <sortCondition ref="A1:A545"/>
    </sortState>
  </autoFilter>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11"/>
    <col customWidth="1" min="2" max="2" width="17.44"/>
    <col customWidth="1" min="3" max="3" width="22.11"/>
    <col customWidth="1" min="4" max="4" width="14.33"/>
    <col customWidth="1" min="5" max="5" width="11.44"/>
    <col customWidth="1" min="6" max="7" width="10.56"/>
    <col customWidth="1" min="8" max="8" width="18.67"/>
    <col customWidth="1" min="9" max="11" width="10.78"/>
    <col customWidth="1" min="12" max="12" width="10.56"/>
    <col customWidth="1" min="13" max="13" width="15.33"/>
    <col customWidth="1" min="14" max="26" width="10.56"/>
  </cols>
  <sheetData>
    <row r="1" ht="15.75" customHeight="1">
      <c r="A1" s="1547" t="s">
        <v>1739</v>
      </c>
      <c r="B1" s="21"/>
      <c r="C1" s="21"/>
      <c r="D1" s="21"/>
      <c r="E1" s="24"/>
      <c r="F1" s="1548"/>
      <c r="G1" s="1547" t="s">
        <v>1740</v>
      </c>
      <c r="H1" s="21"/>
      <c r="I1" s="21"/>
      <c r="J1" s="21"/>
      <c r="K1" s="24"/>
      <c r="L1" s="1548"/>
      <c r="M1" s="1549" t="s">
        <v>1741</v>
      </c>
      <c r="N1" s="515"/>
    </row>
    <row r="2" ht="15.75" customHeight="1">
      <c r="A2" s="332" t="s">
        <v>1742</v>
      </c>
      <c r="B2" s="1550" t="s">
        <v>1743</v>
      </c>
      <c r="C2" s="1551" t="s">
        <v>1744</v>
      </c>
      <c r="D2" s="1550" t="s">
        <v>1745</v>
      </c>
      <c r="E2" s="1552" t="s">
        <v>650</v>
      </c>
      <c r="F2" s="336"/>
      <c r="G2" s="332" t="s">
        <v>1746</v>
      </c>
      <c r="H2" s="332" t="s">
        <v>1742</v>
      </c>
      <c r="I2" s="1553" t="s">
        <v>1744</v>
      </c>
      <c r="J2" s="1554" t="s">
        <v>650</v>
      </c>
      <c r="K2" s="1555" t="s">
        <v>650</v>
      </c>
      <c r="M2" s="13" t="s">
        <v>1740</v>
      </c>
      <c r="N2" s="1556">
        <f>SUM(K:K)+(SUM(K:K)*O4)</f>
        <v>34.57116</v>
      </c>
    </row>
    <row r="3" ht="15.75" customHeight="1">
      <c r="A3" s="331" t="s">
        <v>1747</v>
      </c>
      <c r="B3" s="1557" t="s">
        <v>1748</v>
      </c>
      <c r="C3" s="1558">
        <v>3.0</v>
      </c>
      <c r="D3" s="1559">
        <v>3.99</v>
      </c>
      <c r="E3" s="1560">
        <f t="shared" ref="E3:E27" si="1">C3*D3</f>
        <v>11.97</v>
      </c>
      <c r="G3" s="331" t="s">
        <v>1749</v>
      </c>
      <c r="H3" s="331" t="s">
        <v>1750</v>
      </c>
      <c r="I3" s="789">
        <v>2.0</v>
      </c>
      <c r="J3" s="1561">
        <v>10.99</v>
      </c>
      <c r="K3" s="1562">
        <v>32.37</v>
      </c>
      <c r="M3" s="13" t="s">
        <v>1751</v>
      </c>
      <c r="N3" s="1556">
        <f>SUM(E:E)+(SUM(E:E)*O4)</f>
        <v>97.81812</v>
      </c>
    </row>
    <row r="4" ht="15.75" customHeight="1">
      <c r="A4" s="331" t="s">
        <v>1752</v>
      </c>
      <c r="B4" s="1557" t="s">
        <v>1753</v>
      </c>
      <c r="C4" s="1558">
        <v>1.0</v>
      </c>
      <c r="D4" s="1559">
        <v>7.49</v>
      </c>
      <c r="E4" s="1560">
        <f t="shared" si="1"/>
        <v>7.49</v>
      </c>
      <c r="G4" s="331"/>
      <c r="H4" s="331"/>
      <c r="I4" s="789"/>
      <c r="J4" s="1561"/>
      <c r="K4" s="1562">
        <f t="shared" ref="K4:K27" si="2">I4*J4</f>
        <v>0</v>
      </c>
      <c r="M4" s="1564" t="s">
        <v>650</v>
      </c>
      <c r="N4" s="1565">
        <f>SUM(N2:N3)</f>
        <v>132.38928</v>
      </c>
      <c r="O4" s="13">
        <v>0.068</v>
      </c>
    </row>
    <row r="5" ht="15.75" customHeight="1">
      <c r="A5" s="331" t="s">
        <v>1754</v>
      </c>
      <c r="B5" s="1557" t="s">
        <v>1755</v>
      </c>
      <c r="C5" s="1558">
        <v>2.0</v>
      </c>
      <c r="D5" s="1559">
        <v>1.33</v>
      </c>
      <c r="E5" s="1560">
        <f t="shared" si="1"/>
        <v>2.66</v>
      </c>
      <c r="G5" s="331"/>
      <c r="H5" s="331"/>
      <c r="I5" s="789"/>
      <c r="J5" s="1561"/>
      <c r="K5" s="1562">
        <f t="shared" si="2"/>
        <v>0</v>
      </c>
    </row>
    <row r="6" ht="15.75" customHeight="1">
      <c r="A6" s="331" t="s">
        <v>1756</v>
      </c>
      <c r="B6" s="1557" t="s">
        <v>1757</v>
      </c>
      <c r="C6" s="1558">
        <v>1.0</v>
      </c>
      <c r="D6" s="1559">
        <v>2.49</v>
      </c>
      <c r="E6" s="1560">
        <f t="shared" si="1"/>
        <v>2.49</v>
      </c>
      <c r="G6" s="331"/>
      <c r="H6" s="331"/>
      <c r="I6" s="789"/>
      <c r="J6" s="1561"/>
      <c r="K6" s="1562">
        <f t="shared" si="2"/>
        <v>0</v>
      </c>
    </row>
    <row r="7" ht="15.75" customHeight="1">
      <c r="A7" s="331" t="s">
        <v>1758</v>
      </c>
      <c r="B7" s="1557" t="s">
        <v>1759</v>
      </c>
      <c r="C7" s="1558">
        <v>1.0</v>
      </c>
      <c r="D7" s="1559">
        <v>2.5</v>
      </c>
      <c r="E7" s="1560">
        <f t="shared" si="1"/>
        <v>2.5</v>
      </c>
      <c r="G7" s="331"/>
      <c r="H7" s="331"/>
      <c r="I7" s="789"/>
      <c r="J7" s="1561"/>
      <c r="K7" s="1562">
        <f t="shared" si="2"/>
        <v>0</v>
      </c>
    </row>
    <row r="8" ht="15.75" customHeight="1">
      <c r="A8" s="331" t="s">
        <v>1760</v>
      </c>
      <c r="B8" s="1557" t="s">
        <v>1759</v>
      </c>
      <c r="C8" s="1558">
        <v>2.0</v>
      </c>
      <c r="D8" s="1559">
        <v>1.15</v>
      </c>
      <c r="E8" s="1560">
        <f t="shared" si="1"/>
        <v>2.3</v>
      </c>
      <c r="G8" s="331"/>
      <c r="H8" s="331"/>
      <c r="I8" s="789"/>
      <c r="J8" s="1561"/>
      <c r="K8" s="1562">
        <f t="shared" si="2"/>
        <v>0</v>
      </c>
    </row>
    <row r="9" ht="15.75" customHeight="1">
      <c r="A9" s="331" t="s">
        <v>1761</v>
      </c>
      <c r="B9" s="1557" t="s">
        <v>1759</v>
      </c>
      <c r="C9" s="1558">
        <v>1.0</v>
      </c>
      <c r="D9" s="1559">
        <v>0.7</v>
      </c>
      <c r="E9" s="1560">
        <f t="shared" si="1"/>
        <v>0.7</v>
      </c>
      <c r="G9" s="331"/>
      <c r="H9" s="331"/>
      <c r="I9" s="789"/>
      <c r="J9" s="1561"/>
      <c r="K9" s="1562">
        <f t="shared" si="2"/>
        <v>0</v>
      </c>
    </row>
    <row r="10" ht="15.75" customHeight="1">
      <c r="A10" s="331" t="s">
        <v>1762</v>
      </c>
      <c r="B10" s="1557" t="s">
        <v>1759</v>
      </c>
      <c r="C10" s="1558">
        <v>1.0</v>
      </c>
      <c r="D10" s="1559">
        <v>6.49</v>
      </c>
      <c r="E10" s="1560">
        <f t="shared" si="1"/>
        <v>6.49</v>
      </c>
      <c r="G10" s="331"/>
      <c r="H10" s="331"/>
      <c r="I10" s="789"/>
      <c r="J10" s="1561"/>
      <c r="K10" s="1562">
        <f t="shared" si="2"/>
        <v>0</v>
      </c>
    </row>
    <row r="11" ht="15.75" customHeight="1">
      <c r="A11" s="331" t="s">
        <v>1763</v>
      </c>
      <c r="B11" s="1557" t="s">
        <v>1764</v>
      </c>
      <c r="C11" s="1558">
        <v>1.0</v>
      </c>
      <c r="D11" s="1559">
        <v>3.29</v>
      </c>
      <c r="E11" s="1560">
        <f t="shared" si="1"/>
        <v>3.29</v>
      </c>
      <c r="G11" s="331"/>
      <c r="H11" s="331"/>
      <c r="I11" s="789"/>
      <c r="J11" s="1561"/>
      <c r="K11" s="1562">
        <f t="shared" si="2"/>
        <v>0</v>
      </c>
    </row>
    <row r="12" ht="15.75" customHeight="1">
      <c r="A12" s="331" t="s">
        <v>1765</v>
      </c>
      <c r="B12" s="1557"/>
      <c r="C12" s="1558">
        <v>1.0</v>
      </c>
      <c r="D12" s="1559">
        <v>0.0</v>
      </c>
      <c r="E12" s="1560">
        <f t="shared" si="1"/>
        <v>0</v>
      </c>
      <c r="G12" s="331"/>
      <c r="H12" s="331"/>
      <c r="I12" s="789"/>
      <c r="J12" s="1561"/>
      <c r="K12" s="1562">
        <f t="shared" si="2"/>
        <v>0</v>
      </c>
    </row>
    <row r="13" ht="15.75" customHeight="1">
      <c r="A13" s="331" t="s">
        <v>1766</v>
      </c>
      <c r="B13" s="1557" t="s">
        <v>1767</v>
      </c>
      <c r="C13" s="1558">
        <v>2.0</v>
      </c>
      <c r="D13" s="1559">
        <v>4.49</v>
      </c>
      <c r="E13" s="1560">
        <f t="shared" si="1"/>
        <v>8.98</v>
      </c>
      <c r="G13" s="331"/>
      <c r="H13" s="331"/>
      <c r="I13" s="789"/>
      <c r="J13" s="1561"/>
      <c r="K13" s="1562">
        <f t="shared" si="2"/>
        <v>0</v>
      </c>
    </row>
    <row r="14" ht="15.75" customHeight="1">
      <c r="A14" s="331" t="s">
        <v>1768</v>
      </c>
      <c r="B14" s="1557" t="s">
        <v>1769</v>
      </c>
      <c r="C14" s="1558">
        <v>2.0</v>
      </c>
      <c r="D14" s="1559">
        <v>4.49</v>
      </c>
      <c r="E14" s="1560">
        <f t="shared" si="1"/>
        <v>8.98</v>
      </c>
      <c r="G14" s="331"/>
      <c r="H14" s="331"/>
      <c r="I14" s="789"/>
      <c r="J14" s="1561"/>
      <c r="K14" s="1562">
        <f t="shared" si="2"/>
        <v>0</v>
      </c>
    </row>
    <row r="15" ht="15.75" customHeight="1">
      <c r="A15" s="331" t="s">
        <v>1770</v>
      </c>
      <c r="B15" s="1557" t="s">
        <v>1771</v>
      </c>
      <c r="C15" s="1558">
        <v>1.0</v>
      </c>
      <c r="D15" s="1559">
        <v>14.99</v>
      </c>
      <c r="E15" s="1560">
        <f t="shared" si="1"/>
        <v>14.99</v>
      </c>
      <c r="G15" s="331"/>
      <c r="H15" s="331"/>
      <c r="I15" s="789"/>
      <c r="J15" s="1561"/>
      <c r="K15" s="1562">
        <f t="shared" si="2"/>
        <v>0</v>
      </c>
    </row>
    <row r="16" ht="15.75" customHeight="1">
      <c r="A16" s="331" t="s">
        <v>1772</v>
      </c>
      <c r="B16" s="1557" t="s">
        <v>1773</v>
      </c>
      <c r="C16" s="1558">
        <v>1.0</v>
      </c>
      <c r="D16" s="1559">
        <v>4.89</v>
      </c>
      <c r="E16" s="1560">
        <f t="shared" si="1"/>
        <v>4.89</v>
      </c>
      <c r="G16" s="331"/>
      <c r="H16" s="331"/>
      <c r="I16" s="789"/>
      <c r="J16" s="1561"/>
      <c r="K16" s="1562">
        <f t="shared" si="2"/>
        <v>0</v>
      </c>
    </row>
    <row r="17" ht="15.75" customHeight="1">
      <c r="A17" s="331" t="s">
        <v>1774</v>
      </c>
      <c r="B17" s="1557" t="s">
        <v>1775</v>
      </c>
      <c r="C17" s="1558">
        <v>1.0</v>
      </c>
      <c r="D17" s="1559">
        <v>2.39</v>
      </c>
      <c r="E17" s="1560">
        <f t="shared" si="1"/>
        <v>2.39</v>
      </c>
      <c r="G17" s="331"/>
      <c r="H17" s="331"/>
      <c r="I17" s="789"/>
      <c r="J17" s="1561"/>
      <c r="K17" s="1562">
        <f t="shared" si="2"/>
        <v>0</v>
      </c>
    </row>
    <row r="18" ht="15.75" customHeight="1">
      <c r="A18" s="331" t="s">
        <v>1776</v>
      </c>
      <c r="B18" s="1557" t="s">
        <v>1777</v>
      </c>
      <c r="C18" s="1558">
        <v>2.0</v>
      </c>
      <c r="D18" s="1559">
        <v>3.99</v>
      </c>
      <c r="E18" s="1560">
        <f t="shared" si="1"/>
        <v>7.98</v>
      </c>
      <c r="G18" s="331"/>
      <c r="H18" s="331"/>
      <c r="I18" s="789"/>
      <c r="J18" s="1561"/>
      <c r="K18" s="1562">
        <f t="shared" si="2"/>
        <v>0</v>
      </c>
    </row>
    <row r="19" ht="15.75" customHeight="1">
      <c r="A19" s="331" t="s">
        <v>1778</v>
      </c>
      <c r="B19" s="1557" t="s">
        <v>1759</v>
      </c>
      <c r="C19" s="1558">
        <v>1.0</v>
      </c>
      <c r="D19" s="1559">
        <v>3.49</v>
      </c>
      <c r="E19" s="1560">
        <f t="shared" si="1"/>
        <v>3.49</v>
      </c>
      <c r="G19" s="331"/>
      <c r="H19" s="331"/>
      <c r="I19" s="789"/>
      <c r="J19" s="1561"/>
      <c r="K19" s="1562">
        <f t="shared" si="2"/>
        <v>0</v>
      </c>
    </row>
    <row r="20" ht="15.75" customHeight="1">
      <c r="A20" s="331"/>
      <c r="B20" s="1557"/>
      <c r="C20" s="1558"/>
      <c r="D20" s="1559"/>
      <c r="E20" s="1560">
        <f t="shared" si="1"/>
        <v>0</v>
      </c>
      <c r="G20" s="331"/>
      <c r="H20" s="331"/>
      <c r="I20" s="789"/>
      <c r="J20" s="1561"/>
      <c r="K20" s="1562">
        <f t="shared" si="2"/>
        <v>0</v>
      </c>
    </row>
    <row r="21" ht="15.75" customHeight="1">
      <c r="A21" s="331"/>
      <c r="B21" s="1557"/>
      <c r="C21" s="1558"/>
      <c r="D21" s="1559"/>
      <c r="E21" s="1560">
        <f t="shared" si="1"/>
        <v>0</v>
      </c>
      <c r="G21" s="331"/>
      <c r="H21" s="331"/>
      <c r="I21" s="789"/>
      <c r="J21" s="1561"/>
      <c r="K21" s="1562">
        <f t="shared" si="2"/>
        <v>0</v>
      </c>
    </row>
    <row r="22" ht="15.75" customHeight="1">
      <c r="A22" s="331"/>
      <c r="B22" s="1557"/>
      <c r="C22" s="1558"/>
      <c r="D22" s="1559"/>
      <c r="E22" s="1560">
        <f t="shared" si="1"/>
        <v>0</v>
      </c>
      <c r="G22" s="331"/>
      <c r="H22" s="331"/>
      <c r="I22" s="789"/>
      <c r="J22" s="1561"/>
      <c r="K22" s="1562">
        <f t="shared" si="2"/>
        <v>0</v>
      </c>
    </row>
    <row r="23" ht="15.75" customHeight="1">
      <c r="A23" s="331"/>
      <c r="B23" s="1557"/>
      <c r="C23" s="1558"/>
      <c r="D23" s="1559"/>
      <c r="E23" s="1560">
        <f t="shared" si="1"/>
        <v>0</v>
      </c>
      <c r="G23" s="331"/>
      <c r="H23" s="331"/>
      <c r="I23" s="789"/>
      <c r="J23" s="1561"/>
      <c r="K23" s="1562">
        <f t="shared" si="2"/>
        <v>0</v>
      </c>
    </row>
    <row r="24" ht="15.75" customHeight="1">
      <c r="A24" s="331"/>
      <c r="B24" s="1557"/>
      <c r="C24" s="1558"/>
      <c r="D24" s="1559"/>
      <c r="E24" s="1560">
        <f t="shared" si="1"/>
        <v>0</v>
      </c>
      <c r="G24" s="331"/>
      <c r="H24" s="331"/>
      <c r="I24" s="789"/>
      <c r="J24" s="1561"/>
      <c r="K24" s="1562">
        <f t="shared" si="2"/>
        <v>0</v>
      </c>
    </row>
    <row r="25" ht="15.75" customHeight="1">
      <c r="A25" s="331"/>
      <c r="B25" s="1557"/>
      <c r="C25" s="1558"/>
      <c r="D25" s="1559"/>
      <c r="E25" s="1560">
        <f t="shared" si="1"/>
        <v>0</v>
      </c>
      <c r="G25" s="331"/>
      <c r="H25" s="331"/>
      <c r="I25" s="789"/>
      <c r="J25" s="1561"/>
      <c r="K25" s="1562">
        <f t="shared" si="2"/>
        <v>0</v>
      </c>
    </row>
    <row r="26" ht="15.75" customHeight="1">
      <c r="A26" s="331"/>
      <c r="B26" s="1557"/>
      <c r="C26" s="1558"/>
      <c r="D26" s="1559"/>
      <c r="E26" s="1560">
        <f t="shared" si="1"/>
        <v>0</v>
      </c>
      <c r="G26" s="331"/>
      <c r="H26" s="331"/>
      <c r="I26" s="789"/>
      <c r="J26" s="1561"/>
      <c r="K26" s="1562">
        <f t="shared" si="2"/>
        <v>0</v>
      </c>
    </row>
    <row r="27" ht="15.75" customHeight="1">
      <c r="A27" s="331"/>
      <c r="B27" s="1557"/>
      <c r="C27" s="1558"/>
      <c r="D27" s="1559"/>
      <c r="E27" s="1560">
        <f t="shared" si="1"/>
        <v>0</v>
      </c>
      <c r="G27" s="331"/>
      <c r="H27" s="331"/>
      <c r="I27" s="789"/>
      <c r="J27" s="1561"/>
      <c r="K27" s="1562">
        <f t="shared" si="2"/>
        <v>0</v>
      </c>
    </row>
    <row r="28" ht="15.75" customHeight="1">
      <c r="B28" s="1538"/>
      <c r="C28" s="1566"/>
      <c r="D28" s="1538"/>
      <c r="E28" s="1149"/>
      <c r="I28" s="471"/>
      <c r="J28" s="731"/>
      <c r="K28" s="498"/>
    </row>
    <row r="29" ht="15.75" customHeight="1">
      <c r="B29" s="1538"/>
      <c r="C29" s="1566"/>
      <c r="D29" s="1538"/>
      <c r="E29" s="1149"/>
      <c r="I29" s="471"/>
      <c r="J29" s="731"/>
      <c r="K29" s="498"/>
    </row>
    <row r="30" ht="15.75" customHeight="1">
      <c r="B30" s="1538"/>
      <c r="C30" s="1566"/>
      <c r="D30" s="1538"/>
      <c r="E30" s="1149"/>
      <c r="I30" s="471"/>
      <c r="J30" s="731"/>
      <c r="K30" s="498"/>
    </row>
    <row r="31" ht="15.75" customHeight="1">
      <c r="B31" s="1538"/>
      <c r="C31" s="1566"/>
      <c r="D31" s="1538"/>
      <c r="E31" s="1149"/>
      <c r="I31" s="471"/>
      <c r="J31" s="731"/>
      <c r="K31" s="498"/>
    </row>
    <row r="32" ht="15.75" customHeight="1">
      <c r="B32" s="1538"/>
      <c r="C32" s="1566"/>
      <c r="D32" s="1538"/>
      <c r="E32" s="1149"/>
      <c r="I32" s="471"/>
      <c r="J32" s="731"/>
      <c r="K32" s="498"/>
    </row>
    <row r="33" ht="15.75" customHeight="1">
      <c r="B33" s="1538"/>
      <c r="C33" s="1566"/>
      <c r="D33" s="1538"/>
      <c r="E33" s="1149"/>
      <c r="I33" s="471"/>
      <c r="J33" s="731"/>
      <c r="K33" s="498"/>
    </row>
    <row r="34" ht="15.75" customHeight="1">
      <c r="B34" s="1538"/>
      <c r="C34" s="1566"/>
      <c r="D34" s="1538"/>
      <c r="E34" s="1149"/>
      <c r="I34" s="471"/>
      <c r="J34" s="731"/>
      <c r="K34" s="498"/>
    </row>
    <row r="35" ht="15.75" customHeight="1">
      <c r="B35" s="1538"/>
      <c r="C35" s="1566"/>
      <c r="D35" s="1538"/>
      <c r="E35" s="1149"/>
      <c r="I35" s="471"/>
      <c r="J35" s="731"/>
      <c r="K35" s="498"/>
    </row>
    <row r="36" ht="15.75" customHeight="1">
      <c r="B36" s="1538"/>
      <c r="C36" s="1566"/>
      <c r="D36" s="1538"/>
      <c r="E36" s="1149"/>
      <c r="I36" s="471"/>
      <c r="J36" s="731"/>
      <c r="K36" s="498"/>
    </row>
    <row r="37" ht="15.75" customHeight="1">
      <c r="B37" s="1538"/>
      <c r="C37" s="1566"/>
      <c r="D37" s="1538"/>
      <c r="E37" s="1149"/>
      <c r="I37" s="471"/>
      <c r="J37" s="731"/>
      <c r="K37" s="498"/>
    </row>
    <row r="38" ht="15.75" customHeight="1">
      <c r="B38" s="1538"/>
      <c r="C38" s="1566"/>
      <c r="D38" s="1538"/>
      <c r="E38" s="1149"/>
      <c r="I38" s="471"/>
      <c r="J38" s="731"/>
      <c r="K38" s="498"/>
    </row>
    <row r="39" ht="15.75" customHeight="1">
      <c r="B39" s="1538"/>
      <c r="C39" s="1566"/>
      <c r="D39" s="1538"/>
      <c r="E39" s="1149"/>
      <c r="I39" s="471"/>
      <c r="J39" s="731"/>
      <c r="K39" s="498"/>
    </row>
    <row r="40" ht="15.75" customHeight="1">
      <c r="B40" s="1538"/>
      <c r="C40" s="1566"/>
      <c r="D40" s="1538"/>
      <c r="E40" s="1149"/>
      <c r="I40" s="471"/>
      <c r="J40" s="731"/>
      <c r="K40" s="498"/>
    </row>
    <row r="41" ht="15.75" customHeight="1">
      <c r="B41" s="1538"/>
      <c r="C41" s="1566"/>
      <c r="D41" s="1538"/>
      <c r="E41" s="1149"/>
      <c r="I41" s="471"/>
      <c r="J41" s="731"/>
      <c r="K41" s="498"/>
    </row>
    <row r="42" ht="15.75" customHeight="1">
      <c r="B42" s="1538"/>
      <c r="C42" s="1566"/>
      <c r="D42" s="1538"/>
      <c r="E42" s="1149"/>
      <c r="I42" s="471"/>
      <c r="J42" s="731"/>
      <c r="K42" s="498"/>
    </row>
    <row r="43" ht="15.75" customHeight="1">
      <c r="B43" s="1538"/>
      <c r="C43" s="1566"/>
      <c r="D43" s="1538"/>
      <c r="E43" s="1149"/>
      <c r="I43" s="471"/>
      <c r="J43" s="731"/>
      <c r="K43" s="498"/>
    </row>
    <row r="44" ht="15.75" customHeight="1">
      <c r="B44" s="1538"/>
      <c r="C44" s="1566"/>
      <c r="D44" s="1538"/>
      <c r="E44" s="1149"/>
      <c r="I44" s="471"/>
      <c r="J44" s="731"/>
      <c r="K44" s="498"/>
    </row>
    <row r="45" ht="15.75" customHeight="1">
      <c r="B45" s="1538"/>
      <c r="C45" s="1566"/>
      <c r="D45" s="1538"/>
      <c r="E45" s="1149"/>
      <c r="I45" s="471"/>
      <c r="J45" s="731"/>
      <c r="K45" s="498"/>
    </row>
    <row r="46" ht="15.75" customHeight="1">
      <c r="B46" s="1538"/>
      <c r="C46" s="1566"/>
      <c r="D46" s="1538"/>
      <c r="E46" s="1149"/>
      <c r="I46" s="471"/>
      <c r="J46" s="731"/>
      <c r="K46" s="498"/>
    </row>
    <row r="47" ht="15.75" customHeight="1">
      <c r="B47" s="1538"/>
      <c r="C47" s="1566"/>
      <c r="D47" s="1538"/>
      <c r="E47" s="1149"/>
      <c r="I47" s="471"/>
      <c r="J47" s="731"/>
      <c r="K47" s="498"/>
    </row>
    <row r="48" ht="15.75" customHeight="1">
      <c r="B48" s="1538"/>
      <c r="C48" s="1566"/>
      <c r="D48" s="1538"/>
      <c r="E48" s="1149"/>
      <c r="I48" s="471"/>
      <c r="J48" s="731"/>
      <c r="K48" s="498"/>
    </row>
    <row r="49" ht="15.75" customHeight="1">
      <c r="B49" s="1538"/>
      <c r="C49" s="1566"/>
      <c r="D49" s="1538"/>
      <c r="E49" s="1149"/>
      <c r="I49" s="471"/>
      <c r="J49" s="731"/>
      <c r="K49" s="498"/>
    </row>
    <row r="50" ht="15.75" customHeight="1">
      <c r="B50" s="1538"/>
      <c r="C50" s="1566"/>
      <c r="D50" s="1538"/>
      <c r="E50" s="1149"/>
      <c r="I50" s="471"/>
      <c r="J50" s="731"/>
      <c r="K50" s="498"/>
    </row>
    <row r="51" ht="15.75" customHeight="1">
      <c r="B51" s="1538"/>
      <c r="C51" s="1566"/>
      <c r="D51" s="1538"/>
      <c r="E51" s="1149"/>
      <c r="I51" s="471"/>
      <c r="J51" s="731"/>
      <c r="K51" s="498"/>
    </row>
    <row r="52" ht="15.75" customHeight="1">
      <c r="B52" s="1538"/>
      <c r="C52" s="1566"/>
      <c r="D52" s="1538"/>
      <c r="E52" s="1149"/>
      <c r="I52" s="471"/>
      <c r="J52" s="731"/>
      <c r="K52" s="498"/>
    </row>
    <row r="53" ht="15.75" customHeight="1">
      <c r="B53" s="1538"/>
      <c r="C53" s="1566"/>
      <c r="D53" s="1538"/>
      <c r="E53" s="1149"/>
      <c r="I53" s="471"/>
      <c r="J53" s="731"/>
      <c r="K53" s="498"/>
    </row>
    <row r="54" ht="15.75" customHeight="1">
      <c r="B54" s="1538"/>
      <c r="C54" s="1566"/>
      <c r="D54" s="1538"/>
      <c r="E54" s="1149"/>
      <c r="I54" s="471"/>
      <c r="J54" s="731"/>
      <c r="K54" s="498"/>
    </row>
    <row r="55" ht="15.75" customHeight="1">
      <c r="B55" s="1538"/>
      <c r="C55" s="1566"/>
      <c r="D55" s="1538"/>
      <c r="E55" s="1149"/>
      <c r="I55" s="471"/>
      <c r="J55" s="731"/>
      <c r="K55" s="498"/>
    </row>
    <row r="56" ht="15.75" customHeight="1">
      <c r="B56" s="1538"/>
      <c r="C56" s="1566"/>
      <c r="D56" s="1538"/>
      <c r="E56" s="1149"/>
      <c r="I56" s="471"/>
      <c r="J56" s="731"/>
      <c r="K56" s="498"/>
    </row>
    <row r="57" ht="15.75" customHeight="1">
      <c r="B57" s="1538"/>
      <c r="C57" s="1566"/>
      <c r="D57" s="1538"/>
      <c r="E57" s="1149"/>
      <c r="I57" s="471"/>
      <c r="J57" s="731"/>
      <c r="K57" s="498"/>
    </row>
    <row r="58" ht="15.75" customHeight="1">
      <c r="B58" s="1538"/>
      <c r="C58" s="1566"/>
      <c r="D58" s="1538"/>
      <c r="E58" s="1149"/>
      <c r="I58" s="471"/>
      <c r="J58" s="731"/>
      <c r="K58" s="498"/>
    </row>
    <row r="59" ht="15.75" customHeight="1">
      <c r="B59" s="1538"/>
      <c r="C59" s="1566"/>
      <c r="D59" s="1538"/>
      <c r="E59" s="1149"/>
      <c r="I59" s="471"/>
      <c r="J59" s="731"/>
      <c r="K59" s="498"/>
    </row>
    <row r="60" ht="15.75" customHeight="1">
      <c r="B60" s="1538"/>
      <c r="C60" s="1566"/>
      <c r="D60" s="1538"/>
      <c r="E60" s="1149"/>
      <c r="I60" s="471"/>
      <c r="J60" s="731"/>
      <c r="K60" s="498"/>
    </row>
    <row r="61" ht="15.75" customHeight="1">
      <c r="B61" s="1538"/>
      <c r="C61" s="1566"/>
      <c r="D61" s="1538"/>
      <c r="E61" s="1149"/>
      <c r="I61" s="471"/>
      <c r="J61" s="731"/>
      <c r="K61" s="498"/>
    </row>
    <row r="62" ht="15.75" customHeight="1">
      <c r="B62" s="1538"/>
      <c r="C62" s="1566"/>
      <c r="D62" s="1538"/>
      <c r="E62" s="1149"/>
      <c r="I62" s="471"/>
      <c r="J62" s="731"/>
      <c r="K62" s="498"/>
    </row>
    <row r="63" ht="15.75" customHeight="1">
      <c r="B63" s="1538"/>
      <c r="C63" s="1566"/>
      <c r="D63" s="1538"/>
      <c r="E63" s="1149"/>
      <c r="I63" s="471"/>
      <c r="J63" s="731"/>
      <c r="K63" s="498"/>
    </row>
    <row r="64" ht="15.75" customHeight="1">
      <c r="B64" s="1538"/>
      <c r="C64" s="1566"/>
      <c r="D64" s="1538"/>
      <c r="E64" s="1149"/>
      <c r="I64" s="471"/>
      <c r="J64" s="731"/>
      <c r="K64" s="498"/>
    </row>
    <row r="65" ht="15.75" customHeight="1">
      <c r="B65" s="1538"/>
      <c r="C65" s="1566"/>
      <c r="D65" s="1538"/>
      <c r="E65" s="1149"/>
      <c r="I65" s="471"/>
      <c r="J65" s="731"/>
      <c r="K65" s="498"/>
    </row>
    <row r="66" ht="15.75" customHeight="1">
      <c r="B66" s="1538"/>
      <c r="C66" s="1566"/>
      <c r="D66" s="1538"/>
      <c r="E66" s="1149"/>
      <c r="I66" s="471"/>
      <c r="J66" s="731"/>
      <c r="K66" s="498"/>
    </row>
    <row r="67" ht="15.75" customHeight="1">
      <c r="B67" s="1538"/>
      <c r="C67" s="1566"/>
      <c r="D67" s="1538"/>
      <c r="E67" s="1149"/>
      <c r="I67" s="471"/>
      <c r="J67" s="731"/>
      <c r="K67" s="498"/>
    </row>
    <row r="68" ht="15.75" customHeight="1">
      <c r="B68" s="1538"/>
      <c r="C68" s="1566"/>
      <c r="D68" s="1538"/>
      <c r="E68" s="1149"/>
      <c r="I68" s="471"/>
      <c r="J68" s="731"/>
      <c r="K68" s="498"/>
    </row>
    <row r="69" ht="15.75" customHeight="1">
      <c r="B69" s="1538"/>
      <c r="C69" s="1566"/>
      <c r="D69" s="1538"/>
      <c r="E69" s="1149"/>
      <c r="I69" s="471"/>
      <c r="J69" s="731"/>
      <c r="K69" s="498"/>
    </row>
    <row r="70" ht="15.75" customHeight="1">
      <c r="B70" s="1538"/>
      <c r="C70" s="1566"/>
      <c r="D70" s="1538"/>
      <c r="E70" s="1149"/>
      <c r="I70" s="471"/>
      <c r="J70" s="731"/>
      <c r="K70" s="498"/>
    </row>
    <row r="71" ht="15.75" customHeight="1">
      <c r="B71" s="1538"/>
      <c r="C71" s="1566"/>
      <c r="D71" s="1538"/>
      <c r="E71" s="1149"/>
      <c r="I71" s="471"/>
      <c r="J71" s="731"/>
      <c r="K71" s="498"/>
    </row>
    <row r="72" ht="15.75" customHeight="1">
      <c r="B72" s="1538"/>
      <c r="C72" s="1566"/>
      <c r="D72" s="1538"/>
      <c r="E72" s="1149"/>
      <c r="I72" s="471"/>
      <c r="J72" s="731"/>
      <c r="K72" s="498"/>
    </row>
    <row r="73" ht="15.75" customHeight="1">
      <c r="B73" s="1538"/>
      <c r="C73" s="1566"/>
      <c r="D73" s="1538"/>
      <c r="E73" s="1149"/>
      <c r="I73" s="471"/>
      <c r="J73" s="731"/>
      <c r="K73" s="498"/>
    </row>
    <row r="74" ht="15.75" customHeight="1">
      <c r="B74" s="1538"/>
      <c r="C74" s="1566"/>
      <c r="D74" s="1538"/>
      <c r="E74" s="1149"/>
      <c r="I74" s="471"/>
      <c r="J74" s="731"/>
      <c r="K74" s="498"/>
    </row>
    <row r="75" ht="15.75" customHeight="1">
      <c r="B75" s="1538"/>
      <c r="C75" s="1566"/>
      <c r="D75" s="1538"/>
      <c r="E75" s="1149"/>
      <c r="I75" s="471"/>
      <c r="J75" s="731"/>
      <c r="K75" s="498"/>
    </row>
    <row r="76" ht="15.75" customHeight="1">
      <c r="B76" s="1538"/>
      <c r="C76" s="1566"/>
      <c r="D76" s="1538"/>
      <c r="E76" s="1149"/>
      <c r="I76" s="471"/>
      <c r="J76" s="731"/>
      <c r="K76" s="498"/>
    </row>
    <row r="77" ht="15.75" customHeight="1">
      <c r="B77" s="1538"/>
      <c r="C77" s="1566"/>
      <c r="D77" s="1538"/>
      <c r="E77" s="1149"/>
      <c r="I77" s="471"/>
      <c r="J77" s="731"/>
      <c r="K77" s="498"/>
    </row>
    <row r="78" ht="15.75" customHeight="1">
      <c r="B78" s="1538"/>
      <c r="C78" s="1566"/>
      <c r="D78" s="1538"/>
      <c r="E78" s="1149"/>
      <c r="I78" s="471"/>
      <c r="J78" s="731"/>
      <c r="K78" s="498"/>
    </row>
    <row r="79" ht="15.75" customHeight="1">
      <c r="B79" s="1538"/>
      <c r="C79" s="1566"/>
      <c r="D79" s="1538"/>
      <c r="E79" s="1149"/>
      <c r="I79" s="471"/>
      <c r="J79" s="731"/>
      <c r="K79" s="498"/>
    </row>
    <row r="80" ht="15.75" customHeight="1">
      <c r="B80" s="1538"/>
      <c r="C80" s="1566"/>
      <c r="D80" s="1538"/>
      <c r="E80" s="1149"/>
      <c r="I80" s="471"/>
      <c r="J80" s="731"/>
      <c r="K80" s="498"/>
    </row>
    <row r="81" ht="15.75" customHeight="1">
      <c r="B81" s="1538"/>
      <c r="C81" s="1566"/>
      <c r="D81" s="1538"/>
      <c r="E81" s="1149"/>
      <c r="I81" s="471"/>
      <c r="J81" s="731"/>
      <c r="K81" s="498"/>
    </row>
    <row r="82" ht="15.75" customHeight="1">
      <c r="B82" s="1538"/>
      <c r="C82" s="1566"/>
      <c r="D82" s="1538"/>
      <c r="E82" s="1149"/>
      <c r="I82" s="471"/>
      <c r="J82" s="731"/>
      <c r="K82" s="498"/>
    </row>
    <row r="83" ht="15.75" customHeight="1">
      <c r="B83" s="1538"/>
      <c r="C83" s="1566"/>
      <c r="D83" s="1538"/>
      <c r="E83" s="1149"/>
      <c r="I83" s="471"/>
      <c r="J83" s="731"/>
      <c r="K83" s="498"/>
    </row>
    <row r="84" ht="15.75" customHeight="1">
      <c r="B84" s="1538"/>
      <c r="C84" s="1566"/>
      <c r="D84" s="1538"/>
      <c r="E84" s="1149"/>
      <c r="I84" s="471"/>
      <c r="J84" s="731"/>
      <c r="K84" s="498"/>
    </row>
    <row r="85" ht="15.75" customHeight="1">
      <c r="B85" s="1538"/>
      <c r="C85" s="1566"/>
      <c r="D85" s="1538"/>
      <c r="E85" s="1149"/>
      <c r="I85" s="471"/>
      <c r="J85" s="731"/>
      <c r="K85" s="498"/>
    </row>
    <row r="86" ht="15.75" customHeight="1">
      <c r="B86" s="1538"/>
      <c r="C86" s="1566"/>
      <c r="D86" s="1538"/>
      <c r="E86" s="1149"/>
      <c r="I86" s="471"/>
      <c r="J86" s="731"/>
      <c r="K86" s="498"/>
    </row>
    <row r="87" ht="15.75" customHeight="1">
      <c r="B87" s="1538"/>
      <c r="C87" s="1566"/>
      <c r="D87" s="1538"/>
      <c r="E87" s="1149"/>
      <c r="I87" s="471"/>
      <c r="J87" s="731"/>
      <c r="K87" s="498"/>
    </row>
    <row r="88" ht="15.75" customHeight="1">
      <c r="B88" s="1538"/>
      <c r="C88" s="1566"/>
      <c r="D88" s="1538"/>
      <c r="E88" s="1149"/>
      <c r="I88" s="471"/>
      <c r="J88" s="731"/>
      <c r="K88" s="498"/>
    </row>
    <row r="89" ht="15.75" customHeight="1">
      <c r="B89" s="1538"/>
      <c r="C89" s="1566"/>
      <c r="D89" s="1538"/>
      <c r="E89" s="1149"/>
      <c r="I89" s="471"/>
      <c r="J89" s="731"/>
      <c r="K89" s="498"/>
    </row>
    <row r="90" ht="15.75" customHeight="1">
      <c r="B90" s="1538"/>
      <c r="C90" s="1566"/>
      <c r="D90" s="1538"/>
      <c r="E90" s="1149"/>
      <c r="I90" s="471"/>
      <c r="J90" s="731"/>
      <c r="K90" s="498"/>
    </row>
    <row r="91" ht="15.75" customHeight="1">
      <c r="B91" s="1538"/>
      <c r="C91" s="1566"/>
      <c r="D91" s="1538"/>
      <c r="E91" s="1149"/>
      <c r="I91" s="471"/>
      <c r="J91" s="731"/>
      <c r="K91" s="498"/>
    </row>
    <row r="92" ht="15.75" customHeight="1">
      <c r="B92" s="1538"/>
      <c r="C92" s="1566"/>
      <c r="D92" s="1538"/>
      <c r="E92" s="1149"/>
      <c r="I92" s="471"/>
      <c r="J92" s="731"/>
      <c r="K92" s="498"/>
    </row>
    <row r="93" ht="15.75" customHeight="1">
      <c r="B93" s="1538"/>
      <c r="C93" s="1566"/>
      <c r="D93" s="1538"/>
      <c r="E93" s="1149"/>
      <c r="I93" s="471"/>
      <c r="J93" s="731"/>
      <c r="K93" s="498"/>
    </row>
    <row r="94" ht="15.75" customHeight="1">
      <c r="B94" s="1538"/>
      <c r="C94" s="1566"/>
      <c r="D94" s="1538"/>
      <c r="E94" s="1149"/>
      <c r="I94" s="471"/>
      <c r="J94" s="731"/>
      <c r="K94" s="498"/>
    </row>
    <row r="95" ht="15.75" customHeight="1">
      <c r="B95" s="1538"/>
      <c r="C95" s="1566"/>
      <c r="D95" s="1538"/>
      <c r="E95" s="1149"/>
      <c r="I95" s="471"/>
      <c r="J95" s="731"/>
      <c r="K95" s="498"/>
    </row>
    <row r="96" ht="15.75" customHeight="1">
      <c r="B96" s="1538"/>
      <c r="C96" s="1566"/>
      <c r="D96" s="1538"/>
      <c r="E96" s="1149"/>
      <c r="I96" s="471"/>
      <c r="J96" s="731"/>
      <c r="K96" s="498"/>
    </row>
    <row r="97" ht="15.75" customHeight="1">
      <c r="B97" s="1538"/>
      <c r="C97" s="1566"/>
      <c r="D97" s="1538"/>
      <c r="E97" s="1149"/>
      <c r="I97" s="471"/>
      <c r="J97" s="731"/>
      <c r="K97" s="498"/>
    </row>
    <row r="98" ht="15.75" customHeight="1">
      <c r="B98" s="1538"/>
      <c r="C98" s="1566"/>
      <c r="D98" s="1538"/>
      <c r="E98" s="1149"/>
      <c r="I98" s="471"/>
      <c r="J98" s="731"/>
      <c r="K98" s="498"/>
    </row>
    <row r="99" ht="15.75" customHeight="1">
      <c r="B99" s="1538"/>
      <c r="C99" s="1566"/>
      <c r="D99" s="1538"/>
      <c r="E99" s="1149"/>
      <c r="I99" s="471"/>
      <c r="J99" s="731"/>
      <c r="K99" s="498"/>
    </row>
    <row r="100" ht="15.75" customHeight="1">
      <c r="B100" s="1538"/>
      <c r="C100" s="1566"/>
      <c r="D100" s="1538"/>
      <c r="E100" s="1149"/>
      <c r="I100" s="471"/>
      <c r="J100" s="731"/>
      <c r="K100" s="498"/>
    </row>
    <row r="101" ht="15.75" customHeight="1">
      <c r="B101" s="1538"/>
      <c r="C101" s="1566"/>
      <c r="D101" s="1538"/>
      <c r="E101" s="1149"/>
      <c r="I101" s="471"/>
      <c r="J101" s="731"/>
      <c r="K101" s="498"/>
    </row>
    <row r="102" ht="15.75" customHeight="1">
      <c r="B102" s="1538"/>
      <c r="C102" s="1566"/>
      <c r="D102" s="1538"/>
      <c r="E102" s="1149"/>
      <c r="I102" s="471"/>
      <c r="J102" s="731"/>
      <c r="K102" s="498"/>
    </row>
    <row r="103" ht="15.75" customHeight="1">
      <c r="B103" s="1538"/>
      <c r="C103" s="1566"/>
      <c r="D103" s="1538"/>
      <c r="E103" s="1149"/>
      <c r="I103" s="471"/>
      <c r="J103" s="731"/>
      <c r="K103" s="498"/>
    </row>
    <row r="104" ht="15.75" customHeight="1">
      <c r="B104" s="1538"/>
      <c r="C104" s="1566"/>
      <c r="D104" s="1538"/>
      <c r="E104" s="1149"/>
      <c r="I104" s="471"/>
      <c r="J104" s="731"/>
      <c r="K104" s="498"/>
    </row>
    <row r="105" ht="15.75" customHeight="1">
      <c r="B105" s="1538"/>
      <c r="C105" s="1566"/>
      <c r="D105" s="1538"/>
      <c r="E105" s="1149"/>
      <c r="I105" s="471"/>
      <c r="J105" s="731"/>
      <c r="K105" s="498"/>
    </row>
    <row r="106" ht="15.75" customHeight="1">
      <c r="B106" s="1538"/>
      <c r="C106" s="1566"/>
      <c r="D106" s="1538"/>
      <c r="E106" s="1149"/>
      <c r="I106" s="471"/>
      <c r="J106" s="731"/>
      <c r="K106" s="498"/>
    </row>
    <row r="107" ht="15.75" customHeight="1">
      <c r="B107" s="1538"/>
      <c r="C107" s="1566"/>
      <c r="D107" s="1538"/>
      <c r="E107" s="1149"/>
      <c r="I107" s="471"/>
      <c r="J107" s="731"/>
      <c r="K107" s="498"/>
    </row>
    <row r="108" ht="15.75" customHeight="1">
      <c r="B108" s="1538"/>
      <c r="C108" s="1566"/>
      <c r="D108" s="1538"/>
      <c r="E108" s="1149"/>
      <c r="I108" s="471"/>
      <c r="J108" s="731"/>
      <c r="K108" s="498"/>
    </row>
    <row r="109" ht="15.75" customHeight="1">
      <c r="B109" s="1538"/>
      <c r="C109" s="1566"/>
      <c r="D109" s="1538"/>
      <c r="E109" s="1149"/>
      <c r="I109" s="471"/>
      <c r="J109" s="731"/>
      <c r="K109" s="498"/>
    </row>
    <row r="110" ht="15.75" customHeight="1">
      <c r="B110" s="1538"/>
      <c r="C110" s="1566"/>
      <c r="D110" s="1538"/>
      <c r="E110" s="1149"/>
      <c r="I110" s="471"/>
      <c r="J110" s="731"/>
      <c r="K110" s="498"/>
    </row>
    <row r="111" ht="15.75" customHeight="1">
      <c r="B111" s="1538"/>
      <c r="C111" s="1566"/>
      <c r="D111" s="1538"/>
      <c r="E111" s="1149"/>
      <c r="I111" s="471"/>
      <c r="J111" s="731"/>
      <c r="K111" s="498"/>
    </row>
    <row r="112" ht="15.75" customHeight="1">
      <c r="B112" s="1538"/>
      <c r="C112" s="1566"/>
      <c r="D112" s="1538"/>
      <c r="E112" s="1149"/>
      <c r="I112" s="471"/>
      <c r="J112" s="731"/>
      <c r="K112" s="498"/>
    </row>
    <row r="113" ht="15.75" customHeight="1">
      <c r="B113" s="1538"/>
      <c r="C113" s="1566"/>
      <c r="D113" s="1538"/>
      <c r="E113" s="1149"/>
      <c r="I113" s="471"/>
      <c r="J113" s="731"/>
      <c r="K113" s="498"/>
    </row>
    <row r="114" ht="15.75" customHeight="1">
      <c r="B114" s="1538"/>
      <c r="C114" s="1566"/>
      <c r="D114" s="1538"/>
      <c r="E114" s="1149"/>
      <c r="I114" s="471"/>
      <c r="J114" s="731"/>
      <c r="K114" s="498"/>
    </row>
    <row r="115" ht="15.75" customHeight="1">
      <c r="B115" s="1538"/>
      <c r="C115" s="1566"/>
      <c r="D115" s="1538"/>
      <c r="E115" s="1149"/>
      <c r="I115" s="471"/>
      <c r="J115" s="731"/>
      <c r="K115" s="498"/>
    </row>
    <row r="116" ht="15.75" customHeight="1">
      <c r="B116" s="1538"/>
      <c r="C116" s="1566"/>
      <c r="D116" s="1538"/>
      <c r="E116" s="1149"/>
      <c r="I116" s="471"/>
      <c r="J116" s="731"/>
      <c r="K116" s="498"/>
    </row>
    <row r="117" ht="15.75" customHeight="1">
      <c r="B117" s="1538"/>
      <c r="C117" s="1566"/>
      <c r="D117" s="1538"/>
      <c r="E117" s="1149"/>
      <c r="I117" s="471"/>
      <c r="J117" s="731"/>
      <c r="K117" s="498"/>
    </row>
    <row r="118" ht="15.75" customHeight="1">
      <c r="B118" s="1538"/>
      <c r="C118" s="1566"/>
      <c r="D118" s="1538"/>
      <c r="E118" s="1149"/>
      <c r="I118" s="471"/>
      <c r="J118" s="731"/>
      <c r="K118" s="498"/>
    </row>
    <row r="119" ht="15.75" customHeight="1">
      <c r="B119" s="1538"/>
      <c r="C119" s="1566"/>
      <c r="D119" s="1538"/>
      <c r="E119" s="1149"/>
      <c r="I119" s="471"/>
      <c r="J119" s="731"/>
      <c r="K119" s="498"/>
    </row>
    <row r="120" ht="15.75" customHeight="1">
      <c r="B120" s="1538"/>
      <c r="C120" s="1566"/>
      <c r="D120" s="1538"/>
      <c r="E120" s="1149"/>
      <c r="I120" s="471"/>
      <c r="J120" s="731"/>
      <c r="K120" s="498"/>
    </row>
    <row r="121" ht="15.75" customHeight="1">
      <c r="B121" s="1538"/>
      <c r="C121" s="1566"/>
      <c r="D121" s="1538"/>
      <c r="E121" s="1149"/>
      <c r="I121" s="471"/>
      <c r="J121" s="731"/>
      <c r="K121" s="498"/>
    </row>
    <row r="122" ht="15.75" customHeight="1">
      <c r="B122" s="1538"/>
      <c r="C122" s="1566"/>
      <c r="D122" s="1538"/>
      <c r="E122" s="1149"/>
      <c r="I122" s="471"/>
      <c r="J122" s="731"/>
      <c r="K122" s="498"/>
    </row>
    <row r="123" ht="15.75" customHeight="1">
      <c r="B123" s="1538"/>
      <c r="C123" s="1566"/>
      <c r="D123" s="1538"/>
      <c r="E123" s="1149"/>
      <c r="I123" s="471"/>
      <c r="J123" s="731"/>
      <c r="K123" s="498"/>
    </row>
    <row r="124" ht="15.75" customHeight="1">
      <c r="B124" s="1538"/>
      <c r="C124" s="1566"/>
      <c r="D124" s="1538"/>
      <c r="E124" s="1149"/>
      <c r="I124" s="471"/>
      <c r="J124" s="731"/>
      <c r="K124" s="498"/>
    </row>
    <row r="125" ht="15.75" customHeight="1">
      <c r="B125" s="1538"/>
      <c r="C125" s="1566"/>
      <c r="D125" s="1538"/>
      <c r="E125" s="1149"/>
      <c r="I125" s="471"/>
      <c r="J125" s="731"/>
      <c r="K125" s="498"/>
    </row>
    <row r="126" ht="15.75" customHeight="1">
      <c r="B126" s="1538"/>
      <c r="C126" s="1566"/>
      <c r="D126" s="1538"/>
      <c r="E126" s="1149"/>
      <c r="I126" s="471"/>
      <c r="J126" s="731"/>
      <c r="K126" s="498"/>
    </row>
    <row r="127" ht="15.75" customHeight="1">
      <c r="B127" s="1538"/>
      <c r="C127" s="1566"/>
      <c r="D127" s="1538"/>
      <c r="E127" s="1149"/>
      <c r="I127" s="471"/>
      <c r="J127" s="731"/>
      <c r="K127" s="498"/>
    </row>
    <row r="128" ht="15.75" customHeight="1">
      <c r="B128" s="1538"/>
      <c r="C128" s="1566"/>
      <c r="D128" s="1538"/>
      <c r="E128" s="1149"/>
      <c r="I128" s="471"/>
      <c r="J128" s="731"/>
      <c r="K128" s="498"/>
    </row>
    <row r="129" ht="15.75" customHeight="1">
      <c r="B129" s="1538"/>
      <c r="C129" s="1566"/>
      <c r="D129" s="1538"/>
      <c r="E129" s="1149"/>
      <c r="I129" s="471"/>
      <c r="J129" s="731"/>
      <c r="K129" s="498"/>
    </row>
    <row r="130" ht="15.75" customHeight="1">
      <c r="B130" s="1538"/>
      <c r="C130" s="1566"/>
      <c r="D130" s="1538"/>
      <c r="E130" s="1149"/>
      <c r="I130" s="471"/>
      <c r="J130" s="731"/>
      <c r="K130" s="498"/>
    </row>
    <row r="131" ht="15.75" customHeight="1">
      <c r="B131" s="1538"/>
      <c r="C131" s="1566"/>
      <c r="D131" s="1538"/>
      <c r="E131" s="1149"/>
      <c r="I131" s="471"/>
      <c r="J131" s="731"/>
      <c r="K131" s="498"/>
    </row>
    <row r="132" ht="15.75" customHeight="1">
      <c r="B132" s="1538"/>
      <c r="C132" s="1566"/>
      <c r="D132" s="1538"/>
      <c r="E132" s="1149"/>
      <c r="I132" s="471"/>
      <c r="J132" s="731"/>
      <c r="K132" s="498"/>
    </row>
    <row r="133" ht="15.75" customHeight="1">
      <c r="B133" s="1538"/>
      <c r="C133" s="1566"/>
      <c r="D133" s="1538"/>
      <c r="E133" s="1149"/>
      <c r="I133" s="471"/>
      <c r="J133" s="731"/>
      <c r="K133" s="498"/>
    </row>
    <row r="134" ht="15.75" customHeight="1">
      <c r="B134" s="1538"/>
      <c r="C134" s="1566"/>
      <c r="D134" s="1538"/>
      <c r="E134" s="1149"/>
      <c r="I134" s="471"/>
      <c r="J134" s="731"/>
      <c r="K134" s="498"/>
    </row>
    <row r="135" ht="15.75" customHeight="1">
      <c r="B135" s="1538"/>
      <c r="C135" s="1566"/>
      <c r="D135" s="1538"/>
      <c r="E135" s="1149"/>
      <c r="I135" s="471"/>
      <c r="J135" s="731"/>
      <c r="K135" s="498"/>
    </row>
    <row r="136" ht="15.75" customHeight="1">
      <c r="B136" s="1538"/>
      <c r="C136" s="1566"/>
      <c r="D136" s="1538"/>
      <c r="E136" s="1149"/>
      <c r="I136" s="471"/>
      <c r="J136" s="731"/>
      <c r="K136" s="498"/>
    </row>
    <row r="137" ht="15.75" customHeight="1">
      <c r="B137" s="1538"/>
      <c r="C137" s="1566"/>
      <c r="D137" s="1538"/>
      <c r="E137" s="1149"/>
      <c r="I137" s="471"/>
      <c r="J137" s="731"/>
      <c r="K137" s="498"/>
    </row>
    <row r="138" ht="15.75" customHeight="1">
      <c r="B138" s="1538"/>
      <c r="C138" s="1566"/>
      <c r="D138" s="1538"/>
      <c r="E138" s="1149"/>
      <c r="I138" s="471"/>
      <c r="J138" s="731"/>
      <c r="K138" s="498"/>
    </row>
    <row r="139" ht="15.75" customHeight="1">
      <c r="B139" s="1538"/>
      <c r="C139" s="1566"/>
      <c r="D139" s="1538"/>
      <c r="E139" s="1149"/>
      <c r="I139" s="471"/>
      <c r="J139" s="731"/>
      <c r="K139" s="498"/>
    </row>
    <row r="140" ht="15.75" customHeight="1">
      <c r="B140" s="1538"/>
      <c r="C140" s="1566"/>
      <c r="D140" s="1538"/>
      <c r="E140" s="1149"/>
      <c r="I140" s="471"/>
      <c r="J140" s="731"/>
      <c r="K140" s="498"/>
    </row>
    <row r="141" ht="15.75" customHeight="1">
      <c r="B141" s="1538"/>
      <c r="C141" s="1566"/>
      <c r="D141" s="1538"/>
      <c r="E141" s="1149"/>
      <c r="I141" s="471"/>
      <c r="J141" s="731"/>
      <c r="K141" s="498"/>
    </row>
    <row r="142" ht="15.75" customHeight="1">
      <c r="B142" s="1538"/>
      <c r="C142" s="1566"/>
      <c r="D142" s="1538"/>
      <c r="E142" s="1149"/>
      <c r="I142" s="471"/>
      <c r="J142" s="731"/>
      <c r="K142" s="498"/>
    </row>
    <row r="143" ht="15.75" customHeight="1">
      <c r="B143" s="1538"/>
      <c r="C143" s="1566"/>
      <c r="D143" s="1538"/>
      <c r="E143" s="1149"/>
      <c r="I143" s="471"/>
      <c r="J143" s="731"/>
      <c r="K143" s="498"/>
    </row>
    <row r="144" ht="15.75" customHeight="1">
      <c r="B144" s="1538"/>
      <c r="C144" s="1566"/>
      <c r="D144" s="1538"/>
      <c r="E144" s="1149"/>
      <c r="I144" s="471"/>
      <c r="J144" s="731"/>
      <c r="K144" s="498"/>
    </row>
    <row r="145" ht="15.75" customHeight="1">
      <c r="B145" s="1538"/>
      <c r="C145" s="1566"/>
      <c r="D145" s="1538"/>
      <c r="E145" s="1149"/>
      <c r="I145" s="471"/>
      <c r="J145" s="731"/>
      <c r="K145" s="498"/>
    </row>
    <row r="146" ht="15.75" customHeight="1">
      <c r="B146" s="1538"/>
      <c r="C146" s="1566"/>
      <c r="D146" s="1538"/>
      <c r="E146" s="1149"/>
      <c r="I146" s="471"/>
      <c r="J146" s="731"/>
      <c r="K146" s="498"/>
    </row>
    <row r="147" ht="15.75" customHeight="1">
      <c r="B147" s="1538"/>
      <c r="C147" s="1566"/>
      <c r="D147" s="1538"/>
      <c r="E147" s="1149"/>
      <c r="I147" s="471"/>
      <c r="J147" s="731"/>
      <c r="K147" s="498"/>
    </row>
    <row r="148" ht="15.75" customHeight="1">
      <c r="B148" s="1538"/>
      <c r="C148" s="1566"/>
      <c r="D148" s="1538"/>
      <c r="E148" s="1149"/>
      <c r="I148" s="471"/>
      <c r="J148" s="731"/>
      <c r="K148" s="498"/>
    </row>
    <row r="149" ht="15.75" customHeight="1">
      <c r="B149" s="1538"/>
      <c r="C149" s="1566"/>
      <c r="D149" s="1538"/>
      <c r="E149" s="1149"/>
      <c r="I149" s="471"/>
      <c r="J149" s="731"/>
      <c r="K149" s="498"/>
    </row>
    <row r="150" ht="15.75" customHeight="1">
      <c r="B150" s="1538"/>
      <c r="C150" s="1566"/>
      <c r="D150" s="1538"/>
      <c r="E150" s="1149"/>
      <c r="I150" s="471"/>
      <c r="J150" s="731"/>
      <c r="K150" s="498"/>
    </row>
    <row r="151" ht="15.75" customHeight="1">
      <c r="B151" s="1538"/>
      <c r="C151" s="1566"/>
      <c r="D151" s="1538"/>
      <c r="E151" s="1149"/>
      <c r="I151" s="471"/>
      <c r="J151" s="731"/>
      <c r="K151" s="498"/>
    </row>
    <row r="152" ht="15.75" customHeight="1">
      <c r="B152" s="1538"/>
      <c r="C152" s="1566"/>
      <c r="D152" s="1538"/>
      <c r="E152" s="1149"/>
      <c r="I152" s="471"/>
      <c r="J152" s="731"/>
      <c r="K152" s="498"/>
    </row>
    <row r="153" ht="15.75" customHeight="1">
      <c r="B153" s="1538"/>
      <c r="C153" s="1566"/>
      <c r="D153" s="1538"/>
      <c r="E153" s="1149"/>
      <c r="I153" s="471"/>
      <c r="J153" s="731"/>
      <c r="K153" s="498"/>
    </row>
    <row r="154" ht="15.75" customHeight="1">
      <c r="B154" s="1538"/>
      <c r="C154" s="1566"/>
      <c r="D154" s="1538"/>
      <c r="E154" s="1149"/>
      <c r="I154" s="471"/>
      <c r="J154" s="731"/>
      <c r="K154" s="498"/>
    </row>
    <row r="155" ht="15.75" customHeight="1">
      <c r="B155" s="1538"/>
      <c r="C155" s="1566"/>
      <c r="D155" s="1538"/>
      <c r="E155" s="1149"/>
      <c r="I155" s="471"/>
      <c r="J155" s="731"/>
      <c r="K155" s="498"/>
    </row>
    <row r="156" ht="15.75" customHeight="1">
      <c r="B156" s="1538"/>
      <c r="C156" s="1566"/>
      <c r="D156" s="1538"/>
      <c r="E156" s="1149"/>
      <c r="I156" s="471"/>
      <c r="J156" s="731"/>
      <c r="K156" s="498"/>
    </row>
    <row r="157" ht="15.75" customHeight="1">
      <c r="B157" s="1538"/>
      <c r="C157" s="1566"/>
      <c r="D157" s="1538"/>
      <c r="E157" s="1149"/>
      <c r="I157" s="471"/>
      <c r="J157" s="731"/>
      <c r="K157" s="498"/>
    </row>
    <row r="158" ht="15.75" customHeight="1">
      <c r="B158" s="1538"/>
      <c r="C158" s="1566"/>
      <c r="D158" s="1538"/>
      <c r="E158" s="1149"/>
      <c r="I158" s="471"/>
      <c r="J158" s="731"/>
      <c r="K158" s="498"/>
    </row>
    <row r="159" ht="15.75" customHeight="1">
      <c r="B159" s="1538"/>
      <c r="C159" s="1566"/>
      <c r="D159" s="1538"/>
      <c r="E159" s="1149"/>
      <c r="I159" s="471"/>
      <c r="J159" s="731"/>
      <c r="K159" s="498"/>
    </row>
    <row r="160" ht="15.75" customHeight="1">
      <c r="B160" s="1538"/>
      <c r="C160" s="1566"/>
      <c r="D160" s="1538"/>
      <c r="E160" s="1149"/>
      <c r="I160" s="471"/>
      <c r="J160" s="731"/>
      <c r="K160" s="498"/>
    </row>
    <row r="161" ht="15.75" customHeight="1">
      <c r="B161" s="1538"/>
      <c r="C161" s="1566"/>
      <c r="D161" s="1538"/>
      <c r="E161" s="1149"/>
      <c r="I161" s="471"/>
      <c r="J161" s="731"/>
      <c r="K161" s="498"/>
    </row>
    <row r="162" ht="15.75" customHeight="1">
      <c r="B162" s="1538"/>
      <c r="C162" s="1566"/>
      <c r="D162" s="1538"/>
      <c r="E162" s="1149"/>
      <c r="I162" s="471"/>
      <c r="J162" s="731"/>
      <c r="K162" s="498"/>
    </row>
    <row r="163" ht="15.75" customHeight="1">
      <c r="B163" s="1538"/>
      <c r="C163" s="1566"/>
      <c r="D163" s="1538"/>
      <c r="E163" s="1149"/>
      <c r="I163" s="471"/>
      <c r="J163" s="731"/>
      <c r="K163" s="498"/>
    </row>
    <row r="164" ht="15.75" customHeight="1">
      <c r="B164" s="1538"/>
      <c r="C164" s="1566"/>
      <c r="D164" s="1538"/>
      <c r="E164" s="1149"/>
      <c r="I164" s="471"/>
      <c r="J164" s="731"/>
      <c r="K164" s="498"/>
    </row>
    <row r="165" ht="15.75" customHeight="1">
      <c r="B165" s="1538"/>
      <c r="C165" s="1566"/>
      <c r="D165" s="1538"/>
      <c r="E165" s="1149"/>
      <c r="I165" s="471"/>
      <c r="J165" s="731"/>
      <c r="K165" s="498"/>
    </row>
    <row r="166" ht="15.75" customHeight="1">
      <c r="B166" s="1538"/>
      <c r="C166" s="1566"/>
      <c r="D166" s="1538"/>
      <c r="E166" s="1149"/>
      <c r="I166" s="471"/>
      <c r="J166" s="731"/>
      <c r="K166" s="498"/>
    </row>
    <row r="167" ht="15.75" customHeight="1">
      <c r="B167" s="1538"/>
      <c r="C167" s="1566"/>
      <c r="D167" s="1538"/>
      <c r="E167" s="1149"/>
      <c r="I167" s="471"/>
      <c r="J167" s="731"/>
      <c r="K167" s="498"/>
    </row>
    <row r="168" ht="15.75" customHeight="1">
      <c r="B168" s="1538"/>
      <c r="C168" s="1566"/>
      <c r="D168" s="1538"/>
      <c r="E168" s="1149"/>
      <c r="I168" s="471"/>
      <c r="J168" s="731"/>
      <c r="K168" s="498"/>
    </row>
    <row r="169" ht="15.75" customHeight="1">
      <c r="B169" s="1538"/>
      <c r="C169" s="1566"/>
      <c r="D169" s="1538"/>
      <c r="E169" s="1149"/>
      <c r="I169" s="471"/>
      <c r="J169" s="731"/>
      <c r="K169" s="498"/>
    </row>
    <row r="170" ht="15.75" customHeight="1">
      <c r="B170" s="1538"/>
      <c r="C170" s="1566"/>
      <c r="D170" s="1538"/>
      <c r="E170" s="1149"/>
      <c r="I170" s="471"/>
      <c r="J170" s="731"/>
      <c r="K170" s="498"/>
    </row>
    <row r="171" ht="15.75" customHeight="1">
      <c r="B171" s="1538"/>
      <c r="C171" s="1566"/>
      <c r="D171" s="1538"/>
      <c r="E171" s="1149"/>
      <c r="I171" s="471"/>
      <c r="J171" s="731"/>
      <c r="K171" s="498"/>
    </row>
    <row r="172" ht="15.75" customHeight="1">
      <c r="B172" s="1538"/>
      <c r="C172" s="1566"/>
      <c r="D172" s="1538"/>
      <c r="E172" s="1149"/>
      <c r="I172" s="471"/>
      <c r="J172" s="731"/>
      <c r="K172" s="498"/>
    </row>
    <row r="173" ht="15.75" customHeight="1">
      <c r="B173" s="1538"/>
      <c r="C173" s="1566"/>
      <c r="D173" s="1538"/>
      <c r="E173" s="1149"/>
      <c r="I173" s="471"/>
      <c r="J173" s="731"/>
      <c r="K173" s="498"/>
    </row>
    <row r="174" ht="15.75" customHeight="1">
      <c r="B174" s="1538"/>
      <c r="C174" s="1566"/>
      <c r="D174" s="1538"/>
      <c r="E174" s="1149"/>
      <c r="I174" s="471"/>
      <c r="J174" s="731"/>
      <c r="K174" s="498"/>
    </row>
    <row r="175" ht="15.75" customHeight="1">
      <c r="B175" s="1538"/>
      <c r="C175" s="1566"/>
      <c r="D175" s="1538"/>
      <c r="E175" s="1149"/>
      <c r="I175" s="471"/>
      <c r="J175" s="731"/>
      <c r="K175" s="498"/>
    </row>
    <row r="176" ht="15.75" customHeight="1">
      <c r="B176" s="1538"/>
      <c r="C176" s="1566"/>
      <c r="D176" s="1538"/>
      <c r="E176" s="1149"/>
      <c r="I176" s="471"/>
      <c r="J176" s="731"/>
      <c r="K176" s="498"/>
    </row>
    <row r="177" ht="15.75" customHeight="1">
      <c r="B177" s="1538"/>
      <c r="C177" s="1566"/>
      <c r="D177" s="1538"/>
      <c r="E177" s="1149"/>
      <c r="I177" s="471"/>
      <c r="J177" s="731"/>
      <c r="K177" s="498"/>
    </row>
    <row r="178" ht="15.75" customHeight="1">
      <c r="B178" s="1538"/>
      <c r="C178" s="1566"/>
      <c r="D178" s="1538"/>
      <c r="E178" s="1149"/>
      <c r="I178" s="471"/>
      <c r="J178" s="731"/>
      <c r="K178" s="498"/>
    </row>
    <row r="179" ht="15.75" customHeight="1">
      <c r="B179" s="1538"/>
      <c r="C179" s="1566"/>
      <c r="D179" s="1538"/>
      <c r="E179" s="1149"/>
      <c r="I179" s="471"/>
      <c r="J179" s="731"/>
      <c r="K179" s="498"/>
    </row>
    <row r="180" ht="15.75" customHeight="1">
      <c r="B180" s="1538"/>
      <c r="C180" s="1566"/>
      <c r="D180" s="1538"/>
      <c r="E180" s="1149"/>
      <c r="I180" s="471"/>
      <c r="J180" s="731"/>
      <c r="K180" s="498"/>
    </row>
    <row r="181" ht="15.75" customHeight="1">
      <c r="B181" s="1538"/>
      <c r="C181" s="1566"/>
      <c r="D181" s="1538"/>
      <c r="E181" s="1149"/>
      <c r="I181" s="471"/>
      <c r="J181" s="731"/>
      <c r="K181" s="498"/>
    </row>
    <row r="182" ht="15.75" customHeight="1">
      <c r="B182" s="1538"/>
      <c r="C182" s="1566"/>
      <c r="D182" s="1538"/>
      <c r="E182" s="1149"/>
      <c r="I182" s="471"/>
      <c r="J182" s="731"/>
      <c r="K182" s="498"/>
    </row>
    <row r="183" ht="15.75" customHeight="1">
      <c r="B183" s="1538"/>
      <c r="C183" s="1566"/>
      <c r="D183" s="1538"/>
      <c r="E183" s="1149"/>
      <c r="I183" s="471"/>
      <c r="J183" s="731"/>
      <c r="K183" s="498"/>
    </row>
    <row r="184" ht="15.75" customHeight="1">
      <c r="B184" s="1538"/>
      <c r="C184" s="1566"/>
      <c r="D184" s="1538"/>
      <c r="E184" s="1149"/>
      <c r="I184" s="471"/>
      <c r="J184" s="731"/>
      <c r="K184" s="498"/>
    </row>
    <row r="185" ht="15.75" customHeight="1">
      <c r="B185" s="1538"/>
      <c r="C185" s="1566"/>
      <c r="D185" s="1538"/>
      <c r="E185" s="1149"/>
      <c r="I185" s="471"/>
      <c r="J185" s="731"/>
      <c r="K185" s="498"/>
    </row>
    <row r="186" ht="15.75" customHeight="1">
      <c r="B186" s="1538"/>
      <c r="C186" s="1566"/>
      <c r="D186" s="1538"/>
      <c r="E186" s="1149"/>
      <c r="I186" s="471"/>
      <c r="J186" s="731"/>
      <c r="K186" s="498"/>
    </row>
    <row r="187" ht="15.75" customHeight="1">
      <c r="B187" s="1538"/>
      <c r="C187" s="1566"/>
      <c r="D187" s="1538"/>
      <c r="E187" s="1149"/>
      <c r="I187" s="471"/>
      <c r="J187" s="731"/>
      <c r="K187" s="498"/>
    </row>
    <row r="188" ht="15.75" customHeight="1">
      <c r="B188" s="1538"/>
      <c r="C188" s="1566"/>
      <c r="D188" s="1538"/>
      <c r="E188" s="1149"/>
      <c r="I188" s="471"/>
      <c r="J188" s="731"/>
      <c r="K188" s="498"/>
    </row>
    <row r="189" ht="15.75" customHeight="1">
      <c r="B189" s="1538"/>
      <c r="C189" s="1566"/>
      <c r="D189" s="1538"/>
      <c r="E189" s="1149"/>
      <c r="I189" s="471"/>
      <c r="J189" s="731"/>
      <c r="K189" s="498"/>
    </row>
    <row r="190" ht="15.75" customHeight="1">
      <c r="B190" s="1538"/>
      <c r="C190" s="1566"/>
      <c r="D190" s="1538"/>
      <c r="E190" s="1149"/>
      <c r="I190" s="471"/>
      <c r="J190" s="731"/>
      <c r="K190" s="498"/>
    </row>
    <row r="191" ht="15.75" customHeight="1">
      <c r="B191" s="1538"/>
      <c r="C191" s="1566"/>
      <c r="D191" s="1538"/>
      <c r="E191" s="1149"/>
      <c r="I191" s="471"/>
      <c r="J191" s="731"/>
      <c r="K191" s="498"/>
    </row>
    <row r="192" ht="15.75" customHeight="1">
      <c r="B192" s="1538"/>
      <c r="C192" s="1566"/>
      <c r="D192" s="1538"/>
      <c r="E192" s="1149"/>
      <c r="I192" s="471"/>
      <c r="J192" s="731"/>
      <c r="K192" s="498"/>
    </row>
    <row r="193" ht="15.75" customHeight="1">
      <c r="B193" s="1538"/>
      <c r="C193" s="1566"/>
      <c r="D193" s="1538"/>
      <c r="E193" s="1149"/>
      <c r="I193" s="471"/>
      <c r="J193" s="731"/>
      <c r="K193" s="498"/>
    </row>
    <row r="194" ht="15.75" customHeight="1">
      <c r="B194" s="1538"/>
      <c r="C194" s="1566"/>
      <c r="D194" s="1538"/>
      <c r="E194" s="1149"/>
      <c r="I194" s="471"/>
      <c r="J194" s="731"/>
      <c r="K194" s="498"/>
    </row>
    <row r="195" ht="15.75" customHeight="1">
      <c r="B195" s="1538"/>
      <c r="C195" s="1566"/>
      <c r="D195" s="1538"/>
      <c r="E195" s="1149"/>
      <c r="I195" s="471"/>
      <c r="J195" s="731"/>
      <c r="K195" s="498"/>
    </row>
    <row r="196" ht="15.75" customHeight="1">
      <c r="B196" s="1538"/>
      <c r="C196" s="1566"/>
      <c r="D196" s="1538"/>
      <c r="E196" s="1149"/>
      <c r="I196" s="471"/>
      <c r="J196" s="731"/>
      <c r="K196" s="498"/>
    </row>
    <row r="197" ht="15.75" customHeight="1">
      <c r="B197" s="1538"/>
      <c r="C197" s="1566"/>
      <c r="D197" s="1538"/>
      <c r="E197" s="1149"/>
      <c r="I197" s="471"/>
      <c r="J197" s="731"/>
      <c r="K197" s="498"/>
    </row>
    <row r="198" ht="15.75" customHeight="1">
      <c r="B198" s="1538"/>
      <c r="C198" s="1566"/>
      <c r="D198" s="1538"/>
      <c r="E198" s="1149"/>
      <c r="I198" s="471"/>
      <c r="J198" s="731"/>
      <c r="K198" s="498"/>
    </row>
    <row r="199" ht="15.75" customHeight="1">
      <c r="B199" s="1538"/>
      <c r="C199" s="1566"/>
      <c r="D199" s="1538"/>
      <c r="E199" s="1149"/>
      <c r="I199" s="471"/>
      <c r="J199" s="731"/>
      <c r="K199" s="498"/>
    </row>
    <row r="200" ht="15.75" customHeight="1">
      <c r="B200" s="1538"/>
      <c r="C200" s="1566"/>
      <c r="D200" s="1538"/>
      <c r="E200" s="1149"/>
      <c r="I200" s="471"/>
      <c r="J200" s="731"/>
      <c r="K200" s="498"/>
    </row>
    <row r="201" ht="15.75" customHeight="1">
      <c r="B201" s="1538"/>
      <c r="C201" s="1566"/>
      <c r="D201" s="1538"/>
      <c r="E201" s="1149"/>
      <c r="I201" s="471"/>
      <c r="J201" s="731"/>
      <c r="K201" s="498"/>
    </row>
    <row r="202" ht="15.75" customHeight="1">
      <c r="B202" s="1538"/>
      <c r="C202" s="1566"/>
      <c r="D202" s="1538"/>
      <c r="E202" s="1149"/>
      <c r="I202" s="471"/>
      <c r="J202" s="731"/>
      <c r="K202" s="498"/>
    </row>
    <row r="203" ht="15.75" customHeight="1">
      <c r="B203" s="1538"/>
      <c r="C203" s="1566"/>
      <c r="D203" s="1538"/>
      <c r="E203" s="1149"/>
      <c r="I203" s="471"/>
      <c r="J203" s="731"/>
      <c r="K203" s="498"/>
    </row>
    <row r="204" ht="15.75" customHeight="1">
      <c r="B204" s="1538"/>
      <c r="C204" s="1566"/>
      <c r="D204" s="1538"/>
      <c r="E204" s="1149"/>
      <c r="I204" s="471"/>
      <c r="J204" s="731"/>
      <c r="K204" s="498"/>
    </row>
    <row r="205" ht="15.75" customHeight="1">
      <c r="B205" s="1538"/>
      <c r="C205" s="1566"/>
      <c r="D205" s="1538"/>
      <c r="E205" s="1149"/>
      <c r="I205" s="471"/>
      <c r="J205" s="731"/>
      <c r="K205" s="498"/>
    </row>
    <row r="206" ht="15.75" customHeight="1">
      <c r="B206" s="1538"/>
      <c r="C206" s="1566"/>
      <c r="D206" s="1538"/>
      <c r="E206" s="1149"/>
      <c r="I206" s="471"/>
      <c r="J206" s="731"/>
      <c r="K206" s="498"/>
    </row>
    <row r="207" ht="15.75" customHeight="1">
      <c r="B207" s="1538"/>
      <c r="C207" s="1566"/>
      <c r="D207" s="1538"/>
      <c r="E207" s="1149"/>
      <c r="I207" s="471"/>
      <c r="J207" s="731"/>
      <c r="K207" s="498"/>
    </row>
    <row r="208" ht="15.75" customHeight="1">
      <c r="B208" s="1538"/>
      <c r="C208" s="1566"/>
      <c r="D208" s="1538"/>
      <c r="E208" s="1149"/>
      <c r="I208" s="471"/>
      <c r="J208" s="731"/>
      <c r="K208" s="498"/>
    </row>
    <row r="209" ht="15.75" customHeight="1">
      <c r="B209" s="1538"/>
      <c r="C209" s="1566"/>
      <c r="D209" s="1538"/>
      <c r="E209" s="1149"/>
      <c r="I209" s="471"/>
      <c r="J209" s="731"/>
      <c r="K209" s="498"/>
    </row>
    <row r="210" ht="15.75" customHeight="1">
      <c r="B210" s="1538"/>
      <c r="C210" s="1566"/>
      <c r="D210" s="1538"/>
      <c r="E210" s="1149"/>
      <c r="I210" s="471"/>
      <c r="J210" s="731"/>
      <c r="K210" s="498"/>
    </row>
    <row r="211" ht="15.75" customHeight="1">
      <c r="B211" s="1538"/>
      <c r="C211" s="1566"/>
      <c r="D211" s="1538"/>
      <c r="E211" s="1149"/>
      <c r="I211" s="471"/>
      <c r="J211" s="731"/>
      <c r="K211" s="498"/>
    </row>
    <row r="212" ht="15.75" customHeight="1">
      <c r="B212" s="1538"/>
      <c r="C212" s="1566"/>
      <c r="D212" s="1538"/>
      <c r="E212" s="1149"/>
      <c r="I212" s="471"/>
      <c r="J212" s="731"/>
      <c r="K212" s="498"/>
    </row>
    <row r="213" ht="15.75" customHeight="1">
      <c r="B213" s="1538"/>
      <c r="C213" s="1566"/>
      <c r="D213" s="1538"/>
      <c r="E213" s="1149"/>
      <c r="I213" s="471"/>
      <c r="J213" s="731"/>
      <c r="K213" s="498"/>
    </row>
    <row r="214" ht="15.75" customHeight="1">
      <c r="B214" s="1538"/>
      <c r="C214" s="1566"/>
      <c r="D214" s="1538"/>
      <c r="E214" s="1149"/>
      <c r="I214" s="471"/>
      <c r="J214" s="731"/>
      <c r="K214" s="498"/>
    </row>
    <row r="215" ht="15.75" customHeight="1">
      <c r="B215" s="1538"/>
      <c r="C215" s="1566"/>
      <c r="D215" s="1538"/>
      <c r="E215" s="1149"/>
      <c r="I215" s="471"/>
      <c r="J215" s="731"/>
      <c r="K215" s="498"/>
    </row>
    <row r="216" ht="15.75" customHeight="1">
      <c r="B216" s="1538"/>
      <c r="C216" s="1566"/>
      <c r="D216" s="1538"/>
      <c r="E216" s="1149"/>
      <c r="I216" s="471"/>
      <c r="J216" s="731"/>
      <c r="K216" s="498"/>
    </row>
    <row r="217" ht="15.75" customHeight="1">
      <c r="B217" s="1538"/>
      <c r="C217" s="1566"/>
      <c r="D217" s="1538"/>
      <c r="E217" s="1149"/>
      <c r="I217" s="471"/>
      <c r="J217" s="731"/>
      <c r="K217" s="498"/>
    </row>
    <row r="218" ht="15.75" customHeight="1">
      <c r="B218" s="1538"/>
      <c r="C218" s="1566"/>
      <c r="D218" s="1538"/>
      <c r="E218" s="1149"/>
      <c r="I218" s="471"/>
      <c r="J218" s="731"/>
      <c r="K218" s="498"/>
    </row>
    <row r="219" ht="15.75" customHeight="1">
      <c r="B219" s="1538"/>
      <c r="C219" s="1566"/>
      <c r="D219" s="1538"/>
      <c r="E219" s="1149"/>
      <c r="I219" s="471"/>
      <c r="J219" s="731"/>
      <c r="K219" s="498"/>
    </row>
    <row r="220" ht="15.75" customHeight="1">
      <c r="B220" s="1538"/>
      <c r="C220" s="1566"/>
      <c r="D220" s="1538"/>
      <c r="E220" s="1149"/>
      <c r="I220" s="471"/>
      <c r="J220" s="731"/>
      <c r="K220" s="498"/>
    </row>
    <row r="221" ht="15.75" customHeight="1">
      <c r="B221" s="1538"/>
      <c r="C221" s="1566"/>
      <c r="D221" s="1538"/>
      <c r="E221" s="1149"/>
      <c r="I221" s="471"/>
      <c r="J221" s="731"/>
      <c r="K221" s="498"/>
    </row>
    <row r="222" ht="15.75" customHeight="1">
      <c r="B222" s="1538"/>
      <c r="C222" s="1566"/>
      <c r="D222" s="1538"/>
      <c r="E222" s="1149"/>
      <c r="I222" s="471"/>
      <c r="J222" s="731"/>
      <c r="K222" s="498"/>
    </row>
    <row r="223" ht="15.75" customHeight="1">
      <c r="B223" s="1538"/>
      <c r="C223" s="1566"/>
      <c r="D223" s="1538"/>
      <c r="E223" s="1149"/>
      <c r="I223" s="471"/>
      <c r="J223" s="731"/>
      <c r="K223" s="498"/>
    </row>
    <row r="224" ht="15.75" customHeight="1">
      <c r="B224" s="1538"/>
      <c r="C224" s="1566"/>
      <c r="D224" s="1538"/>
      <c r="E224" s="1149"/>
      <c r="I224" s="471"/>
      <c r="J224" s="731"/>
      <c r="K224" s="498"/>
    </row>
    <row r="225" ht="15.75" customHeight="1">
      <c r="B225" s="1538"/>
      <c r="C225" s="1566"/>
      <c r="D225" s="1538"/>
      <c r="E225" s="1149"/>
      <c r="I225" s="471"/>
      <c r="J225" s="731"/>
      <c r="K225" s="498"/>
    </row>
    <row r="226" ht="15.75" customHeight="1">
      <c r="B226" s="1538"/>
      <c r="C226" s="1566"/>
      <c r="D226" s="1538"/>
      <c r="E226" s="1149"/>
      <c r="I226" s="471"/>
      <c r="J226" s="731"/>
      <c r="K226" s="498"/>
    </row>
    <row r="227" ht="15.75" customHeight="1">
      <c r="B227" s="1538"/>
      <c r="C227" s="1566"/>
      <c r="D227" s="1538"/>
      <c r="E227" s="1149"/>
      <c r="I227" s="471"/>
      <c r="J227" s="731"/>
      <c r="K227" s="498"/>
    </row>
    <row r="228" ht="15.75" customHeight="1">
      <c r="B228" s="1538"/>
      <c r="C228" s="1566"/>
      <c r="D228" s="1538"/>
      <c r="E228" s="1149"/>
      <c r="I228" s="471"/>
      <c r="J228" s="731"/>
      <c r="K228" s="498"/>
    </row>
    <row r="229" ht="15.75" customHeight="1">
      <c r="B229" s="1538"/>
      <c r="C229" s="1566"/>
      <c r="D229" s="1538"/>
      <c r="E229" s="1149"/>
      <c r="I229" s="471"/>
      <c r="J229" s="731"/>
      <c r="K229" s="498"/>
    </row>
    <row r="230" ht="15.75" customHeight="1">
      <c r="B230" s="1538"/>
      <c r="C230" s="1566"/>
      <c r="D230" s="1538"/>
      <c r="E230" s="1149"/>
      <c r="I230" s="471"/>
      <c r="J230" s="731"/>
      <c r="K230" s="498"/>
    </row>
    <row r="231" ht="15.75" customHeight="1">
      <c r="B231" s="1538"/>
      <c r="C231" s="1566"/>
      <c r="D231" s="1538"/>
      <c r="E231" s="1149"/>
      <c r="I231" s="471"/>
      <c r="J231" s="731"/>
      <c r="K231" s="498"/>
    </row>
    <row r="232" ht="15.75" customHeight="1">
      <c r="B232" s="1538"/>
      <c r="C232" s="1566"/>
      <c r="D232" s="1538"/>
      <c r="E232" s="1149"/>
      <c r="I232" s="471"/>
      <c r="J232" s="731"/>
      <c r="K232" s="498"/>
    </row>
    <row r="233" ht="15.75" customHeight="1">
      <c r="B233" s="1538"/>
      <c r="C233" s="1566"/>
      <c r="D233" s="1538"/>
      <c r="E233" s="1149"/>
      <c r="I233" s="471"/>
      <c r="J233" s="731"/>
      <c r="K233" s="498"/>
    </row>
    <row r="234" ht="15.75" customHeight="1">
      <c r="B234" s="1538"/>
      <c r="C234" s="1566"/>
      <c r="D234" s="1538"/>
      <c r="E234" s="1149"/>
      <c r="I234" s="471"/>
      <c r="J234" s="731"/>
      <c r="K234" s="498"/>
    </row>
    <row r="235" ht="15.75" customHeight="1">
      <c r="B235" s="1538"/>
      <c r="C235" s="1566"/>
      <c r="D235" s="1538"/>
      <c r="E235" s="1149"/>
      <c r="I235" s="471"/>
      <c r="J235" s="731"/>
      <c r="K235" s="498"/>
    </row>
    <row r="236" ht="15.75" customHeight="1">
      <c r="B236" s="1538"/>
      <c r="C236" s="1566"/>
      <c r="D236" s="1538"/>
      <c r="E236" s="1149"/>
      <c r="I236" s="471"/>
      <c r="J236" s="731"/>
      <c r="K236" s="498"/>
    </row>
    <row r="237" ht="15.75" customHeight="1">
      <c r="B237" s="1538"/>
      <c r="C237" s="1566"/>
      <c r="D237" s="1538"/>
      <c r="E237" s="1149"/>
      <c r="I237" s="471"/>
      <c r="J237" s="731"/>
      <c r="K237" s="498"/>
    </row>
    <row r="238" ht="15.75" customHeight="1">
      <c r="B238" s="1538"/>
      <c r="C238" s="1566"/>
      <c r="D238" s="1538"/>
      <c r="E238" s="1149"/>
      <c r="I238" s="471"/>
      <c r="J238" s="731"/>
      <c r="K238" s="498"/>
    </row>
    <row r="239" ht="15.75" customHeight="1">
      <c r="B239" s="1538"/>
      <c r="C239" s="1566"/>
      <c r="D239" s="1538"/>
      <c r="E239" s="1149"/>
      <c r="I239" s="471"/>
      <c r="J239" s="731"/>
      <c r="K239" s="498"/>
    </row>
    <row r="240" ht="15.75" customHeight="1">
      <c r="B240" s="1538"/>
      <c r="C240" s="1566"/>
      <c r="D240" s="1538"/>
      <c r="E240" s="1149"/>
      <c r="I240" s="471"/>
      <c r="J240" s="731"/>
      <c r="K240" s="498"/>
    </row>
    <row r="241" ht="15.75" customHeight="1">
      <c r="B241" s="1538"/>
      <c r="C241" s="1566"/>
      <c r="D241" s="1538"/>
      <c r="E241" s="1149"/>
      <c r="I241" s="471"/>
      <c r="J241" s="731"/>
      <c r="K241" s="498"/>
    </row>
    <row r="242" ht="15.75" customHeight="1">
      <c r="B242" s="1538"/>
      <c r="C242" s="1566"/>
      <c r="D242" s="1538"/>
      <c r="E242" s="1149"/>
      <c r="I242" s="471"/>
      <c r="J242" s="731"/>
      <c r="K242" s="498"/>
    </row>
    <row r="243" ht="15.75" customHeight="1">
      <c r="B243" s="1538"/>
      <c r="C243" s="1566"/>
      <c r="D243" s="1538"/>
      <c r="E243" s="1149"/>
      <c r="I243" s="471"/>
      <c r="J243" s="731"/>
      <c r="K243" s="498"/>
    </row>
    <row r="244" ht="15.75" customHeight="1">
      <c r="B244" s="1538"/>
      <c r="C244" s="1566"/>
      <c r="D244" s="1538"/>
      <c r="E244" s="1149"/>
      <c r="I244" s="471"/>
      <c r="J244" s="731"/>
      <c r="K244" s="498"/>
    </row>
    <row r="245" ht="15.75" customHeight="1">
      <c r="B245" s="1538"/>
      <c r="C245" s="1566"/>
      <c r="D245" s="1538"/>
      <c r="E245" s="1149"/>
      <c r="I245" s="471"/>
      <c r="J245" s="731"/>
      <c r="K245" s="498"/>
    </row>
    <row r="246" ht="15.75" customHeight="1">
      <c r="B246" s="1538"/>
      <c r="C246" s="1566"/>
      <c r="D246" s="1538"/>
      <c r="E246" s="1149"/>
      <c r="I246" s="471"/>
      <c r="J246" s="731"/>
      <c r="K246" s="498"/>
    </row>
    <row r="247" ht="15.75" customHeight="1">
      <c r="B247" s="1538"/>
      <c r="C247" s="1566"/>
      <c r="D247" s="1538"/>
      <c r="E247" s="1149"/>
      <c r="I247" s="471"/>
      <c r="J247" s="731"/>
      <c r="K247" s="498"/>
    </row>
    <row r="248" ht="15.75" customHeight="1">
      <c r="B248" s="1538"/>
      <c r="C248" s="1566"/>
      <c r="D248" s="1538"/>
      <c r="E248" s="1149"/>
      <c r="I248" s="471"/>
      <c r="J248" s="731"/>
      <c r="K248" s="498"/>
    </row>
    <row r="249" ht="15.75" customHeight="1">
      <c r="B249" s="1538"/>
      <c r="C249" s="1566"/>
      <c r="D249" s="1538"/>
      <c r="E249" s="1149"/>
      <c r="I249" s="471"/>
      <c r="J249" s="731"/>
      <c r="K249" s="498"/>
    </row>
    <row r="250" ht="15.75" customHeight="1">
      <c r="B250" s="1538"/>
      <c r="C250" s="1566"/>
      <c r="D250" s="1538"/>
      <c r="E250" s="1149"/>
      <c r="I250" s="471"/>
      <c r="J250" s="731"/>
      <c r="K250" s="498"/>
    </row>
    <row r="251" ht="15.75" customHeight="1">
      <c r="B251" s="1538"/>
      <c r="C251" s="1566"/>
      <c r="D251" s="1538"/>
      <c r="E251" s="1149"/>
      <c r="I251" s="471"/>
      <c r="J251" s="731"/>
      <c r="K251" s="498"/>
    </row>
    <row r="252" ht="15.75" customHeight="1">
      <c r="B252" s="1538"/>
      <c r="C252" s="1566"/>
      <c r="D252" s="1538"/>
      <c r="E252" s="1149"/>
      <c r="I252" s="471"/>
      <c r="J252" s="731"/>
      <c r="K252" s="498"/>
    </row>
    <row r="253" ht="15.75" customHeight="1">
      <c r="B253" s="1538"/>
      <c r="C253" s="1566"/>
      <c r="D253" s="1538"/>
      <c r="E253" s="1149"/>
      <c r="I253" s="471"/>
      <c r="J253" s="731"/>
      <c r="K253" s="498"/>
    </row>
    <row r="254" ht="15.75" customHeight="1">
      <c r="B254" s="1538"/>
      <c r="C254" s="1566"/>
      <c r="D254" s="1538"/>
      <c r="E254" s="1149"/>
      <c r="I254" s="471"/>
      <c r="J254" s="731"/>
      <c r="K254" s="498"/>
    </row>
    <row r="255" ht="15.75" customHeight="1">
      <c r="B255" s="1538"/>
      <c r="C255" s="1566"/>
      <c r="D255" s="1538"/>
      <c r="E255" s="1149"/>
      <c r="I255" s="471"/>
      <c r="J255" s="731"/>
      <c r="K255" s="498"/>
    </row>
    <row r="256" ht="15.75" customHeight="1">
      <c r="B256" s="1538"/>
      <c r="C256" s="1566"/>
      <c r="D256" s="1538"/>
      <c r="E256" s="1149"/>
      <c r="I256" s="471"/>
      <c r="J256" s="731"/>
      <c r="K256" s="498"/>
    </row>
    <row r="257" ht="15.75" customHeight="1">
      <c r="B257" s="1538"/>
      <c r="C257" s="1566"/>
      <c r="D257" s="1538"/>
      <c r="E257" s="1149"/>
      <c r="I257" s="471"/>
      <c r="J257" s="731"/>
      <c r="K257" s="498"/>
    </row>
    <row r="258" ht="15.75" customHeight="1">
      <c r="B258" s="1538"/>
      <c r="C258" s="1566"/>
      <c r="D258" s="1538"/>
      <c r="E258" s="1149"/>
      <c r="I258" s="471"/>
      <c r="J258" s="731"/>
      <c r="K258" s="498"/>
    </row>
    <row r="259" ht="15.75" customHeight="1">
      <c r="B259" s="1538"/>
      <c r="C259" s="1566"/>
      <c r="D259" s="1538"/>
      <c r="E259" s="1149"/>
      <c r="I259" s="471"/>
      <c r="J259" s="731"/>
      <c r="K259" s="498"/>
    </row>
    <row r="260" ht="15.75" customHeight="1">
      <c r="B260" s="1538"/>
      <c r="C260" s="1566"/>
      <c r="D260" s="1538"/>
      <c r="E260" s="1149"/>
      <c r="I260" s="471"/>
      <c r="J260" s="731"/>
      <c r="K260" s="498"/>
    </row>
    <row r="261" ht="15.75" customHeight="1">
      <c r="B261" s="1538"/>
      <c r="C261" s="1566"/>
      <c r="D261" s="1538"/>
      <c r="E261" s="1149"/>
      <c r="I261" s="471"/>
      <c r="J261" s="731"/>
      <c r="K261" s="498"/>
    </row>
    <row r="262" ht="15.75" customHeight="1">
      <c r="B262" s="1538"/>
      <c r="C262" s="1566"/>
      <c r="D262" s="1538"/>
      <c r="E262" s="1149"/>
      <c r="I262" s="471"/>
      <c r="J262" s="731"/>
      <c r="K262" s="498"/>
    </row>
    <row r="263" ht="15.75" customHeight="1">
      <c r="B263" s="1538"/>
      <c r="C263" s="1566"/>
      <c r="D263" s="1538"/>
      <c r="E263" s="1149"/>
      <c r="I263" s="471"/>
      <c r="J263" s="731"/>
      <c r="K263" s="498"/>
    </row>
    <row r="264" ht="15.75" customHeight="1">
      <c r="B264" s="1538"/>
      <c r="C264" s="1566"/>
      <c r="D264" s="1538"/>
      <c r="E264" s="1149"/>
      <c r="I264" s="471"/>
      <c r="J264" s="731"/>
      <c r="K264" s="498"/>
    </row>
    <row r="265" ht="15.75" customHeight="1">
      <c r="B265" s="1538"/>
      <c r="C265" s="1566"/>
      <c r="D265" s="1538"/>
      <c r="E265" s="1149"/>
      <c r="I265" s="471"/>
      <c r="J265" s="731"/>
      <c r="K265" s="498"/>
    </row>
    <row r="266" ht="15.75" customHeight="1">
      <c r="B266" s="1538"/>
      <c r="C266" s="1566"/>
      <c r="D266" s="1538"/>
      <c r="E266" s="1149"/>
      <c r="I266" s="471"/>
      <c r="J266" s="731"/>
      <c r="K266" s="498"/>
    </row>
    <row r="267" ht="15.75" customHeight="1">
      <c r="B267" s="1538"/>
      <c r="C267" s="1566"/>
      <c r="D267" s="1538"/>
      <c r="E267" s="1149"/>
      <c r="I267" s="471"/>
      <c r="J267" s="731"/>
      <c r="K267" s="498"/>
    </row>
    <row r="268" ht="15.75" customHeight="1">
      <c r="B268" s="1538"/>
      <c r="C268" s="1566"/>
      <c r="D268" s="1538"/>
      <c r="E268" s="1149"/>
      <c r="I268" s="471"/>
      <c r="J268" s="731"/>
      <c r="K268" s="498"/>
    </row>
    <row r="269" ht="15.75" customHeight="1">
      <c r="B269" s="1538"/>
      <c r="C269" s="1566"/>
      <c r="D269" s="1538"/>
      <c r="E269" s="1149"/>
      <c r="I269" s="471"/>
      <c r="J269" s="731"/>
      <c r="K269" s="498"/>
    </row>
    <row r="270" ht="15.75" customHeight="1">
      <c r="B270" s="1538"/>
      <c r="C270" s="1566"/>
      <c r="D270" s="1538"/>
      <c r="E270" s="1149"/>
      <c r="I270" s="471"/>
      <c r="J270" s="731"/>
      <c r="K270" s="498"/>
    </row>
    <row r="271" ht="15.75" customHeight="1">
      <c r="B271" s="1538"/>
      <c r="C271" s="1566"/>
      <c r="D271" s="1538"/>
      <c r="E271" s="1149"/>
      <c r="I271" s="471"/>
      <c r="J271" s="731"/>
      <c r="K271" s="498"/>
    </row>
    <row r="272" ht="15.75" customHeight="1">
      <c r="B272" s="1538"/>
      <c r="C272" s="1566"/>
      <c r="D272" s="1538"/>
      <c r="E272" s="1149"/>
      <c r="I272" s="471"/>
      <c r="J272" s="731"/>
      <c r="K272" s="498"/>
    </row>
    <row r="273" ht="15.75" customHeight="1">
      <c r="B273" s="1538"/>
      <c r="C273" s="1566"/>
      <c r="D273" s="1538"/>
      <c r="E273" s="1149"/>
      <c r="I273" s="471"/>
      <c r="J273" s="731"/>
      <c r="K273" s="498"/>
    </row>
    <row r="274" ht="15.75" customHeight="1">
      <c r="B274" s="1538"/>
      <c r="C274" s="1566"/>
      <c r="D274" s="1538"/>
      <c r="E274" s="1149"/>
      <c r="I274" s="471"/>
      <c r="J274" s="731"/>
      <c r="K274" s="498"/>
    </row>
    <row r="275" ht="15.75" customHeight="1">
      <c r="B275" s="1538"/>
      <c r="C275" s="1566"/>
      <c r="D275" s="1538"/>
      <c r="E275" s="1149"/>
      <c r="I275" s="471"/>
      <c r="J275" s="731"/>
      <c r="K275" s="498"/>
    </row>
    <row r="276" ht="15.75" customHeight="1">
      <c r="B276" s="1538"/>
      <c r="C276" s="1566"/>
      <c r="D276" s="1538"/>
      <c r="E276" s="1149"/>
      <c r="I276" s="471"/>
      <c r="J276" s="731"/>
      <c r="K276" s="498"/>
    </row>
    <row r="277" ht="15.75" customHeight="1">
      <c r="B277" s="1538"/>
      <c r="C277" s="1566"/>
      <c r="D277" s="1538"/>
      <c r="E277" s="1149"/>
      <c r="I277" s="471"/>
      <c r="J277" s="731"/>
      <c r="K277" s="498"/>
    </row>
    <row r="278" ht="15.75" customHeight="1">
      <c r="B278" s="1538"/>
      <c r="C278" s="1566"/>
      <c r="D278" s="1538"/>
      <c r="E278" s="1149"/>
      <c r="I278" s="471"/>
      <c r="J278" s="731"/>
      <c r="K278" s="498"/>
    </row>
    <row r="279" ht="15.75" customHeight="1">
      <c r="B279" s="1538"/>
      <c r="C279" s="1566"/>
      <c r="D279" s="1538"/>
      <c r="E279" s="1149"/>
      <c r="I279" s="471"/>
      <c r="J279" s="731"/>
      <c r="K279" s="498"/>
    </row>
    <row r="280" ht="15.75" customHeight="1">
      <c r="B280" s="1538"/>
      <c r="C280" s="1566"/>
      <c r="D280" s="1538"/>
      <c r="E280" s="1149"/>
      <c r="I280" s="471"/>
      <c r="J280" s="731"/>
      <c r="K280" s="498"/>
    </row>
    <row r="281" ht="15.75" customHeight="1">
      <c r="B281" s="1538"/>
      <c r="C281" s="1566"/>
      <c r="D281" s="1538"/>
      <c r="E281" s="1149"/>
      <c r="I281" s="471"/>
      <c r="J281" s="731"/>
      <c r="K281" s="498"/>
    </row>
    <row r="282" ht="15.75" customHeight="1">
      <c r="B282" s="1538"/>
      <c r="C282" s="1566"/>
      <c r="D282" s="1538"/>
      <c r="E282" s="1149"/>
      <c r="I282" s="471"/>
      <c r="J282" s="731"/>
      <c r="K282" s="498"/>
    </row>
    <row r="283" ht="15.75" customHeight="1">
      <c r="B283" s="1538"/>
      <c r="C283" s="1566"/>
      <c r="D283" s="1538"/>
      <c r="E283" s="1149"/>
      <c r="I283" s="471"/>
      <c r="J283" s="731"/>
      <c r="K283" s="498"/>
    </row>
    <row r="284" ht="15.75" customHeight="1">
      <c r="B284" s="1538"/>
      <c r="C284" s="1566"/>
      <c r="D284" s="1538"/>
      <c r="E284" s="1149"/>
      <c r="I284" s="471"/>
      <c r="J284" s="731"/>
      <c r="K284" s="498"/>
    </row>
    <row r="285" ht="15.75" customHeight="1">
      <c r="B285" s="1538"/>
      <c r="C285" s="1566"/>
      <c r="D285" s="1538"/>
      <c r="E285" s="1149"/>
      <c r="I285" s="471"/>
      <c r="J285" s="731"/>
      <c r="K285" s="498"/>
    </row>
    <row r="286" ht="15.75" customHeight="1">
      <c r="B286" s="1538"/>
      <c r="C286" s="1566"/>
      <c r="D286" s="1538"/>
      <c r="E286" s="1149"/>
      <c r="I286" s="471"/>
      <c r="J286" s="731"/>
      <c r="K286" s="498"/>
    </row>
    <row r="287" ht="15.75" customHeight="1">
      <c r="B287" s="1538"/>
      <c r="C287" s="1566"/>
      <c r="D287" s="1538"/>
      <c r="E287" s="1149"/>
      <c r="I287" s="471"/>
      <c r="J287" s="731"/>
      <c r="K287" s="498"/>
    </row>
    <row r="288" ht="15.75" customHeight="1">
      <c r="B288" s="1538"/>
      <c r="C288" s="1566"/>
      <c r="D288" s="1538"/>
      <c r="E288" s="1149"/>
      <c r="I288" s="471"/>
      <c r="J288" s="731"/>
      <c r="K288" s="498"/>
    </row>
    <row r="289" ht="15.75" customHeight="1">
      <c r="B289" s="1538"/>
      <c r="C289" s="1566"/>
      <c r="D289" s="1538"/>
      <c r="E289" s="1149"/>
      <c r="I289" s="471"/>
      <c r="J289" s="731"/>
      <c r="K289" s="498"/>
    </row>
    <row r="290" ht="15.75" customHeight="1">
      <c r="B290" s="1538"/>
      <c r="C290" s="1566"/>
      <c r="D290" s="1538"/>
      <c r="E290" s="1149"/>
      <c r="I290" s="471"/>
      <c r="J290" s="731"/>
      <c r="K290" s="498"/>
    </row>
    <row r="291" ht="15.75" customHeight="1">
      <c r="B291" s="1538"/>
      <c r="C291" s="1566"/>
      <c r="D291" s="1538"/>
      <c r="E291" s="1149"/>
      <c r="I291" s="471"/>
      <c r="J291" s="731"/>
      <c r="K291" s="498"/>
    </row>
    <row r="292" ht="15.75" customHeight="1">
      <c r="B292" s="1538"/>
      <c r="C292" s="1566"/>
      <c r="D292" s="1538"/>
      <c r="E292" s="1149"/>
      <c r="I292" s="471"/>
      <c r="J292" s="731"/>
      <c r="K292" s="498"/>
    </row>
    <row r="293" ht="15.75" customHeight="1">
      <c r="B293" s="1538"/>
      <c r="C293" s="1566"/>
      <c r="D293" s="1538"/>
      <c r="E293" s="1149"/>
      <c r="I293" s="471"/>
      <c r="J293" s="731"/>
      <c r="K293" s="498"/>
    </row>
    <row r="294" ht="15.75" customHeight="1">
      <c r="B294" s="1538"/>
      <c r="C294" s="1566"/>
      <c r="D294" s="1538"/>
      <c r="E294" s="1149"/>
      <c r="I294" s="471"/>
      <c r="J294" s="731"/>
      <c r="K294" s="498"/>
    </row>
    <row r="295" ht="15.75" customHeight="1">
      <c r="B295" s="1538"/>
      <c r="C295" s="1566"/>
      <c r="D295" s="1538"/>
      <c r="E295" s="1149"/>
      <c r="I295" s="471"/>
      <c r="J295" s="731"/>
      <c r="K295" s="498"/>
    </row>
    <row r="296" ht="15.75" customHeight="1">
      <c r="B296" s="1538"/>
      <c r="C296" s="1566"/>
      <c r="D296" s="1538"/>
      <c r="E296" s="1149"/>
      <c r="I296" s="471"/>
      <c r="J296" s="731"/>
      <c r="K296" s="498"/>
    </row>
    <row r="297" ht="15.75" customHeight="1">
      <c r="B297" s="1538"/>
      <c r="C297" s="1566"/>
      <c r="D297" s="1538"/>
      <c r="E297" s="1149"/>
      <c r="I297" s="471"/>
      <c r="J297" s="731"/>
      <c r="K297" s="498"/>
    </row>
    <row r="298" ht="15.75" customHeight="1">
      <c r="B298" s="1538"/>
      <c r="C298" s="1566"/>
      <c r="D298" s="1538"/>
      <c r="E298" s="1149"/>
      <c r="I298" s="471"/>
      <c r="J298" s="731"/>
      <c r="K298" s="498"/>
    </row>
    <row r="299" ht="15.75" customHeight="1">
      <c r="B299" s="1538"/>
      <c r="C299" s="1566"/>
      <c r="D299" s="1538"/>
      <c r="E299" s="1149"/>
      <c r="I299" s="471"/>
      <c r="J299" s="731"/>
      <c r="K299" s="498"/>
    </row>
    <row r="300" ht="15.75" customHeight="1">
      <c r="B300" s="1538"/>
      <c r="C300" s="1566"/>
      <c r="D300" s="1538"/>
      <c r="E300" s="1149"/>
      <c r="I300" s="471"/>
      <c r="J300" s="731"/>
      <c r="K300" s="498"/>
    </row>
    <row r="301" ht="15.75" customHeight="1">
      <c r="B301" s="1538"/>
      <c r="C301" s="1566"/>
      <c r="D301" s="1538"/>
      <c r="E301" s="1149"/>
      <c r="I301" s="471"/>
      <c r="J301" s="731"/>
      <c r="K301" s="498"/>
    </row>
    <row r="302" ht="15.75" customHeight="1">
      <c r="B302" s="1538"/>
      <c r="C302" s="1566"/>
      <c r="D302" s="1538"/>
      <c r="E302" s="1149"/>
      <c r="I302" s="471"/>
      <c r="J302" s="731"/>
      <c r="K302" s="498"/>
    </row>
    <row r="303" ht="15.75" customHeight="1">
      <c r="B303" s="1538"/>
      <c r="C303" s="1566"/>
      <c r="D303" s="1538"/>
      <c r="E303" s="1149"/>
      <c r="I303" s="471"/>
      <c r="J303" s="731"/>
      <c r="K303" s="498"/>
    </row>
    <row r="304" ht="15.75" customHeight="1">
      <c r="B304" s="1538"/>
      <c r="C304" s="1566"/>
      <c r="D304" s="1538"/>
      <c r="E304" s="1149"/>
      <c r="I304" s="471"/>
      <c r="J304" s="731"/>
      <c r="K304" s="498"/>
    </row>
    <row r="305" ht="15.75" customHeight="1">
      <c r="B305" s="1538"/>
      <c r="C305" s="1566"/>
      <c r="D305" s="1538"/>
      <c r="E305" s="1149"/>
      <c r="I305" s="471"/>
      <c r="J305" s="731"/>
      <c r="K305" s="498"/>
    </row>
    <row r="306" ht="15.75" customHeight="1">
      <c r="B306" s="1538"/>
      <c r="C306" s="1566"/>
      <c r="D306" s="1538"/>
      <c r="E306" s="1149"/>
      <c r="I306" s="471"/>
      <c r="J306" s="731"/>
      <c r="K306" s="498"/>
    </row>
    <row r="307" ht="15.75" customHeight="1">
      <c r="B307" s="1538"/>
      <c r="C307" s="1566"/>
      <c r="D307" s="1538"/>
      <c r="E307" s="1149"/>
      <c r="I307" s="471"/>
      <c r="J307" s="731"/>
      <c r="K307" s="498"/>
    </row>
    <row r="308" ht="15.75" customHeight="1">
      <c r="B308" s="1538"/>
      <c r="C308" s="1566"/>
      <c r="D308" s="1538"/>
      <c r="E308" s="1149"/>
      <c r="I308" s="471"/>
      <c r="J308" s="731"/>
      <c r="K308" s="498"/>
    </row>
    <row r="309" ht="15.75" customHeight="1">
      <c r="B309" s="1538"/>
      <c r="C309" s="1566"/>
      <c r="D309" s="1538"/>
      <c r="E309" s="1149"/>
      <c r="I309" s="471"/>
      <c r="J309" s="731"/>
      <c r="K309" s="498"/>
    </row>
    <row r="310" ht="15.75" customHeight="1">
      <c r="B310" s="1538"/>
      <c r="C310" s="1566"/>
      <c r="D310" s="1538"/>
      <c r="E310" s="1149"/>
      <c r="I310" s="471"/>
      <c r="J310" s="731"/>
      <c r="K310" s="498"/>
    </row>
    <row r="311" ht="15.75" customHeight="1">
      <c r="B311" s="1538"/>
      <c r="C311" s="1566"/>
      <c r="D311" s="1538"/>
      <c r="E311" s="1149"/>
      <c r="I311" s="471"/>
      <c r="J311" s="731"/>
      <c r="K311" s="498"/>
    </row>
    <row r="312" ht="15.75" customHeight="1">
      <c r="B312" s="1538"/>
      <c r="C312" s="1566"/>
      <c r="D312" s="1538"/>
      <c r="E312" s="1149"/>
      <c r="I312" s="471"/>
      <c r="J312" s="731"/>
      <c r="K312" s="498"/>
    </row>
    <row r="313" ht="15.75" customHeight="1">
      <c r="B313" s="1538"/>
      <c r="C313" s="1566"/>
      <c r="D313" s="1538"/>
      <c r="E313" s="1149"/>
      <c r="I313" s="471"/>
      <c r="J313" s="731"/>
      <c r="K313" s="498"/>
    </row>
    <row r="314" ht="15.75" customHeight="1">
      <c r="B314" s="1538"/>
      <c r="C314" s="1566"/>
      <c r="D314" s="1538"/>
      <c r="E314" s="1149"/>
      <c r="I314" s="471"/>
      <c r="J314" s="731"/>
      <c r="K314" s="498"/>
    </row>
    <row r="315" ht="15.75" customHeight="1">
      <c r="B315" s="1538"/>
      <c r="C315" s="1566"/>
      <c r="D315" s="1538"/>
      <c r="E315" s="1149"/>
      <c r="I315" s="471"/>
      <c r="J315" s="731"/>
      <c r="K315" s="498"/>
    </row>
    <row r="316" ht="15.75" customHeight="1">
      <c r="B316" s="1538"/>
      <c r="C316" s="1566"/>
      <c r="D316" s="1538"/>
      <c r="E316" s="1149"/>
      <c r="I316" s="471"/>
      <c r="J316" s="731"/>
      <c r="K316" s="498"/>
    </row>
    <row r="317" ht="15.75" customHeight="1">
      <c r="B317" s="1538"/>
      <c r="C317" s="1566"/>
      <c r="D317" s="1538"/>
      <c r="E317" s="1149"/>
      <c r="I317" s="471"/>
      <c r="J317" s="731"/>
      <c r="K317" s="498"/>
    </row>
    <row r="318" ht="15.75" customHeight="1">
      <c r="B318" s="1538"/>
      <c r="C318" s="1566"/>
      <c r="D318" s="1538"/>
      <c r="E318" s="1149"/>
      <c r="I318" s="471"/>
      <c r="J318" s="731"/>
      <c r="K318" s="498"/>
    </row>
    <row r="319" ht="15.75" customHeight="1">
      <c r="B319" s="1538"/>
      <c r="C319" s="1566"/>
      <c r="D319" s="1538"/>
      <c r="E319" s="1149"/>
      <c r="I319" s="471"/>
      <c r="J319" s="731"/>
      <c r="K319" s="498"/>
    </row>
    <row r="320" ht="15.75" customHeight="1">
      <c r="B320" s="1538"/>
      <c r="C320" s="1566"/>
      <c r="D320" s="1538"/>
      <c r="E320" s="1149"/>
      <c r="I320" s="471"/>
      <c r="J320" s="731"/>
      <c r="K320" s="498"/>
    </row>
    <row r="321" ht="15.75" customHeight="1">
      <c r="B321" s="1538"/>
      <c r="C321" s="1566"/>
      <c r="D321" s="1538"/>
      <c r="E321" s="1149"/>
      <c r="I321" s="471"/>
      <c r="J321" s="731"/>
      <c r="K321" s="498"/>
    </row>
    <row r="322" ht="15.75" customHeight="1">
      <c r="B322" s="1538"/>
      <c r="C322" s="1566"/>
      <c r="D322" s="1538"/>
      <c r="E322" s="1149"/>
      <c r="I322" s="471"/>
      <c r="J322" s="731"/>
      <c r="K322" s="498"/>
    </row>
    <row r="323" ht="15.75" customHeight="1">
      <c r="B323" s="1538"/>
      <c r="C323" s="1566"/>
      <c r="D323" s="1538"/>
      <c r="E323" s="1149"/>
      <c r="I323" s="471"/>
      <c r="J323" s="731"/>
      <c r="K323" s="498"/>
    </row>
    <row r="324" ht="15.75" customHeight="1">
      <c r="B324" s="1538"/>
      <c r="C324" s="1566"/>
      <c r="D324" s="1538"/>
      <c r="E324" s="1149"/>
      <c r="I324" s="471"/>
      <c r="J324" s="731"/>
      <c r="K324" s="498"/>
    </row>
    <row r="325" ht="15.75" customHeight="1">
      <c r="B325" s="1538"/>
      <c r="C325" s="1566"/>
      <c r="D325" s="1538"/>
      <c r="E325" s="1149"/>
      <c r="I325" s="471"/>
      <c r="J325" s="731"/>
      <c r="K325" s="498"/>
    </row>
    <row r="326" ht="15.75" customHeight="1">
      <c r="B326" s="1538"/>
      <c r="C326" s="1566"/>
      <c r="D326" s="1538"/>
      <c r="E326" s="1149"/>
      <c r="I326" s="471"/>
      <c r="J326" s="731"/>
      <c r="K326" s="498"/>
    </row>
    <row r="327" ht="15.75" customHeight="1">
      <c r="B327" s="1538"/>
      <c r="C327" s="1566"/>
      <c r="D327" s="1538"/>
      <c r="E327" s="1149"/>
      <c r="I327" s="471"/>
      <c r="J327" s="731"/>
      <c r="K327" s="498"/>
    </row>
    <row r="328" ht="15.75" customHeight="1">
      <c r="B328" s="1538"/>
      <c r="C328" s="1566"/>
      <c r="D328" s="1538"/>
      <c r="E328" s="1149"/>
      <c r="I328" s="471"/>
      <c r="J328" s="731"/>
      <c r="K328" s="498"/>
    </row>
    <row r="329" ht="15.75" customHeight="1">
      <c r="B329" s="1538"/>
      <c r="C329" s="1566"/>
      <c r="D329" s="1538"/>
      <c r="E329" s="1149"/>
      <c r="I329" s="471"/>
      <c r="J329" s="731"/>
      <c r="K329" s="498"/>
    </row>
    <row r="330" ht="15.75" customHeight="1">
      <c r="B330" s="1538"/>
      <c r="C330" s="1566"/>
      <c r="D330" s="1538"/>
      <c r="E330" s="1149"/>
      <c r="I330" s="471"/>
      <c r="J330" s="731"/>
      <c r="K330" s="498"/>
    </row>
    <row r="331" ht="15.75" customHeight="1">
      <c r="B331" s="1538"/>
      <c r="C331" s="1566"/>
      <c r="D331" s="1538"/>
      <c r="E331" s="1149"/>
      <c r="I331" s="471"/>
      <c r="J331" s="731"/>
      <c r="K331" s="498"/>
    </row>
    <row r="332" ht="15.75" customHeight="1">
      <c r="B332" s="1538"/>
      <c r="C332" s="1566"/>
      <c r="D332" s="1538"/>
      <c r="E332" s="1149"/>
      <c r="I332" s="471"/>
      <c r="J332" s="731"/>
      <c r="K332" s="498"/>
    </row>
    <row r="333" ht="15.75" customHeight="1">
      <c r="B333" s="1538"/>
      <c r="C333" s="1566"/>
      <c r="D333" s="1538"/>
      <c r="E333" s="1149"/>
      <c r="I333" s="471"/>
      <c r="J333" s="731"/>
      <c r="K333" s="498"/>
    </row>
    <row r="334" ht="15.75" customHeight="1">
      <c r="B334" s="1538"/>
      <c r="C334" s="1566"/>
      <c r="D334" s="1538"/>
      <c r="E334" s="1149"/>
      <c r="I334" s="471"/>
      <c r="J334" s="731"/>
      <c r="K334" s="498"/>
    </row>
    <row r="335" ht="15.75" customHeight="1">
      <c r="B335" s="1538"/>
      <c r="C335" s="1566"/>
      <c r="D335" s="1538"/>
      <c r="E335" s="1149"/>
      <c r="I335" s="471"/>
      <c r="J335" s="731"/>
      <c r="K335" s="498"/>
    </row>
    <row r="336" ht="15.75" customHeight="1">
      <c r="B336" s="1538"/>
      <c r="C336" s="1566"/>
      <c r="D336" s="1538"/>
      <c r="E336" s="1149"/>
      <c r="I336" s="471"/>
      <c r="J336" s="731"/>
      <c r="K336" s="498"/>
    </row>
    <row r="337" ht="15.75" customHeight="1">
      <c r="B337" s="1538"/>
      <c r="C337" s="1566"/>
      <c r="D337" s="1538"/>
      <c r="E337" s="1149"/>
      <c r="I337" s="471"/>
      <c r="J337" s="731"/>
      <c r="K337" s="498"/>
    </row>
    <row r="338" ht="15.75" customHeight="1">
      <c r="B338" s="1538"/>
      <c r="C338" s="1566"/>
      <c r="D338" s="1538"/>
      <c r="E338" s="1149"/>
      <c r="I338" s="471"/>
      <c r="J338" s="731"/>
      <c r="K338" s="498"/>
    </row>
    <row r="339" ht="15.75" customHeight="1">
      <c r="B339" s="1538"/>
      <c r="C339" s="1566"/>
      <c r="D339" s="1538"/>
      <c r="E339" s="1149"/>
      <c r="I339" s="471"/>
      <c r="J339" s="731"/>
      <c r="K339" s="498"/>
    </row>
    <row r="340" ht="15.75" customHeight="1">
      <c r="B340" s="1538"/>
      <c r="C340" s="1566"/>
      <c r="D340" s="1538"/>
      <c r="E340" s="1149"/>
      <c r="I340" s="471"/>
      <c r="J340" s="731"/>
      <c r="K340" s="498"/>
    </row>
    <row r="341" ht="15.75" customHeight="1">
      <c r="B341" s="1538"/>
      <c r="C341" s="1566"/>
      <c r="D341" s="1538"/>
      <c r="E341" s="1149"/>
      <c r="I341" s="471"/>
      <c r="J341" s="731"/>
      <c r="K341" s="498"/>
    </row>
    <row r="342" ht="15.75" customHeight="1">
      <c r="B342" s="1538"/>
      <c r="C342" s="1566"/>
      <c r="D342" s="1538"/>
      <c r="E342" s="1149"/>
      <c r="I342" s="471"/>
      <c r="J342" s="731"/>
      <c r="K342" s="498"/>
    </row>
    <row r="343" ht="15.75" customHeight="1">
      <c r="B343" s="1538"/>
      <c r="C343" s="1566"/>
      <c r="D343" s="1538"/>
      <c r="E343" s="1149"/>
      <c r="I343" s="471"/>
      <c r="J343" s="731"/>
      <c r="K343" s="498"/>
    </row>
    <row r="344" ht="15.75" customHeight="1">
      <c r="B344" s="1538"/>
      <c r="C344" s="1566"/>
      <c r="D344" s="1538"/>
      <c r="E344" s="1149"/>
      <c r="I344" s="471"/>
      <c r="J344" s="731"/>
      <c r="K344" s="498"/>
    </row>
    <row r="345" ht="15.75" customHeight="1">
      <c r="B345" s="1538"/>
      <c r="C345" s="1566"/>
      <c r="D345" s="1538"/>
      <c r="E345" s="1149"/>
      <c r="I345" s="471"/>
      <c r="J345" s="731"/>
      <c r="K345" s="498"/>
    </row>
    <row r="346" ht="15.75" customHeight="1">
      <c r="B346" s="1538"/>
      <c r="C346" s="1566"/>
      <c r="D346" s="1538"/>
      <c r="E346" s="1149"/>
      <c r="I346" s="471"/>
      <c r="J346" s="731"/>
      <c r="K346" s="498"/>
    </row>
    <row r="347" ht="15.75" customHeight="1">
      <c r="B347" s="1538"/>
      <c r="C347" s="1566"/>
      <c r="D347" s="1538"/>
      <c r="E347" s="1149"/>
      <c r="I347" s="471"/>
      <c r="J347" s="731"/>
      <c r="K347" s="498"/>
    </row>
    <row r="348" ht="15.75" customHeight="1">
      <c r="B348" s="1538"/>
      <c r="C348" s="1566"/>
      <c r="D348" s="1538"/>
      <c r="E348" s="1149"/>
      <c r="I348" s="471"/>
      <c r="J348" s="731"/>
      <c r="K348" s="498"/>
    </row>
    <row r="349" ht="15.75" customHeight="1">
      <c r="B349" s="1538"/>
      <c r="C349" s="1566"/>
      <c r="D349" s="1538"/>
      <c r="E349" s="1149"/>
      <c r="I349" s="471"/>
      <c r="J349" s="731"/>
      <c r="K349" s="498"/>
    </row>
    <row r="350" ht="15.75" customHeight="1">
      <c r="B350" s="1538"/>
      <c r="C350" s="1566"/>
      <c r="D350" s="1538"/>
      <c r="E350" s="1149"/>
      <c r="I350" s="471"/>
      <c r="J350" s="731"/>
      <c r="K350" s="498"/>
    </row>
    <row r="351" ht="15.75" customHeight="1">
      <c r="B351" s="1538"/>
      <c r="C351" s="1566"/>
      <c r="D351" s="1538"/>
      <c r="E351" s="1149"/>
      <c r="I351" s="471"/>
      <c r="J351" s="731"/>
      <c r="K351" s="498"/>
    </row>
    <row r="352" ht="15.75" customHeight="1">
      <c r="B352" s="1538"/>
      <c r="C352" s="1566"/>
      <c r="D352" s="1538"/>
      <c r="E352" s="1149"/>
      <c r="I352" s="471"/>
      <c r="J352" s="731"/>
      <c r="K352" s="498"/>
    </row>
    <row r="353" ht="15.75" customHeight="1">
      <c r="B353" s="1538"/>
      <c r="C353" s="1566"/>
      <c r="D353" s="1538"/>
      <c r="E353" s="1149"/>
      <c r="I353" s="471"/>
      <c r="J353" s="731"/>
      <c r="K353" s="498"/>
    </row>
    <row r="354" ht="15.75" customHeight="1">
      <c r="B354" s="1538"/>
      <c r="C354" s="1566"/>
      <c r="D354" s="1538"/>
      <c r="E354" s="1149"/>
      <c r="I354" s="471"/>
      <c r="J354" s="731"/>
      <c r="K354" s="498"/>
    </row>
    <row r="355" ht="15.75" customHeight="1">
      <c r="B355" s="1538"/>
      <c r="C355" s="1566"/>
      <c r="D355" s="1538"/>
      <c r="E355" s="1149"/>
      <c r="I355" s="471"/>
      <c r="J355" s="731"/>
      <c r="K355" s="498"/>
    </row>
    <row r="356" ht="15.75" customHeight="1">
      <c r="B356" s="1538"/>
      <c r="C356" s="1566"/>
      <c r="D356" s="1538"/>
      <c r="E356" s="1149"/>
      <c r="I356" s="471"/>
      <c r="J356" s="731"/>
      <c r="K356" s="498"/>
    </row>
    <row r="357" ht="15.75" customHeight="1">
      <c r="B357" s="1538"/>
      <c r="C357" s="1566"/>
      <c r="D357" s="1538"/>
      <c r="E357" s="1149"/>
      <c r="I357" s="471"/>
      <c r="J357" s="731"/>
      <c r="K357" s="498"/>
    </row>
    <row r="358" ht="15.75" customHeight="1">
      <c r="B358" s="1538"/>
      <c r="C358" s="1566"/>
      <c r="D358" s="1538"/>
      <c r="E358" s="1149"/>
      <c r="I358" s="471"/>
      <c r="J358" s="731"/>
      <c r="K358" s="498"/>
    </row>
    <row r="359" ht="15.75" customHeight="1">
      <c r="B359" s="1538"/>
      <c r="C359" s="1566"/>
      <c r="D359" s="1538"/>
      <c r="E359" s="1149"/>
      <c r="I359" s="471"/>
      <c r="J359" s="731"/>
      <c r="K359" s="498"/>
    </row>
    <row r="360" ht="15.75" customHeight="1">
      <c r="B360" s="1538"/>
      <c r="C360" s="1566"/>
      <c r="D360" s="1538"/>
      <c r="E360" s="1149"/>
      <c r="I360" s="471"/>
      <c r="J360" s="731"/>
      <c r="K360" s="498"/>
    </row>
    <row r="361" ht="15.75" customHeight="1">
      <c r="B361" s="1538"/>
      <c r="C361" s="1566"/>
      <c r="D361" s="1538"/>
      <c r="E361" s="1149"/>
      <c r="I361" s="471"/>
      <c r="J361" s="731"/>
      <c r="K361" s="498"/>
    </row>
    <row r="362" ht="15.75" customHeight="1">
      <c r="B362" s="1538"/>
      <c r="C362" s="1566"/>
      <c r="D362" s="1538"/>
      <c r="E362" s="1149"/>
      <c r="I362" s="471"/>
      <c r="J362" s="731"/>
      <c r="K362" s="498"/>
    </row>
    <row r="363" ht="15.75" customHeight="1">
      <c r="B363" s="1538"/>
      <c r="C363" s="1566"/>
      <c r="D363" s="1538"/>
      <c r="E363" s="1149"/>
      <c r="I363" s="471"/>
      <c r="J363" s="731"/>
      <c r="K363" s="498"/>
    </row>
    <row r="364" ht="15.75" customHeight="1">
      <c r="B364" s="1538"/>
      <c r="C364" s="1566"/>
      <c r="D364" s="1538"/>
      <c r="E364" s="1149"/>
      <c r="I364" s="471"/>
      <c r="J364" s="731"/>
      <c r="K364" s="498"/>
    </row>
    <row r="365" ht="15.75" customHeight="1">
      <c r="B365" s="1538"/>
      <c r="C365" s="1566"/>
      <c r="D365" s="1538"/>
      <c r="E365" s="1149"/>
      <c r="I365" s="471"/>
      <c r="J365" s="731"/>
      <c r="K365" s="498"/>
    </row>
    <row r="366" ht="15.75" customHeight="1">
      <c r="B366" s="1538"/>
      <c r="C366" s="1566"/>
      <c r="D366" s="1538"/>
      <c r="E366" s="1149"/>
      <c r="I366" s="471"/>
      <c r="J366" s="731"/>
      <c r="K366" s="498"/>
    </row>
    <row r="367" ht="15.75" customHeight="1">
      <c r="B367" s="1538"/>
      <c r="C367" s="1566"/>
      <c r="D367" s="1538"/>
      <c r="E367" s="1149"/>
      <c r="I367" s="471"/>
      <c r="J367" s="731"/>
      <c r="K367" s="498"/>
    </row>
    <row r="368" ht="15.75" customHeight="1">
      <c r="B368" s="1538"/>
      <c r="C368" s="1566"/>
      <c r="D368" s="1538"/>
      <c r="E368" s="1149"/>
      <c r="I368" s="471"/>
      <c r="J368" s="731"/>
      <c r="K368" s="498"/>
    </row>
    <row r="369" ht="15.75" customHeight="1">
      <c r="B369" s="1538"/>
      <c r="C369" s="1566"/>
      <c r="D369" s="1538"/>
      <c r="E369" s="1149"/>
      <c r="I369" s="471"/>
      <c r="J369" s="731"/>
      <c r="K369" s="498"/>
    </row>
    <row r="370" ht="15.75" customHeight="1">
      <c r="B370" s="1538"/>
      <c r="C370" s="1566"/>
      <c r="D370" s="1538"/>
      <c r="E370" s="1149"/>
      <c r="I370" s="471"/>
      <c r="J370" s="731"/>
      <c r="K370" s="498"/>
    </row>
    <row r="371" ht="15.75" customHeight="1">
      <c r="B371" s="1538"/>
      <c r="C371" s="1566"/>
      <c r="D371" s="1538"/>
      <c r="E371" s="1149"/>
      <c r="I371" s="471"/>
      <c r="J371" s="731"/>
      <c r="K371" s="498"/>
    </row>
    <row r="372" ht="15.75" customHeight="1">
      <c r="B372" s="1538"/>
      <c r="C372" s="1566"/>
      <c r="D372" s="1538"/>
      <c r="E372" s="1149"/>
      <c r="I372" s="471"/>
      <c r="J372" s="731"/>
      <c r="K372" s="498"/>
    </row>
    <row r="373" ht="15.75" customHeight="1">
      <c r="B373" s="1538"/>
      <c r="C373" s="1566"/>
      <c r="D373" s="1538"/>
      <c r="E373" s="1149"/>
      <c r="I373" s="471"/>
      <c r="J373" s="731"/>
      <c r="K373" s="498"/>
    </row>
    <row r="374" ht="15.75" customHeight="1">
      <c r="B374" s="1538"/>
      <c r="C374" s="1566"/>
      <c r="D374" s="1538"/>
      <c r="E374" s="1149"/>
      <c r="I374" s="471"/>
      <c r="J374" s="731"/>
      <c r="K374" s="498"/>
    </row>
    <row r="375" ht="15.75" customHeight="1">
      <c r="B375" s="1538"/>
      <c r="C375" s="1566"/>
      <c r="D375" s="1538"/>
      <c r="E375" s="1149"/>
      <c r="I375" s="471"/>
      <c r="J375" s="731"/>
      <c r="K375" s="498"/>
    </row>
    <row r="376" ht="15.75" customHeight="1">
      <c r="B376" s="1538"/>
      <c r="C376" s="1566"/>
      <c r="D376" s="1538"/>
      <c r="E376" s="1149"/>
      <c r="I376" s="471"/>
      <c r="J376" s="731"/>
      <c r="K376" s="498"/>
    </row>
    <row r="377" ht="15.75" customHeight="1">
      <c r="B377" s="1538"/>
      <c r="C377" s="1566"/>
      <c r="D377" s="1538"/>
      <c r="E377" s="1149"/>
      <c r="I377" s="471"/>
      <c r="J377" s="731"/>
      <c r="K377" s="498"/>
    </row>
    <row r="378" ht="15.75" customHeight="1">
      <c r="B378" s="1538"/>
      <c r="C378" s="1566"/>
      <c r="D378" s="1538"/>
      <c r="E378" s="1149"/>
      <c r="I378" s="471"/>
      <c r="J378" s="731"/>
      <c r="K378" s="498"/>
    </row>
    <row r="379" ht="15.75" customHeight="1">
      <c r="B379" s="1538"/>
      <c r="C379" s="1566"/>
      <c r="D379" s="1538"/>
      <c r="E379" s="1149"/>
      <c r="I379" s="471"/>
      <c r="J379" s="731"/>
      <c r="K379" s="498"/>
    </row>
    <row r="380" ht="15.75" customHeight="1">
      <c r="B380" s="1538"/>
      <c r="C380" s="1566"/>
      <c r="D380" s="1538"/>
      <c r="E380" s="1149"/>
      <c r="I380" s="471"/>
      <c r="J380" s="731"/>
      <c r="K380" s="498"/>
    </row>
    <row r="381" ht="15.75" customHeight="1">
      <c r="B381" s="1538"/>
      <c r="C381" s="1566"/>
      <c r="D381" s="1538"/>
      <c r="E381" s="1149"/>
      <c r="I381" s="471"/>
      <c r="J381" s="731"/>
      <c r="K381" s="498"/>
    </row>
    <row r="382" ht="15.75" customHeight="1">
      <c r="B382" s="1538"/>
      <c r="C382" s="1566"/>
      <c r="D382" s="1538"/>
      <c r="E382" s="1149"/>
      <c r="I382" s="471"/>
      <c r="J382" s="731"/>
      <c r="K382" s="498"/>
    </row>
    <row r="383" ht="15.75" customHeight="1">
      <c r="B383" s="1538"/>
      <c r="C383" s="1566"/>
      <c r="D383" s="1538"/>
      <c r="E383" s="1149"/>
      <c r="I383" s="471"/>
      <c r="J383" s="731"/>
      <c r="K383" s="498"/>
    </row>
    <row r="384" ht="15.75" customHeight="1">
      <c r="B384" s="1538"/>
      <c r="C384" s="1566"/>
      <c r="D384" s="1538"/>
      <c r="E384" s="1149"/>
      <c r="I384" s="471"/>
      <c r="J384" s="731"/>
      <c r="K384" s="498"/>
    </row>
    <row r="385" ht="15.75" customHeight="1">
      <c r="B385" s="1538"/>
      <c r="C385" s="1566"/>
      <c r="D385" s="1538"/>
      <c r="E385" s="1149"/>
      <c r="I385" s="471"/>
      <c r="J385" s="731"/>
      <c r="K385" s="498"/>
    </row>
    <row r="386" ht="15.75" customHeight="1">
      <c r="B386" s="1538"/>
      <c r="C386" s="1566"/>
      <c r="D386" s="1538"/>
      <c r="E386" s="1149"/>
      <c r="I386" s="471"/>
      <c r="J386" s="731"/>
      <c r="K386" s="498"/>
    </row>
    <row r="387" ht="15.75" customHeight="1">
      <c r="B387" s="1538"/>
      <c r="C387" s="1566"/>
      <c r="D387" s="1538"/>
      <c r="E387" s="1149"/>
      <c r="I387" s="471"/>
      <c r="J387" s="731"/>
      <c r="K387" s="498"/>
    </row>
    <row r="388" ht="15.75" customHeight="1">
      <c r="B388" s="1538"/>
      <c r="C388" s="1566"/>
      <c r="D388" s="1538"/>
      <c r="E388" s="1149"/>
      <c r="I388" s="471"/>
      <c r="J388" s="731"/>
      <c r="K388" s="498"/>
    </row>
    <row r="389" ht="15.75" customHeight="1">
      <c r="B389" s="1538"/>
      <c r="C389" s="1566"/>
      <c r="D389" s="1538"/>
      <c r="E389" s="1149"/>
      <c r="I389" s="471"/>
      <c r="J389" s="731"/>
      <c r="K389" s="498"/>
    </row>
    <row r="390" ht="15.75" customHeight="1">
      <c r="B390" s="1538"/>
      <c r="C390" s="1566"/>
      <c r="D390" s="1538"/>
      <c r="E390" s="1149"/>
      <c r="I390" s="471"/>
      <c r="J390" s="731"/>
      <c r="K390" s="498"/>
    </row>
    <row r="391" ht="15.75" customHeight="1">
      <c r="B391" s="1538"/>
      <c r="C391" s="1566"/>
      <c r="D391" s="1538"/>
      <c r="E391" s="1149"/>
      <c r="I391" s="471"/>
      <c r="J391" s="731"/>
      <c r="K391" s="498"/>
    </row>
    <row r="392" ht="15.75" customHeight="1">
      <c r="B392" s="1538"/>
      <c r="C392" s="1566"/>
      <c r="D392" s="1538"/>
      <c r="E392" s="1149"/>
      <c r="I392" s="471"/>
      <c r="J392" s="731"/>
      <c r="K392" s="498"/>
    </row>
    <row r="393" ht="15.75" customHeight="1">
      <c r="B393" s="1538"/>
      <c r="C393" s="1566"/>
      <c r="D393" s="1538"/>
      <c r="E393" s="1149"/>
      <c r="I393" s="471"/>
      <c r="J393" s="731"/>
      <c r="K393" s="498"/>
    </row>
    <row r="394" ht="15.75" customHeight="1">
      <c r="B394" s="1538"/>
      <c r="C394" s="1566"/>
      <c r="D394" s="1538"/>
      <c r="E394" s="1149"/>
      <c r="I394" s="471"/>
      <c r="J394" s="731"/>
      <c r="K394" s="498"/>
    </row>
    <row r="395" ht="15.75" customHeight="1">
      <c r="B395" s="1538"/>
      <c r="C395" s="1566"/>
      <c r="D395" s="1538"/>
      <c r="E395" s="1149"/>
      <c r="I395" s="471"/>
      <c r="J395" s="731"/>
      <c r="K395" s="498"/>
    </row>
    <row r="396" ht="15.75" customHeight="1">
      <c r="B396" s="1538"/>
      <c r="C396" s="1566"/>
      <c r="D396" s="1538"/>
      <c r="E396" s="1149"/>
      <c r="I396" s="471"/>
      <c r="J396" s="731"/>
      <c r="K396" s="498"/>
    </row>
    <row r="397" ht="15.75" customHeight="1">
      <c r="B397" s="1538"/>
      <c r="C397" s="1566"/>
      <c r="D397" s="1538"/>
      <c r="E397" s="1149"/>
      <c r="I397" s="471"/>
      <c r="J397" s="731"/>
      <c r="K397" s="498"/>
    </row>
    <row r="398" ht="15.75" customHeight="1">
      <c r="B398" s="1538"/>
      <c r="C398" s="1566"/>
      <c r="D398" s="1538"/>
      <c r="E398" s="1149"/>
      <c r="I398" s="471"/>
      <c r="J398" s="731"/>
      <c r="K398" s="498"/>
    </row>
    <row r="399" ht="15.75" customHeight="1">
      <c r="B399" s="1538"/>
      <c r="C399" s="1566"/>
      <c r="D399" s="1538"/>
      <c r="E399" s="1149"/>
      <c r="I399" s="471"/>
      <c r="J399" s="731"/>
      <c r="K399" s="498"/>
    </row>
    <row r="400" ht="15.75" customHeight="1">
      <c r="B400" s="1538"/>
      <c r="C400" s="1566"/>
      <c r="D400" s="1538"/>
      <c r="E400" s="1149"/>
      <c r="I400" s="471"/>
      <c r="J400" s="731"/>
      <c r="K400" s="498"/>
    </row>
    <row r="401" ht="15.75" customHeight="1">
      <c r="B401" s="1538"/>
      <c r="C401" s="1566"/>
      <c r="D401" s="1538"/>
      <c r="E401" s="1149"/>
      <c r="I401" s="471"/>
      <c r="J401" s="731"/>
      <c r="K401" s="498"/>
    </row>
    <row r="402" ht="15.75" customHeight="1">
      <c r="B402" s="1538"/>
      <c r="C402" s="1566"/>
      <c r="D402" s="1538"/>
      <c r="E402" s="1149"/>
      <c r="I402" s="471"/>
      <c r="J402" s="731"/>
      <c r="K402" s="498"/>
    </row>
    <row r="403" ht="15.75" customHeight="1">
      <c r="B403" s="1538"/>
      <c r="C403" s="1566"/>
      <c r="D403" s="1538"/>
      <c r="E403" s="1149"/>
      <c r="I403" s="471"/>
      <c r="J403" s="731"/>
      <c r="K403" s="498"/>
    </row>
    <row r="404" ht="15.75" customHeight="1">
      <c r="B404" s="1538"/>
      <c r="C404" s="1566"/>
      <c r="D404" s="1538"/>
      <c r="E404" s="1149"/>
      <c r="I404" s="471"/>
      <c r="J404" s="731"/>
      <c r="K404" s="498"/>
    </row>
    <row r="405" ht="15.75" customHeight="1">
      <c r="B405" s="1538"/>
      <c r="C405" s="1566"/>
      <c r="D405" s="1538"/>
      <c r="E405" s="1149"/>
      <c r="I405" s="471"/>
      <c r="J405" s="731"/>
      <c r="K405" s="498"/>
    </row>
    <row r="406" ht="15.75" customHeight="1">
      <c r="B406" s="1538"/>
      <c r="C406" s="1566"/>
      <c r="D406" s="1538"/>
      <c r="E406" s="1149"/>
      <c r="I406" s="471"/>
      <c r="J406" s="731"/>
      <c r="K406" s="498"/>
    </row>
    <row r="407" ht="15.75" customHeight="1">
      <c r="B407" s="1538"/>
      <c r="C407" s="1566"/>
      <c r="D407" s="1538"/>
      <c r="E407" s="1149"/>
      <c r="I407" s="471"/>
      <c r="J407" s="731"/>
      <c r="K407" s="498"/>
    </row>
    <row r="408" ht="15.75" customHeight="1">
      <c r="B408" s="1538"/>
      <c r="C408" s="1566"/>
      <c r="D408" s="1538"/>
      <c r="E408" s="1149"/>
      <c r="I408" s="471"/>
      <c r="J408" s="731"/>
      <c r="K408" s="498"/>
    </row>
    <row r="409" ht="15.75" customHeight="1">
      <c r="B409" s="1538"/>
      <c r="C409" s="1566"/>
      <c r="D409" s="1538"/>
      <c r="E409" s="1149"/>
      <c r="I409" s="471"/>
      <c r="J409" s="731"/>
      <c r="K409" s="498"/>
    </row>
    <row r="410" ht="15.75" customHeight="1">
      <c r="B410" s="1538"/>
      <c r="C410" s="1566"/>
      <c r="D410" s="1538"/>
      <c r="E410" s="1149"/>
      <c r="I410" s="471"/>
      <c r="J410" s="731"/>
      <c r="K410" s="498"/>
    </row>
    <row r="411" ht="15.75" customHeight="1">
      <c r="B411" s="1538"/>
      <c r="C411" s="1566"/>
      <c r="D411" s="1538"/>
      <c r="E411" s="1149"/>
      <c r="I411" s="471"/>
      <c r="J411" s="731"/>
      <c r="K411" s="498"/>
    </row>
    <row r="412" ht="15.75" customHeight="1">
      <c r="B412" s="1538"/>
      <c r="C412" s="1566"/>
      <c r="D412" s="1538"/>
      <c r="E412" s="1149"/>
      <c r="I412" s="471"/>
      <c r="J412" s="731"/>
      <c r="K412" s="498"/>
    </row>
    <row r="413" ht="15.75" customHeight="1">
      <c r="B413" s="1538"/>
      <c r="C413" s="1566"/>
      <c r="D413" s="1538"/>
      <c r="E413" s="1149"/>
      <c r="I413" s="471"/>
      <c r="J413" s="731"/>
      <c r="K413" s="498"/>
    </row>
    <row r="414" ht="15.75" customHeight="1">
      <c r="B414" s="1538"/>
      <c r="C414" s="1566"/>
      <c r="D414" s="1538"/>
      <c r="E414" s="1149"/>
      <c r="I414" s="471"/>
      <c r="J414" s="731"/>
      <c r="K414" s="498"/>
    </row>
    <row r="415" ht="15.75" customHeight="1">
      <c r="B415" s="1538"/>
      <c r="C415" s="1566"/>
      <c r="D415" s="1538"/>
      <c r="E415" s="1149"/>
      <c r="I415" s="471"/>
      <c r="J415" s="731"/>
      <c r="K415" s="498"/>
    </row>
    <row r="416" ht="15.75" customHeight="1">
      <c r="B416" s="1538"/>
      <c r="C416" s="1566"/>
      <c r="D416" s="1538"/>
      <c r="E416" s="1149"/>
      <c r="I416" s="471"/>
      <c r="J416" s="731"/>
      <c r="K416" s="498"/>
    </row>
    <row r="417" ht="15.75" customHeight="1">
      <c r="B417" s="1538"/>
      <c r="C417" s="1566"/>
      <c r="D417" s="1538"/>
      <c r="E417" s="1149"/>
      <c r="I417" s="471"/>
      <c r="J417" s="731"/>
      <c r="K417" s="498"/>
    </row>
    <row r="418" ht="15.75" customHeight="1">
      <c r="B418" s="1538"/>
      <c r="C418" s="1566"/>
      <c r="D418" s="1538"/>
      <c r="E418" s="1149"/>
      <c r="I418" s="471"/>
      <c r="J418" s="731"/>
      <c r="K418" s="498"/>
    </row>
    <row r="419" ht="15.75" customHeight="1">
      <c r="B419" s="1538"/>
      <c r="C419" s="1566"/>
      <c r="D419" s="1538"/>
      <c r="E419" s="1149"/>
      <c r="I419" s="471"/>
      <c r="J419" s="731"/>
      <c r="K419" s="498"/>
    </row>
    <row r="420" ht="15.75" customHeight="1">
      <c r="B420" s="1538"/>
      <c r="C420" s="1566"/>
      <c r="D420" s="1538"/>
      <c r="E420" s="1149"/>
      <c r="I420" s="471"/>
      <c r="J420" s="731"/>
      <c r="K420" s="498"/>
    </row>
    <row r="421" ht="15.75" customHeight="1">
      <c r="B421" s="1538"/>
      <c r="C421" s="1566"/>
      <c r="D421" s="1538"/>
      <c r="E421" s="1149"/>
      <c r="I421" s="471"/>
      <c r="J421" s="731"/>
      <c r="K421" s="498"/>
    </row>
    <row r="422" ht="15.75" customHeight="1">
      <c r="B422" s="1538"/>
      <c r="C422" s="1566"/>
      <c r="D422" s="1538"/>
      <c r="E422" s="1149"/>
      <c r="I422" s="471"/>
      <c r="J422" s="731"/>
      <c r="K422" s="498"/>
    </row>
    <row r="423" ht="15.75" customHeight="1">
      <c r="B423" s="1538"/>
      <c r="C423" s="1566"/>
      <c r="D423" s="1538"/>
      <c r="E423" s="1149"/>
      <c r="I423" s="471"/>
      <c r="J423" s="731"/>
      <c r="K423" s="498"/>
    </row>
    <row r="424" ht="15.75" customHeight="1">
      <c r="B424" s="1538"/>
      <c r="C424" s="1566"/>
      <c r="D424" s="1538"/>
      <c r="E424" s="1149"/>
      <c r="I424" s="471"/>
      <c r="J424" s="731"/>
      <c r="K424" s="498"/>
    </row>
    <row r="425" ht="15.75" customHeight="1">
      <c r="B425" s="1538"/>
      <c r="C425" s="1566"/>
      <c r="D425" s="1538"/>
      <c r="E425" s="1149"/>
      <c r="I425" s="471"/>
      <c r="J425" s="731"/>
      <c r="K425" s="498"/>
    </row>
    <row r="426" ht="15.75" customHeight="1">
      <c r="B426" s="1538"/>
      <c r="C426" s="1566"/>
      <c r="D426" s="1538"/>
      <c r="E426" s="1149"/>
      <c r="I426" s="471"/>
      <c r="J426" s="731"/>
      <c r="K426" s="498"/>
    </row>
    <row r="427" ht="15.75" customHeight="1">
      <c r="B427" s="1538"/>
      <c r="C427" s="1566"/>
      <c r="D427" s="1538"/>
      <c r="E427" s="1149"/>
      <c r="I427" s="471"/>
      <c r="J427" s="731"/>
      <c r="K427" s="498"/>
    </row>
    <row r="428" ht="15.75" customHeight="1">
      <c r="B428" s="1538"/>
      <c r="C428" s="1566"/>
      <c r="D428" s="1538"/>
      <c r="E428" s="1149"/>
      <c r="I428" s="471"/>
      <c r="J428" s="731"/>
      <c r="K428" s="498"/>
    </row>
    <row r="429" ht="15.75" customHeight="1">
      <c r="B429" s="1538"/>
      <c r="C429" s="1566"/>
      <c r="D429" s="1538"/>
      <c r="E429" s="1149"/>
      <c r="I429" s="471"/>
      <c r="J429" s="731"/>
      <c r="K429" s="498"/>
    </row>
    <row r="430" ht="15.75" customHeight="1">
      <c r="B430" s="1538"/>
      <c r="C430" s="1566"/>
      <c r="D430" s="1538"/>
      <c r="E430" s="1149"/>
      <c r="I430" s="471"/>
      <c r="J430" s="731"/>
      <c r="K430" s="498"/>
    </row>
    <row r="431" ht="15.75" customHeight="1">
      <c r="B431" s="1538"/>
      <c r="C431" s="1566"/>
      <c r="D431" s="1538"/>
      <c r="E431" s="1149"/>
      <c r="I431" s="471"/>
      <c r="J431" s="731"/>
      <c r="K431" s="498"/>
    </row>
    <row r="432" ht="15.75" customHeight="1">
      <c r="B432" s="1538"/>
      <c r="C432" s="1566"/>
      <c r="D432" s="1538"/>
      <c r="E432" s="1149"/>
      <c r="I432" s="471"/>
      <c r="J432" s="731"/>
      <c r="K432" s="498"/>
    </row>
    <row r="433" ht="15.75" customHeight="1">
      <c r="B433" s="1538"/>
      <c r="C433" s="1566"/>
      <c r="D433" s="1538"/>
      <c r="E433" s="1149"/>
      <c r="I433" s="471"/>
      <c r="J433" s="731"/>
      <c r="K433" s="498"/>
    </row>
    <row r="434" ht="15.75" customHeight="1">
      <c r="B434" s="1538"/>
      <c r="C434" s="1566"/>
      <c r="D434" s="1538"/>
      <c r="E434" s="1149"/>
      <c r="I434" s="471"/>
      <c r="J434" s="731"/>
      <c r="K434" s="498"/>
    </row>
    <row r="435" ht="15.75" customHeight="1">
      <c r="B435" s="1538"/>
      <c r="C435" s="1566"/>
      <c r="D435" s="1538"/>
      <c r="E435" s="1149"/>
      <c r="I435" s="471"/>
      <c r="J435" s="731"/>
      <c r="K435" s="498"/>
    </row>
    <row r="436" ht="15.75" customHeight="1">
      <c r="B436" s="1538"/>
      <c r="C436" s="1566"/>
      <c r="D436" s="1538"/>
      <c r="E436" s="1149"/>
      <c r="I436" s="471"/>
      <c r="J436" s="731"/>
      <c r="K436" s="498"/>
    </row>
    <row r="437" ht="15.75" customHeight="1">
      <c r="B437" s="1538"/>
      <c r="C437" s="1566"/>
      <c r="D437" s="1538"/>
      <c r="E437" s="1149"/>
      <c r="I437" s="471"/>
      <c r="J437" s="731"/>
      <c r="K437" s="498"/>
    </row>
    <row r="438" ht="15.75" customHeight="1">
      <c r="B438" s="1538"/>
      <c r="C438" s="1566"/>
      <c r="D438" s="1538"/>
      <c r="E438" s="1149"/>
      <c r="I438" s="471"/>
      <c r="J438" s="731"/>
      <c r="K438" s="498"/>
    </row>
    <row r="439" ht="15.75" customHeight="1">
      <c r="B439" s="1538"/>
      <c r="C439" s="1566"/>
      <c r="D439" s="1538"/>
      <c r="E439" s="1149"/>
      <c r="I439" s="471"/>
      <c r="J439" s="731"/>
      <c r="K439" s="498"/>
    </row>
    <row r="440" ht="15.75" customHeight="1">
      <c r="B440" s="1538"/>
      <c r="C440" s="1566"/>
      <c r="D440" s="1538"/>
      <c r="E440" s="1149"/>
      <c r="I440" s="471"/>
      <c r="J440" s="731"/>
      <c r="K440" s="498"/>
    </row>
    <row r="441" ht="15.75" customHeight="1">
      <c r="B441" s="1538"/>
      <c r="C441" s="1566"/>
      <c r="D441" s="1538"/>
      <c r="E441" s="1149"/>
      <c r="I441" s="471"/>
      <c r="J441" s="731"/>
      <c r="K441" s="498"/>
    </row>
    <row r="442" ht="15.75" customHeight="1">
      <c r="B442" s="1538"/>
      <c r="C442" s="1566"/>
      <c r="D442" s="1538"/>
      <c r="E442" s="1149"/>
      <c r="I442" s="471"/>
      <c r="J442" s="731"/>
      <c r="K442" s="498"/>
    </row>
    <row r="443" ht="15.75" customHeight="1">
      <c r="B443" s="1538"/>
      <c r="C443" s="1566"/>
      <c r="D443" s="1538"/>
      <c r="E443" s="1149"/>
      <c r="I443" s="471"/>
      <c r="J443" s="731"/>
      <c r="K443" s="498"/>
    </row>
    <row r="444" ht="15.75" customHeight="1">
      <c r="B444" s="1538"/>
      <c r="C444" s="1566"/>
      <c r="D444" s="1538"/>
      <c r="E444" s="1149"/>
      <c r="I444" s="471"/>
      <c r="J444" s="731"/>
      <c r="K444" s="498"/>
    </row>
    <row r="445" ht="15.75" customHeight="1">
      <c r="B445" s="1538"/>
      <c r="C445" s="1566"/>
      <c r="D445" s="1538"/>
      <c r="E445" s="1149"/>
      <c r="I445" s="471"/>
      <c r="J445" s="731"/>
      <c r="K445" s="498"/>
    </row>
    <row r="446" ht="15.75" customHeight="1">
      <c r="B446" s="1538"/>
      <c r="C446" s="1566"/>
      <c r="D446" s="1538"/>
      <c r="E446" s="1149"/>
      <c r="I446" s="471"/>
      <c r="J446" s="731"/>
      <c r="K446" s="498"/>
    </row>
    <row r="447" ht="15.75" customHeight="1">
      <c r="B447" s="1538"/>
      <c r="C447" s="1566"/>
      <c r="D447" s="1538"/>
      <c r="E447" s="1149"/>
      <c r="I447" s="471"/>
      <c r="J447" s="731"/>
      <c r="K447" s="498"/>
    </row>
    <row r="448" ht="15.75" customHeight="1">
      <c r="B448" s="1538"/>
      <c r="C448" s="1566"/>
      <c r="D448" s="1538"/>
      <c r="E448" s="1149"/>
      <c r="I448" s="471"/>
      <c r="J448" s="731"/>
      <c r="K448" s="498"/>
    </row>
    <row r="449" ht="15.75" customHeight="1">
      <c r="B449" s="1538"/>
      <c r="C449" s="1566"/>
      <c r="D449" s="1538"/>
      <c r="E449" s="1149"/>
      <c r="I449" s="471"/>
      <c r="J449" s="731"/>
      <c r="K449" s="498"/>
    </row>
    <row r="450" ht="15.75" customHeight="1">
      <c r="B450" s="1538"/>
      <c r="C450" s="1566"/>
      <c r="D450" s="1538"/>
      <c r="E450" s="1149"/>
      <c r="I450" s="471"/>
      <c r="J450" s="731"/>
      <c r="K450" s="498"/>
    </row>
    <row r="451" ht="15.75" customHeight="1">
      <c r="B451" s="1538"/>
      <c r="C451" s="1566"/>
      <c r="D451" s="1538"/>
      <c r="E451" s="1149"/>
      <c r="I451" s="471"/>
      <c r="J451" s="731"/>
      <c r="K451" s="498"/>
    </row>
    <row r="452" ht="15.75" customHeight="1">
      <c r="B452" s="1538"/>
      <c r="C452" s="1566"/>
      <c r="D452" s="1538"/>
      <c r="E452" s="1149"/>
      <c r="I452" s="471"/>
      <c r="J452" s="731"/>
      <c r="K452" s="498"/>
    </row>
    <row r="453" ht="15.75" customHeight="1">
      <c r="B453" s="1538"/>
      <c r="C453" s="1566"/>
      <c r="D453" s="1538"/>
      <c r="E453" s="1149"/>
      <c r="I453" s="471"/>
      <c r="J453" s="731"/>
      <c r="K453" s="498"/>
    </row>
    <row r="454" ht="15.75" customHeight="1">
      <c r="B454" s="1538"/>
      <c r="C454" s="1566"/>
      <c r="D454" s="1538"/>
      <c r="E454" s="1149"/>
      <c r="I454" s="471"/>
      <c r="J454" s="731"/>
      <c r="K454" s="498"/>
    </row>
    <row r="455" ht="15.75" customHeight="1">
      <c r="B455" s="1538"/>
      <c r="C455" s="1566"/>
      <c r="D455" s="1538"/>
      <c r="E455" s="1149"/>
      <c r="I455" s="471"/>
      <c r="J455" s="731"/>
      <c r="K455" s="498"/>
    </row>
    <row r="456" ht="15.75" customHeight="1">
      <c r="B456" s="1538"/>
      <c r="C456" s="1566"/>
      <c r="D456" s="1538"/>
      <c r="E456" s="1149"/>
      <c r="I456" s="471"/>
      <c r="J456" s="731"/>
      <c r="K456" s="498"/>
    </row>
    <row r="457" ht="15.75" customHeight="1">
      <c r="B457" s="1538"/>
      <c r="C457" s="1566"/>
      <c r="D457" s="1538"/>
      <c r="E457" s="1149"/>
      <c r="I457" s="471"/>
      <c r="J457" s="731"/>
      <c r="K457" s="498"/>
    </row>
    <row r="458" ht="15.75" customHeight="1">
      <c r="B458" s="1538"/>
      <c r="C458" s="1566"/>
      <c r="D458" s="1538"/>
      <c r="E458" s="1149"/>
      <c r="I458" s="471"/>
      <c r="J458" s="731"/>
      <c r="K458" s="498"/>
    </row>
    <row r="459" ht="15.75" customHeight="1">
      <c r="B459" s="1538"/>
      <c r="C459" s="1566"/>
      <c r="D459" s="1538"/>
      <c r="E459" s="1149"/>
      <c r="I459" s="471"/>
      <c r="J459" s="731"/>
      <c r="K459" s="498"/>
    </row>
    <row r="460" ht="15.75" customHeight="1">
      <c r="B460" s="1538"/>
      <c r="C460" s="1566"/>
      <c r="D460" s="1538"/>
      <c r="E460" s="1149"/>
      <c r="I460" s="471"/>
      <c r="J460" s="731"/>
      <c r="K460" s="498"/>
    </row>
    <row r="461" ht="15.75" customHeight="1">
      <c r="B461" s="1538"/>
      <c r="C461" s="1566"/>
      <c r="D461" s="1538"/>
      <c r="E461" s="1149"/>
      <c r="I461" s="471"/>
      <c r="J461" s="731"/>
      <c r="K461" s="498"/>
    </row>
    <row r="462" ht="15.75" customHeight="1">
      <c r="B462" s="1538"/>
      <c r="C462" s="1566"/>
      <c r="D462" s="1538"/>
      <c r="E462" s="1149"/>
      <c r="I462" s="471"/>
      <c r="J462" s="731"/>
      <c r="K462" s="498"/>
    </row>
    <row r="463" ht="15.75" customHeight="1">
      <c r="B463" s="1538"/>
      <c r="C463" s="1566"/>
      <c r="D463" s="1538"/>
      <c r="E463" s="1149"/>
      <c r="I463" s="471"/>
      <c r="J463" s="731"/>
      <c r="K463" s="498"/>
    </row>
    <row r="464" ht="15.75" customHeight="1">
      <c r="B464" s="1538"/>
      <c r="C464" s="1566"/>
      <c r="D464" s="1538"/>
      <c r="E464" s="1149"/>
      <c r="I464" s="471"/>
      <c r="J464" s="731"/>
      <c r="K464" s="498"/>
    </row>
    <row r="465" ht="15.75" customHeight="1">
      <c r="B465" s="1538"/>
      <c r="C465" s="1566"/>
      <c r="D465" s="1538"/>
      <c r="E465" s="1149"/>
      <c r="I465" s="471"/>
      <c r="J465" s="731"/>
      <c r="K465" s="498"/>
    </row>
    <row r="466" ht="15.75" customHeight="1">
      <c r="B466" s="1538"/>
      <c r="C466" s="1566"/>
      <c r="D466" s="1538"/>
      <c r="E466" s="1149"/>
      <c r="I466" s="471"/>
      <c r="J466" s="731"/>
      <c r="K466" s="498"/>
    </row>
    <row r="467" ht="15.75" customHeight="1">
      <c r="B467" s="1538"/>
      <c r="C467" s="1566"/>
      <c r="D467" s="1538"/>
      <c r="E467" s="1149"/>
      <c r="I467" s="471"/>
      <c r="J467" s="731"/>
      <c r="K467" s="498"/>
    </row>
    <row r="468" ht="15.75" customHeight="1">
      <c r="B468" s="1538"/>
      <c r="C468" s="1566"/>
      <c r="D468" s="1538"/>
      <c r="E468" s="1149"/>
      <c r="I468" s="471"/>
      <c r="J468" s="731"/>
      <c r="K468" s="498"/>
    </row>
    <row r="469" ht="15.75" customHeight="1">
      <c r="B469" s="1538"/>
      <c r="C469" s="1566"/>
      <c r="D469" s="1538"/>
      <c r="E469" s="1149"/>
      <c r="I469" s="471"/>
      <c r="J469" s="731"/>
      <c r="K469" s="498"/>
    </row>
    <row r="470" ht="15.75" customHeight="1">
      <c r="B470" s="1538"/>
      <c r="C470" s="1566"/>
      <c r="D470" s="1538"/>
      <c r="E470" s="1149"/>
      <c r="I470" s="471"/>
      <c r="J470" s="731"/>
      <c r="K470" s="498"/>
    </row>
    <row r="471" ht="15.75" customHeight="1">
      <c r="B471" s="1538"/>
      <c r="C471" s="1566"/>
      <c r="D471" s="1538"/>
      <c r="E471" s="1149"/>
      <c r="I471" s="471"/>
      <c r="J471" s="731"/>
      <c r="K471" s="498"/>
    </row>
    <row r="472" ht="15.75" customHeight="1">
      <c r="B472" s="1538"/>
      <c r="C472" s="1566"/>
      <c r="D472" s="1538"/>
      <c r="E472" s="1149"/>
      <c r="I472" s="471"/>
      <c r="J472" s="731"/>
      <c r="K472" s="498"/>
    </row>
    <row r="473" ht="15.75" customHeight="1">
      <c r="B473" s="1538"/>
      <c r="C473" s="1566"/>
      <c r="D473" s="1538"/>
      <c r="E473" s="1149"/>
      <c r="I473" s="471"/>
      <c r="J473" s="731"/>
      <c r="K473" s="498"/>
    </row>
    <row r="474" ht="15.75" customHeight="1">
      <c r="B474" s="1538"/>
      <c r="C474" s="1566"/>
      <c r="D474" s="1538"/>
      <c r="E474" s="1149"/>
      <c r="I474" s="471"/>
      <c r="J474" s="731"/>
      <c r="K474" s="498"/>
    </row>
    <row r="475" ht="15.75" customHeight="1">
      <c r="B475" s="1538"/>
      <c r="C475" s="1566"/>
      <c r="D475" s="1538"/>
      <c r="E475" s="1149"/>
      <c r="I475" s="471"/>
      <c r="J475" s="731"/>
      <c r="K475" s="498"/>
    </row>
    <row r="476" ht="15.75" customHeight="1">
      <c r="B476" s="1538"/>
      <c r="C476" s="1566"/>
      <c r="D476" s="1538"/>
      <c r="E476" s="1149"/>
      <c r="I476" s="471"/>
      <c r="J476" s="731"/>
      <c r="K476" s="498"/>
    </row>
    <row r="477" ht="15.75" customHeight="1">
      <c r="B477" s="1538"/>
      <c r="C477" s="1566"/>
      <c r="D477" s="1538"/>
      <c r="E477" s="1149"/>
      <c r="I477" s="471"/>
      <c r="J477" s="731"/>
      <c r="K477" s="498"/>
    </row>
    <row r="478" ht="15.75" customHeight="1">
      <c r="B478" s="1538"/>
      <c r="C478" s="1566"/>
      <c r="D478" s="1538"/>
      <c r="E478" s="1149"/>
      <c r="I478" s="471"/>
      <c r="J478" s="731"/>
      <c r="K478" s="498"/>
    </row>
    <row r="479" ht="15.75" customHeight="1">
      <c r="B479" s="1538"/>
      <c r="C479" s="1566"/>
      <c r="D479" s="1538"/>
      <c r="E479" s="1149"/>
      <c r="I479" s="471"/>
      <c r="J479" s="731"/>
      <c r="K479" s="498"/>
    </row>
    <row r="480" ht="15.75" customHeight="1">
      <c r="B480" s="1538"/>
      <c r="C480" s="1566"/>
      <c r="D480" s="1538"/>
      <c r="E480" s="1149"/>
      <c r="I480" s="471"/>
      <c r="J480" s="731"/>
      <c r="K480" s="498"/>
    </row>
    <row r="481" ht="15.75" customHeight="1">
      <c r="B481" s="1538"/>
      <c r="C481" s="1566"/>
      <c r="D481" s="1538"/>
      <c r="E481" s="1149"/>
      <c r="I481" s="471"/>
      <c r="J481" s="731"/>
      <c r="K481" s="498"/>
    </row>
    <row r="482" ht="15.75" customHeight="1">
      <c r="B482" s="1538"/>
      <c r="C482" s="1566"/>
      <c r="D482" s="1538"/>
      <c r="E482" s="1149"/>
      <c r="I482" s="471"/>
      <c r="J482" s="731"/>
      <c r="K482" s="498"/>
    </row>
    <row r="483" ht="15.75" customHeight="1">
      <c r="B483" s="1538"/>
      <c r="C483" s="1566"/>
      <c r="D483" s="1538"/>
      <c r="E483" s="1149"/>
      <c r="I483" s="471"/>
      <c r="J483" s="731"/>
      <c r="K483" s="498"/>
    </row>
    <row r="484" ht="15.75" customHeight="1">
      <c r="B484" s="1538"/>
      <c r="C484" s="1566"/>
      <c r="D484" s="1538"/>
      <c r="E484" s="1149"/>
      <c r="I484" s="471"/>
      <c r="J484" s="731"/>
      <c r="K484" s="498"/>
    </row>
    <row r="485" ht="15.75" customHeight="1">
      <c r="B485" s="1538"/>
      <c r="C485" s="1566"/>
      <c r="D485" s="1538"/>
      <c r="E485" s="1149"/>
      <c r="I485" s="471"/>
      <c r="J485" s="731"/>
      <c r="K485" s="498"/>
    </row>
    <row r="486" ht="15.75" customHeight="1">
      <c r="B486" s="1538"/>
      <c r="C486" s="1566"/>
      <c r="D486" s="1538"/>
      <c r="E486" s="1149"/>
      <c r="I486" s="471"/>
      <c r="J486" s="731"/>
      <c r="K486" s="498"/>
    </row>
    <row r="487" ht="15.75" customHeight="1">
      <c r="B487" s="1538"/>
      <c r="C487" s="1566"/>
      <c r="D487" s="1538"/>
      <c r="E487" s="1149"/>
      <c r="I487" s="471"/>
      <c r="J487" s="731"/>
      <c r="K487" s="498"/>
    </row>
    <row r="488" ht="15.75" customHeight="1">
      <c r="B488" s="1538"/>
      <c r="C488" s="1566"/>
      <c r="D488" s="1538"/>
      <c r="E488" s="1149"/>
      <c r="I488" s="471"/>
      <c r="J488" s="731"/>
      <c r="K488" s="498"/>
    </row>
    <row r="489" ht="15.75" customHeight="1">
      <c r="B489" s="1538"/>
      <c r="C489" s="1566"/>
      <c r="D489" s="1538"/>
      <c r="E489" s="1149"/>
      <c r="I489" s="471"/>
      <c r="J489" s="731"/>
      <c r="K489" s="498"/>
    </row>
    <row r="490" ht="15.75" customHeight="1">
      <c r="B490" s="1538"/>
      <c r="C490" s="1566"/>
      <c r="D490" s="1538"/>
      <c r="E490" s="1149"/>
      <c r="I490" s="471"/>
      <c r="J490" s="731"/>
      <c r="K490" s="498"/>
    </row>
    <row r="491" ht="15.75" customHeight="1">
      <c r="B491" s="1538"/>
      <c r="C491" s="1566"/>
      <c r="D491" s="1538"/>
      <c r="E491" s="1149"/>
      <c r="I491" s="471"/>
      <c r="J491" s="731"/>
      <c r="K491" s="498"/>
    </row>
    <row r="492" ht="15.75" customHeight="1">
      <c r="B492" s="1538"/>
      <c r="C492" s="1566"/>
      <c r="D492" s="1538"/>
      <c r="E492" s="1149"/>
      <c r="I492" s="471"/>
      <c r="J492" s="731"/>
      <c r="K492" s="498"/>
    </row>
    <row r="493" ht="15.75" customHeight="1">
      <c r="B493" s="1538"/>
      <c r="C493" s="1566"/>
      <c r="D493" s="1538"/>
      <c r="E493" s="1149"/>
      <c r="I493" s="471"/>
      <c r="J493" s="731"/>
      <c r="K493" s="498"/>
    </row>
    <row r="494" ht="15.75" customHeight="1">
      <c r="B494" s="1538"/>
      <c r="C494" s="1566"/>
      <c r="D494" s="1538"/>
      <c r="E494" s="1149"/>
      <c r="I494" s="471"/>
      <c r="J494" s="731"/>
      <c r="K494" s="498"/>
    </row>
    <row r="495" ht="15.75" customHeight="1">
      <c r="B495" s="1538"/>
      <c r="C495" s="1566"/>
      <c r="D495" s="1538"/>
      <c r="E495" s="1149"/>
      <c r="I495" s="471"/>
      <c r="J495" s="731"/>
      <c r="K495" s="498"/>
    </row>
    <row r="496" ht="15.75" customHeight="1">
      <c r="B496" s="1538"/>
      <c r="C496" s="1566"/>
      <c r="D496" s="1538"/>
      <c r="E496" s="1149"/>
      <c r="I496" s="471"/>
      <c r="J496" s="731"/>
      <c r="K496" s="498"/>
    </row>
    <row r="497" ht="15.75" customHeight="1">
      <c r="B497" s="1538"/>
      <c r="C497" s="1566"/>
      <c r="D497" s="1538"/>
      <c r="E497" s="1149"/>
      <c r="I497" s="471"/>
      <c r="J497" s="731"/>
      <c r="K497" s="498"/>
    </row>
    <row r="498" ht="15.75" customHeight="1">
      <c r="B498" s="1538"/>
      <c r="C498" s="1566"/>
      <c r="D498" s="1538"/>
      <c r="E498" s="1149"/>
      <c r="I498" s="471"/>
      <c r="J498" s="731"/>
      <c r="K498" s="498"/>
    </row>
    <row r="499" ht="15.75" customHeight="1">
      <c r="B499" s="1538"/>
      <c r="C499" s="1566"/>
      <c r="D499" s="1538"/>
      <c r="E499" s="1149"/>
      <c r="I499" s="471"/>
      <c r="J499" s="731"/>
      <c r="K499" s="498"/>
    </row>
    <row r="500" ht="15.75" customHeight="1">
      <c r="B500" s="1538"/>
      <c r="C500" s="1566"/>
      <c r="D500" s="1538"/>
      <c r="E500" s="1149"/>
      <c r="I500" s="471"/>
      <c r="J500" s="731"/>
      <c r="K500" s="498"/>
    </row>
    <row r="501" ht="15.75" customHeight="1">
      <c r="B501" s="1538"/>
      <c r="C501" s="1566"/>
      <c r="D501" s="1538"/>
      <c r="E501" s="1149"/>
      <c r="I501" s="471"/>
      <c r="J501" s="731"/>
      <c r="K501" s="498"/>
    </row>
    <row r="502" ht="15.75" customHeight="1">
      <c r="B502" s="1538"/>
      <c r="C502" s="1566"/>
      <c r="D502" s="1538"/>
      <c r="E502" s="1149"/>
      <c r="I502" s="471"/>
      <c r="J502" s="731"/>
      <c r="K502" s="498"/>
    </row>
    <row r="503" ht="15.75" customHeight="1">
      <c r="B503" s="1538"/>
      <c r="C503" s="1566"/>
      <c r="D503" s="1538"/>
      <c r="E503" s="1149"/>
      <c r="I503" s="471"/>
      <c r="J503" s="731"/>
      <c r="K503" s="498"/>
    </row>
    <row r="504" ht="15.75" customHeight="1">
      <c r="B504" s="1538"/>
      <c r="C504" s="1566"/>
      <c r="D504" s="1538"/>
      <c r="E504" s="1149"/>
      <c r="I504" s="471"/>
      <c r="J504" s="731"/>
      <c r="K504" s="498"/>
    </row>
    <row r="505" ht="15.75" customHeight="1">
      <c r="B505" s="1538"/>
      <c r="C505" s="1566"/>
      <c r="D505" s="1538"/>
      <c r="E505" s="1149"/>
      <c r="I505" s="471"/>
      <c r="J505" s="731"/>
      <c r="K505" s="498"/>
    </row>
    <row r="506" ht="15.75" customHeight="1">
      <c r="B506" s="1538"/>
      <c r="C506" s="1566"/>
      <c r="D506" s="1538"/>
      <c r="E506" s="1149"/>
      <c r="I506" s="471"/>
      <c r="J506" s="731"/>
      <c r="K506" s="498"/>
    </row>
    <row r="507" ht="15.75" customHeight="1">
      <c r="B507" s="1538"/>
      <c r="C507" s="1566"/>
      <c r="D507" s="1538"/>
      <c r="E507" s="1149"/>
      <c r="I507" s="471"/>
      <c r="J507" s="731"/>
      <c r="K507" s="498"/>
    </row>
    <row r="508" ht="15.75" customHeight="1">
      <c r="B508" s="1538"/>
      <c r="C508" s="1566"/>
      <c r="D508" s="1538"/>
      <c r="E508" s="1149"/>
      <c r="I508" s="471"/>
      <c r="J508" s="731"/>
      <c r="K508" s="498"/>
    </row>
    <row r="509" ht="15.75" customHeight="1">
      <c r="B509" s="1538"/>
      <c r="C509" s="1566"/>
      <c r="D509" s="1538"/>
      <c r="E509" s="1149"/>
      <c r="I509" s="471"/>
      <c r="J509" s="731"/>
      <c r="K509" s="498"/>
    </row>
    <row r="510" ht="15.75" customHeight="1">
      <c r="B510" s="1538"/>
      <c r="C510" s="1566"/>
      <c r="D510" s="1538"/>
      <c r="E510" s="1149"/>
      <c r="I510" s="471"/>
      <c r="J510" s="731"/>
      <c r="K510" s="498"/>
    </row>
    <row r="511" ht="15.75" customHeight="1">
      <c r="B511" s="1538"/>
      <c r="C511" s="1566"/>
      <c r="D511" s="1538"/>
      <c r="E511" s="1149"/>
      <c r="I511" s="471"/>
      <c r="J511" s="731"/>
      <c r="K511" s="498"/>
    </row>
    <row r="512" ht="15.75" customHeight="1">
      <c r="B512" s="1538"/>
      <c r="C512" s="1566"/>
      <c r="D512" s="1538"/>
      <c r="E512" s="1149"/>
      <c r="I512" s="471"/>
      <c r="J512" s="731"/>
      <c r="K512" s="498"/>
    </row>
    <row r="513" ht="15.75" customHeight="1">
      <c r="B513" s="1538"/>
      <c r="C513" s="1566"/>
      <c r="D513" s="1538"/>
      <c r="E513" s="1149"/>
      <c r="I513" s="471"/>
      <c r="J513" s="731"/>
      <c r="K513" s="498"/>
    </row>
    <row r="514" ht="15.75" customHeight="1">
      <c r="B514" s="1538"/>
      <c r="C514" s="1566"/>
      <c r="D514" s="1538"/>
      <c r="E514" s="1149"/>
      <c r="I514" s="471"/>
      <c r="J514" s="731"/>
      <c r="K514" s="498"/>
    </row>
    <row r="515" ht="15.75" customHeight="1">
      <c r="B515" s="1538"/>
      <c r="C515" s="1566"/>
      <c r="D515" s="1538"/>
      <c r="E515" s="1149"/>
      <c r="I515" s="471"/>
      <c r="J515" s="731"/>
      <c r="K515" s="498"/>
    </row>
    <row r="516" ht="15.75" customHeight="1">
      <c r="B516" s="1538"/>
      <c r="C516" s="1566"/>
      <c r="D516" s="1538"/>
      <c r="E516" s="1149"/>
      <c r="I516" s="471"/>
      <c r="J516" s="731"/>
      <c r="K516" s="498"/>
    </row>
    <row r="517" ht="15.75" customHeight="1">
      <c r="B517" s="1538"/>
      <c r="C517" s="1566"/>
      <c r="D517" s="1538"/>
      <c r="E517" s="1149"/>
      <c r="I517" s="471"/>
      <c r="J517" s="731"/>
      <c r="K517" s="498"/>
    </row>
    <row r="518" ht="15.75" customHeight="1">
      <c r="B518" s="1538"/>
      <c r="C518" s="1566"/>
      <c r="D518" s="1538"/>
      <c r="E518" s="1149"/>
      <c r="I518" s="471"/>
      <c r="J518" s="731"/>
      <c r="K518" s="498"/>
    </row>
    <row r="519" ht="15.75" customHeight="1">
      <c r="B519" s="1538"/>
      <c r="C519" s="1566"/>
      <c r="D519" s="1538"/>
      <c r="E519" s="1149"/>
      <c r="I519" s="471"/>
      <c r="J519" s="731"/>
      <c r="K519" s="498"/>
    </row>
    <row r="520" ht="15.75" customHeight="1">
      <c r="B520" s="1538"/>
      <c r="C520" s="1566"/>
      <c r="D520" s="1538"/>
      <c r="E520" s="1149"/>
      <c r="I520" s="471"/>
      <c r="J520" s="731"/>
      <c r="K520" s="498"/>
    </row>
    <row r="521" ht="15.75" customHeight="1">
      <c r="B521" s="1538"/>
      <c r="C521" s="1566"/>
      <c r="D521" s="1538"/>
      <c r="E521" s="1149"/>
      <c r="I521" s="471"/>
      <c r="J521" s="731"/>
      <c r="K521" s="498"/>
    </row>
    <row r="522" ht="15.75" customHeight="1">
      <c r="B522" s="1538"/>
      <c r="C522" s="1566"/>
      <c r="D522" s="1538"/>
      <c r="E522" s="1149"/>
      <c r="I522" s="471"/>
      <c r="J522" s="731"/>
      <c r="K522" s="498"/>
    </row>
    <row r="523" ht="15.75" customHeight="1">
      <c r="B523" s="1538"/>
      <c r="C523" s="1566"/>
      <c r="D523" s="1538"/>
      <c r="E523" s="1149"/>
      <c r="I523" s="471"/>
      <c r="J523" s="731"/>
      <c r="K523" s="498"/>
    </row>
    <row r="524" ht="15.75" customHeight="1">
      <c r="B524" s="1538"/>
      <c r="C524" s="1566"/>
      <c r="D524" s="1538"/>
      <c r="E524" s="1149"/>
      <c r="I524" s="471"/>
      <c r="J524" s="731"/>
      <c r="K524" s="498"/>
    </row>
    <row r="525" ht="15.75" customHeight="1">
      <c r="B525" s="1538"/>
      <c r="C525" s="1566"/>
      <c r="D525" s="1538"/>
      <c r="E525" s="1149"/>
      <c r="I525" s="471"/>
      <c r="J525" s="731"/>
      <c r="K525" s="498"/>
    </row>
    <row r="526" ht="15.75" customHeight="1">
      <c r="B526" s="1538"/>
      <c r="C526" s="1566"/>
      <c r="D526" s="1538"/>
      <c r="E526" s="1149"/>
      <c r="I526" s="471"/>
      <c r="J526" s="731"/>
      <c r="K526" s="498"/>
    </row>
    <row r="527" ht="15.75" customHeight="1">
      <c r="B527" s="1538"/>
      <c r="C527" s="1566"/>
      <c r="D527" s="1538"/>
      <c r="E527" s="1149"/>
      <c r="I527" s="471"/>
      <c r="J527" s="731"/>
      <c r="K527" s="498"/>
    </row>
    <row r="528" ht="15.75" customHeight="1">
      <c r="B528" s="1538"/>
      <c r="C528" s="1566"/>
      <c r="D528" s="1538"/>
      <c r="E528" s="1149"/>
      <c r="I528" s="471"/>
      <c r="J528" s="731"/>
      <c r="K528" s="498"/>
    </row>
    <row r="529" ht="15.75" customHeight="1">
      <c r="B529" s="1538"/>
      <c r="C529" s="1566"/>
      <c r="D529" s="1538"/>
      <c r="E529" s="1149"/>
      <c r="I529" s="471"/>
      <c r="J529" s="731"/>
      <c r="K529" s="498"/>
    </row>
    <row r="530" ht="15.75" customHeight="1">
      <c r="B530" s="1538"/>
      <c r="C530" s="1566"/>
      <c r="D530" s="1538"/>
      <c r="E530" s="1149"/>
      <c r="I530" s="471"/>
      <c r="J530" s="731"/>
      <c r="K530" s="498"/>
    </row>
    <row r="531" ht="15.75" customHeight="1">
      <c r="B531" s="1538"/>
      <c r="C531" s="1566"/>
      <c r="D531" s="1538"/>
      <c r="E531" s="1149"/>
      <c r="I531" s="471"/>
      <c r="J531" s="731"/>
      <c r="K531" s="498"/>
    </row>
    <row r="532" ht="15.75" customHeight="1">
      <c r="B532" s="1538"/>
      <c r="C532" s="1566"/>
      <c r="D532" s="1538"/>
      <c r="E532" s="1149"/>
      <c r="I532" s="471"/>
      <c r="J532" s="731"/>
      <c r="K532" s="498"/>
    </row>
    <row r="533" ht="15.75" customHeight="1">
      <c r="B533" s="1538"/>
      <c r="C533" s="1566"/>
      <c r="D533" s="1538"/>
      <c r="E533" s="1149"/>
      <c r="I533" s="471"/>
      <c r="J533" s="731"/>
      <c r="K533" s="498"/>
    </row>
    <row r="534" ht="15.75" customHeight="1">
      <c r="B534" s="1538"/>
      <c r="C534" s="1566"/>
      <c r="D534" s="1538"/>
      <c r="E534" s="1149"/>
      <c r="I534" s="471"/>
      <c r="J534" s="731"/>
      <c r="K534" s="498"/>
    </row>
    <row r="535" ht="15.75" customHeight="1">
      <c r="B535" s="1538"/>
      <c r="C535" s="1566"/>
      <c r="D535" s="1538"/>
      <c r="E535" s="1149"/>
      <c r="I535" s="471"/>
      <c r="J535" s="731"/>
      <c r="K535" s="498"/>
    </row>
    <row r="536" ht="15.75" customHeight="1">
      <c r="B536" s="1538"/>
      <c r="C536" s="1566"/>
      <c r="D536" s="1538"/>
      <c r="E536" s="1149"/>
      <c r="I536" s="471"/>
      <c r="J536" s="731"/>
      <c r="K536" s="498"/>
    </row>
    <row r="537" ht="15.75" customHeight="1">
      <c r="B537" s="1538"/>
      <c r="C537" s="1566"/>
      <c r="D537" s="1538"/>
      <c r="E537" s="1149"/>
      <c r="I537" s="471"/>
      <c r="J537" s="731"/>
      <c r="K537" s="498"/>
    </row>
    <row r="538" ht="15.75" customHeight="1">
      <c r="B538" s="1538"/>
      <c r="C538" s="1566"/>
      <c r="D538" s="1538"/>
      <c r="E538" s="1149"/>
      <c r="I538" s="471"/>
      <c r="J538" s="731"/>
      <c r="K538" s="498"/>
    </row>
    <row r="539" ht="15.75" customHeight="1">
      <c r="B539" s="1538"/>
      <c r="C539" s="1566"/>
      <c r="D539" s="1538"/>
      <c r="E539" s="1149"/>
      <c r="I539" s="471"/>
      <c r="J539" s="731"/>
      <c r="K539" s="498"/>
    </row>
    <row r="540" ht="15.75" customHeight="1">
      <c r="B540" s="1538"/>
      <c r="C540" s="1566"/>
      <c r="D540" s="1538"/>
      <c r="E540" s="1149"/>
      <c r="I540" s="471"/>
      <c r="J540" s="731"/>
      <c r="K540" s="498"/>
    </row>
    <row r="541" ht="15.75" customHeight="1">
      <c r="B541" s="1538"/>
      <c r="C541" s="1566"/>
      <c r="D541" s="1538"/>
      <c r="E541" s="1149"/>
      <c r="I541" s="471"/>
      <c r="J541" s="731"/>
      <c r="K541" s="498"/>
    </row>
    <row r="542" ht="15.75" customHeight="1">
      <c r="B542" s="1538"/>
      <c r="C542" s="1566"/>
      <c r="D542" s="1538"/>
      <c r="E542" s="1149"/>
      <c r="I542" s="471"/>
      <c r="J542" s="731"/>
      <c r="K542" s="498"/>
    </row>
    <row r="543" ht="15.75" customHeight="1">
      <c r="B543" s="1538"/>
      <c r="C543" s="1566"/>
      <c r="D543" s="1538"/>
      <c r="E543" s="1149"/>
      <c r="I543" s="471"/>
      <c r="J543" s="731"/>
      <c r="K543" s="498"/>
    </row>
    <row r="544" ht="15.75" customHeight="1">
      <c r="B544" s="1538"/>
      <c r="C544" s="1566"/>
      <c r="D544" s="1538"/>
      <c r="E544" s="1149"/>
      <c r="I544" s="471"/>
      <c r="J544" s="731"/>
      <c r="K544" s="498"/>
    </row>
    <row r="545" ht="15.75" customHeight="1">
      <c r="B545" s="1538"/>
      <c r="C545" s="1566"/>
      <c r="D545" s="1538"/>
      <c r="E545" s="1149"/>
      <c r="I545" s="471"/>
      <c r="J545" s="731"/>
      <c r="K545" s="498"/>
    </row>
    <row r="546" ht="15.75" customHeight="1">
      <c r="B546" s="1538"/>
      <c r="C546" s="1566"/>
      <c r="D546" s="1538"/>
      <c r="E546" s="1149"/>
      <c r="I546" s="471"/>
      <c r="J546" s="731"/>
      <c r="K546" s="498"/>
    </row>
    <row r="547" ht="15.75" customHeight="1">
      <c r="B547" s="1538"/>
      <c r="C547" s="1566"/>
      <c r="D547" s="1538"/>
      <c r="E547" s="1149"/>
      <c r="I547" s="471"/>
      <c r="J547" s="731"/>
      <c r="K547" s="498"/>
    </row>
    <row r="548" ht="15.75" customHeight="1">
      <c r="B548" s="1538"/>
      <c r="C548" s="1566"/>
      <c r="D548" s="1538"/>
      <c r="E548" s="1149"/>
      <c r="I548" s="471"/>
      <c r="J548" s="731"/>
      <c r="K548" s="498"/>
    </row>
    <row r="549" ht="15.75" customHeight="1">
      <c r="B549" s="1538"/>
      <c r="C549" s="1566"/>
      <c r="D549" s="1538"/>
      <c r="E549" s="1149"/>
      <c r="I549" s="471"/>
      <c r="J549" s="731"/>
      <c r="K549" s="498"/>
    </row>
    <row r="550" ht="15.75" customHeight="1">
      <c r="B550" s="1538"/>
      <c r="C550" s="1566"/>
      <c r="D550" s="1538"/>
      <c r="E550" s="1149"/>
      <c r="I550" s="471"/>
      <c r="J550" s="731"/>
      <c r="K550" s="498"/>
    </row>
    <row r="551" ht="15.75" customHeight="1">
      <c r="B551" s="1538"/>
      <c r="C551" s="1566"/>
      <c r="D551" s="1538"/>
      <c r="E551" s="1149"/>
      <c r="I551" s="471"/>
      <c r="J551" s="731"/>
      <c r="K551" s="498"/>
    </row>
    <row r="552" ht="15.75" customHeight="1">
      <c r="B552" s="1538"/>
      <c r="C552" s="1566"/>
      <c r="D552" s="1538"/>
      <c r="E552" s="1149"/>
      <c r="I552" s="471"/>
      <c r="J552" s="731"/>
      <c r="K552" s="498"/>
    </row>
    <row r="553" ht="15.75" customHeight="1">
      <c r="B553" s="1538"/>
      <c r="C553" s="1566"/>
      <c r="D553" s="1538"/>
      <c r="E553" s="1149"/>
      <c r="I553" s="471"/>
      <c r="J553" s="731"/>
      <c r="K553" s="498"/>
    </row>
    <row r="554" ht="15.75" customHeight="1">
      <c r="B554" s="1538"/>
      <c r="C554" s="1566"/>
      <c r="D554" s="1538"/>
      <c r="E554" s="1149"/>
      <c r="I554" s="471"/>
      <c r="J554" s="731"/>
      <c r="K554" s="498"/>
    </row>
    <row r="555" ht="15.75" customHeight="1">
      <c r="B555" s="1538"/>
      <c r="C555" s="1566"/>
      <c r="D555" s="1538"/>
      <c r="E555" s="1149"/>
      <c r="I555" s="471"/>
      <c r="J555" s="731"/>
      <c r="K555" s="498"/>
    </row>
    <row r="556" ht="15.75" customHeight="1">
      <c r="B556" s="1538"/>
      <c r="C556" s="1566"/>
      <c r="D556" s="1538"/>
      <c r="E556" s="1149"/>
      <c r="I556" s="471"/>
      <c r="J556" s="731"/>
      <c r="K556" s="498"/>
    </row>
    <row r="557" ht="15.75" customHeight="1">
      <c r="B557" s="1538"/>
      <c r="C557" s="1566"/>
      <c r="D557" s="1538"/>
      <c r="E557" s="1149"/>
      <c r="I557" s="471"/>
      <c r="J557" s="731"/>
      <c r="K557" s="498"/>
    </row>
    <row r="558" ht="15.75" customHeight="1">
      <c r="B558" s="1538"/>
      <c r="C558" s="1566"/>
      <c r="D558" s="1538"/>
      <c r="E558" s="1149"/>
      <c r="I558" s="471"/>
      <c r="J558" s="731"/>
      <c r="K558" s="498"/>
    </row>
    <row r="559" ht="15.75" customHeight="1">
      <c r="B559" s="1538"/>
      <c r="C559" s="1566"/>
      <c r="D559" s="1538"/>
      <c r="E559" s="1149"/>
      <c r="I559" s="471"/>
      <c r="J559" s="731"/>
      <c r="K559" s="498"/>
    </row>
    <row r="560" ht="15.75" customHeight="1">
      <c r="B560" s="1538"/>
      <c r="C560" s="1566"/>
      <c r="D560" s="1538"/>
      <c r="E560" s="1149"/>
      <c r="I560" s="471"/>
      <c r="J560" s="731"/>
      <c r="K560" s="498"/>
    </row>
    <row r="561" ht="15.75" customHeight="1">
      <c r="B561" s="1538"/>
      <c r="C561" s="1566"/>
      <c r="D561" s="1538"/>
      <c r="E561" s="1149"/>
      <c r="I561" s="471"/>
      <c r="J561" s="731"/>
      <c r="K561" s="498"/>
    </row>
    <row r="562" ht="15.75" customHeight="1">
      <c r="B562" s="1538"/>
      <c r="C562" s="1566"/>
      <c r="D562" s="1538"/>
      <c r="E562" s="1149"/>
      <c r="I562" s="471"/>
      <c r="J562" s="731"/>
      <c r="K562" s="498"/>
    </row>
    <row r="563" ht="15.75" customHeight="1">
      <c r="B563" s="1538"/>
      <c r="C563" s="1566"/>
      <c r="D563" s="1538"/>
      <c r="E563" s="1149"/>
      <c r="I563" s="471"/>
      <c r="J563" s="731"/>
      <c r="K563" s="498"/>
    </row>
    <row r="564" ht="15.75" customHeight="1">
      <c r="B564" s="1538"/>
      <c r="C564" s="1566"/>
      <c r="D564" s="1538"/>
      <c r="E564" s="1149"/>
      <c r="I564" s="471"/>
      <c r="J564" s="731"/>
      <c r="K564" s="498"/>
    </row>
    <row r="565" ht="15.75" customHeight="1">
      <c r="B565" s="1538"/>
      <c r="C565" s="1566"/>
      <c r="D565" s="1538"/>
      <c r="E565" s="1149"/>
      <c r="I565" s="471"/>
      <c r="J565" s="731"/>
      <c r="K565" s="498"/>
    </row>
    <row r="566" ht="15.75" customHeight="1">
      <c r="B566" s="1538"/>
      <c r="C566" s="1566"/>
      <c r="D566" s="1538"/>
      <c r="E566" s="1149"/>
      <c r="I566" s="471"/>
      <c r="J566" s="731"/>
      <c r="K566" s="498"/>
    </row>
    <row r="567" ht="15.75" customHeight="1">
      <c r="B567" s="1538"/>
      <c r="C567" s="1566"/>
      <c r="D567" s="1538"/>
      <c r="E567" s="1149"/>
      <c r="I567" s="471"/>
      <c r="J567" s="731"/>
      <c r="K567" s="498"/>
    </row>
    <row r="568" ht="15.75" customHeight="1">
      <c r="B568" s="1538"/>
      <c r="C568" s="1566"/>
      <c r="D568" s="1538"/>
      <c r="E568" s="1149"/>
      <c r="I568" s="471"/>
      <c r="J568" s="731"/>
      <c r="K568" s="498"/>
    </row>
    <row r="569" ht="15.75" customHeight="1">
      <c r="B569" s="1538"/>
      <c r="C569" s="1566"/>
      <c r="D569" s="1538"/>
      <c r="E569" s="1149"/>
      <c r="I569" s="471"/>
      <c r="J569" s="731"/>
      <c r="K569" s="498"/>
    </row>
    <row r="570" ht="15.75" customHeight="1">
      <c r="B570" s="1538"/>
      <c r="C570" s="1566"/>
      <c r="D570" s="1538"/>
      <c r="E570" s="1149"/>
      <c r="I570" s="471"/>
      <c r="J570" s="731"/>
      <c r="K570" s="498"/>
    </row>
    <row r="571" ht="15.75" customHeight="1">
      <c r="B571" s="1538"/>
      <c r="C571" s="1566"/>
      <c r="D571" s="1538"/>
      <c r="E571" s="1149"/>
      <c r="I571" s="471"/>
      <c r="J571" s="731"/>
      <c r="K571" s="498"/>
    </row>
    <row r="572" ht="15.75" customHeight="1">
      <c r="B572" s="1538"/>
      <c r="C572" s="1566"/>
      <c r="D572" s="1538"/>
      <c r="E572" s="1149"/>
      <c r="I572" s="471"/>
      <c r="J572" s="731"/>
      <c r="K572" s="498"/>
    </row>
    <row r="573" ht="15.75" customHeight="1">
      <c r="B573" s="1538"/>
      <c r="C573" s="1566"/>
      <c r="D573" s="1538"/>
      <c r="E573" s="1149"/>
      <c r="I573" s="471"/>
      <c r="J573" s="731"/>
      <c r="K573" s="498"/>
    </row>
    <row r="574" ht="15.75" customHeight="1">
      <c r="B574" s="1538"/>
      <c r="C574" s="1566"/>
      <c r="D574" s="1538"/>
      <c r="E574" s="1149"/>
      <c r="I574" s="471"/>
      <c r="J574" s="731"/>
      <c r="K574" s="498"/>
    </row>
    <row r="575" ht="15.75" customHeight="1">
      <c r="B575" s="1538"/>
      <c r="C575" s="1566"/>
      <c r="D575" s="1538"/>
      <c r="E575" s="1149"/>
      <c r="I575" s="471"/>
      <c r="J575" s="731"/>
      <c r="K575" s="498"/>
    </row>
    <row r="576" ht="15.75" customHeight="1">
      <c r="B576" s="1538"/>
      <c r="C576" s="1566"/>
      <c r="D576" s="1538"/>
      <c r="E576" s="1149"/>
      <c r="I576" s="471"/>
      <c r="J576" s="731"/>
      <c r="K576" s="498"/>
    </row>
    <row r="577" ht="15.75" customHeight="1">
      <c r="B577" s="1538"/>
      <c r="C577" s="1566"/>
      <c r="D577" s="1538"/>
      <c r="E577" s="1149"/>
      <c r="I577" s="471"/>
      <c r="J577" s="731"/>
      <c r="K577" s="498"/>
    </row>
    <row r="578" ht="15.75" customHeight="1">
      <c r="B578" s="1538"/>
      <c r="C578" s="1566"/>
      <c r="D578" s="1538"/>
      <c r="E578" s="1149"/>
      <c r="I578" s="471"/>
      <c r="J578" s="731"/>
      <c r="K578" s="498"/>
    </row>
    <row r="579" ht="15.75" customHeight="1">
      <c r="B579" s="1538"/>
      <c r="C579" s="1566"/>
      <c r="D579" s="1538"/>
      <c r="E579" s="1149"/>
      <c r="I579" s="471"/>
      <c r="J579" s="731"/>
      <c r="K579" s="498"/>
    </row>
    <row r="580" ht="15.75" customHeight="1">
      <c r="B580" s="1538"/>
      <c r="C580" s="1566"/>
      <c r="D580" s="1538"/>
      <c r="E580" s="1149"/>
      <c r="I580" s="471"/>
      <c r="J580" s="731"/>
      <c r="K580" s="498"/>
    </row>
    <row r="581" ht="15.75" customHeight="1">
      <c r="B581" s="1538"/>
      <c r="C581" s="1566"/>
      <c r="D581" s="1538"/>
      <c r="E581" s="1149"/>
      <c r="I581" s="471"/>
      <c r="J581" s="731"/>
      <c r="K581" s="498"/>
    </row>
    <row r="582" ht="15.75" customHeight="1">
      <c r="B582" s="1538"/>
      <c r="C582" s="1566"/>
      <c r="D582" s="1538"/>
      <c r="E582" s="1149"/>
      <c r="I582" s="471"/>
      <c r="J582" s="731"/>
      <c r="K582" s="498"/>
    </row>
    <row r="583" ht="15.75" customHeight="1">
      <c r="B583" s="1538"/>
      <c r="C583" s="1566"/>
      <c r="D583" s="1538"/>
      <c r="E583" s="1149"/>
      <c r="I583" s="471"/>
      <c r="J583" s="731"/>
      <c r="K583" s="498"/>
    </row>
    <row r="584" ht="15.75" customHeight="1">
      <c r="B584" s="1538"/>
      <c r="C584" s="1566"/>
      <c r="D584" s="1538"/>
      <c r="E584" s="1149"/>
      <c r="I584" s="471"/>
      <c r="J584" s="731"/>
      <c r="K584" s="498"/>
    </row>
    <row r="585" ht="15.75" customHeight="1">
      <c r="B585" s="1538"/>
      <c r="C585" s="1566"/>
      <c r="D585" s="1538"/>
      <c r="E585" s="1149"/>
      <c r="I585" s="471"/>
      <c r="J585" s="731"/>
      <c r="K585" s="498"/>
    </row>
    <row r="586" ht="15.75" customHeight="1">
      <c r="B586" s="1538"/>
      <c r="C586" s="1566"/>
      <c r="D586" s="1538"/>
      <c r="E586" s="1149"/>
      <c r="I586" s="471"/>
      <c r="J586" s="731"/>
      <c r="K586" s="498"/>
    </row>
    <row r="587" ht="15.75" customHeight="1">
      <c r="B587" s="1538"/>
      <c r="C587" s="1566"/>
      <c r="D587" s="1538"/>
      <c r="E587" s="1149"/>
      <c r="I587" s="471"/>
      <c r="J587" s="731"/>
      <c r="K587" s="498"/>
    </row>
    <row r="588" ht="15.75" customHeight="1">
      <c r="B588" s="1538"/>
      <c r="C588" s="1566"/>
      <c r="D588" s="1538"/>
      <c r="E588" s="1149"/>
      <c r="I588" s="471"/>
      <c r="J588" s="731"/>
      <c r="K588" s="498"/>
    </row>
    <row r="589" ht="15.75" customHeight="1">
      <c r="B589" s="1538"/>
      <c r="C589" s="1566"/>
      <c r="D589" s="1538"/>
      <c r="E589" s="1149"/>
      <c r="I589" s="471"/>
      <c r="J589" s="731"/>
      <c r="K589" s="498"/>
    </row>
    <row r="590" ht="15.75" customHeight="1">
      <c r="B590" s="1538"/>
      <c r="C590" s="1566"/>
      <c r="D590" s="1538"/>
      <c r="E590" s="1149"/>
      <c r="I590" s="471"/>
      <c r="J590" s="731"/>
      <c r="K590" s="498"/>
    </row>
    <row r="591" ht="15.75" customHeight="1">
      <c r="B591" s="1538"/>
      <c r="C591" s="1566"/>
      <c r="D591" s="1538"/>
      <c r="E591" s="1149"/>
      <c r="I591" s="471"/>
      <c r="J591" s="731"/>
      <c r="K591" s="498"/>
    </row>
    <row r="592" ht="15.75" customHeight="1">
      <c r="B592" s="1538"/>
      <c r="C592" s="1566"/>
      <c r="D592" s="1538"/>
      <c r="E592" s="1149"/>
      <c r="I592" s="471"/>
      <c r="J592" s="731"/>
      <c r="K592" s="498"/>
    </row>
    <row r="593" ht="15.75" customHeight="1">
      <c r="B593" s="1538"/>
      <c r="C593" s="1566"/>
      <c r="D593" s="1538"/>
      <c r="E593" s="1149"/>
      <c r="I593" s="471"/>
      <c r="J593" s="731"/>
      <c r="K593" s="498"/>
    </row>
    <row r="594" ht="15.75" customHeight="1">
      <c r="B594" s="1538"/>
      <c r="C594" s="1566"/>
      <c r="D594" s="1538"/>
      <c r="E594" s="1149"/>
      <c r="I594" s="471"/>
      <c r="J594" s="731"/>
      <c r="K594" s="498"/>
    </row>
    <row r="595" ht="15.75" customHeight="1">
      <c r="B595" s="1538"/>
      <c r="C595" s="1566"/>
      <c r="D595" s="1538"/>
      <c r="E595" s="1149"/>
      <c r="I595" s="471"/>
      <c r="J595" s="731"/>
      <c r="K595" s="498"/>
    </row>
    <row r="596" ht="15.75" customHeight="1">
      <c r="B596" s="1538"/>
      <c r="C596" s="1566"/>
      <c r="D596" s="1538"/>
      <c r="E596" s="1149"/>
      <c r="I596" s="471"/>
      <c r="J596" s="731"/>
      <c r="K596" s="498"/>
    </row>
    <row r="597" ht="15.75" customHeight="1">
      <c r="B597" s="1538"/>
      <c r="C597" s="1566"/>
      <c r="D597" s="1538"/>
      <c r="E597" s="1149"/>
      <c r="I597" s="471"/>
      <c r="J597" s="731"/>
      <c r="K597" s="498"/>
    </row>
    <row r="598" ht="15.75" customHeight="1">
      <c r="B598" s="1538"/>
      <c r="C598" s="1566"/>
      <c r="D598" s="1538"/>
      <c r="E598" s="1149"/>
      <c r="I598" s="471"/>
      <c r="J598" s="731"/>
      <c r="K598" s="498"/>
    </row>
    <row r="599" ht="15.75" customHeight="1">
      <c r="B599" s="1538"/>
      <c r="C599" s="1566"/>
      <c r="D599" s="1538"/>
      <c r="E599" s="1149"/>
      <c r="I599" s="471"/>
      <c r="J599" s="731"/>
      <c r="K599" s="498"/>
    </row>
    <row r="600" ht="15.75" customHeight="1">
      <c r="B600" s="1538"/>
      <c r="C600" s="1566"/>
      <c r="D600" s="1538"/>
      <c r="E600" s="1149"/>
      <c r="I600" s="471"/>
      <c r="J600" s="731"/>
      <c r="K600" s="498"/>
    </row>
    <row r="601" ht="15.75" customHeight="1">
      <c r="B601" s="1538"/>
      <c r="C601" s="1566"/>
      <c r="D601" s="1538"/>
      <c r="E601" s="1149"/>
      <c r="I601" s="471"/>
      <c r="J601" s="731"/>
      <c r="K601" s="498"/>
    </row>
    <row r="602" ht="15.75" customHeight="1">
      <c r="B602" s="1538"/>
      <c r="C602" s="1566"/>
      <c r="D602" s="1538"/>
      <c r="E602" s="1149"/>
      <c r="I602" s="471"/>
      <c r="J602" s="731"/>
      <c r="K602" s="498"/>
    </row>
    <row r="603" ht="15.75" customHeight="1">
      <c r="B603" s="1538"/>
      <c r="C603" s="1566"/>
      <c r="D603" s="1538"/>
      <c r="E603" s="1149"/>
      <c r="I603" s="471"/>
      <c r="J603" s="731"/>
      <c r="K603" s="498"/>
    </row>
    <row r="604" ht="15.75" customHeight="1">
      <c r="B604" s="1538"/>
      <c r="C604" s="1566"/>
      <c r="D604" s="1538"/>
      <c r="E604" s="1149"/>
      <c r="I604" s="471"/>
      <c r="J604" s="731"/>
      <c r="K604" s="498"/>
    </row>
    <row r="605" ht="15.75" customHeight="1">
      <c r="B605" s="1538"/>
      <c r="C605" s="1566"/>
      <c r="D605" s="1538"/>
      <c r="E605" s="1149"/>
      <c r="I605" s="471"/>
      <c r="J605" s="731"/>
      <c r="K605" s="498"/>
    </row>
    <row r="606" ht="15.75" customHeight="1">
      <c r="B606" s="1538"/>
      <c r="C606" s="1566"/>
      <c r="D606" s="1538"/>
      <c r="E606" s="1149"/>
      <c r="I606" s="471"/>
      <c r="J606" s="731"/>
      <c r="K606" s="498"/>
    </row>
    <row r="607" ht="15.75" customHeight="1">
      <c r="B607" s="1538"/>
      <c r="C607" s="1566"/>
      <c r="D607" s="1538"/>
      <c r="E607" s="1149"/>
      <c r="I607" s="471"/>
      <c r="J607" s="731"/>
      <c r="K607" s="498"/>
    </row>
    <row r="608" ht="15.75" customHeight="1">
      <c r="B608" s="1538"/>
      <c r="C608" s="1566"/>
      <c r="D608" s="1538"/>
      <c r="E608" s="1149"/>
      <c r="I608" s="471"/>
      <c r="J608" s="731"/>
      <c r="K608" s="498"/>
    </row>
    <row r="609" ht="15.75" customHeight="1">
      <c r="B609" s="1538"/>
      <c r="C609" s="1566"/>
      <c r="D609" s="1538"/>
      <c r="E609" s="1149"/>
      <c r="I609" s="471"/>
      <c r="J609" s="731"/>
      <c r="K609" s="498"/>
    </row>
    <row r="610" ht="15.75" customHeight="1">
      <c r="B610" s="1538"/>
      <c r="C610" s="1566"/>
      <c r="D610" s="1538"/>
      <c r="E610" s="1149"/>
      <c r="I610" s="471"/>
      <c r="J610" s="731"/>
      <c r="K610" s="498"/>
    </row>
    <row r="611" ht="15.75" customHeight="1">
      <c r="B611" s="1538"/>
      <c r="C611" s="1566"/>
      <c r="D611" s="1538"/>
      <c r="E611" s="1149"/>
      <c r="I611" s="471"/>
      <c r="J611" s="731"/>
      <c r="K611" s="498"/>
    </row>
    <row r="612" ht="15.75" customHeight="1">
      <c r="B612" s="1538"/>
      <c r="C612" s="1566"/>
      <c r="D612" s="1538"/>
      <c r="E612" s="1149"/>
      <c r="I612" s="471"/>
      <c r="J612" s="731"/>
      <c r="K612" s="498"/>
    </row>
    <row r="613" ht="15.75" customHeight="1">
      <c r="B613" s="1538"/>
      <c r="C613" s="1566"/>
      <c r="D613" s="1538"/>
      <c r="E613" s="1149"/>
      <c r="I613" s="471"/>
      <c r="J613" s="731"/>
      <c r="K613" s="498"/>
    </row>
    <row r="614" ht="15.75" customHeight="1">
      <c r="B614" s="1538"/>
      <c r="C614" s="1566"/>
      <c r="D614" s="1538"/>
      <c r="E614" s="1149"/>
      <c r="I614" s="471"/>
      <c r="J614" s="731"/>
      <c r="K614" s="498"/>
    </row>
    <row r="615" ht="15.75" customHeight="1">
      <c r="B615" s="1538"/>
      <c r="C615" s="1566"/>
      <c r="D615" s="1538"/>
      <c r="E615" s="1149"/>
      <c r="I615" s="471"/>
      <c r="J615" s="731"/>
      <c r="K615" s="498"/>
    </row>
    <row r="616" ht="15.75" customHeight="1">
      <c r="B616" s="1538"/>
      <c r="C616" s="1566"/>
      <c r="D616" s="1538"/>
      <c r="E616" s="1149"/>
      <c r="I616" s="471"/>
      <c r="J616" s="731"/>
      <c r="K616" s="498"/>
    </row>
    <row r="617" ht="15.75" customHeight="1">
      <c r="B617" s="1538"/>
      <c r="C617" s="1566"/>
      <c r="D617" s="1538"/>
      <c r="E617" s="1149"/>
      <c r="I617" s="471"/>
      <c r="J617" s="731"/>
      <c r="K617" s="498"/>
    </row>
    <row r="618" ht="15.75" customHeight="1">
      <c r="B618" s="1538"/>
      <c r="C618" s="1566"/>
      <c r="D618" s="1538"/>
      <c r="E618" s="1149"/>
      <c r="I618" s="471"/>
      <c r="J618" s="731"/>
      <c r="K618" s="498"/>
    </row>
    <row r="619" ht="15.75" customHeight="1">
      <c r="B619" s="1538"/>
      <c r="C619" s="1566"/>
      <c r="D619" s="1538"/>
      <c r="E619" s="1149"/>
      <c r="I619" s="471"/>
      <c r="J619" s="731"/>
      <c r="K619" s="498"/>
    </row>
    <row r="620" ht="15.75" customHeight="1">
      <c r="B620" s="1538"/>
      <c r="C620" s="1566"/>
      <c r="D620" s="1538"/>
      <c r="E620" s="1149"/>
      <c r="I620" s="471"/>
      <c r="J620" s="731"/>
      <c r="K620" s="498"/>
    </row>
    <row r="621" ht="15.75" customHeight="1">
      <c r="B621" s="1538"/>
      <c r="C621" s="1566"/>
      <c r="D621" s="1538"/>
      <c r="E621" s="1149"/>
      <c r="I621" s="471"/>
      <c r="J621" s="731"/>
      <c r="K621" s="498"/>
    </row>
    <row r="622" ht="15.75" customHeight="1">
      <c r="B622" s="1538"/>
      <c r="C622" s="1566"/>
      <c r="D622" s="1538"/>
      <c r="E622" s="1149"/>
      <c r="I622" s="471"/>
      <c r="J622" s="731"/>
      <c r="K622" s="498"/>
    </row>
    <row r="623" ht="15.75" customHeight="1">
      <c r="B623" s="1538"/>
      <c r="C623" s="1566"/>
      <c r="D623" s="1538"/>
      <c r="E623" s="1149"/>
      <c r="I623" s="471"/>
      <c r="J623" s="731"/>
      <c r="K623" s="498"/>
    </row>
    <row r="624" ht="15.75" customHeight="1">
      <c r="B624" s="1538"/>
      <c r="C624" s="1566"/>
      <c r="D624" s="1538"/>
      <c r="E624" s="1149"/>
      <c r="I624" s="471"/>
      <c r="J624" s="731"/>
      <c r="K624" s="498"/>
    </row>
    <row r="625" ht="15.75" customHeight="1">
      <c r="B625" s="1538"/>
      <c r="C625" s="1566"/>
      <c r="D625" s="1538"/>
      <c r="E625" s="1149"/>
      <c r="I625" s="471"/>
      <c r="J625" s="731"/>
      <c r="K625" s="498"/>
    </row>
    <row r="626" ht="15.75" customHeight="1">
      <c r="B626" s="1538"/>
      <c r="C626" s="1566"/>
      <c r="D626" s="1538"/>
      <c r="E626" s="1149"/>
      <c r="I626" s="471"/>
      <c r="J626" s="731"/>
      <c r="K626" s="498"/>
    </row>
    <row r="627" ht="15.75" customHeight="1">
      <c r="B627" s="1538"/>
      <c r="C627" s="1566"/>
      <c r="D627" s="1538"/>
      <c r="E627" s="1149"/>
      <c r="I627" s="471"/>
      <c r="J627" s="731"/>
      <c r="K627" s="498"/>
    </row>
    <row r="628" ht="15.75" customHeight="1">
      <c r="B628" s="1538"/>
      <c r="C628" s="1566"/>
      <c r="D628" s="1538"/>
      <c r="E628" s="1149"/>
      <c r="I628" s="471"/>
      <c r="J628" s="731"/>
      <c r="K628" s="498"/>
    </row>
    <row r="629" ht="15.75" customHeight="1">
      <c r="B629" s="1538"/>
      <c r="C629" s="1566"/>
      <c r="D629" s="1538"/>
      <c r="E629" s="1149"/>
      <c r="I629" s="471"/>
      <c r="J629" s="731"/>
      <c r="K629" s="498"/>
    </row>
    <row r="630" ht="15.75" customHeight="1">
      <c r="B630" s="1538"/>
      <c r="C630" s="1566"/>
      <c r="D630" s="1538"/>
      <c r="E630" s="1149"/>
      <c r="I630" s="471"/>
      <c r="J630" s="731"/>
      <c r="K630" s="498"/>
    </row>
    <row r="631" ht="15.75" customHeight="1">
      <c r="B631" s="1538"/>
      <c r="C631" s="1566"/>
      <c r="D631" s="1538"/>
      <c r="E631" s="1149"/>
      <c r="I631" s="471"/>
      <c r="J631" s="731"/>
      <c r="K631" s="498"/>
    </row>
    <row r="632" ht="15.75" customHeight="1">
      <c r="B632" s="1538"/>
      <c r="C632" s="1566"/>
      <c r="D632" s="1538"/>
      <c r="E632" s="1149"/>
      <c r="I632" s="471"/>
      <c r="J632" s="731"/>
      <c r="K632" s="498"/>
    </row>
    <row r="633" ht="15.75" customHeight="1">
      <c r="B633" s="1538"/>
      <c r="C633" s="1566"/>
      <c r="D633" s="1538"/>
      <c r="E633" s="1149"/>
      <c r="I633" s="471"/>
      <c r="J633" s="731"/>
      <c r="K633" s="498"/>
    </row>
    <row r="634" ht="15.75" customHeight="1">
      <c r="B634" s="1538"/>
      <c r="C634" s="1566"/>
      <c r="D634" s="1538"/>
      <c r="E634" s="1149"/>
      <c r="I634" s="471"/>
      <c r="J634" s="731"/>
      <c r="K634" s="498"/>
    </row>
    <row r="635" ht="15.75" customHeight="1">
      <c r="B635" s="1538"/>
      <c r="C635" s="1566"/>
      <c r="D635" s="1538"/>
      <c r="E635" s="1149"/>
      <c r="I635" s="471"/>
      <c r="J635" s="731"/>
      <c r="K635" s="498"/>
    </row>
    <row r="636" ht="15.75" customHeight="1">
      <c r="B636" s="1538"/>
      <c r="C636" s="1566"/>
      <c r="D636" s="1538"/>
      <c r="E636" s="1149"/>
      <c r="I636" s="471"/>
      <c r="J636" s="731"/>
      <c r="K636" s="498"/>
    </row>
    <row r="637" ht="15.75" customHeight="1">
      <c r="B637" s="1538"/>
      <c r="C637" s="1566"/>
      <c r="D637" s="1538"/>
      <c r="E637" s="1149"/>
      <c r="I637" s="471"/>
      <c r="J637" s="731"/>
      <c r="K637" s="498"/>
    </row>
    <row r="638" ht="15.75" customHeight="1">
      <c r="B638" s="1538"/>
      <c r="C638" s="1566"/>
      <c r="D638" s="1538"/>
      <c r="E638" s="1149"/>
      <c r="I638" s="471"/>
      <c r="J638" s="731"/>
      <c r="K638" s="498"/>
    </row>
    <row r="639" ht="15.75" customHeight="1">
      <c r="B639" s="1538"/>
      <c r="C639" s="1566"/>
      <c r="D639" s="1538"/>
      <c r="E639" s="1149"/>
      <c r="I639" s="471"/>
      <c r="J639" s="731"/>
      <c r="K639" s="498"/>
    </row>
    <row r="640" ht="15.75" customHeight="1">
      <c r="B640" s="1538"/>
      <c r="C640" s="1566"/>
      <c r="D640" s="1538"/>
      <c r="E640" s="1149"/>
      <c r="I640" s="471"/>
      <c r="J640" s="731"/>
      <c r="K640" s="498"/>
    </row>
    <row r="641" ht="15.75" customHeight="1">
      <c r="B641" s="1538"/>
      <c r="C641" s="1566"/>
      <c r="D641" s="1538"/>
      <c r="E641" s="1149"/>
      <c r="I641" s="471"/>
      <c r="J641" s="731"/>
      <c r="K641" s="498"/>
    </row>
    <row r="642" ht="15.75" customHeight="1">
      <c r="B642" s="1538"/>
      <c r="C642" s="1566"/>
      <c r="D642" s="1538"/>
      <c r="E642" s="1149"/>
      <c r="I642" s="471"/>
      <c r="J642" s="731"/>
      <c r="K642" s="498"/>
    </row>
    <row r="643" ht="15.75" customHeight="1">
      <c r="B643" s="1538"/>
      <c r="C643" s="1566"/>
      <c r="D643" s="1538"/>
      <c r="E643" s="1149"/>
      <c r="I643" s="471"/>
      <c r="J643" s="731"/>
      <c r="K643" s="498"/>
    </row>
    <row r="644" ht="15.75" customHeight="1">
      <c r="B644" s="1538"/>
      <c r="C644" s="1566"/>
      <c r="D644" s="1538"/>
      <c r="E644" s="1149"/>
      <c r="I644" s="471"/>
      <c r="J644" s="731"/>
      <c r="K644" s="498"/>
    </row>
    <row r="645" ht="15.75" customHeight="1">
      <c r="B645" s="1538"/>
      <c r="C645" s="1566"/>
      <c r="D645" s="1538"/>
      <c r="E645" s="1149"/>
      <c r="I645" s="471"/>
      <c r="J645" s="731"/>
      <c r="K645" s="498"/>
    </row>
    <row r="646" ht="15.75" customHeight="1">
      <c r="B646" s="1538"/>
      <c r="C646" s="1566"/>
      <c r="D646" s="1538"/>
      <c r="E646" s="1149"/>
      <c r="I646" s="471"/>
      <c r="J646" s="731"/>
      <c r="K646" s="498"/>
    </row>
    <row r="647" ht="15.75" customHeight="1">
      <c r="B647" s="1538"/>
      <c r="C647" s="1566"/>
      <c r="D647" s="1538"/>
      <c r="E647" s="1149"/>
      <c r="I647" s="471"/>
      <c r="J647" s="731"/>
      <c r="K647" s="498"/>
    </row>
    <row r="648" ht="15.75" customHeight="1">
      <c r="B648" s="1538"/>
      <c r="C648" s="1566"/>
      <c r="D648" s="1538"/>
      <c r="E648" s="1149"/>
      <c r="I648" s="471"/>
      <c r="J648" s="731"/>
      <c r="K648" s="498"/>
    </row>
    <row r="649" ht="15.75" customHeight="1">
      <c r="B649" s="1538"/>
      <c r="C649" s="1566"/>
      <c r="D649" s="1538"/>
      <c r="E649" s="1149"/>
      <c r="I649" s="471"/>
      <c r="J649" s="731"/>
      <c r="K649" s="498"/>
    </row>
    <row r="650" ht="15.75" customHeight="1">
      <c r="B650" s="1538"/>
      <c r="C650" s="1566"/>
      <c r="D650" s="1538"/>
      <c r="E650" s="1149"/>
      <c r="I650" s="471"/>
      <c r="J650" s="731"/>
      <c r="K650" s="498"/>
    </row>
    <row r="651" ht="15.75" customHeight="1">
      <c r="B651" s="1538"/>
      <c r="C651" s="1566"/>
      <c r="D651" s="1538"/>
      <c r="E651" s="1149"/>
      <c r="I651" s="471"/>
      <c r="J651" s="731"/>
      <c r="K651" s="498"/>
    </row>
    <row r="652" ht="15.75" customHeight="1">
      <c r="B652" s="1538"/>
      <c r="C652" s="1566"/>
      <c r="D652" s="1538"/>
      <c r="E652" s="1149"/>
      <c r="I652" s="471"/>
      <c r="J652" s="731"/>
      <c r="K652" s="498"/>
    </row>
    <row r="653" ht="15.75" customHeight="1">
      <c r="B653" s="1538"/>
      <c r="C653" s="1566"/>
      <c r="D653" s="1538"/>
      <c r="E653" s="1149"/>
      <c r="I653" s="471"/>
      <c r="J653" s="731"/>
      <c r="K653" s="498"/>
    </row>
    <row r="654" ht="15.75" customHeight="1">
      <c r="B654" s="1538"/>
      <c r="C654" s="1566"/>
      <c r="D654" s="1538"/>
      <c r="E654" s="1149"/>
      <c r="I654" s="471"/>
      <c r="J654" s="731"/>
      <c r="K654" s="498"/>
    </row>
    <row r="655" ht="15.75" customHeight="1">
      <c r="B655" s="1538"/>
      <c r="C655" s="1566"/>
      <c r="D655" s="1538"/>
      <c r="E655" s="1149"/>
      <c r="I655" s="471"/>
      <c r="J655" s="731"/>
      <c r="K655" s="498"/>
    </row>
    <row r="656" ht="15.75" customHeight="1">
      <c r="B656" s="1538"/>
      <c r="C656" s="1566"/>
      <c r="D656" s="1538"/>
      <c r="E656" s="1149"/>
      <c r="I656" s="471"/>
      <c r="J656" s="731"/>
      <c r="K656" s="498"/>
    </row>
    <row r="657" ht="15.75" customHeight="1">
      <c r="B657" s="1538"/>
      <c r="C657" s="1566"/>
      <c r="D657" s="1538"/>
      <c r="E657" s="1149"/>
      <c r="I657" s="471"/>
      <c r="J657" s="731"/>
      <c r="K657" s="498"/>
    </row>
    <row r="658" ht="15.75" customHeight="1">
      <c r="B658" s="1538"/>
      <c r="C658" s="1566"/>
      <c r="D658" s="1538"/>
      <c r="E658" s="1149"/>
      <c r="I658" s="471"/>
      <c r="J658" s="731"/>
      <c r="K658" s="498"/>
    </row>
    <row r="659" ht="15.75" customHeight="1">
      <c r="B659" s="1538"/>
      <c r="C659" s="1566"/>
      <c r="D659" s="1538"/>
      <c r="E659" s="1149"/>
      <c r="I659" s="471"/>
      <c r="J659" s="731"/>
      <c r="K659" s="498"/>
    </row>
    <row r="660" ht="15.75" customHeight="1">
      <c r="B660" s="1538"/>
      <c r="C660" s="1566"/>
      <c r="D660" s="1538"/>
      <c r="E660" s="1149"/>
      <c r="I660" s="471"/>
      <c r="J660" s="731"/>
      <c r="K660" s="498"/>
    </row>
    <row r="661" ht="15.75" customHeight="1">
      <c r="B661" s="1538"/>
      <c r="C661" s="1566"/>
      <c r="D661" s="1538"/>
      <c r="E661" s="1149"/>
      <c r="I661" s="471"/>
      <c r="J661" s="731"/>
      <c r="K661" s="498"/>
    </row>
    <row r="662" ht="15.75" customHeight="1">
      <c r="B662" s="1538"/>
      <c r="C662" s="1566"/>
      <c r="D662" s="1538"/>
      <c r="E662" s="1149"/>
      <c r="I662" s="471"/>
      <c r="J662" s="731"/>
      <c r="K662" s="498"/>
    </row>
    <row r="663" ht="15.75" customHeight="1">
      <c r="B663" s="1538"/>
      <c r="C663" s="1566"/>
      <c r="D663" s="1538"/>
      <c r="E663" s="1149"/>
      <c r="I663" s="471"/>
      <c r="J663" s="731"/>
      <c r="K663" s="498"/>
    </row>
    <row r="664" ht="15.75" customHeight="1">
      <c r="B664" s="1538"/>
      <c r="C664" s="1566"/>
      <c r="D664" s="1538"/>
      <c r="E664" s="1149"/>
      <c r="I664" s="471"/>
      <c r="J664" s="731"/>
      <c r="K664" s="498"/>
    </row>
    <row r="665" ht="15.75" customHeight="1">
      <c r="B665" s="1538"/>
      <c r="C665" s="1566"/>
      <c r="D665" s="1538"/>
      <c r="E665" s="1149"/>
      <c r="I665" s="471"/>
      <c r="J665" s="731"/>
      <c r="K665" s="498"/>
    </row>
    <row r="666" ht="15.75" customHeight="1">
      <c r="B666" s="1538"/>
      <c r="C666" s="1566"/>
      <c r="D666" s="1538"/>
      <c r="E666" s="1149"/>
      <c r="I666" s="471"/>
      <c r="J666" s="731"/>
      <c r="K666" s="498"/>
    </row>
    <row r="667" ht="15.75" customHeight="1">
      <c r="B667" s="1538"/>
      <c r="C667" s="1566"/>
      <c r="D667" s="1538"/>
      <c r="E667" s="1149"/>
      <c r="I667" s="471"/>
      <c r="J667" s="731"/>
      <c r="K667" s="498"/>
    </row>
    <row r="668" ht="15.75" customHeight="1">
      <c r="B668" s="1538"/>
      <c r="C668" s="1566"/>
      <c r="D668" s="1538"/>
      <c r="E668" s="1149"/>
      <c r="I668" s="471"/>
      <c r="J668" s="731"/>
      <c r="K668" s="498"/>
    </row>
    <row r="669" ht="15.75" customHeight="1">
      <c r="B669" s="1538"/>
      <c r="C669" s="1566"/>
      <c r="D669" s="1538"/>
      <c r="E669" s="1149"/>
      <c r="I669" s="471"/>
      <c r="J669" s="731"/>
      <c r="K669" s="498"/>
    </row>
    <row r="670" ht="15.75" customHeight="1">
      <c r="B670" s="1538"/>
      <c r="C670" s="1566"/>
      <c r="D670" s="1538"/>
      <c r="E670" s="1149"/>
      <c r="I670" s="471"/>
      <c r="J670" s="731"/>
      <c r="K670" s="498"/>
    </row>
    <row r="671" ht="15.75" customHeight="1">
      <c r="B671" s="1538"/>
      <c r="C671" s="1566"/>
      <c r="D671" s="1538"/>
      <c r="E671" s="1149"/>
      <c r="I671" s="471"/>
      <c r="J671" s="731"/>
      <c r="K671" s="498"/>
    </row>
    <row r="672" ht="15.75" customHeight="1">
      <c r="B672" s="1538"/>
      <c r="C672" s="1566"/>
      <c r="D672" s="1538"/>
      <c r="E672" s="1149"/>
      <c r="I672" s="471"/>
      <c r="J672" s="731"/>
      <c r="K672" s="498"/>
    </row>
    <row r="673" ht="15.75" customHeight="1">
      <c r="B673" s="1538"/>
      <c r="C673" s="1566"/>
      <c r="D673" s="1538"/>
      <c r="E673" s="1149"/>
      <c r="I673" s="471"/>
      <c r="J673" s="731"/>
      <c r="K673" s="498"/>
    </row>
    <row r="674" ht="15.75" customHeight="1">
      <c r="B674" s="1538"/>
      <c r="C674" s="1566"/>
      <c r="D674" s="1538"/>
      <c r="E674" s="1149"/>
      <c r="I674" s="471"/>
      <c r="J674" s="731"/>
      <c r="K674" s="498"/>
    </row>
    <row r="675" ht="15.75" customHeight="1">
      <c r="B675" s="1538"/>
      <c r="C675" s="1566"/>
      <c r="D675" s="1538"/>
      <c r="E675" s="1149"/>
      <c r="I675" s="471"/>
      <c r="J675" s="731"/>
      <c r="K675" s="498"/>
    </row>
    <row r="676" ht="15.75" customHeight="1">
      <c r="B676" s="1538"/>
      <c r="C676" s="1566"/>
      <c r="D676" s="1538"/>
      <c r="E676" s="1149"/>
      <c r="I676" s="471"/>
      <c r="J676" s="731"/>
      <c r="K676" s="498"/>
    </row>
    <row r="677" ht="15.75" customHeight="1">
      <c r="B677" s="1538"/>
      <c r="C677" s="1566"/>
      <c r="D677" s="1538"/>
      <c r="E677" s="1149"/>
      <c r="I677" s="471"/>
      <c r="J677" s="731"/>
      <c r="K677" s="498"/>
    </row>
    <row r="678" ht="15.75" customHeight="1">
      <c r="B678" s="1538"/>
      <c r="C678" s="1566"/>
      <c r="D678" s="1538"/>
      <c r="E678" s="1149"/>
      <c r="I678" s="471"/>
      <c r="J678" s="731"/>
      <c r="K678" s="498"/>
    </row>
    <row r="679" ht="15.75" customHeight="1">
      <c r="B679" s="1538"/>
      <c r="C679" s="1566"/>
      <c r="D679" s="1538"/>
      <c r="E679" s="1149"/>
      <c r="I679" s="471"/>
      <c r="J679" s="731"/>
      <c r="K679" s="498"/>
    </row>
    <row r="680" ht="15.75" customHeight="1">
      <c r="B680" s="1538"/>
      <c r="C680" s="1566"/>
      <c r="D680" s="1538"/>
      <c r="E680" s="1149"/>
      <c r="I680" s="471"/>
      <c r="J680" s="731"/>
      <c r="K680" s="498"/>
    </row>
    <row r="681" ht="15.75" customHeight="1">
      <c r="B681" s="1538"/>
      <c r="C681" s="1566"/>
      <c r="D681" s="1538"/>
      <c r="E681" s="1149"/>
      <c r="I681" s="471"/>
      <c r="J681" s="731"/>
      <c r="K681" s="498"/>
    </row>
    <row r="682" ht="15.75" customHeight="1">
      <c r="B682" s="1538"/>
      <c r="C682" s="1566"/>
      <c r="D682" s="1538"/>
      <c r="E682" s="1149"/>
      <c r="I682" s="471"/>
      <c r="J682" s="731"/>
      <c r="K682" s="498"/>
    </row>
    <row r="683" ht="15.75" customHeight="1">
      <c r="B683" s="1538"/>
      <c r="C683" s="1566"/>
      <c r="D683" s="1538"/>
      <c r="E683" s="1149"/>
      <c r="I683" s="471"/>
      <c r="J683" s="731"/>
      <c r="K683" s="498"/>
    </row>
    <row r="684" ht="15.75" customHeight="1">
      <c r="B684" s="1538"/>
      <c r="C684" s="1566"/>
      <c r="D684" s="1538"/>
      <c r="E684" s="1149"/>
      <c r="I684" s="471"/>
      <c r="J684" s="731"/>
      <c r="K684" s="498"/>
    </row>
    <row r="685" ht="15.75" customHeight="1">
      <c r="B685" s="1538"/>
      <c r="C685" s="1566"/>
      <c r="D685" s="1538"/>
      <c r="E685" s="1149"/>
      <c r="I685" s="471"/>
      <c r="J685" s="731"/>
      <c r="K685" s="498"/>
    </row>
    <row r="686" ht="15.75" customHeight="1">
      <c r="B686" s="1538"/>
      <c r="C686" s="1566"/>
      <c r="D686" s="1538"/>
      <c r="E686" s="1149"/>
      <c r="I686" s="471"/>
      <c r="J686" s="731"/>
      <c r="K686" s="498"/>
    </row>
    <row r="687" ht="15.75" customHeight="1">
      <c r="B687" s="1538"/>
      <c r="C687" s="1566"/>
      <c r="D687" s="1538"/>
      <c r="E687" s="1149"/>
      <c r="I687" s="471"/>
      <c r="J687" s="731"/>
      <c r="K687" s="498"/>
    </row>
    <row r="688" ht="15.75" customHeight="1">
      <c r="B688" s="1538"/>
      <c r="C688" s="1566"/>
      <c r="D688" s="1538"/>
      <c r="E688" s="1149"/>
      <c r="I688" s="471"/>
      <c r="J688" s="731"/>
      <c r="K688" s="498"/>
    </row>
    <row r="689" ht="15.75" customHeight="1">
      <c r="B689" s="1538"/>
      <c r="C689" s="1566"/>
      <c r="D689" s="1538"/>
      <c r="E689" s="1149"/>
      <c r="I689" s="471"/>
      <c r="J689" s="731"/>
      <c r="K689" s="498"/>
    </row>
    <row r="690" ht="15.75" customHeight="1">
      <c r="B690" s="1538"/>
      <c r="C690" s="1566"/>
      <c r="D690" s="1538"/>
      <c r="E690" s="1149"/>
      <c r="I690" s="471"/>
      <c r="J690" s="731"/>
      <c r="K690" s="498"/>
    </row>
    <row r="691" ht="15.75" customHeight="1">
      <c r="B691" s="1538"/>
      <c r="C691" s="1566"/>
      <c r="D691" s="1538"/>
      <c r="E691" s="1149"/>
      <c r="I691" s="471"/>
      <c r="J691" s="731"/>
      <c r="K691" s="498"/>
    </row>
    <row r="692" ht="15.75" customHeight="1">
      <c r="B692" s="1538"/>
      <c r="C692" s="1566"/>
      <c r="D692" s="1538"/>
      <c r="E692" s="1149"/>
      <c r="I692" s="471"/>
      <c r="J692" s="731"/>
      <c r="K692" s="498"/>
    </row>
    <row r="693" ht="15.75" customHeight="1">
      <c r="B693" s="1538"/>
      <c r="C693" s="1566"/>
      <c r="D693" s="1538"/>
      <c r="E693" s="1149"/>
      <c r="I693" s="471"/>
      <c r="J693" s="731"/>
      <c r="K693" s="498"/>
    </row>
    <row r="694" ht="15.75" customHeight="1">
      <c r="B694" s="1538"/>
      <c r="C694" s="1566"/>
      <c r="D694" s="1538"/>
      <c r="E694" s="1149"/>
      <c r="I694" s="471"/>
      <c r="J694" s="731"/>
      <c r="K694" s="498"/>
    </row>
    <row r="695" ht="15.75" customHeight="1">
      <c r="B695" s="1538"/>
      <c r="C695" s="1566"/>
      <c r="D695" s="1538"/>
      <c r="E695" s="1149"/>
      <c r="I695" s="471"/>
      <c r="J695" s="731"/>
      <c r="K695" s="498"/>
    </row>
    <row r="696" ht="15.75" customHeight="1">
      <c r="B696" s="1538"/>
      <c r="C696" s="1566"/>
      <c r="D696" s="1538"/>
      <c r="E696" s="1149"/>
      <c r="I696" s="471"/>
      <c r="J696" s="731"/>
      <c r="K696" s="498"/>
    </row>
    <row r="697" ht="15.75" customHeight="1">
      <c r="B697" s="1538"/>
      <c r="C697" s="1566"/>
      <c r="D697" s="1538"/>
      <c r="E697" s="1149"/>
      <c r="I697" s="471"/>
      <c r="J697" s="731"/>
      <c r="K697" s="498"/>
    </row>
    <row r="698" ht="15.75" customHeight="1">
      <c r="B698" s="1538"/>
      <c r="C698" s="1566"/>
      <c r="D698" s="1538"/>
      <c r="E698" s="1149"/>
      <c r="I698" s="471"/>
      <c r="J698" s="731"/>
      <c r="K698" s="498"/>
    </row>
    <row r="699" ht="15.75" customHeight="1">
      <c r="B699" s="1538"/>
      <c r="C699" s="1566"/>
      <c r="D699" s="1538"/>
      <c r="E699" s="1149"/>
      <c r="I699" s="471"/>
      <c r="J699" s="731"/>
      <c r="K699" s="498"/>
    </row>
    <row r="700" ht="15.75" customHeight="1">
      <c r="B700" s="1538"/>
      <c r="C700" s="1566"/>
      <c r="D700" s="1538"/>
      <c r="E700" s="1149"/>
      <c r="I700" s="471"/>
      <c r="J700" s="731"/>
      <c r="K700" s="498"/>
    </row>
    <row r="701" ht="15.75" customHeight="1">
      <c r="B701" s="1538"/>
      <c r="C701" s="1566"/>
      <c r="D701" s="1538"/>
      <c r="E701" s="1149"/>
      <c r="I701" s="471"/>
      <c r="J701" s="731"/>
      <c r="K701" s="498"/>
    </row>
    <row r="702" ht="15.75" customHeight="1">
      <c r="B702" s="1538"/>
      <c r="C702" s="1566"/>
      <c r="D702" s="1538"/>
      <c r="E702" s="1149"/>
      <c r="I702" s="471"/>
      <c r="J702" s="731"/>
      <c r="K702" s="498"/>
    </row>
    <row r="703" ht="15.75" customHeight="1">
      <c r="B703" s="1538"/>
      <c r="C703" s="1566"/>
      <c r="D703" s="1538"/>
      <c r="E703" s="1149"/>
      <c r="I703" s="471"/>
      <c r="J703" s="731"/>
      <c r="K703" s="498"/>
    </row>
    <row r="704" ht="15.75" customHeight="1">
      <c r="B704" s="1538"/>
      <c r="C704" s="1566"/>
      <c r="D704" s="1538"/>
      <c r="E704" s="1149"/>
      <c r="I704" s="471"/>
      <c r="J704" s="731"/>
      <c r="K704" s="498"/>
    </row>
    <row r="705" ht="15.75" customHeight="1">
      <c r="B705" s="1538"/>
      <c r="C705" s="1566"/>
      <c r="D705" s="1538"/>
      <c r="E705" s="1149"/>
      <c r="I705" s="471"/>
      <c r="J705" s="731"/>
      <c r="K705" s="498"/>
    </row>
    <row r="706" ht="15.75" customHeight="1">
      <c r="B706" s="1538"/>
      <c r="C706" s="1566"/>
      <c r="D706" s="1538"/>
      <c r="E706" s="1149"/>
      <c r="I706" s="471"/>
      <c r="J706" s="731"/>
      <c r="K706" s="498"/>
    </row>
    <row r="707" ht="15.75" customHeight="1">
      <c r="B707" s="1538"/>
      <c r="C707" s="1566"/>
      <c r="D707" s="1538"/>
      <c r="E707" s="1149"/>
      <c r="I707" s="471"/>
      <c r="J707" s="731"/>
      <c r="K707" s="498"/>
    </row>
    <row r="708" ht="15.75" customHeight="1">
      <c r="B708" s="1538"/>
      <c r="C708" s="1566"/>
      <c r="D708" s="1538"/>
      <c r="E708" s="1149"/>
      <c r="I708" s="471"/>
      <c r="J708" s="731"/>
      <c r="K708" s="498"/>
    </row>
    <row r="709" ht="15.75" customHeight="1">
      <c r="B709" s="1538"/>
      <c r="C709" s="1566"/>
      <c r="D709" s="1538"/>
      <c r="E709" s="1149"/>
      <c r="I709" s="471"/>
      <c r="J709" s="731"/>
      <c r="K709" s="498"/>
    </row>
    <row r="710" ht="15.75" customHeight="1">
      <c r="B710" s="1538"/>
      <c r="C710" s="1566"/>
      <c r="D710" s="1538"/>
      <c r="E710" s="1149"/>
      <c r="I710" s="471"/>
      <c r="J710" s="731"/>
      <c r="K710" s="498"/>
    </row>
    <row r="711" ht="15.75" customHeight="1">
      <c r="B711" s="1538"/>
      <c r="C711" s="1566"/>
      <c r="D711" s="1538"/>
      <c r="E711" s="1149"/>
      <c r="I711" s="471"/>
      <c r="J711" s="731"/>
      <c r="K711" s="498"/>
    </row>
    <row r="712" ht="15.75" customHeight="1">
      <c r="B712" s="1538"/>
      <c r="C712" s="1566"/>
      <c r="D712" s="1538"/>
      <c r="E712" s="1149"/>
      <c r="I712" s="471"/>
      <c r="J712" s="731"/>
      <c r="K712" s="498"/>
    </row>
    <row r="713" ht="15.75" customHeight="1">
      <c r="B713" s="1538"/>
      <c r="C713" s="1566"/>
      <c r="D713" s="1538"/>
      <c r="E713" s="1149"/>
      <c r="I713" s="471"/>
      <c r="J713" s="731"/>
      <c r="K713" s="498"/>
    </row>
    <row r="714" ht="15.75" customHeight="1">
      <c r="B714" s="1538"/>
      <c r="C714" s="1566"/>
      <c r="D714" s="1538"/>
      <c r="E714" s="1149"/>
      <c r="I714" s="471"/>
      <c r="J714" s="731"/>
      <c r="K714" s="498"/>
    </row>
    <row r="715" ht="15.75" customHeight="1">
      <c r="B715" s="1538"/>
      <c r="C715" s="1566"/>
      <c r="D715" s="1538"/>
      <c r="E715" s="1149"/>
      <c r="I715" s="471"/>
      <c r="J715" s="731"/>
      <c r="K715" s="498"/>
    </row>
    <row r="716" ht="15.75" customHeight="1">
      <c r="B716" s="1538"/>
      <c r="C716" s="1566"/>
      <c r="D716" s="1538"/>
      <c r="E716" s="1149"/>
      <c r="I716" s="471"/>
      <c r="J716" s="731"/>
      <c r="K716" s="498"/>
    </row>
    <row r="717" ht="15.75" customHeight="1">
      <c r="B717" s="1538"/>
      <c r="C717" s="1566"/>
      <c r="D717" s="1538"/>
      <c r="E717" s="1149"/>
      <c r="I717" s="471"/>
      <c r="J717" s="731"/>
      <c r="K717" s="498"/>
    </row>
    <row r="718" ht="15.75" customHeight="1">
      <c r="B718" s="1538"/>
      <c r="C718" s="1566"/>
      <c r="D718" s="1538"/>
      <c r="E718" s="1149"/>
      <c r="I718" s="471"/>
      <c r="J718" s="731"/>
      <c r="K718" s="498"/>
    </row>
    <row r="719" ht="15.75" customHeight="1">
      <c r="B719" s="1538"/>
      <c r="C719" s="1566"/>
      <c r="D719" s="1538"/>
      <c r="E719" s="1149"/>
      <c r="I719" s="471"/>
      <c r="J719" s="731"/>
      <c r="K719" s="498"/>
    </row>
    <row r="720" ht="15.75" customHeight="1">
      <c r="B720" s="1538"/>
      <c r="C720" s="1566"/>
      <c r="D720" s="1538"/>
      <c r="E720" s="1149"/>
      <c r="I720" s="471"/>
      <c r="J720" s="731"/>
      <c r="K720" s="498"/>
    </row>
    <row r="721" ht="15.75" customHeight="1">
      <c r="B721" s="1538"/>
      <c r="C721" s="1566"/>
      <c r="D721" s="1538"/>
      <c r="E721" s="1149"/>
      <c r="I721" s="471"/>
      <c r="J721" s="731"/>
      <c r="K721" s="498"/>
    </row>
    <row r="722" ht="15.75" customHeight="1">
      <c r="B722" s="1538"/>
      <c r="C722" s="1566"/>
      <c r="D722" s="1538"/>
      <c r="E722" s="1149"/>
      <c r="I722" s="471"/>
      <c r="J722" s="731"/>
      <c r="K722" s="498"/>
    </row>
    <row r="723" ht="15.75" customHeight="1">
      <c r="B723" s="1538"/>
      <c r="C723" s="1566"/>
      <c r="D723" s="1538"/>
      <c r="E723" s="1149"/>
      <c r="I723" s="471"/>
      <c r="J723" s="731"/>
      <c r="K723" s="498"/>
    </row>
    <row r="724" ht="15.75" customHeight="1">
      <c r="B724" s="1538"/>
      <c r="C724" s="1566"/>
      <c r="D724" s="1538"/>
      <c r="E724" s="1149"/>
      <c r="I724" s="471"/>
      <c r="J724" s="731"/>
      <c r="K724" s="498"/>
    </row>
    <row r="725" ht="15.75" customHeight="1">
      <c r="B725" s="1538"/>
      <c r="C725" s="1566"/>
      <c r="D725" s="1538"/>
      <c r="E725" s="1149"/>
      <c r="I725" s="471"/>
      <c r="J725" s="731"/>
      <c r="K725" s="498"/>
    </row>
    <row r="726" ht="15.75" customHeight="1">
      <c r="B726" s="1538"/>
      <c r="C726" s="1566"/>
      <c r="D726" s="1538"/>
      <c r="E726" s="1149"/>
      <c r="I726" s="471"/>
      <c r="J726" s="731"/>
      <c r="K726" s="498"/>
    </row>
    <row r="727" ht="15.75" customHeight="1">
      <c r="B727" s="1538"/>
      <c r="C727" s="1566"/>
      <c r="D727" s="1538"/>
      <c r="E727" s="1149"/>
      <c r="I727" s="471"/>
      <c r="J727" s="731"/>
      <c r="K727" s="498"/>
    </row>
    <row r="728" ht="15.75" customHeight="1">
      <c r="B728" s="1538"/>
      <c r="C728" s="1566"/>
      <c r="D728" s="1538"/>
      <c r="E728" s="1149"/>
      <c r="I728" s="471"/>
      <c r="J728" s="731"/>
      <c r="K728" s="498"/>
    </row>
    <row r="729" ht="15.75" customHeight="1">
      <c r="B729" s="1538"/>
      <c r="C729" s="1566"/>
      <c r="D729" s="1538"/>
      <c r="E729" s="1149"/>
      <c r="I729" s="471"/>
      <c r="J729" s="731"/>
      <c r="K729" s="498"/>
    </row>
    <row r="730" ht="15.75" customHeight="1">
      <c r="B730" s="1538"/>
      <c r="C730" s="1566"/>
      <c r="D730" s="1538"/>
      <c r="E730" s="1149"/>
      <c r="I730" s="471"/>
      <c r="J730" s="731"/>
      <c r="K730" s="498"/>
    </row>
    <row r="731" ht="15.75" customHeight="1">
      <c r="B731" s="1538"/>
      <c r="C731" s="1566"/>
      <c r="D731" s="1538"/>
      <c r="E731" s="1149"/>
      <c r="I731" s="471"/>
      <c r="J731" s="731"/>
      <c r="K731" s="498"/>
    </row>
    <row r="732" ht="15.75" customHeight="1">
      <c r="B732" s="1538"/>
      <c r="C732" s="1566"/>
      <c r="D732" s="1538"/>
      <c r="E732" s="1149"/>
      <c r="I732" s="471"/>
      <c r="J732" s="731"/>
      <c r="K732" s="498"/>
    </row>
    <row r="733" ht="15.75" customHeight="1">
      <c r="B733" s="1538"/>
      <c r="C733" s="1566"/>
      <c r="D733" s="1538"/>
      <c r="E733" s="1149"/>
      <c r="I733" s="471"/>
      <c r="J733" s="731"/>
      <c r="K733" s="498"/>
    </row>
    <row r="734" ht="15.75" customHeight="1">
      <c r="B734" s="1538"/>
      <c r="C734" s="1566"/>
      <c r="D734" s="1538"/>
      <c r="E734" s="1149"/>
      <c r="I734" s="471"/>
      <c r="J734" s="731"/>
      <c r="K734" s="498"/>
    </row>
    <row r="735" ht="15.75" customHeight="1">
      <c r="B735" s="1538"/>
      <c r="C735" s="1566"/>
      <c r="D735" s="1538"/>
      <c r="E735" s="1149"/>
      <c r="I735" s="471"/>
      <c r="J735" s="731"/>
      <c r="K735" s="498"/>
    </row>
    <row r="736" ht="15.75" customHeight="1">
      <c r="B736" s="1538"/>
      <c r="C736" s="1566"/>
      <c r="D736" s="1538"/>
      <c r="E736" s="1149"/>
      <c r="I736" s="471"/>
      <c r="J736" s="731"/>
      <c r="K736" s="498"/>
    </row>
    <row r="737" ht="15.75" customHeight="1">
      <c r="B737" s="1538"/>
      <c r="C737" s="1566"/>
      <c r="D737" s="1538"/>
      <c r="E737" s="1149"/>
      <c r="I737" s="471"/>
      <c r="J737" s="731"/>
      <c r="K737" s="498"/>
    </row>
    <row r="738" ht="15.75" customHeight="1">
      <c r="B738" s="1538"/>
      <c r="C738" s="1566"/>
      <c r="D738" s="1538"/>
      <c r="E738" s="1149"/>
      <c r="I738" s="471"/>
      <c r="J738" s="731"/>
      <c r="K738" s="498"/>
    </row>
    <row r="739" ht="15.75" customHeight="1">
      <c r="B739" s="1538"/>
      <c r="C739" s="1566"/>
      <c r="D739" s="1538"/>
      <c r="E739" s="1149"/>
      <c r="I739" s="471"/>
      <c r="J739" s="731"/>
      <c r="K739" s="498"/>
    </row>
    <row r="740" ht="15.75" customHeight="1">
      <c r="B740" s="1538"/>
      <c r="C740" s="1566"/>
      <c r="D740" s="1538"/>
      <c r="E740" s="1149"/>
      <c r="I740" s="471"/>
      <c r="J740" s="731"/>
      <c r="K740" s="498"/>
    </row>
    <row r="741" ht="15.75" customHeight="1">
      <c r="B741" s="1538"/>
      <c r="C741" s="1566"/>
      <c r="D741" s="1538"/>
      <c r="E741" s="1149"/>
      <c r="I741" s="471"/>
      <c r="J741" s="731"/>
      <c r="K741" s="498"/>
    </row>
    <row r="742" ht="15.75" customHeight="1">
      <c r="B742" s="1538"/>
      <c r="C742" s="1566"/>
      <c r="D742" s="1538"/>
      <c r="E742" s="1149"/>
      <c r="I742" s="471"/>
      <c r="J742" s="731"/>
      <c r="K742" s="498"/>
    </row>
    <row r="743" ht="15.75" customHeight="1">
      <c r="B743" s="1538"/>
      <c r="C743" s="1566"/>
      <c r="D743" s="1538"/>
      <c r="E743" s="1149"/>
      <c r="I743" s="471"/>
      <c r="J743" s="731"/>
      <c r="K743" s="498"/>
    </row>
    <row r="744" ht="15.75" customHeight="1">
      <c r="B744" s="1538"/>
      <c r="C744" s="1566"/>
      <c r="D744" s="1538"/>
      <c r="E744" s="1149"/>
      <c r="I744" s="471"/>
      <c r="J744" s="731"/>
      <c r="K744" s="498"/>
    </row>
    <row r="745" ht="15.75" customHeight="1">
      <c r="B745" s="1538"/>
      <c r="C745" s="1566"/>
      <c r="D745" s="1538"/>
      <c r="E745" s="1149"/>
      <c r="I745" s="471"/>
      <c r="J745" s="731"/>
      <c r="K745" s="498"/>
    </row>
    <row r="746" ht="15.75" customHeight="1">
      <c r="B746" s="1538"/>
      <c r="C746" s="1566"/>
      <c r="D746" s="1538"/>
      <c r="E746" s="1149"/>
      <c r="I746" s="471"/>
      <c r="J746" s="731"/>
      <c r="K746" s="498"/>
    </row>
    <row r="747" ht="15.75" customHeight="1">
      <c r="B747" s="1538"/>
      <c r="C747" s="1566"/>
      <c r="D747" s="1538"/>
      <c r="E747" s="1149"/>
      <c r="I747" s="471"/>
      <c r="J747" s="731"/>
      <c r="K747" s="498"/>
    </row>
    <row r="748" ht="15.75" customHeight="1">
      <c r="B748" s="1538"/>
      <c r="C748" s="1566"/>
      <c r="D748" s="1538"/>
      <c r="E748" s="1149"/>
      <c r="I748" s="471"/>
      <c r="J748" s="731"/>
      <c r="K748" s="498"/>
    </row>
    <row r="749" ht="15.75" customHeight="1">
      <c r="B749" s="1538"/>
      <c r="C749" s="1566"/>
      <c r="D749" s="1538"/>
      <c r="E749" s="1149"/>
      <c r="I749" s="471"/>
      <c r="J749" s="731"/>
      <c r="K749" s="498"/>
    </row>
    <row r="750" ht="15.75" customHeight="1">
      <c r="B750" s="1538"/>
      <c r="C750" s="1566"/>
      <c r="D750" s="1538"/>
      <c r="E750" s="1149"/>
      <c r="I750" s="471"/>
      <c r="J750" s="731"/>
      <c r="K750" s="498"/>
    </row>
    <row r="751" ht="15.75" customHeight="1">
      <c r="B751" s="1538"/>
      <c r="C751" s="1566"/>
      <c r="D751" s="1538"/>
      <c r="E751" s="1149"/>
      <c r="I751" s="471"/>
      <c r="J751" s="731"/>
      <c r="K751" s="498"/>
    </row>
    <row r="752" ht="15.75" customHeight="1">
      <c r="B752" s="1538"/>
      <c r="C752" s="1566"/>
      <c r="D752" s="1538"/>
      <c r="E752" s="1149"/>
      <c r="I752" s="471"/>
      <c r="J752" s="731"/>
      <c r="K752" s="498"/>
    </row>
    <row r="753" ht="15.75" customHeight="1">
      <c r="B753" s="1538"/>
      <c r="C753" s="1566"/>
      <c r="D753" s="1538"/>
      <c r="E753" s="1149"/>
      <c r="I753" s="471"/>
      <c r="J753" s="731"/>
      <c r="K753" s="498"/>
    </row>
    <row r="754" ht="15.75" customHeight="1">
      <c r="B754" s="1538"/>
      <c r="C754" s="1566"/>
      <c r="D754" s="1538"/>
      <c r="E754" s="1149"/>
      <c r="I754" s="471"/>
      <c r="J754" s="731"/>
      <c r="K754" s="498"/>
    </row>
    <row r="755" ht="15.75" customHeight="1">
      <c r="B755" s="1538"/>
      <c r="C755" s="1566"/>
      <c r="D755" s="1538"/>
      <c r="E755" s="1149"/>
      <c r="I755" s="471"/>
      <c r="J755" s="731"/>
      <c r="K755" s="498"/>
    </row>
    <row r="756" ht="15.75" customHeight="1">
      <c r="B756" s="1538"/>
      <c r="C756" s="1566"/>
      <c r="D756" s="1538"/>
      <c r="E756" s="1149"/>
      <c r="I756" s="471"/>
      <c r="J756" s="731"/>
      <c r="K756" s="498"/>
    </row>
    <row r="757" ht="15.75" customHeight="1">
      <c r="B757" s="1538"/>
      <c r="C757" s="1566"/>
      <c r="D757" s="1538"/>
      <c r="E757" s="1149"/>
      <c r="I757" s="471"/>
      <c r="J757" s="731"/>
      <c r="K757" s="498"/>
    </row>
    <row r="758" ht="15.75" customHeight="1">
      <c r="B758" s="1538"/>
      <c r="C758" s="1566"/>
      <c r="D758" s="1538"/>
      <c r="E758" s="1149"/>
      <c r="I758" s="471"/>
      <c r="J758" s="731"/>
      <c r="K758" s="498"/>
    </row>
    <row r="759" ht="15.75" customHeight="1">
      <c r="B759" s="1538"/>
      <c r="C759" s="1566"/>
      <c r="D759" s="1538"/>
      <c r="E759" s="1149"/>
      <c r="I759" s="471"/>
      <c r="J759" s="731"/>
      <c r="K759" s="498"/>
    </row>
    <row r="760" ht="15.75" customHeight="1">
      <c r="B760" s="1538"/>
      <c r="C760" s="1566"/>
      <c r="D760" s="1538"/>
      <c r="E760" s="1149"/>
      <c r="I760" s="471"/>
      <c r="J760" s="731"/>
      <c r="K760" s="498"/>
    </row>
    <row r="761" ht="15.75" customHeight="1">
      <c r="B761" s="1538"/>
      <c r="C761" s="1566"/>
      <c r="D761" s="1538"/>
      <c r="E761" s="1149"/>
      <c r="I761" s="471"/>
      <c r="J761" s="731"/>
      <c r="K761" s="498"/>
    </row>
    <row r="762" ht="15.75" customHeight="1">
      <c r="B762" s="1538"/>
      <c r="C762" s="1566"/>
      <c r="D762" s="1538"/>
      <c r="E762" s="1149"/>
      <c r="I762" s="471"/>
      <c r="J762" s="731"/>
      <c r="K762" s="498"/>
    </row>
    <row r="763" ht="15.75" customHeight="1">
      <c r="B763" s="1538"/>
      <c r="C763" s="1566"/>
      <c r="D763" s="1538"/>
      <c r="E763" s="1149"/>
      <c r="I763" s="471"/>
      <c r="J763" s="731"/>
      <c r="K763" s="498"/>
    </row>
    <row r="764" ht="15.75" customHeight="1">
      <c r="B764" s="1538"/>
      <c r="C764" s="1566"/>
      <c r="D764" s="1538"/>
      <c r="E764" s="1149"/>
      <c r="I764" s="471"/>
      <c r="J764" s="731"/>
      <c r="K764" s="498"/>
    </row>
    <row r="765" ht="15.75" customHeight="1">
      <c r="B765" s="1538"/>
      <c r="C765" s="1566"/>
      <c r="D765" s="1538"/>
      <c r="E765" s="1149"/>
      <c r="I765" s="471"/>
      <c r="J765" s="731"/>
      <c r="K765" s="498"/>
    </row>
    <row r="766" ht="15.75" customHeight="1">
      <c r="B766" s="1538"/>
      <c r="C766" s="1566"/>
      <c r="D766" s="1538"/>
      <c r="E766" s="1149"/>
      <c r="I766" s="471"/>
      <c r="J766" s="731"/>
      <c r="K766" s="498"/>
    </row>
    <row r="767" ht="15.75" customHeight="1">
      <c r="B767" s="1538"/>
      <c r="C767" s="1566"/>
      <c r="D767" s="1538"/>
      <c r="E767" s="1149"/>
      <c r="I767" s="471"/>
      <c r="J767" s="731"/>
      <c r="K767" s="498"/>
    </row>
    <row r="768" ht="15.75" customHeight="1">
      <c r="B768" s="1538"/>
      <c r="C768" s="1566"/>
      <c r="D768" s="1538"/>
      <c r="E768" s="1149"/>
      <c r="I768" s="471"/>
      <c r="J768" s="731"/>
      <c r="K768" s="498"/>
    </row>
    <row r="769" ht="15.75" customHeight="1">
      <c r="B769" s="1538"/>
      <c r="C769" s="1566"/>
      <c r="D769" s="1538"/>
      <c r="E769" s="1149"/>
      <c r="I769" s="471"/>
      <c r="J769" s="731"/>
      <c r="K769" s="498"/>
    </row>
    <row r="770" ht="15.75" customHeight="1">
      <c r="B770" s="1538"/>
      <c r="C770" s="1566"/>
      <c r="D770" s="1538"/>
      <c r="E770" s="1149"/>
      <c r="I770" s="471"/>
      <c r="J770" s="731"/>
      <c r="K770" s="498"/>
    </row>
    <row r="771" ht="15.75" customHeight="1">
      <c r="B771" s="1538"/>
      <c r="C771" s="1566"/>
      <c r="D771" s="1538"/>
      <c r="E771" s="1149"/>
      <c r="I771" s="471"/>
      <c r="J771" s="731"/>
      <c r="K771" s="498"/>
    </row>
    <row r="772" ht="15.75" customHeight="1">
      <c r="B772" s="1538"/>
      <c r="C772" s="1566"/>
      <c r="D772" s="1538"/>
      <c r="E772" s="1149"/>
      <c r="I772" s="471"/>
      <c r="J772" s="731"/>
      <c r="K772" s="498"/>
    </row>
    <row r="773" ht="15.75" customHeight="1">
      <c r="B773" s="1538"/>
      <c r="C773" s="1566"/>
      <c r="D773" s="1538"/>
      <c r="E773" s="1149"/>
      <c r="I773" s="471"/>
      <c r="J773" s="731"/>
      <c r="K773" s="498"/>
    </row>
    <row r="774" ht="15.75" customHeight="1">
      <c r="B774" s="1538"/>
      <c r="C774" s="1566"/>
      <c r="D774" s="1538"/>
      <c r="E774" s="1149"/>
      <c r="I774" s="471"/>
      <c r="J774" s="731"/>
      <c r="K774" s="498"/>
    </row>
    <row r="775" ht="15.75" customHeight="1">
      <c r="B775" s="1538"/>
      <c r="C775" s="1566"/>
      <c r="D775" s="1538"/>
      <c r="E775" s="1149"/>
      <c r="I775" s="471"/>
      <c r="J775" s="731"/>
      <c r="K775" s="498"/>
    </row>
    <row r="776" ht="15.75" customHeight="1">
      <c r="B776" s="1538"/>
      <c r="C776" s="1566"/>
      <c r="D776" s="1538"/>
      <c r="E776" s="1149"/>
      <c r="I776" s="471"/>
      <c r="J776" s="731"/>
      <c r="K776" s="498"/>
    </row>
    <row r="777" ht="15.75" customHeight="1">
      <c r="B777" s="1538"/>
      <c r="C777" s="1566"/>
      <c r="D777" s="1538"/>
      <c r="E777" s="1149"/>
      <c r="I777" s="471"/>
      <c r="J777" s="731"/>
      <c r="K777" s="498"/>
    </row>
    <row r="778" ht="15.75" customHeight="1">
      <c r="B778" s="1538"/>
      <c r="C778" s="1566"/>
      <c r="D778" s="1538"/>
      <c r="E778" s="1149"/>
      <c r="I778" s="471"/>
      <c r="J778" s="731"/>
      <c r="K778" s="498"/>
    </row>
    <row r="779" ht="15.75" customHeight="1">
      <c r="B779" s="1538"/>
      <c r="C779" s="1566"/>
      <c r="D779" s="1538"/>
      <c r="E779" s="1149"/>
      <c r="I779" s="471"/>
      <c r="J779" s="731"/>
      <c r="K779" s="498"/>
    </row>
    <row r="780" ht="15.75" customHeight="1">
      <c r="B780" s="1538"/>
      <c r="C780" s="1566"/>
      <c r="D780" s="1538"/>
      <c r="E780" s="1149"/>
      <c r="I780" s="471"/>
      <c r="J780" s="731"/>
      <c r="K780" s="498"/>
    </row>
    <row r="781" ht="15.75" customHeight="1">
      <c r="B781" s="1538"/>
      <c r="C781" s="1566"/>
      <c r="D781" s="1538"/>
      <c r="E781" s="1149"/>
      <c r="I781" s="471"/>
      <c r="J781" s="731"/>
      <c r="K781" s="498"/>
    </row>
    <row r="782" ht="15.75" customHeight="1">
      <c r="B782" s="1538"/>
      <c r="C782" s="1566"/>
      <c r="D782" s="1538"/>
      <c r="E782" s="1149"/>
      <c r="I782" s="471"/>
      <c r="J782" s="731"/>
      <c r="K782" s="498"/>
    </row>
    <row r="783" ht="15.75" customHeight="1">
      <c r="B783" s="1538"/>
      <c r="C783" s="1566"/>
      <c r="D783" s="1538"/>
      <c r="E783" s="1149"/>
      <c r="I783" s="471"/>
      <c r="J783" s="731"/>
      <c r="K783" s="498"/>
    </row>
    <row r="784" ht="15.75" customHeight="1">
      <c r="B784" s="1538"/>
      <c r="C784" s="1566"/>
      <c r="D784" s="1538"/>
      <c r="E784" s="1149"/>
      <c r="I784" s="471"/>
      <c r="J784" s="731"/>
      <c r="K784" s="498"/>
    </row>
    <row r="785" ht="15.75" customHeight="1">
      <c r="B785" s="1538"/>
      <c r="C785" s="1566"/>
      <c r="D785" s="1538"/>
      <c r="E785" s="1149"/>
      <c r="I785" s="471"/>
      <c r="J785" s="731"/>
      <c r="K785" s="498"/>
    </row>
    <row r="786" ht="15.75" customHeight="1">
      <c r="B786" s="1538"/>
      <c r="C786" s="1566"/>
      <c r="D786" s="1538"/>
      <c r="E786" s="1149"/>
      <c r="I786" s="471"/>
      <c r="J786" s="731"/>
      <c r="K786" s="498"/>
    </row>
    <row r="787" ht="15.75" customHeight="1">
      <c r="B787" s="1538"/>
      <c r="C787" s="1566"/>
      <c r="D787" s="1538"/>
      <c r="E787" s="1149"/>
      <c r="I787" s="471"/>
      <c r="J787" s="731"/>
      <c r="K787" s="498"/>
    </row>
    <row r="788" ht="15.75" customHeight="1">
      <c r="B788" s="1538"/>
      <c r="C788" s="1566"/>
      <c r="D788" s="1538"/>
      <c r="E788" s="1149"/>
      <c r="I788" s="471"/>
      <c r="J788" s="731"/>
      <c r="K788" s="498"/>
    </row>
    <row r="789" ht="15.75" customHeight="1">
      <c r="B789" s="1538"/>
      <c r="C789" s="1566"/>
      <c r="D789" s="1538"/>
      <c r="E789" s="1149"/>
      <c r="I789" s="471"/>
      <c r="J789" s="731"/>
      <c r="K789" s="498"/>
    </row>
    <row r="790" ht="15.75" customHeight="1">
      <c r="B790" s="1538"/>
      <c r="C790" s="1566"/>
      <c r="D790" s="1538"/>
      <c r="E790" s="1149"/>
      <c r="I790" s="471"/>
      <c r="J790" s="731"/>
      <c r="K790" s="498"/>
    </row>
    <row r="791" ht="15.75" customHeight="1">
      <c r="B791" s="1538"/>
      <c r="C791" s="1566"/>
      <c r="D791" s="1538"/>
      <c r="E791" s="1149"/>
      <c r="I791" s="471"/>
      <c r="J791" s="731"/>
      <c r="K791" s="498"/>
    </row>
    <row r="792" ht="15.75" customHeight="1">
      <c r="B792" s="1538"/>
      <c r="C792" s="1566"/>
      <c r="D792" s="1538"/>
      <c r="E792" s="1149"/>
      <c r="I792" s="471"/>
      <c r="J792" s="731"/>
      <c r="K792" s="498"/>
    </row>
    <row r="793" ht="15.75" customHeight="1">
      <c r="B793" s="1538"/>
      <c r="C793" s="1566"/>
      <c r="D793" s="1538"/>
      <c r="E793" s="1149"/>
      <c r="I793" s="471"/>
      <c r="J793" s="731"/>
      <c r="K793" s="498"/>
    </row>
    <row r="794" ht="15.75" customHeight="1">
      <c r="B794" s="1538"/>
      <c r="C794" s="1566"/>
      <c r="D794" s="1538"/>
      <c r="E794" s="1149"/>
      <c r="I794" s="471"/>
      <c r="J794" s="731"/>
      <c r="K794" s="498"/>
    </row>
    <row r="795" ht="15.75" customHeight="1">
      <c r="B795" s="1538"/>
      <c r="C795" s="1566"/>
      <c r="D795" s="1538"/>
      <c r="E795" s="1149"/>
      <c r="I795" s="471"/>
      <c r="J795" s="731"/>
      <c r="K795" s="498"/>
    </row>
    <row r="796" ht="15.75" customHeight="1">
      <c r="B796" s="1538"/>
      <c r="C796" s="1566"/>
      <c r="D796" s="1538"/>
      <c r="E796" s="1149"/>
      <c r="I796" s="471"/>
      <c r="J796" s="731"/>
      <c r="K796" s="498"/>
    </row>
    <row r="797" ht="15.75" customHeight="1">
      <c r="B797" s="1538"/>
      <c r="C797" s="1566"/>
      <c r="D797" s="1538"/>
      <c r="E797" s="1149"/>
      <c r="I797" s="471"/>
      <c r="J797" s="731"/>
      <c r="K797" s="498"/>
    </row>
    <row r="798" ht="15.75" customHeight="1">
      <c r="B798" s="1538"/>
      <c r="C798" s="1566"/>
      <c r="D798" s="1538"/>
      <c r="E798" s="1149"/>
      <c r="I798" s="471"/>
      <c r="J798" s="731"/>
      <c r="K798" s="498"/>
    </row>
    <row r="799" ht="15.75" customHeight="1">
      <c r="B799" s="1538"/>
      <c r="C799" s="1566"/>
      <c r="D799" s="1538"/>
      <c r="E799" s="1149"/>
      <c r="I799" s="471"/>
      <c r="J799" s="731"/>
      <c r="K799" s="498"/>
    </row>
    <row r="800" ht="15.75" customHeight="1">
      <c r="B800" s="1538"/>
      <c r="C800" s="1566"/>
      <c r="D800" s="1538"/>
      <c r="E800" s="1149"/>
      <c r="I800" s="471"/>
      <c r="J800" s="731"/>
      <c r="K800" s="498"/>
    </row>
    <row r="801" ht="15.75" customHeight="1">
      <c r="B801" s="1538"/>
      <c r="C801" s="1566"/>
      <c r="D801" s="1538"/>
      <c r="E801" s="1149"/>
      <c r="I801" s="471"/>
      <c r="J801" s="731"/>
      <c r="K801" s="498"/>
    </row>
    <row r="802" ht="15.75" customHeight="1">
      <c r="B802" s="1538"/>
      <c r="C802" s="1566"/>
      <c r="D802" s="1538"/>
      <c r="E802" s="1149"/>
      <c r="I802" s="471"/>
      <c r="J802" s="731"/>
      <c r="K802" s="498"/>
    </row>
    <row r="803" ht="15.75" customHeight="1">
      <c r="B803" s="1538"/>
      <c r="C803" s="1566"/>
      <c r="D803" s="1538"/>
      <c r="E803" s="1149"/>
      <c r="I803" s="471"/>
      <c r="J803" s="731"/>
      <c r="K803" s="498"/>
    </row>
    <row r="804" ht="15.75" customHeight="1">
      <c r="B804" s="1538"/>
      <c r="C804" s="1566"/>
      <c r="D804" s="1538"/>
      <c r="E804" s="1149"/>
      <c r="I804" s="471"/>
      <c r="J804" s="731"/>
      <c r="K804" s="498"/>
    </row>
    <row r="805" ht="15.75" customHeight="1">
      <c r="B805" s="1538"/>
      <c r="C805" s="1566"/>
      <c r="D805" s="1538"/>
      <c r="E805" s="1149"/>
      <c r="I805" s="471"/>
      <c r="J805" s="731"/>
      <c r="K805" s="498"/>
    </row>
    <row r="806" ht="15.75" customHeight="1">
      <c r="B806" s="1538"/>
      <c r="C806" s="1566"/>
      <c r="D806" s="1538"/>
      <c r="E806" s="1149"/>
      <c r="I806" s="471"/>
      <c r="J806" s="731"/>
      <c r="K806" s="498"/>
    </row>
    <row r="807" ht="15.75" customHeight="1">
      <c r="B807" s="1538"/>
      <c r="C807" s="1566"/>
      <c r="D807" s="1538"/>
      <c r="E807" s="1149"/>
      <c r="I807" s="471"/>
      <c r="J807" s="731"/>
      <c r="K807" s="498"/>
    </row>
    <row r="808" ht="15.75" customHeight="1">
      <c r="B808" s="1538"/>
      <c r="C808" s="1566"/>
      <c r="D808" s="1538"/>
      <c r="E808" s="1149"/>
      <c r="I808" s="471"/>
      <c r="J808" s="731"/>
      <c r="K808" s="498"/>
    </row>
    <row r="809" ht="15.75" customHeight="1">
      <c r="B809" s="1538"/>
      <c r="C809" s="1566"/>
      <c r="D809" s="1538"/>
      <c r="E809" s="1149"/>
      <c r="I809" s="471"/>
      <c r="J809" s="731"/>
      <c r="K809" s="498"/>
    </row>
    <row r="810" ht="15.75" customHeight="1">
      <c r="B810" s="1538"/>
      <c r="C810" s="1566"/>
      <c r="D810" s="1538"/>
      <c r="E810" s="1149"/>
      <c r="I810" s="471"/>
      <c r="J810" s="731"/>
      <c r="K810" s="498"/>
    </row>
    <row r="811" ht="15.75" customHeight="1">
      <c r="B811" s="1538"/>
      <c r="C811" s="1566"/>
      <c r="D811" s="1538"/>
      <c r="E811" s="1149"/>
      <c r="I811" s="471"/>
      <c r="J811" s="731"/>
      <c r="K811" s="498"/>
    </row>
    <row r="812" ht="15.75" customHeight="1">
      <c r="B812" s="1538"/>
      <c r="C812" s="1566"/>
      <c r="D812" s="1538"/>
      <c r="E812" s="1149"/>
      <c r="I812" s="471"/>
      <c r="J812" s="731"/>
      <c r="K812" s="498"/>
    </row>
    <row r="813" ht="15.75" customHeight="1">
      <c r="B813" s="1538"/>
      <c r="C813" s="1566"/>
      <c r="D813" s="1538"/>
      <c r="E813" s="1149"/>
      <c r="I813" s="471"/>
      <c r="J813" s="731"/>
      <c r="K813" s="498"/>
    </row>
    <row r="814" ht="15.75" customHeight="1">
      <c r="B814" s="1538"/>
      <c r="C814" s="1566"/>
      <c r="D814" s="1538"/>
      <c r="E814" s="1149"/>
      <c r="I814" s="471"/>
      <c r="J814" s="731"/>
      <c r="K814" s="498"/>
    </row>
    <row r="815" ht="15.75" customHeight="1">
      <c r="B815" s="1538"/>
      <c r="C815" s="1566"/>
      <c r="D815" s="1538"/>
      <c r="E815" s="1149"/>
      <c r="I815" s="471"/>
      <c r="J815" s="731"/>
      <c r="K815" s="498"/>
    </row>
    <row r="816" ht="15.75" customHeight="1">
      <c r="B816" s="1538"/>
      <c r="C816" s="1566"/>
      <c r="D816" s="1538"/>
      <c r="E816" s="1149"/>
      <c r="I816" s="471"/>
      <c r="J816" s="731"/>
      <c r="K816" s="498"/>
    </row>
    <row r="817" ht="15.75" customHeight="1">
      <c r="B817" s="1538"/>
      <c r="C817" s="1566"/>
      <c r="D817" s="1538"/>
      <c r="E817" s="1149"/>
      <c r="I817" s="471"/>
      <c r="J817" s="731"/>
      <c r="K817" s="498"/>
    </row>
    <row r="818" ht="15.75" customHeight="1">
      <c r="B818" s="1538"/>
      <c r="C818" s="1566"/>
      <c r="D818" s="1538"/>
      <c r="E818" s="1149"/>
      <c r="I818" s="471"/>
      <c r="J818" s="731"/>
      <c r="K818" s="498"/>
    </row>
    <row r="819" ht="15.75" customHeight="1">
      <c r="B819" s="1538"/>
      <c r="C819" s="1566"/>
      <c r="D819" s="1538"/>
      <c r="E819" s="1149"/>
      <c r="I819" s="471"/>
      <c r="J819" s="731"/>
      <c r="K819" s="498"/>
    </row>
    <row r="820" ht="15.75" customHeight="1">
      <c r="B820" s="1538"/>
      <c r="C820" s="1566"/>
      <c r="D820" s="1538"/>
      <c r="E820" s="1149"/>
      <c r="I820" s="471"/>
      <c r="J820" s="731"/>
      <c r="K820" s="498"/>
    </row>
    <row r="821" ht="15.75" customHeight="1">
      <c r="B821" s="1538"/>
      <c r="C821" s="1566"/>
      <c r="D821" s="1538"/>
      <c r="E821" s="1149"/>
      <c r="I821" s="471"/>
      <c r="J821" s="731"/>
      <c r="K821" s="498"/>
    </row>
    <row r="822" ht="15.75" customHeight="1">
      <c r="B822" s="1538"/>
      <c r="C822" s="1566"/>
      <c r="D822" s="1538"/>
      <c r="E822" s="1149"/>
      <c r="I822" s="471"/>
      <c r="J822" s="731"/>
      <c r="K822" s="498"/>
    </row>
    <row r="823" ht="15.75" customHeight="1">
      <c r="B823" s="1538"/>
      <c r="C823" s="1566"/>
      <c r="D823" s="1538"/>
      <c r="E823" s="1149"/>
      <c r="I823" s="471"/>
      <c r="J823" s="731"/>
      <c r="K823" s="498"/>
    </row>
    <row r="824" ht="15.75" customHeight="1">
      <c r="B824" s="1538"/>
      <c r="C824" s="1566"/>
      <c r="D824" s="1538"/>
      <c r="E824" s="1149"/>
      <c r="I824" s="471"/>
      <c r="J824" s="731"/>
      <c r="K824" s="498"/>
    </row>
    <row r="825" ht="15.75" customHeight="1">
      <c r="B825" s="1538"/>
      <c r="C825" s="1566"/>
      <c r="D825" s="1538"/>
      <c r="E825" s="1149"/>
      <c r="I825" s="471"/>
      <c r="J825" s="731"/>
      <c r="K825" s="498"/>
    </row>
    <row r="826" ht="15.75" customHeight="1">
      <c r="B826" s="1538"/>
      <c r="C826" s="1566"/>
      <c r="D826" s="1538"/>
      <c r="E826" s="1149"/>
      <c r="I826" s="471"/>
      <c r="J826" s="731"/>
      <c r="K826" s="498"/>
    </row>
    <row r="827" ht="15.75" customHeight="1">
      <c r="B827" s="1538"/>
      <c r="C827" s="1566"/>
      <c r="D827" s="1538"/>
      <c r="E827" s="1149"/>
      <c r="I827" s="471"/>
      <c r="J827" s="731"/>
      <c r="K827" s="498"/>
    </row>
    <row r="828" ht="15.75" customHeight="1">
      <c r="B828" s="1538"/>
      <c r="C828" s="1566"/>
      <c r="D828" s="1538"/>
      <c r="E828" s="1149"/>
      <c r="I828" s="471"/>
      <c r="J828" s="731"/>
      <c r="K828" s="498"/>
    </row>
    <row r="829" ht="15.75" customHeight="1">
      <c r="B829" s="1538"/>
      <c r="C829" s="1566"/>
      <c r="D829" s="1538"/>
      <c r="E829" s="1149"/>
      <c r="I829" s="471"/>
      <c r="J829" s="731"/>
      <c r="K829" s="498"/>
    </row>
    <row r="830" ht="15.75" customHeight="1">
      <c r="B830" s="1538"/>
      <c r="C830" s="1566"/>
      <c r="D830" s="1538"/>
      <c r="E830" s="1149"/>
      <c r="I830" s="471"/>
      <c r="J830" s="731"/>
      <c r="K830" s="498"/>
    </row>
    <row r="831" ht="15.75" customHeight="1">
      <c r="B831" s="1538"/>
      <c r="C831" s="1566"/>
      <c r="D831" s="1538"/>
      <c r="E831" s="1149"/>
      <c r="I831" s="471"/>
      <c r="J831" s="731"/>
      <c r="K831" s="498"/>
    </row>
    <row r="832" ht="15.75" customHeight="1">
      <c r="B832" s="1538"/>
      <c r="C832" s="1566"/>
      <c r="D832" s="1538"/>
      <c r="E832" s="1149"/>
      <c r="I832" s="471"/>
      <c r="J832" s="731"/>
      <c r="K832" s="498"/>
    </row>
    <row r="833" ht="15.75" customHeight="1">
      <c r="B833" s="1538"/>
      <c r="C833" s="1566"/>
      <c r="D833" s="1538"/>
      <c r="E833" s="1149"/>
      <c r="I833" s="471"/>
      <c r="J833" s="731"/>
      <c r="K833" s="498"/>
    </row>
    <row r="834" ht="15.75" customHeight="1">
      <c r="B834" s="1538"/>
      <c r="C834" s="1566"/>
      <c r="D834" s="1538"/>
      <c r="E834" s="1149"/>
      <c r="I834" s="471"/>
      <c r="J834" s="731"/>
      <c r="K834" s="498"/>
    </row>
    <row r="835" ht="15.75" customHeight="1">
      <c r="B835" s="1538"/>
      <c r="C835" s="1566"/>
      <c r="D835" s="1538"/>
      <c r="E835" s="1149"/>
      <c r="I835" s="471"/>
      <c r="J835" s="731"/>
      <c r="K835" s="498"/>
    </row>
    <row r="836" ht="15.75" customHeight="1">
      <c r="B836" s="1538"/>
      <c r="C836" s="1566"/>
      <c r="D836" s="1538"/>
      <c r="E836" s="1149"/>
      <c r="I836" s="471"/>
      <c r="J836" s="731"/>
      <c r="K836" s="498"/>
    </row>
    <row r="837" ht="15.75" customHeight="1">
      <c r="B837" s="1538"/>
      <c r="C837" s="1566"/>
      <c r="D837" s="1538"/>
      <c r="E837" s="1149"/>
      <c r="I837" s="471"/>
      <c r="J837" s="731"/>
      <c r="K837" s="498"/>
    </row>
    <row r="838" ht="15.75" customHeight="1">
      <c r="B838" s="1538"/>
      <c r="C838" s="1566"/>
      <c r="D838" s="1538"/>
      <c r="E838" s="1149"/>
      <c r="I838" s="471"/>
      <c r="J838" s="731"/>
      <c r="K838" s="498"/>
    </row>
    <row r="839" ht="15.75" customHeight="1">
      <c r="B839" s="1538"/>
      <c r="C839" s="1566"/>
      <c r="D839" s="1538"/>
      <c r="E839" s="1149"/>
      <c r="I839" s="471"/>
      <c r="J839" s="731"/>
      <c r="K839" s="498"/>
    </row>
    <row r="840" ht="15.75" customHeight="1">
      <c r="B840" s="1538"/>
      <c r="C840" s="1566"/>
      <c r="D840" s="1538"/>
      <c r="E840" s="1149"/>
      <c r="I840" s="471"/>
      <c r="J840" s="731"/>
      <c r="K840" s="498"/>
    </row>
    <row r="841" ht="15.75" customHeight="1">
      <c r="B841" s="1538"/>
      <c r="C841" s="1566"/>
      <c r="D841" s="1538"/>
      <c r="E841" s="1149"/>
      <c r="I841" s="471"/>
      <c r="J841" s="731"/>
      <c r="K841" s="498"/>
    </row>
    <row r="842" ht="15.75" customHeight="1">
      <c r="B842" s="1538"/>
      <c r="C842" s="1566"/>
      <c r="D842" s="1538"/>
      <c r="E842" s="1149"/>
      <c r="I842" s="471"/>
      <c r="J842" s="731"/>
      <c r="K842" s="498"/>
    </row>
    <row r="843" ht="15.75" customHeight="1">
      <c r="B843" s="1538"/>
      <c r="C843" s="1566"/>
      <c r="D843" s="1538"/>
      <c r="E843" s="1149"/>
      <c r="I843" s="471"/>
      <c r="J843" s="731"/>
      <c r="K843" s="498"/>
    </row>
    <row r="844" ht="15.75" customHeight="1">
      <c r="B844" s="1538"/>
      <c r="C844" s="1566"/>
      <c r="D844" s="1538"/>
      <c r="E844" s="1149"/>
      <c r="I844" s="471"/>
      <c r="J844" s="731"/>
      <c r="K844" s="498"/>
    </row>
    <row r="845" ht="15.75" customHeight="1">
      <c r="B845" s="1538"/>
      <c r="C845" s="1566"/>
      <c r="D845" s="1538"/>
      <c r="E845" s="1149"/>
      <c r="I845" s="471"/>
      <c r="J845" s="731"/>
      <c r="K845" s="498"/>
    </row>
    <row r="846" ht="15.75" customHeight="1">
      <c r="B846" s="1538"/>
      <c r="C846" s="1566"/>
      <c r="D846" s="1538"/>
      <c r="E846" s="1149"/>
      <c r="I846" s="471"/>
      <c r="J846" s="731"/>
      <c r="K846" s="498"/>
    </row>
    <row r="847" ht="15.75" customHeight="1">
      <c r="B847" s="1538"/>
      <c r="C847" s="1566"/>
      <c r="D847" s="1538"/>
      <c r="E847" s="1149"/>
      <c r="I847" s="471"/>
      <c r="J847" s="731"/>
      <c r="K847" s="498"/>
    </row>
    <row r="848" ht="15.75" customHeight="1">
      <c r="B848" s="1538"/>
      <c r="C848" s="1566"/>
      <c r="D848" s="1538"/>
      <c r="E848" s="1149"/>
      <c r="I848" s="471"/>
      <c r="J848" s="731"/>
      <c r="K848" s="498"/>
    </row>
    <row r="849" ht="15.75" customHeight="1">
      <c r="B849" s="1538"/>
      <c r="C849" s="1566"/>
      <c r="D849" s="1538"/>
      <c r="E849" s="1149"/>
      <c r="I849" s="471"/>
      <c r="J849" s="731"/>
      <c r="K849" s="498"/>
    </row>
    <row r="850" ht="15.75" customHeight="1">
      <c r="B850" s="1538"/>
      <c r="C850" s="1566"/>
      <c r="D850" s="1538"/>
      <c r="E850" s="1149"/>
      <c r="I850" s="471"/>
      <c r="J850" s="731"/>
      <c r="K850" s="498"/>
    </row>
    <row r="851" ht="15.75" customHeight="1">
      <c r="B851" s="1538"/>
      <c r="C851" s="1566"/>
      <c r="D851" s="1538"/>
      <c r="E851" s="1149"/>
      <c r="I851" s="471"/>
      <c r="J851" s="731"/>
      <c r="K851" s="498"/>
    </row>
    <row r="852" ht="15.75" customHeight="1">
      <c r="B852" s="1538"/>
      <c r="C852" s="1566"/>
      <c r="D852" s="1538"/>
      <c r="E852" s="1149"/>
      <c r="I852" s="471"/>
      <c r="J852" s="731"/>
      <c r="K852" s="498"/>
    </row>
    <row r="853" ht="15.75" customHeight="1">
      <c r="B853" s="1538"/>
      <c r="C853" s="1566"/>
      <c r="D853" s="1538"/>
      <c r="E853" s="1149"/>
      <c r="I853" s="471"/>
      <c r="J853" s="731"/>
      <c r="K853" s="498"/>
    </row>
    <row r="854" ht="15.75" customHeight="1">
      <c r="B854" s="1538"/>
      <c r="C854" s="1566"/>
      <c r="D854" s="1538"/>
      <c r="E854" s="1149"/>
      <c r="I854" s="471"/>
      <c r="J854" s="731"/>
      <c r="K854" s="498"/>
    </row>
    <row r="855" ht="15.75" customHeight="1">
      <c r="B855" s="1538"/>
      <c r="C855" s="1566"/>
      <c r="D855" s="1538"/>
      <c r="E855" s="1149"/>
      <c r="I855" s="471"/>
      <c r="J855" s="731"/>
      <c r="K855" s="498"/>
    </row>
    <row r="856" ht="15.75" customHeight="1">
      <c r="B856" s="1538"/>
      <c r="C856" s="1566"/>
      <c r="D856" s="1538"/>
      <c r="E856" s="1149"/>
      <c r="I856" s="471"/>
      <c r="J856" s="731"/>
      <c r="K856" s="498"/>
    </row>
    <row r="857" ht="15.75" customHeight="1">
      <c r="B857" s="1538"/>
      <c r="C857" s="1566"/>
      <c r="D857" s="1538"/>
      <c r="E857" s="1149"/>
      <c r="I857" s="471"/>
      <c r="J857" s="731"/>
      <c r="K857" s="498"/>
    </row>
    <row r="858" ht="15.75" customHeight="1">
      <c r="B858" s="1538"/>
      <c r="C858" s="1566"/>
      <c r="D858" s="1538"/>
      <c r="E858" s="1149"/>
      <c r="I858" s="471"/>
      <c r="J858" s="731"/>
      <c r="K858" s="498"/>
    </row>
    <row r="859" ht="15.75" customHeight="1">
      <c r="B859" s="1538"/>
      <c r="C859" s="1566"/>
      <c r="D859" s="1538"/>
      <c r="E859" s="1149"/>
      <c r="I859" s="471"/>
      <c r="J859" s="731"/>
      <c r="K859" s="498"/>
    </row>
    <row r="860" ht="15.75" customHeight="1">
      <c r="B860" s="1538"/>
      <c r="C860" s="1566"/>
      <c r="D860" s="1538"/>
      <c r="E860" s="1149"/>
      <c r="I860" s="471"/>
      <c r="J860" s="731"/>
      <c r="K860" s="498"/>
    </row>
    <row r="861" ht="15.75" customHeight="1">
      <c r="B861" s="1538"/>
      <c r="C861" s="1566"/>
      <c r="D861" s="1538"/>
      <c r="E861" s="1149"/>
      <c r="I861" s="471"/>
      <c r="J861" s="731"/>
      <c r="K861" s="498"/>
    </row>
    <row r="862" ht="15.75" customHeight="1">
      <c r="B862" s="1538"/>
      <c r="C862" s="1566"/>
      <c r="D862" s="1538"/>
      <c r="E862" s="1149"/>
      <c r="I862" s="471"/>
      <c r="J862" s="731"/>
      <c r="K862" s="498"/>
    </row>
    <row r="863" ht="15.75" customHeight="1">
      <c r="B863" s="1538"/>
      <c r="C863" s="1566"/>
      <c r="D863" s="1538"/>
      <c r="E863" s="1149"/>
      <c r="I863" s="471"/>
      <c r="J863" s="731"/>
      <c r="K863" s="498"/>
    </row>
    <row r="864" ht="15.75" customHeight="1">
      <c r="B864" s="1538"/>
      <c r="C864" s="1566"/>
      <c r="D864" s="1538"/>
      <c r="E864" s="1149"/>
      <c r="I864" s="471"/>
      <c r="J864" s="731"/>
      <c r="K864" s="498"/>
    </row>
    <row r="865" ht="15.75" customHeight="1">
      <c r="B865" s="1538"/>
      <c r="C865" s="1566"/>
      <c r="D865" s="1538"/>
      <c r="E865" s="1149"/>
      <c r="I865" s="471"/>
      <c r="J865" s="731"/>
      <c r="K865" s="498"/>
    </row>
    <row r="866" ht="15.75" customHeight="1">
      <c r="B866" s="1538"/>
      <c r="C866" s="1566"/>
      <c r="D866" s="1538"/>
      <c r="E866" s="1149"/>
      <c r="I866" s="471"/>
      <c r="J866" s="731"/>
      <c r="K866" s="498"/>
    </row>
    <row r="867" ht="15.75" customHeight="1">
      <c r="B867" s="1538"/>
      <c r="C867" s="1566"/>
      <c r="D867" s="1538"/>
      <c r="E867" s="1149"/>
      <c r="I867" s="471"/>
      <c r="J867" s="731"/>
      <c r="K867" s="498"/>
    </row>
    <row r="868" ht="15.75" customHeight="1">
      <c r="B868" s="1538"/>
      <c r="C868" s="1566"/>
      <c r="D868" s="1538"/>
      <c r="E868" s="1149"/>
      <c r="I868" s="471"/>
      <c r="J868" s="731"/>
      <c r="K868" s="498"/>
    </row>
    <row r="869" ht="15.75" customHeight="1">
      <c r="B869" s="1538"/>
      <c r="C869" s="1566"/>
      <c r="D869" s="1538"/>
      <c r="E869" s="1149"/>
      <c r="I869" s="471"/>
      <c r="J869" s="731"/>
      <c r="K869" s="498"/>
    </row>
    <row r="870" ht="15.75" customHeight="1">
      <c r="B870" s="1538"/>
      <c r="C870" s="1566"/>
      <c r="D870" s="1538"/>
      <c r="E870" s="1149"/>
      <c r="I870" s="471"/>
      <c r="J870" s="731"/>
      <c r="K870" s="498"/>
    </row>
    <row r="871" ht="15.75" customHeight="1">
      <c r="B871" s="1538"/>
      <c r="C871" s="1566"/>
      <c r="D871" s="1538"/>
      <c r="E871" s="1149"/>
      <c r="I871" s="471"/>
      <c r="J871" s="731"/>
      <c r="K871" s="498"/>
    </row>
    <row r="872" ht="15.75" customHeight="1">
      <c r="B872" s="1538"/>
      <c r="C872" s="1566"/>
      <c r="D872" s="1538"/>
      <c r="E872" s="1149"/>
      <c r="I872" s="471"/>
      <c r="J872" s="731"/>
      <c r="K872" s="498"/>
    </row>
    <row r="873" ht="15.75" customHeight="1">
      <c r="B873" s="1538"/>
      <c r="C873" s="1566"/>
      <c r="D873" s="1538"/>
      <c r="E873" s="1149"/>
      <c r="I873" s="471"/>
      <c r="J873" s="731"/>
      <c r="K873" s="498"/>
    </row>
    <row r="874" ht="15.75" customHeight="1">
      <c r="B874" s="1538"/>
      <c r="C874" s="1566"/>
      <c r="D874" s="1538"/>
      <c r="E874" s="1149"/>
      <c r="I874" s="471"/>
      <c r="J874" s="731"/>
      <c r="K874" s="498"/>
    </row>
    <row r="875" ht="15.75" customHeight="1">
      <c r="B875" s="1538"/>
      <c r="C875" s="1566"/>
      <c r="D875" s="1538"/>
      <c r="E875" s="1149"/>
      <c r="I875" s="471"/>
      <c r="J875" s="731"/>
      <c r="K875" s="498"/>
    </row>
    <row r="876" ht="15.75" customHeight="1">
      <c r="B876" s="1538"/>
      <c r="C876" s="1566"/>
      <c r="D876" s="1538"/>
      <c r="E876" s="1149"/>
      <c r="I876" s="471"/>
      <c r="J876" s="731"/>
      <c r="K876" s="498"/>
    </row>
    <row r="877" ht="15.75" customHeight="1">
      <c r="B877" s="1538"/>
      <c r="C877" s="1566"/>
      <c r="D877" s="1538"/>
      <c r="E877" s="1149"/>
      <c r="I877" s="471"/>
      <c r="J877" s="731"/>
      <c r="K877" s="498"/>
    </row>
    <row r="878" ht="15.75" customHeight="1">
      <c r="B878" s="1538"/>
      <c r="C878" s="1566"/>
      <c r="D878" s="1538"/>
      <c r="E878" s="1149"/>
      <c r="I878" s="471"/>
      <c r="J878" s="731"/>
      <c r="K878" s="498"/>
    </row>
    <row r="879" ht="15.75" customHeight="1">
      <c r="B879" s="1538"/>
      <c r="C879" s="1566"/>
      <c r="D879" s="1538"/>
      <c r="E879" s="1149"/>
      <c r="I879" s="471"/>
      <c r="J879" s="731"/>
      <c r="K879" s="498"/>
    </row>
    <row r="880" ht="15.75" customHeight="1">
      <c r="B880" s="1538"/>
      <c r="C880" s="1566"/>
      <c r="D880" s="1538"/>
      <c r="E880" s="1149"/>
      <c r="I880" s="471"/>
      <c r="J880" s="731"/>
      <c r="K880" s="498"/>
    </row>
    <row r="881" ht="15.75" customHeight="1">
      <c r="B881" s="1538"/>
      <c r="C881" s="1566"/>
      <c r="D881" s="1538"/>
      <c r="E881" s="1149"/>
      <c r="I881" s="471"/>
      <c r="J881" s="731"/>
      <c r="K881" s="498"/>
    </row>
    <row r="882" ht="15.75" customHeight="1">
      <c r="B882" s="1538"/>
      <c r="C882" s="1566"/>
      <c r="D882" s="1538"/>
      <c r="E882" s="1149"/>
      <c r="I882" s="471"/>
      <c r="J882" s="731"/>
      <c r="K882" s="498"/>
    </row>
    <row r="883" ht="15.75" customHeight="1">
      <c r="B883" s="1538"/>
      <c r="C883" s="1566"/>
      <c r="D883" s="1538"/>
      <c r="E883" s="1149"/>
      <c r="I883" s="471"/>
      <c r="J883" s="731"/>
      <c r="K883" s="498"/>
    </row>
    <row r="884" ht="15.75" customHeight="1">
      <c r="B884" s="1538"/>
      <c r="C884" s="1566"/>
      <c r="D884" s="1538"/>
      <c r="E884" s="1149"/>
      <c r="I884" s="471"/>
      <c r="J884" s="731"/>
      <c r="K884" s="498"/>
    </row>
    <row r="885" ht="15.75" customHeight="1">
      <c r="B885" s="1538"/>
      <c r="C885" s="1566"/>
      <c r="D885" s="1538"/>
      <c r="E885" s="1149"/>
      <c r="I885" s="471"/>
      <c r="J885" s="731"/>
      <c r="K885" s="498"/>
    </row>
    <row r="886" ht="15.75" customHeight="1">
      <c r="B886" s="1538"/>
      <c r="C886" s="1566"/>
      <c r="D886" s="1538"/>
      <c r="E886" s="1149"/>
      <c r="I886" s="471"/>
      <c r="J886" s="731"/>
      <c r="K886" s="498"/>
    </row>
    <row r="887" ht="15.75" customHeight="1">
      <c r="B887" s="1538"/>
      <c r="C887" s="1566"/>
      <c r="D887" s="1538"/>
      <c r="E887" s="1149"/>
      <c r="I887" s="471"/>
      <c r="J887" s="731"/>
      <c r="K887" s="498"/>
    </row>
    <row r="888" ht="15.75" customHeight="1">
      <c r="B888" s="1538"/>
      <c r="C888" s="1566"/>
      <c r="D888" s="1538"/>
      <c r="E888" s="1149"/>
      <c r="I888" s="471"/>
      <c r="J888" s="731"/>
      <c r="K888" s="498"/>
    </row>
    <row r="889" ht="15.75" customHeight="1">
      <c r="B889" s="1538"/>
      <c r="C889" s="1566"/>
      <c r="D889" s="1538"/>
      <c r="E889" s="1149"/>
      <c r="I889" s="471"/>
      <c r="J889" s="731"/>
      <c r="K889" s="498"/>
    </row>
    <row r="890" ht="15.75" customHeight="1">
      <c r="B890" s="1538"/>
      <c r="C890" s="1566"/>
      <c r="D890" s="1538"/>
      <c r="E890" s="1149"/>
      <c r="I890" s="471"/>
      <c r="J890" s="731"/>
      <c r="K890" s="498"/>
    </row>
    <row r="891" ht="15.75" customHeight="1">
      <c r="B891" s="1538"/>
      <c r="C891" s="1566"/>
      <c r="D891" s="1538"/>
      <c r="E891" s="1149"/>
      <c r="I891" s="471"/>
      <c r="J891" s="731"/>
      <c r="K891" s="498"/>
    </row>
    <row r="892" ht="15.75" customHeight="1">
      <c r="B892" s="1538"/>
      <c r="C892" s="1566"/>
      <c r="D892" s="1538"/>
      <c r="E892" s="1149"/>
      <c r="I892" s="471"/>
      <c r="J892" s="731"/>
      <c r="K892" s="498"/>
    </row>
    <row r="893" ht="15.75" customHeight="1">
      <c r="B893" s="1538"/>
      <c r="C893" s="1566"/>
      <c r="D893" s="1538"/>
      <c r="E893" s="1149"/>
      <c r="I893" s="471"/>
      <c r="J893" s="731"/>
      <c r="K893" s="498"/>
    </row>
    <row r="894" ht="15.75" customHeight="1">
      <c r="B894" s="1538"/>
      <c r="C894" s="1566"/>
      <c r="D894" s="1538"/>
      <c r="E894" s="1149"/>
      <c r="I894" s="471"/>
      <c r="J894" s="731"/>
      <c r="K894" s="498"/>
    </row>
    <row r="895" ht="15.75" customHeight="1">
      <c r="B895" s="1538"/>
      <c r="C895" s="1566"/>
      <c r="D895" s="1538"/>
      <c r="E895" s="1149"/>
      <c r="I895" s="471"/>
      <c r="J895" s="731"/>
      <c r="K895" s="498"/>
    </row>
    <row r="896" ht="15.75" customHeight="1">
      <c r="B896" s="1538"/>
      <c r="C896" s="1566"/>
      <c r="D896" s="1538"/>
      <c r="E896" s="1149"/>
      <c r="I896" s="471"/>
      <c r="J896" s="731"/>
      <c r="K896" s="498"/>
    </row>
    <row r="897" ht="15.75" customHeight="1">
      <c r="B897" s="1538"/>
      <c r="C897" s="1566"/>
      <c r="D897" s="1538"/>
      <c r="E897" s="1149"/>
      <c r="I897" s="471"/>
      <c r="J897" s="731"/>
      <c r="K897" s="498"/>
    </row>
    <row r="898" ht="15.75" customHeight="1">
      <c r="B898" s="1538"/>
      <c r="C898" s="1566"/>
      <c r="D898" s="1538"/>
      <c r="E898" s="1149"/>
      <c r="I898" s="471"/>
      <c r="J898" s="731"/>
      <c r="K898" s="498"/>
    </row>
    <row r="899" ht="15.75" customHeight="1">
      <c r="B899" s="1538"/>
      <c r="C899" s="1566"/>
      <c r="D899" s="1538"/>
      <c r="E899" s="1149"/>
      <c r="I899" s="471"/>
      <c r="J899" s="731"/>
      <c r="K899" s="498"/>
    </row>
    <row r="900" ht="15.75" customHeight="1">
      <c r="B900" s="1538"/>
      <c r="C900" s="1566"/>
      <c r="D900" s="1538"/>
      <c r="E900" s="1149"/>
      <c r="I900" s="471"/>
      <c r="J900" s="731"/>
      <c r="K900" s="498"/>
    </row>
    <row r="901" ht="15.75" customHeight="1">
      <c r="B901" s="1538"/>
      <c r="C901" s="1566"/>
      <c r="D901" s="1538"/>
      <c r="E901" s="1149"/>
      <c r="I901" s="471"/>
      <c r="J901" s="731"/>
      <c r="K901" s="498"/>
    </row>
    <row r="902" ht="15.75" customHeight="1">
      <c r="B902" s="1538"/>
      <c r="C902" s="1566"/>
      <c r="D902" s="1538"/>
      <c r="E902" s="1149"/>
      <c r="I902" s="471"/>
      <c r="J902" s="731"/>
      <c r="K902" s="498"/>
    </row>
    <row r="903" ht="15.75" customHeight="1">
      <c r="B903" s="1538"/>
      <c r="C903" s="1566"/>
      <c r="D903" s="1538"/>
      <c r="E903" s="1149"/>
      <c r="I903" s="471"/>
      <c r="J903" s="731"/>
      <c r="K903" s="498"/>
    </row>
    <row r="904" ht="15.75" customHeight="1">
      <c r="B904" s="1538"/>
      <c r="C904" s="1566"/>
      <c r="D904" s="1538"/>
      <c r="E904" s="1149"/>
      <c r="I904" s="471"/>
      <c r="J904" s="731"/>
      <c r="K904" s="498"/>
    </row>
    <row r="905" ht="15.75" customHeight="1">
      <c r="B905" s="1538"/>
      <c r="C905" s="1566"/>
      <c r="D905" s="1538"/>
      <c r="E905" s="1149"/>
      <c r="I905" s="471"/>
      <c r="J905" s="731"/>
      <c r="K905" s="498"/>
    </row>
    <row r="906" ht="15.75" customHeight="1">
      <c r="B906" s="1538"/>
      <c r="C906" s="1566"/>
      <c r="D906" s="1538"/>
      <c r="E906" s="1149"/>
      <c r="I906" s="471"/>
      <c r="J906" s="731"/>
      <c r="K906" s="498"/>
    </row>
    <row r="907" ht="15.75" customHeight="1">
      <c r="B907" s="1538"/>
      <c r="C907" s="1566"/>
      <c r="D907" s="1538"/>
      <c r="E907" s="1149"/>
      <c r="I907" s="471"/>
      <c r="J907" s="731"/>
      <c r="K907" s="498"/>
    </row>
    <row r="908" ht="15.75" customHeight="1">
      <c r="B908" s="1538"/>
      <c r="C908" s="1566"/>
      <c r="D908" s="1538"/>
      <c r="E908" s="1149"/>
      <c r="I908" s="471"/>
      <c r="J908" s="731"/>
      <c r="K908" s="498"/>
    </row>
    <row r="909" ht="15.75" customHeight="1">
      <c r="B909" s="1538"/>
      <c r="C909" s="1566"/>
      <c r="D909" s="1538"/>
      <c r="E909" s="1149"/>
      <c r="I909" s="471"/>
      <c r="J909" s="731"/>
      <c r="K909" s="498"/>
    </row>
    <row r="910" ht="15.75" customHeight="1">
      <c r="B910" s="1538"/>
      <c r="C910" s="1566"/>
      <c r="D910" s="1538"/>
      <c r="E910" s="1149"/>
      <c r="I910" s="471"/>
      <c r="J910" s="731"/>
      <c r="K910" s="498"/>
    </row>
    <row r="911" ht="15.75" customHeight="1">
      <c r="B911" s="1538"/>
      <c r="C911" s="1566"/>
      <c r="D911" s="1538"/>
      <c r="E911" s="1149"/>
      <c r="I911" s="471"/>
      <c r="J911" s="731"/>
      <c r="K911" s="498"/>
    </row>
    <row r="912" ht="15.75" customHeight="1">
      <c r="B912" s="1538"/>
      <c r="C912" s="1566"/>
      <c r="D912" s="1538"/>
      <c r="E912" s="1149"/>
      <c r="I912" s="471"/>
      <c r="J912" s="731"/>
      <c r="K912" s="498"/>
    </row>
    <row r="913" ht="15.75" customHeight="1">
      <c r="B913" s="1538"/>
      <c r="C913" s="1566"/>
      <c r="D913" s="1538"/>
      <c r="E913" s="1149"/>
      <c r="I913" s="471"/>
      <c r="J913" s="731"/>
      <c r="K913" s="498"/>
    </row>
    <row r="914" ht="15.75" customHeight="1">
      <c r="B914" s="1538"/>
      <c r="C914" s="1566"/>
      <c r="D914" s="1538"/>
      <c r="E914" s="1149"/>
      <c r="I914" s="471"/>
      <c r="J914" s="731"/>
      <c r="K914" s="498"/>
    </row>
    <row r="915" ht="15.75" customHeight="1">
      <c r="B915" s="1538"/>
      <c r="C915" s="1566"/>
      <c r="D915" s="1538"/>
      <c r="E915" s="1149"/>
      <c r="I915" s="471"/>
      <c r="J915" s="731"/>
      <c r="K915" s="498"/>
    </row>
    <row r="916" ht="15.75" customHeight="1">
      <c r="B916" s="1538"/>
      <c r="C916" s="1566"/>
      <c r="D916" s="1538"/>
      <c r="E916" s="1149"/>
      <c r="I916" s="471"/>
      <c r="J916" s="731"/>
      <c r="K916" s="498"/>
    </row>
    <row r="917" ht="15.75" customHeight="1">
      <c r="B917" s="1538"/>
      <c r="C917" s="1566"/>
      <c r="D917" s="1538"/>
      <c r="E917" s="1149"/>
      <c r="I917" s="471"/>
      <c r="J917" s="731"/>
      <c r="K917" s="498"/>
    </row>
    <row r="918" ht="15.75" customHeight="1">
      <c r="B918" s="1538"/>
      <c r="C918" s="1566"/>
      <c r="D918" s="1538"/>
      <c r="E918" s="1149"/>
      <c r="I918" s="471"/>
      <c r="J918" s="731"/>
      <c r="K918" s="498"/>
    </row>
    <row r="919" ht="15.75" customHeight="1">
      <c r="B919" s="1538"/>
      <c r="C919" s="1566"/>
      <c r="D919" s="1538"/>
      <c r="E919" s="1149"/>
      <c r="I919" s="471"/>
      <c r="J919" s="731"/>
      <c r="K919" s="498"/>
    </row>
    <row r="920" ht="15.75" customHeight="1">
      <c r="B920" s="1538"/>
      <c r="C920" s="1566"/>
      <c r="D920" s="1538"/>
      <c r="E920" s="1149"/>
      <c r="I920" s="471"/>
      <c r="J920" s="731"/>
      <c r="K920" s="498"/>
    </row>
    <row r="921" ht="15.75" customHeight="1">
      <c r="B921" s="1538"/>
      <c r="C921" s="1566"/>
      <c r="D921" s="1538"/>
      <c r="E921" s="1149"/>
      <c r="I921" s="471"/>
      <c r="J921" s="731"/>
      <c r="K921" s="498"/>
    </row>
    <row r="922" ht="15.75" customHeight="1">
      <c r="B922" s="1538"/>
      <c r="C922" s="1566"/>
      <c r="D922" s="1538"/>
      <c r="E922" s="1149"/>
      <c r="I922" s="471"/>
      <c r="J922" s="731"/>
      <c r="K922" s="498"/>
    </row>
    <row r="923" ht="15.75" customHeight="1">
      <c r="B923" s="1538"/>
      <c r="C923" s="1566"/>
      <c r="D923" s="1538"/>
      <c r="E923" s="1149"/>
      <c r="I923" s="471"/>
      <c r="J923" s="731"/>
      <c r="K923" s="498"/>
    </row>
    <row r="924" ht="15.75" customHeight="1">
      <c r="B924" s="1538"/>
      <c r="C924" s="1566"/>
      <c r="D924" s="1538"/>
      <c r="E924" s="1149"/>
      <c r="I924" s="471"/>
      <c r="J924" s="731"/>
      <c r="K924" s="498"/>
    </row>
    <row r="925" ht="15.75" customHeight="1">
      <c r="B925" s="1538"/>
      <c r="C925" s="1566"/>
      <c r="D925" s="1538"/>
      <c r="E925" s="1149"/>
      <c r="I925" s="471"/>
      <c r="J925" s="731"/>
      <c r="K925" s="498"/>
    </row>
    <row r="926" ht="15.75" customHeight="1">
      <c r="B926" s="1538"/>
      <c r="C926" s="1566"/>
      <c r="D926" s="1538"/>
      <c r="E926" s="1149"/>
      <c r="I926" s="471"/>
      <c r="J926" s="731"/>
      <c r="K926" s="498"/>
    </row>
    <row r="927" ht="15.75" customHeight="1">
      <c r="B927" s="1538"/>
      <c r="C927" s="1566"/>
      <c r="D927" s="1538"/>
      <c r="E927" s="1149"/>
      <c r="I927" s="471"/>
      <c r="J927" s="731"/>
      <c r="K927" s="498"/>
    </row>
    <row r="928" ht="15.75" customHeight="1">
      <c r="B928" s="1538"/>
      <c r="C928" s="1566"/>
      <c r="D928" s="1538"/>
      <c r="E928" s="1149"/>
      <c r="I928" s="471"/>
      <c r="J928" s="731"/>
      <c r="K928" s="498"/>
    </row>
    <row r="929" ht="15.75" customHeight="1">
      <c r="B929" s="1538"/>
      <c r="C929" s="1566"/>
      <c r="D929" s="1538"/>
      <c r="E929" s="1149"/>
      <c r="I929" s="471"/>
      <c r="J929" s="731"/>
      <c r="K929" s="498"/>
    </row>
    <row r="930" ht="15.75" customHeight="1">
      <c r="B930" s="1538"/>
      <c r="C930" s="1566"/>
      <c r="D930" s="1538"/>
      <c r="E930" s="1149"/>
      <c r="I930" s="471"/>
      <c r="J930" s="731"/>
      <c r="K930" s="498"/>
    </row>
    <row r="931" ht="15.75" customHeight="1">
      <c r="B931" s="1538"/>
      <c r="C931" s="1566"/>
      <c r="D931" s="1538"/>
      <c r="E931" s="1149"/>
      <c r="I931" s="471"/>
      <c r="J931" s="731"/>
      <c r="K931" s="498"/>
    </row>
    <row r="932" ht="15.75" customHeight="1">
      <c r="B932" s="1538"/>
      <c r="C932" s="1566"/>
      <c r="D932" s="1538"/>
      <c r="E932" s="1149"/>
      <c r="I932" s="471"/>
      <c r="J932" s="731"/>
      <c r="K932" s="498"/>
    </row>
    <row r="933" ht="15.75" customHeight="1">
      <c r="B933" s="1538"/>
      <c r="C933" s="1566"/>
      <c r="D933" s="1538"/>
      <c r="E933" s="1149"/>
      <c r="I933" s="471"/>
      <c r="J933" s="731"/>
      <c r="K933" s="498"/>
    </row>
    <row r="934" ht="15.75" customHeight="1">
      <c r="B934" s="1538"/>
      <c r="C934" s="1566"/>
      <c r="D934" s="1538"/>
      <c r="E934" s="1149"/>
      <c r="I934" s="471"/>
      <c r="J934" s="731"/>
      <c r="K934" s="498"/>
    </row>
    <row r="935" ht="15.75" customHeight="1">
      <c r="B935" s="1538"/>
      <c r="C935" s="1566"/>
      <c r="D935" s="1538"/>
      <c r="E935" s="1149"/>
      <c r="I935" s="471"/>
      <c r="J935" s="731"/>
      <c r="K935" s="498"/>
    </row>
    <row r="936" ht="15.75" customHeight="1">
      <c r="B936" s="1538"/>
      <c r="C936" s="1566"/>
      <c r="D936" s="1538"/>
      <c r="E936" s="1149"/>
      <c r="I936" s="471"/>
      <c r="J936" s="731"/>
      <c r="K936" s="498"/>
    </row>
    <row r="937" ht="15.75" customHeight="1">
      <c r="B937" s="1538"/>
      <c r="C937" s="1566"/>
      <c r="D937" s="1538"/>
      <c r="E937" s="1149"/>
      <c r="I937" s="471"/>
      <c r="J937" s="731"/>
      <c r="K937" s="498"/>
    </row>
    <row r="938" ht="15.75" customHeight="1">
      <c r="B938" s="1538"/>
      <c r="C938" s="1566"/>
      <c r="D938" s="1538"/>
      <c r="E938" s="1149"/>
      <c r="I938" s="471"/>
      <c r="J938" s="731"/>
      <c r="K938" s="498"/>
    </row>
    <row r="939" ht="15.75" customHeight="1">
      <c r="B939" s="1538"/>
      <c r="C939" s="1566"/>
      <c r="D939" s="1538"/>
      <c r="E939" s="1149"/>
      <c r="I939" s="471"/>
      <c r="J939" s="731"/>
      <c r="K939" s="498"/>
    </row>
    <row r="940" ht="15.75" customHeight="1">
      <c r="B940" s="1538"/>
      <c r="C940" s="1566"/>
      <c r="D940" s="1538"/>
      <c r="E940" s="1149"/>
      <c r="I940" s="471"/>
      <c r="J940" s="731"/>
      <c r="K940" s="498"/>
    </row>
    <row r="941" ht="15.75" customHeight="1">
      <c r="B941" s="1538"/>
      <c r="C941" s="1566"/>
      <c r="D941" s="1538"/>
      <c r="E941" s="1149"/>
      <c r="I941" s="471"/>
      <c r="J941" s="731"/>
      <c r="K941" s="498"/>
    </row>
    <row r="942" ht="15.75" customHeight="1">
      <c r="B942" s="1538"/>
      <c r="C942" s="1566"/>
      <c r="D942" s="1538"/>
      <c r="E942" s="1149"/>
      <c r="I942" s="471"/>
      <c r="J942" s="731"/>
      <c r="K942" s="498"/>
    </row>
    <row r="943" ht="15.75" customHeight="1">
      <c r="B943" s="1538"/>
      <c r="C943" s="1566"/>
      <c r="D943" s="1538"/>
      <c r="E943" s="1149"/>
      <c r="I943" s="471"/>
      <c r="J943" s="731"/>
      <c r="K943" s="498"/>
    </row>
    <row r="944" ht="15.75" customHeight="1">
      <c r="B944" s="1538"/>
      <c r="C944" s="1566"/>
      <c r="D944" s="1538"/>
      <c r="E944" s="1149"/>
      <c r="I944" s="471"/>
      <c r="J944" s="731"/>
      <c r="K944" s="498"/>
    </row>
    <row r="945" ht="15.75" customHeight="1">
      <c r="B945" s="1538"/>
      <c r="C945" s="1566"/>
      <c r="D945" s="1538"/>
      <c r="E945" s="1149"/>
      <c r="I945" s="471"/>
      <c r="J945" s="731"/>
      <c r="K945" s="498"/>
    </row>
    <row r="946" ht="15.75" customHeight="1">
      <c r="B946" s="1538"/>
      <c r="C946" s="1566"/>
      <c r="D946" s="1538"/>
      <c r="E946" s="1149"/>
      <c r="I946" s="471"/>
      <c r="J946" s="731"/>
      <c r="K946" s="498"/>
    </row>
    <row r="947" ht="15.75" customHeight="1">
      <c r="B947" s="1538"/>
      <c r="C947" s="1566"/>
      <c r="D947" s="1538"/>
      <c r="E947" s="1149"/>
      <c r="I947" s="471"/>
      <c r="J947" s="731"/>
      <c r="K947" s="498"/>
    </row>
    <row r="948" ht="15.75" customHeight="1">
      <c r="B948" s="1538"/>
      <c r="C948" s="1566"/>
      <c r="D948" s="1538"/>
      <c r="E948" s="1149"/>
      <c r="I948" s="471"/>
      <c r="J948" s="731"/>
      <c r="K948" s="498"/>
    </row>
    <row r="949" ht="15.75" customHeight="1">
      <c r="B949" s="1538"/>
      <c r="C949" s="1566"/>
      <c r="D949" s="1538"/>
      <c r="E949" s="1149"/>
      <c r="I949" s="471"/>
      <c r="J949" s="731"/>
      <c r="K949" s="498"/>
    </row>
    <row r="950" ht="15.75" customHeight="1">
      <c r="B950" s="1538"/>
      <c r="C950" s="1566"/>
      <c r="D950" s="1538"/>
      <c r="E950" s="1149"/>
      <c r="I950" s="471"/>
      <c r="J950" s="731"/>
      <c r="K950" s="498"/>
    </row>
    <row r="951" ht="15.75" customHeight="1">
      <c r="B951" s="1538"/>
      <c r="C951" s="1566"/>
      <c r="D951" s="1538"/>
      <c r="E951" s="1149"/>
      <c r="I951" s="471"/>
      <c r="J951" s="731"/>
      <c r="K951" s="498"/>
    </row>
    <row r="952" ht="15.75" customHeight="1">
      <c r="B952" s="1538"/>
      <c r="C952" s="1566"/>
      <c r="D952" s="1538"/>
      <c r="E952" s="1149"/>
      <c r="I952" s="471"/>
      <c r="J952" s="731"/>
      <c r="K952" s="498"/>
    </row>
    <row r="953" ht="15.75" customHeight="1">
      <c r="B953" s="1538"/>
      <c r="C953" s="1566"/>
      <c r="D953" s="1538"/>
      <c r="E953" s="1149"/>
      <c r="I953" s="471"/>
      <c r="J953" s="731"/>
      <c r="K953" s="498"/>
    </row>
    <row r="954" ht="15.75" customHeight="1">
      <c r="B954" s="1538"/>
      <c r="C954" s="1566"/>
      <c r="D954" s="1538"/>
      <c r="E954" s="1149"/>
      <c r="I954" s="471"/>
      <c r="J954" s="731"/>
      <c r="K954" s="498"/>
    </row>
    <row r="955" ht="15.75" customHeight="1">
      <c r="B955" s="1538"/>
      <c r="C955" s="1566"/>
      <c r="D955" s="1538"/>
      <c r="E955" s="1149"/>
      <c r="I955" s="471"/>
      <c r="J955" s="731"/>
      <c r="K955" s="498"/>
    </row>
    <row r="956" ht="15.75" customHeight="1">
      <c r="B956" s="1538"/>
      <c r="C956" s="1566"/>
      <c r="D956" s="1538"/>
      <c r="E956" s="1149"/>
      <c r="I956" s="471"/>
      <c r="J956" s="731"/>
      <c r="K956" s="498"/>
    </row>
    <row r="957" ht="15.75" customHeight="1">
      <c r="B957" s="1538"/>
      <c r="C957" s="1566"/>
      <c r="D957" s="1538"/>
      <c r="E957" s="1149"/>
      <c r="I957" s="471"/>
      <c r="J957" s="731"/>
      <c r="K957" s="498"/>
    </row>
    <row r="958" ht="15.75" customHeight="1">
      <c r="B958" s="1538"/>
      <c r="C958" s="1566"/>
      <c r="D958" s="1538"/>
      <c r="E958" s="1149"/>
      <c r="I958" s="471"/>
      <c r="J958" s="731"/>
      <c r="K958" s="498"/>
    </row>
    <row r="959" ht="15.75" customHeight="1">
      <c r="B959" s="1538"/>
      <c r="C959" s="1566"/>
      <c r="D959" s="1538"/>
      <c r="E959" s="1149"/>
      <c r="I959" s="471"/>
      <c r="J959" s="731"/>
      <c r="K959" s="498"/>
    </row>
    <row r="960" ht="15.75" customHeight="1">
      <c r="B960" s="1538"/>
      <c r="C960" s="1566"/>
      <c r="D960" s="1538"/>
      <c r="E960" s="1149"/>
      <c r="I960" s="471"/>
      <c r="J960" s="731"/>
      <c r="K960" s="498"/>
    </row>
    <row r="961" ht="15.75" customHeight="1">
      <c r="B961" s="1538"/>
      <c r="C961" s="1566"/>
      <c r="D961" s="1538"/>
      <c r="E961" s="1149"/>
      <c r="I961" s="471"/>
      <c r="J961" s="731"/>
      <c r="K961" s="498"/>
    </row>
    <row r="962" ht="15.75" customHeight="1">
      <c r="B962" s="1538"/>
      <c r="C962" s="1566"/>
      <c r="D962" s="1538"/>
      <c r="E962" s="1149"/>
      <c r="I962" s="471"/>
      <c r="J962" s="731"/>
      <c r="K962" s="498"/>
    </row>
    <row r="963" ht="15.75" customHeight="1">
      <c r="B963" s="1538"/>
      <c r="C963" s="1566"/>
      <c r="D963" s="1538"/>
      <c r="E963" s="1149"/>
      <c r="I963" s="471"/>
      <c r="J963" s="731"/>
      <c r="K963" s="498"/>
    </row>
    <row r="964" ht="15.75" customHeight="1">
      <c r="B964" s="1538"/>
      <c r="C964" s="1566"/>
      <c r="D964" s="1538"/>
      <c r="E964" s="1149"/>
      <c r="I964" s="471"/>
      <c r="J964" s="731"/>
      <c r="K964" s="498"/>
    </row>
    <row r="965" ht="15.75" customHeight="1">
      <c r="B965" s="1538"/>
      <c r="C965" s="1566"/>
      <c r="D965" s="1538"/>
      <c r="E965" s="1149"/>
      <c r="I965" s="471"/>
      <c r="J965" s="731"/>
      <c r="K965" s="498"/>
    </row>
    <row r="966" ht="15.75" customHeight="1">
      <c r="B966" s="1538"/>
      <c r="C966" s="1566"/>
      <c r="D966" s="1538"/>
      <c r="E966" s="1149"/>
      <c r="I966" s="471"/>
      <c r="J966" s="731"/>
      <c r="K966" s="498"/>
    </row>
    <row r="967" ht="15.75" customHeight="1">
      <c r="B967" s="1538"/>
      <c r="C967" s="1566"/>
      <c r="D967" s="1538"/>
      <c r="E967" s="1149"/>
      <c r="I967" s="471"/>
      <c r="J967" s="731"/>
      <c r="K967" s="498"/>
    </row>
    <row r="968" ht="15.75" customHeight="1">
      <c r="B968" s="1538"/>
      <c r="C968" s="1566"/>
      <c r="D968" s="1538"/>
      <c r="E968" s="1149"/>
      <c r="I968" s="471"/>
      <c r="J968" s="731"/>
      <c r="K968" s="498"/>
    </row>
    <row r="969" ht="15.75" customHeight="1">
      <c r="B969" s="1538"/>
      <c r="C969" s="1566"/>
      <c r="D969" s="1538"/>
      <c r="E969" s="1149"/>
      <c r="I969" s="471"/>
      <c r="J969" s="731"/>
      <c r="K969" s="498"/>
    </row>
    <row r="970" ht="15.75" customHeight="1">
      <c r="B970" s="1538"/>
      <c r="C970" s="1566"/>
      <c r="D970" s="1538"/>
      <c r="E970" s="1149"/>
      <c r="I970" s="471"/>
      <c r="J970" s="731"/>
      <c r="K970" s="498"/>
    </row>
    <row r="971" ht="15.75" customHeight="1">
      <c r="B971" s="1538"/>
      <c r="C971" s="1566"/>
      <c r="D971" s="1538"/>
      <c r="E971" s="1149"/>
      <c r="I971" s="471"/>
      <c r="J971" s="731"/>
      <c r="K971" s="498"/>
    </row>
    <row r="972" ht="15.75" customHeight="1">
      <c r="B972" s="1538"/>
      <c r="C972" s="1566"/>
      <c r="D972" s="1538"/>
      <c r="E972" s="1149"/>
      <c r="I972" s="471"/>
      <c r="J972" s="731"/>
      <c r="K972" s="498"/>
    </row>
    <row r="973" ht="15.75" customHeight="1">
      <c r="B973" s="1538"/>
      <c r="C973" s="1566"/>
      <c r="D973" s="1538"/>
      <c r="E973" s="1149"/>
      <c r="I973" s="471"/>
      <c r="J973" s="731"/>
      <c r="K973" s="498"/>
    </row>
    <row r="974" ht="15.75" customHeight="1">
      <c r="B974" s="1538"/>
      <c r="C974" s="1566"/>
      <c r="D974" s="1538"/>
      <c r="E974" s="1149"/>
      <c r="I974" s="471"/>
      <c r="J974" s="731"/>
      <c r="K974" s="498"/>
    </row>
    <row r="975" ht="15.75" customHeight="1">
      <c r="B975" s="1538"/>
      <c r="C975" s="1566"/>
      <c r="D975" s="1538"/>
      <c r="E975" s="1149"/>
      <c r="I975" s="471"/>
      <c r="J975" s="731"/>
      <c r="K975" s="498"/>
    </row>
    <row r="976" ht="15.75" customHeight="1">
      <c r="B976" s="1538"/>
      <c r="C976" s="1566"/>
      <c r="D976" s="1538"/>
      <c r="E976" s="1149"/>
      <c r="I976" s="471"/>
      <c r="J976" s="731"/>
      <c r="K976" s="498"/>
    </row>
    <row r="977" ht="15.75" customHeight="1">
      <c r="B977" s="1538"/>
      <c r="C977" s="1566"/>
      <c r="D977" s="1538"/>
      <c r="E977" s="1149"/>
      <c r="I977" s="471"/>
      <c r="J977" s="731"/>
      <c r="K977" s="498"/>
    </row>
    <row r="978" ht="15.75" customHeight="1">
      <c r="B978" s="1538"/>
      <c r="C978" s="1566"/>
      <c r="D978" s="1538"/>
      <c r="E978" s="1149"/>
      <c r="I978" s="471"/>
      <c r="J978" s="731"/>
      <c r="K978" s="498"/>
    </row>
    <row r="979" ht="15.75" customHeight="1">
      <c r="B979" s="1538"/>
      <c r="C979" s="1566"/>
      <c r="D979" s="1538"/>
      <c r="E979" s="1149"/>
      <c r="I979" s="471"/>
      <c r="J979" s="731"/>
      <c r="K979" s="498"/>
    </row>
    <row r="980" ht="15.75" customHeight="1">
      <c r="B980" s="1538"/>
      <c r="C980" s="1566"/>
      <c r="D980" s="1538"/>
      <c r="E980" s="1149"/>
      <c r="I980" s="471"/>
      <c r="J980" s="731"/>
      <c r="K980" s="498"/>
    </row>
    <row r="981" ht="15.75" customHeight="1">
      <c r="B981" s="1538"/>
      <c r="C981" s="1566"/>
      <c r="D981" s="1538"/>
      <c r="E981" s="1149"/>
      <c r="I981" s="471"/>
      <c r="J981" s="731"/>
      <c r="K981" s="498"/>
    </row>
    <row r="982" ht="15.75" customHeight="1">
      <c r="B982" s="1538"/>
      <c r="C982" s="1566"/>
      <c r="D982" s="1538"/>
      <c r="E982" s="1149"/>
      <c r="I982" s="471"/>
      <c r="J982" s="731"/>
      <c r="K982" s="498"/>
    </row>
    <row r="983" ht="15.75" customHeight="1">
      <c r="B983" s="1538"/>
      <c r="C983" s="1566"/>
      <c r="D983" s="1538"/>
      <c r="E983" s="1149"/>
      <c r="I983" s="471"/>
      <c r="J983" s="731"/>
      <c r="K983" s="498"/>
    </row>
    <row r="984" ht="15.75" customHeight="1">
      <c r="B984" s="1538"/>
      <c r="C984" s="1566"/>
      <c r="D984" s="1538"/>
      <c r="E984" s="1149"/>
      <c r="I984" s="471"/>
      <c r="J984" s="731"/>
      <c r="K984" s="498"/>
    </row>
    <row r="985" ht="15.75" customHeight="1">
      <c r="B985" s="1538"/>
      <c r="C985" s="1566"/>
      <c r="D985" s="1538"/>
      <c r="E985" s="1149"/>
      <c r="I985" s="471"/>
      <c r="J985" s="731"/>
      <c r="K985" s="498"/>
    </row>
    <row r="986" ht="15.75" customHeight="1">
      <c r="B986" s="1538"/>
      <c r="C986" s="1566"/>
      <c r="D986" s="1538"/>
      <c r="E986" s="1149"/>
      <c r="I986" s="471"/>
      <c r="J986" s="731"/>
      <c r="K986" s="498"/>
    </row>
    <row r="987" ht="15.75" customHeight="1">
      <c r="B987" s="1538"/>
      <c r="C987" s="1566"/>
      <c r="D987" s="1538"/>
      <c r="E987" s="1149"/>
      <c r="I987" s="471"/>
      <c r="J987" s="731"/>
      <c r="K987" s="498"/>
    </row>
    <row r="988" ht="15.75" customHeight="1">
      <c r="B988" s="1538"/>
      <c r="C988" s="1566"/>
      <c r="D988" s="1538"/>
      <c r="E988" s="1149"/>
      <c r="I988" s="471"/>
      <c r="J988" s="731"/>
      <c r="K988" s="498"/>
    </row>
    <row r="989" ht="15.75" customHeight="1">
      <c r="B989" s="1538"/>
      <c r="C989" s="1566"/>
      <c r="D989" s="1538"/>
      <c r="E989" s="1149"/>
      <c r="I989" s="471"/>
      <c r="J989" s="731"/>
      <c r="K989" s="498"/>
    </row>
    <row r="990" ht="15.75" customHeight="1">
      <c r="B990" s="1538"/>
      <c r="C990" s="1566"/>
      <c r="D990" s="1538"/>
      <c r="E990" s="1149"/>
      <c r="I990" s="471"/>
      <c r="J990" s="731"/>
      <c r="K990" s="498"/>
    </row>
    <row r="991" ht="15.75" customHeight="1">
      <c r="B991" s="1538"/>
      <c r="C991" s="1566"/>
      <c r="D991" s="1538"/>
      <c r="E991" s="1149"/>
      <c r="I991" s="471"/>
      <c r="J991" s="731"/>
      <c r="K991" s="498"/>
    </row>
    <row r="992" ht="15.75" customHeight="1">
      <c r="B992" s="1538"/>
      <c r="C992" s="1566"/>
      <c r="D992" s="1538"/>
      <c r="E992" s="1149"/>
      <c r="I992" s="471"/>
      <c r="J992" s="731"/>
      <c r="K992" s="498"/>
    </row>
    <row r="993" ht="15.75" customHeight="1">
      <c r="B993" s="1538"/>
      <c r="C993" s="1566"/>
      <c r="D993" s="1538"/>
      <c r="E993" s="1149"/>
      <c r="I993" s="471"/>
      <c r="J993" s="731"/>
      <c r="K993" s="498"/>
    </row>
    <row r="994" ht="15.75" customHeight="1">
      <c r="B994" s="1538"/>
      <c r="C994" s="1566"/>
      <c r="D994" s="1538"/>
      <c r="E994" s="1149"/>
      <c r="I994" s="471"/>
      <c r="J994" s="731"/>
      <c r="K994" s="498"/>
    </row>
    <row r="995" ht="15.75" customHeight="1">
      <c r="B995" s="1538"/>
      <c r="C995" s="1566"/>
      <c r="D995" s="1538"/>
      <c r="E995" s="1149"/>
      <c r="I995" s="471"/>
      <c r="J995" s="731"/>
      <c r="K995" s="498"/>
    </row>
    <row r="996" ht="15.75" customHeight="1">
      <c r="B996" s="1538"/>
      <c r="C996" s="1566"/>
      <c r="D996" s="1538"/>
      <c r="E996" s="1149"/>
      <c r="I996" s="471"/>
      <c r="J996" s="731"/>
      <c r="K996" s="498"/>
    </row>
    <row r="997" ht="15.75" customHeight="1">
      <c r="B997" s="1538"/>
      <c r="C997" s="1566"/>
      <c r="D997" s="1538"/>
      <c r="E997" s="1149"/>
      <c r="I997" s="471"/>
      <c r="J997" s="731"/>
      <c r="K997" s="498"/>
    </row>
    <row r="998" ht="15.75" customHeight="1">
      <c r="B998" s="1538"/>
      <c r="C998" s="1566"/>
      <c r="D998" s="1538"/>
      <c r="E998" s="1149"/>
      <c r="I998" s="471"/>
      <c r="J998" s="731"/>
      <c r="K998" s="498"/>
    </row>
    <row r="999" ht="15.75" customHeight="1">
      <c r="B999" s="1538"/>
      <c r="C999" s="1566"/>
      <c r="D999" s="1538"/>
      <c r="E999" s="1149"/>
      <c r="I999" s="471"/>
      <c r="J999" s="731"/>
      <c r="K999" s="498"/>
    </row>
    <row r="1000" ht="15.75" customHeight="1">
      <c r="B1000" s="1538"/>
      <c r="C1000" s="1566"/>
      <c r="D1000" s="1538"/>
      <c r="E1000" s="1149"/>
      <c r="I1000" s="471"/>
      <c r="J1000" s="731"/>
      <c r="K1000" s="498"/>
    </row>
  </sheetData>
  <mergeCells count="3">
    <mergeCell ref="A1:E1"/>
    <mergeCell ref="G1:K1"/>
    <mergeCell ref="M1:N1"/>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6.33"/>
    <col customWidth="1" min="3" max="4" width="7.11"/>
    <col customWidth="1" min="5" max="5" width="16.33"/>
    <col customWidth="1" min="6" max="6" width="31.44"/>
    <col customWidth="1" min="7" max="26" width="10.56"/>
  </cols>
  <sheetData>
    <row r="1" ht="15.75" customHeight="1"/>
    <row r="2" ht="15.75" customHeight="1">
      <c r="A2" s="1179" t="s">
        <v>721</v>
      </c>
      <c r="B2" s="13" t="s">
        <v>538</v>
      </c>
    </row>
    <row r="3" ht="15.75" customHeight="1">
      <c r="A3" s="1180" t="s">
        <v>722</v>
      </c>
      <c r="B3" s="13" t="s">
        <v>493</v>
      </c>
    </row>
    <row r="4" ht="15.75" customHeight="1">
      <c r="A4" s="1179" t="s">
        <v>723</v>
      </c>
      <c r="B4" s="13" t="s">
        <v>497</v>
      </c>
    </row>
    <row r="5" ht="15.75" customHeight="1">
      <c r="A5" s="1179" t="s">
        <v>724</v>
      </c>
      <c r="B5" s="13" t="s">
        <v>578</v>
      </c>
    </row>
    <row r="6" ht="15.75" customHeight="1">
      <c r="A6" s="1179" t="s">
        <v>725</v>
      </c>
      <c r="B6" s="13" t="s">
        <v>537</v>
      </c>
    </row>
    <row r="7" ht="15.75" customHeight="1">
      <c r="A7" s="1179" t="s">
        <v>726</v>
      </c>
      <c r="B7" s="13" t="s">
        <v>494</v>
      </c>
    </row>
    <row r="8" ht="15.75" customHeight="1">
      <c r="A8" s="1179" t="s">
        <v>727</v>
      </c>
      <c r="B8" s="13" t="s">
        <v>495</v>
      </c>
    </row>
    <row r="9" ht="15.75" customHeight="1">
      <c r="A9" s="1179" t="s">
        <v>728</v>
      </c>
      <c r="B9" s="13" t="s">
        <v>672</v>
      </c>
    </row>
    <row r="10" ht="15.75" customHeight="1"/>
    <row r="11" ht="15.75" customHeight="1"/>
    <row r="12" ht="15.75" customHeight="1"/>
    <row r="13" ht="15.75" customHeight="1"/>
    <row r="14" ht="15.75" customHeight="1"/>
    <row r="15" ht="15.75" customHeight="1"/>
    <row r="16" ht="15.75" customHeight="1"/>
    <row r="17" ht="15.75" customHeight="1">
      <c r="A17" s="13">
        <v>2019.0</v>
      </c>
    </row>
    <row r="18" ht="15.75" customHeight="1">
      <c r="A18" s="1181" t="s">
        <v>730</v>
      </c>
      <c r="M18" s="13" t="s">
        <v>1784</v>
      </c>
    </row>
    <row r="19" ht="15.75" customHeight="1">
      <c r="A19" s="1182" t="s">
        <v>731</v>
      </c>
      <c r="B19" s="1183"/>
      <c r="C19" s="1182" t="s">
        <v>510</v>
      </c>
      <c r="D19" s="1182" t="s">
        <v>510</v>
      </c>
      <c r="E19" s="1183"/>
      <c r="F19" s="1182" t="s">
        <v>732</v>
      </c>
    </row>
    <row r="20" ht="15.75" customHeight="1">
      <c r="A20" s="1185"/>
      <c r="B20" s="1179" t="s">
        <v>721</v>
      </c>
      <c r="C20" s="1186">
        <v>124.21</v>
      </c>
      <c r="D20" s="1186">
        <v>103.17</v>
      </c>
      <c r="E20" s="1179" t="s">
        <v>725</v>
      </c>
      <c r="F20" s="1185"/>
      <c r="G20" s="13" t="str">
        <f t="shared" ref="G20:G147" si="2">IFERROR(VLOOKUP(B20, $A$2:$B$9, 2, FALSE),1)</f>
        <v>MUTTS</v>
      </c>
      <c r="H20" s="1187">
        <f t="shared" ref="H20:I20" si="1">IF(OR(C20=0,C20="SCORE"),"",C20)</f>
        <v>124.21</v>
      </c>
      <c r="I20" s="1188">
        <f t="shared" si="1"/>
        <v>103.17</v>
      </c>
      <c r="J20" s="13" t="str">
        <f t="shared" ref="J20:J147" si="3">IFERROR(VLOOKUP(E20, $A$2:$B$9, 2, FALSE),"")</f>
        <v>YARDIES</v>
      </c>
      <c r="K20" s="13" t="str">
        <f t="shared" ref="K20:K147" si="4">IF(G20&lt;&gt;1, "Game", "N/A")</f>
        <v>Game</v>
      </c>
    </row>
    <row r="21" ht="15.75" customHeight="1">
      <c r="A21" s="1185" t="s">
        <v>1785</v>
      </c>
      <c r="B21" s="1179"/>
      <c r="C21" s="1186"/>
      <c r="D21" s="1186"/>
      <c r="E21" s="1179"/>
      <c r="F21" s="1185" t="s">
        <v>1786</v>
      </c>
      <c r="G21" s="13">
        <f t="shared" si="2"/>
        <v>1</v>
      </c>
      <c r="H21" s="224"/>
      <c r="I21" s="13" t="str">
        <f>IF(OR(D21=0,D21="SCORE"),"",D21)</f>
        <v/>
      </c>
      <c r="J21" s="13" t="str">
        <f t="shared" si="3"/>
        <v/>
      </c>
      <c r="K21" s="13" t="str">
        <f t="shared" si="4"/>
        <v>N/A</v>
      </c>
    </row>
    <row r="22" ht="15.75" customHeight="1">
      <c r="A22" s="1185"/>
      <c r="B22" s="1180" t="s">
        <v>722</v>
      </c>
      <c r="C22" s="1186">
        <v>144.94</v>
      </c>
      <c r="D22" s="1186">
        <v>151.28</v>
      </c>
      <c r="E22" s="1179" t="s">
        <v>726</v>
      </c>
      <c r="F22" s="1185"/>
      <c r="G22" s="13" t="str">
        <f t="shared" si="2"/>
        <v>DECOUPES</v>
      </c>
      <c r="H22" s="1187">
        <f t="shared" ref="H22:I22" si="5">IF(OR(C22=0,C22="SCORE"),"",C22)</f>
        <v>144.94</v>
      </c>
      <c r="I22" s="1188">
        <f t="shared" si="5"/>
        <v>151.28</v>
      </c>
      <c r="J22" s="13" t="str">
        <f t="shared" si="3"/>
        <v>POPEYES</v>
      </c>
      <c r="K22" s="13" t="str">
        <f t="shared" si="4"/>
        <v>Game</v>
      </c>
    </row>
    <row r="23" ht="15.75" customHeight="1">
      <c r="A23" s="1189" t="s">
        <v>1787</v>
      </c>
      <c r="B23" s="1180"/>
      <c r="C23" s="1186"/>
      <c r="D23" s="1186"/>
      <c r="E23" s="1179"/>
      <c r="F23" s="1185" t="s">
        <v>1788</v>
      </c>
      <c r="G23" s="13">
        <f t="shared" si="2"/>
        <v>1</v>
      </c>
      <c r="H23" s="224" t="str">
        <f t="shared" ref="H23:I23" si="6">IF(OR(C23=0,C23="SCORE"),"",C23)</f>
        <v/>
      </c>
      <c r="I23" s="13" t="str">
        <f t="shared" si="6"/>
        <v/>
      </c>
      <c r="J23" s="13" t="str">
        <f t="shared" si="3"/>
        <v/>
      </c>
      <c r="K23" s="13" t="str">
        <f t="shared" si="4"/>
        <v>N/A</v>
      </c>
    </row>
    <row r="24" ht="15.75" customHeight="1">
      <c r="A24" s="1185"/>
      <c r="B24" s="1179" t="s">
        <v>723</v>
      </c>
      <c r="C24" s="1186">
        <v>138.05</v>
      </c>
      <c r="D24" s="1186">
        <v>128.41</v>
      </c>
      <c r="E24" s="1179" t="s">
        <v>727</v>
      </c>
      <c r="F24" s="1185"/>
      <c r="G24" s="13" t="str">
        <f t="shared" si="2"/>
        <v>SAVAGES</v>
      </c>
      <c r="H24" s="1187">
        <f t="shared" ref="H24:I24" si="7">IF(OR(C24=0,C24="SCORE"),"",C24)</f>
        <v>138.05</v>
      </c>
      <c r="I24" s="1188">
        <f t="shared" si="7"/>
        <v>128.41</v>
      </c>
      <c r="J24" s="13" t="str">
        <f t="shared" si="3"/>
        <v>GREEN</v>
      </c>
      <c r="K24" s="13" t="str">
        <f t="shared" si="4"/>
        <v>Game</v>
      </c>
    </row>
    <row r="25" ht="15.75" customHeight="1">
      <c r="A25" s="1185" t="s">
        <v>1789</v>
      </c>
      <c r="B25" s="1179"/>
      <c r="C25" s="1186"/>
      <c r="D25" s="1186"/>
      <c r="E25" s="1179"/>
      <c r="F25" s="1185" t="s">
        <v>1790</v>
      </c>
      <c r="G25" s="13">
        <f t="shared" si="2"/>
        <v>1</v>
      </c>
      <c r="H25" s="224" t="str">
        <f t="shared" ref="H25:I25" si="8">IF(OR(C25=0,C25="SCORE"),"",C25)</f>
        <v/>
      </c>
      <c r="I25" s="13" t="str">
        <f t="shared" si="8"/>
        <v/>
      </c>
      <c r="J25" s="13" t="str">
        <f t="shared" si="3"/>
        <v/>
      </c>
      <c r="K25" s="13" t="str">
        <f t="shared" si="4"/>
        <v>N/A</v>
      </c>
    </row>
    <row r="26" ht="15.75" customHeight="1">
      <c r="A26" s="1185"/>
      <c r="B26" s="1179" t="s">
        <v>724</v>
      </c>
      <c r="C26" s="1186">
        <v>128.0</v>
      </c>
      <c r="D26" s="1186">
        <v>168.96</v>
      </c>
      <c r="E26" s="1179" t="s">
        <v>728</v>
      </c>
      <c r="F26" s="1185"/>
      <c r="G26" s="13" t="str">
        <f t="shared" si="2"/>
        <v>METAMOOKDAWGS</v>
      </c>
      <c r="H26" s="1187">
        <f t="shared" ref="H26:I26" si="9">IF(OR(C26=0,C26="SCORE"),"",C26)</f>
        <v>128</v>
      </c>
      <c r="I26" s="1188">
        <f t="shared" si="9"/>
        <v>168.96</v>
      </c>
      <c r="J26" s="13" t="str">
        <f t="shared" si="3"/>
        <v>DEEZ NUTS</v>
      </c>
      <c r="K26" s="13" t="str">
        <f t="shared" si="4"/>
        <v>Game</v>
      </c>
    </row>
    <row r="27" ht="15.75" customHeight="1">
      <c r="A27" s="1185" t="s">
        <v>1791</v>
      </c>
      <c r="B27" s="1179"/>
      <c r="C27" s="1186"/>
      <c r="D27" s="1186"/>
      <c r="E27" s="1179"/>
      <c r="F27" s="1185" t="s">
        <v>1792</v>
      </c>
      <c r="G27" s="13">
        <f t="shared" si="2"/>
        <v>1</v>
      </c>
      <c r="H27" s="224" t="str">
        <f t="shared" ref="H27:I27" si="10">IF(OR(C27=0,C27="SCORE"),"",C27)</f>
        <v/>
      </c>
      <c r="I27" s="13" t="str">
        <f t="shared" si="10"/>
        <v/>
      </c>
      <c r="J27" s="13" t="str">
        <f t="shared" si="3"/>
        <v/>
      </c>
      <c r="K27" s="13" t="str">
        <f t="shared" si="4"/>
        <v>N/A</v>
      </c>
    </row>
    <row r="28" ht="19.5" customHeight="1">
      <c r="A28" s="1181" t="s">
        <v>741</v>
      </c>
      <c r="G28" s="13">
        <f t="shared" si="2"/>
        <v>1</v>
      </c>
      <c r="H28" s="224" t="str">
        <f t="shared" ref="H28:I28" si="11">IF(OR(C28=0,C28="SCORE"),"",C28)</f>
        <v/>
      </c>
      <c r="I28" s="13" t="str">
        <f t="shared" si="11"/>
        <v/>
      </c>
      <c r="J28" s="13" t="str">
        <f t="shared" si="3"/>
        <v/>
      </c>
      <c r="K28" s="13" t="str">
        <f t="shared" si="4"/>
        <v>N/A</v>
      </c>
    </row>
    <row r="29" ht="15.75" customHeight="1">
      <c r="A29" s="1182" t="s">
        <v>731</v>
      </c>
      <c r="B29" s="1183"/>
      <c r="C29" s="1182" t="s">
        <v>510</v>
      </c>
      <c r="D29" s="1182" t="s">
        <v>510</v>
      </c>
      <c r="E29" s="1183"/>
      <c r="F29" s="1182" t="s">
        <v>732</v>
      </c>
      <c r="G29" s="13">
        <f t="shared" si="2"/>
        <v>1</v>
      </c>
      <c r="H29" s="224" t="str">
        <f t="shared" ref="H29:I29" si="12">IF(OR(C29=0,C29="SCORE"),"",C29)</f>
        <v/>
      </c>
      <c r="I29" s="13" t="str">
        <f t="shared" si="12"/>
        <v/>
      </c>
      <c r="J29" s="13" t="str">
        <f t="shared" si="3"/>
        <v/>
      </c>
      <c r="K29" s="13" t="str">
        <f t="shared" si="4"/>
        <v>N/A</v>
      </c>
    </row>
    <row r="30" ht="15.75" customHeight="1">
      <c r="A30" s="1185"/>
      <c r="B30" s="1179" t="s">
        <v>721</v>
      </c>
      <c r="C30" s="1186">
        <v>144.29</v>
      </c>
      <c r="D30" s="1186">
        <v>169.52</v>
      </c>
      <c r="E30" s="1179" t="s">
        <v>723</v>
      </c>
      <c r="F30" s="1185"/>
      <c r="G30" s="13" t="str">
        <f t="shared" si="2"/>
        <v>MUTTS</v>
      </c>
      <c r="H30" s="1187">
        <f t="shared" ref="H30:I30" si="13">IF(OR(C30=0,C30="SCORE"),"",C30)</f>
        <v>144.29</v>
      </c>
      <c r="I30" s="1188">
        <f t="shared" si="13"/>
        <v>169.52</v>
      </c>
      <c r="J30" s="13" t="str">
        <f t="shared" si="3"/>
        <v>SAVAGES</v>
      </c>
      <c r="K30" s="13" t="str">
        <f t="shared" si="4"/>
        <v>Game</v>
      </c>
    </row>
    <row r="31" ht="15.75" customHeight="1">
      <c r="A31" s="1185" t="s">
        <v>1793</v>
      </c>
      <c r="B31" s="1179"/>
      <c r="C31" s="1186"/>
      <c r="D31" s="1186"/>
      <c r="E31" s="1179"/>
      <c r="F31" s="1185" t="s">
        <v>1794</v>
      </c>
      <c r="G31" s="13">
        <f t="shared" si="2"/>
        <v>1</v>
      </c>
      <c r="H31" s="224" t="str">
        <f t="shared" ref="H31:I31" si="14">IF(OR(C31=0,C31="SCORE"),"",C31)</f>
        <v/>
      </c>
      <c r="I31" s="13" t="str">
        <f t="shared" si="14"/>
        <v/>
      </c>
      <c r="J31" s="13" t="str">
        <f t="shared" si="3"/>
        <v/>
      </c>
      <c r="K31" s="13" t="str">
        <f t="shared" si="4"/>
        <v>N/A</v>
      </c>
    </row>
    <row r="32" ht="15.75" customHeight="1">
      <c r="A32" s="1185"/>
      <c r="B32" s="1179" t="s">
        <v>726</v>
      </c>
      <c r="C32" s="1186">
        <v>136.46</v>
      </c>
      <c r="D32" s="1186">
        <v>141.08</v>
      </c>
      <c r="E32" s="1179" t="s">
        <v>728</v>
      </c>
      <c r="F32" s="1185"/>
      <c r="G32" s="13" t="str">
        <f t="shared" si="2"/>
        <v>POPEYES</v>
      </c>
      <c r="H32" s="1187">
        <f t="shared" ref="H32:I32" si="15">IF(OR(C32=0,C32="SCORE"),"",C32)</f>
        <v>136.46</v>
      </c>
      <c r="I32" s="1188">
        <f t="shared" si="15"/>
        <v>141.08</v>
      </c>
      <c r="J32" s="13" t="str">
        <f t="shared" si="3"/>
        <v>DEEZ NUTS</v>
      </c>
      <c r="K32" s="13" t="str">
        <f t="shared" si="4"/>
        <v>Game</v>
      </c>
    </row>
    <row r="33" ht="15.75" customHeight="1">
      <c r="A33" s="1185" t="s">
        <v>1795</v>
      </c>
      <c r="B33" s="1179"/>
      <c r="C33" s="1186"/>
      <c r="D33" s="1186"/>
      <c r="E33" s="1179"/>
      <c r="F33" s="1185" t="s">
        <v>1796</v>
      </c>
      <c r="G33" s="13">
        <f t="shared" si="2"/>
        <v>1</v>
      </c>
      <c r="H33" s="224" t="str">
        <f t="shared" ref="H33:I33" si="16">IF(OR(C33=0,C33="SCORE"),"",C33)</f>
        <v/>
      </c>
      <c r="I33" s="13" t="str">
        <f t="shared" si="16"/>
        <v/>
      </c>
      <c r="J33" s="13" t="str">
        <f t="shared" si="3"/>
        <v/>
      </c>
      <c r="K33" s="13" t="str">
        <f t="shared" si="4"/>
        <v>N/A</v>
      </c>
    </row>
    <row r="34" ht="15.75" customHeight="1">
      <c r="A34" s="1185"/>
      <c r="B34" s="1179" t="s">
        <v>724</v>
      </c>
      <c r="C34" s="1186">
        <v>124.15</v>
      </c>
      <c r="D34" s="1186">
        <v>132.21</v>
      </c>
      <c r="E34" s="1179" t="s">
        <v>727</v>
      </c>
      <c r="F34" s="1185"/>
      <c r="G34" s="13" t="str">
        <f t="shared" si="2"/>
        <v>METAMOOKDAWGS</v>
      </c>
      <c r="H34" s="1187">
        <f t="shared" ref="H34:I34" si="17">IF(OR(C34=0,C34="SCORE"),"",C34)</f>
        <v>124.15</v>
      </c>
      <c r="I34" s="1188">
        <f t="shared" si="17"/>
        <v>132.21</v>
      </c>
      <c r="J34" s="13" t="str">
        <f t="shared" si="3"/>
        <v>GREEN</v>
      </c>
      <c r="K34" s="13" t="str">
        <f t="shared" si="4"/>
        <v>Game</v>
      </c>
    </row>
    <row r="35" ht="15.75" customHeight="1">
      <c r="A35" s="1185" t="s">
        <v>1797</v>
      </c>
      <c r="B35" s="1179"/>
      <c r="C35" s="1186"/>
      <c r="D35" s="1186"/>
      <c r="E35" s="1179"/>
      <c r="F35" s="1185" t="s">
        <v>1798</v>
      </c>
      <c r="G35" s="13">
        <f t="shared" si="2"/>
        <v>1</v>
      </c>
      <c r="H35" s="224" t="str">
        <f t="shared" ref="H35:I35" si="18">IF(OR(C35=0,C35="SCORE"),"",C35)</f>
        <v/>
      </c>
      <c r="I35" s="13" t="str">
        <f t="shared" si="18"/>
        <v/>
      </c>
      <c r="J35" s="13" t="str">
        <f t="shared" si="3"/>
        <v/>
      </c>
      <c r="K35" s="13" t="str">
        <f t="shared" si="4"/>
        <v>N/A</v>
      </c>
    </row>
    <row r="36" ht="15.75" customHeight="1">
      <c r="A36" s="1185"/>
      <c r="B36" s="1179" t="s">
        <v>725</v>
      </c>
      <c r="C36" s="1186">
        <v>101.64</v>
      </c>
      <c r="D36" s="1186">
        <v>102.0</v>
      </c>
      <c r="E36" s="1180" t="s">
        <v>722</v>
      </c>
      <c r="F36" s="1185"/>
      <c r="G36" s="13" t="str">
        <f t="shared" si="2"/>
        <v>YARDIES</v>
      </c>
      <c r="H36" s="1187">
        <f t="shared" ref="H36:I36" si="19">IF(OR(C36=0,C36="SCORE"),"",C36)</f>
        <v>101.64</v>
      </c>
      <c r="I36" s="1188">
        <f t="shared" si="19"/>
        <v>102</v>
      </c>
      <c r="J36" s="13" t="str">
        <f t="shared" si="3"/>
        <v>DECOUPES</v>
      </c>
      <c r="K36" s="13" t="str">
        <f t="shared" si="4"/>
        <v>Game</v>
      </c>
    </row>
    <row r="37" ht="15.75" customHeight="1">
      <c r="A37" s="1185" t="s">
        <v>1799</v>
      </c>
      <c r="B37" s="1179"/>
      <c r="C37" s="1186"/>
      <c r="D37" s="1186"/>
      <c r="E37" s="1180"/>
      <c r="F37" s="1189" t="s">
        <v>1800</v>
      </c>
      <c r="G37" s="13">
        <f t="shared" si="2"/>
        <v>1</v>
      </c>
      <c r="H37" s="224" t="str">
        <f t="shared" ref="H37:I37" si="20">IF(OR(C37=0,C37="SCORE"),"",C37)</f>
        <v/>
      </c>
      <c r="I37" s="13" t="str">
        <f t="shared" si="20"/>
        <v/>
      </c>
      <c r="J37" s="13" t="str">
        <f t="shared" si="3"/>
        <v/>
      </c>
      <c r="K37" s="13" t="str">
        <f t="shared" si="4"/>
        <v>N/A</v>
      </c>
    </row>
    <row r="38" ht="19.5" customHeight="1">
      <c r="A38" s="1181" t="s">
        <v>757</v>
      </c>
      <c r="G38" s="13">
        <f t="shared" si="2"/>
        <v>1</v>
      </c>
      <c r="H38" s="224" t="str">
        <f t="shared" ref="H38:I38" si="21">IF(OR(C38=0,C38="SCORE"),"",C38)</f>
        <v/>
      </c>
      <c r="I38" s="13" t="str">
        <f t="shared" si="21"/>
        <v/>
      </c>
      <c r="J38" s="13" t="str">
        <f t="shared" si="3"/>
        <v/>
      </c>
      <c r="K38" s="13" t="str">
        <f t="shared" si="4"/>
        <v>N/A</v>
      </c>
    </row>
    <row r="39" ht="15.75" customHeight="1">
      <c r="A39" s="1182" t="s">
        <v>731</v>
      </c>
      <c r="B39" s="1183"/>
      <c r="C39" s="1182" t="s">
        <v>510</v>
      </c>
      <c r="D39" s="1182" t="s">
        <v>510</v>
      </c>
      <c r="E39" s="1183"/>
      <c r="F39" s="1182" t="s">
        <v>732</v>
      </c>
      <c r="G39" s="13">
        <f t="shared" si="2"/>
        <v>1</v>
      </c>
      <c r="H39" s="224" t="str">
        <f t="shared" ref="H39:I39" si="22">IF(OR(C39=0,C39="SCORE"),"",C39)</f>
        <v/>
      </c>
      <c r="I39" s="13" t="str">
        <f t="shared" si="22"/>
        <v/>
      </c>
      <c r="J39" s="13" t="str">
        <f t="shared" si="3"/>
        <v/>
      </c>
      <c r="K39" s="13" t="str">
        <f t="shared" si="4"/>
        <v>N/A</v>
      </c>
    </row>
    <row r="40" ht="15.75" customHeight="1">
      <c r="A40" s="1185"/>
      <c r="B40" s="1179" t="s">
        <v>723</v>
      </c>
      <c r="C40" s="1186">
        <v>163.6</v>
      </c>
      <c r="D40" s="1186">
        <v>116.37</v>
      </c>
      <c r="E40" s="1180" t="s">
        <v>722</v>
      </c>
      <c r="F40" s="1185"/>
      <c r="G40" s="13" t="str">
        <f t="shared" si="2"/>
        <v>SAVAGES</v>
      </c>
      <c r="H40" s="1187">
        <f t="shared" ref="H40:I40" si="23">IF(OR(C40=0,C40="SCORE"),"",C40)</f>
        <v>163.6</v>
      </c>
      <c r="I40" s="1188">
        <f t="shared" si="23"/>
        <v>116.37</v>
      </c>
      <c r="J40" s="13" t="str">
        <f t="shared" si="3"/>
        <v>DECOUPES</v>
      </c>
      <c r="K40" s="13" t="str">
        <f t="shared" si="4"/>
        <v>Game</v>
      </c>
    </row>
    <row r="41" ht="15.75" customHeight="1">
      <c r="A41" s="1185" t="s">
        <v>1801</v>
      </c>
      <c r="B41" s="1179"/>
      <c r="C41" s="1186"/>
      <c r="D41" s="1186"/>
      <c r="E41" s="1180"/>
      <c r="F41" s="1189" t="s">
        <v>1802</v>
      </c>
      <c r="G41" s="13">
        <f t="shared" si="2"/>
        <v>1</v>
      </c>
      <c r="H41" s="224" t="str">
        <f t="shared" ref="H41:I41" si="24">IF(OR(C41=0,C41="SCORE"),"",C41)</f>
        <v/>
      </c>
      <c r="I41" s="13" t="str">
        <f t="shared" si="24"/>
        <v/>
      </c>
      <c r="J41" s="13" t="str">
        <f t="shared" si="3"/>
        <v/>
      </c>
      <c r="K41" s="13" t="str">
        <f t="shared" si="4"/>
        <v>N/A</v>
      </c>
    </row>
    <row r="42" ht="15.75" customHeight="1">
      <c r="A42" s="1185"/>
      <c r="B42" s="1179" t="s">
        <v>728</v>
      </c>
      <c r="C42" s="1186">
        <v>185.93</v>
      </c>
      <c r="D42" s="1186">
        <v>179.2</v>
      </c>
      <c r="E42" s="1179" t="s">
        <v>721</v>
      </c>
      <c r="F42" s="1185"/>
      <c r="G42" s="13" t="str">
        <f t="shared" si="2"/>
        <v>DEEZ NUTS</v>
      </c>
      <c r="H42" s="1187">
        <f t="shared" ref="H42:I42" si="25">IF(OR(C42=0,C42="SCORE"),"",C42)</f>
        <v>185.93</v>
      </c>
      <c r="I42" s="1188">
        <f t="shared" si="25"/>
        <v>179.2</v>
      </c>
      <c r="J42" s="13" t="str">
        <f t="shared" si="3"/>
        <v>MUTTS</v>
      </c>
      <c r="K42" s="13" t="str">
        <f t="shared" si="4"/>
        <v>Game</v>
      </c>
    </row>
    <row r="43" ht="15.75" customHeight="1">
      <c r="A43" s="1185" t="s">
        <v>1803</v>
      </c>
      <c r="B43" s="1179"/>
      <c r="C43" s="1186"/>
      <c r="D43" s="1186"/>
      <c r="E43" s="1179"/>
      <c r="F43" s="1185" t="s">
        <v>1804</v>
      </c>
      <c r="G43" s="13">
        <f t="shared" si="2"/>
        <v>1</v>
      </c>
      <c r="H43" s="224" t="str">
        <f t="shared" ref="H43:I43" si="26">IF(OR(C43=0,C43="SCORE"),"",C43)</f>
        <v/>
      </c>
      <c r="I43" s="13" t="str">
        <f t="shared" si="26"/>
        <v/>
      </c>
      <c r="J43" s="13" t="str">
        <f t="shared" si="3"/>
        <v/>
      </c>
      <c r="K43" s="13" t="str">
        <f t="shared" si="4"/>
        <v>N/A</v>
      </c>
    </row>
    <row r="44" ht="15.75" customHeight="1">
      <c r="A44" s="1185"/>
      <c r="B44" s="1179" t="s">
        <v>727</v>
      </c>
      <c r="C44" s="1186">
        <v>181.49</v>
      </c>
      <c r="D44" s="1186">
        <v>119.58</v>
      </c>
      <c r="E44" s="1179" t="s">
        <v>726</v>
      </c>
      <c r="F44" s="1185"/>
      <c r="G44" s="13" t="str">
        <f t="shared" si="2"/>
        <v>GREEN</v>
      </c>
      <c r="H44" s="1187">
        <f t="shared" ref="H44:I44" si="27">IF(OR(C44=0,C44="SCORE"),"",C44)</f>
        <v>181.49</v>
      </c>
      <c r="I44" s="1188">
        <f t="shared" si="27"/>
        <v>119.58</v>
      </c>
      <c r="J44" s="13" t="str">
        <f t="shared" si="3"/>
        <v>POPEYES</v>
      </c>
      <c r="K44" s="13" t="str">
        <f t="shared" si="4"/>
        <v>Game</v>
      </c>
    </row>
    <row r="45" ht="15.75" customHeight="1">
      <c r="A45" s="1185" t="s">
        <v>1805</v>
      </c>
      <c r="B45" s="1179"/>
      <c r="C45" s="1186"/>
      <c r="D45" s="1186"/>
      <c r="E45" s="1179"/>
      <c r="F45" s="1185" t="s">
        <v>1806</v>
      </c>
      <c r="G45" s="13">
        <f t="shared" si="2"/>
        <v>1</v>
      </c>
      <c r="H45" s="224" t="str">
        <f t="shared" ref="H45:I45" si="28">IF(OR(C45=0,C45="SCORE"),"",C45)</f>
        <v/>
      </c>
      <c r="I45" s="13" t="str">
        <f t="shared" si="28"/>
        <v/>
      </c>
      <c r="J45" s="13" t="str">
        <f t="shared" si="3"/>
        <v/>
      </c>
      <c r="K45" s="13" t="str">
        <f t="shared" si="4"/>
        <v>N/A</v>
      </c>
    </row>
    <row r="46" ht="15.75" customHeight="1">
      <c r="A46" s="1185"/>
      <c r="B46" s="1179" t="s">
        <v>725</v>
      </c>
      <c r="C46" s="1186">
        <v>87.71</v>
      </c>
      <c r="D46" s="1186">
        <v>110.3</v>
      </c>
      <c r="E46" s="1179" t="s">
        <v>724</v>
      </c>
      <c r="F46" s="1185"/>
      <c r="G46" s="13" t="str">
        <f t="shared" si="2"/>
        <v>YARDIES</v>
      </c>
      <c r="H46" s="1187">
        <f t="shared" ref="H46:I46" si="29">IF(OR(C46=0,C46="SCORE"),"",C46)</f>
        <v>87.71</v>
      </c>
      <c r="I46" s="1188">
        <f t="shared" si="29"/>
        <v>110.3</v>
      </c>
      <c r="J46" s="13" t="str">
        <f t="shared" si="3"/>
        <v>METAMOOKDAWGS</v>
      </c>
      <c r="K46" s="13" t="str">
        <f t="shared" si="4"/>
        <v>Game</v>
      </c>
    </row>
    <row r="47" ht="15.75" customHeight="1">
      <c r="A47" s="1185" t="s">
        <v>1807</v>
      </c>
      <c r="B47" s="1179"/>
      <c r="C47" s="1186"/>
      <c r="D47" s="1186"/>
      <c r="E47" s="1179"/>
      <c r="F47" s="1185" t="s">
        <v>1808</v>
      </c>
      <c r="G47" s="13">
        <f t="shared" si="2"/>
        <v>1</v>
      </c>
      <c r="H47" s="224" t="str">
        <f t="shared" ref="H47:I47" si="30">IF(OR(C47=0,C47="SCORE"),"",C47)</f>
        <v/>
      </c>
      <c r="I47" s="13" t="str">
        <f t="shared" si="30"/>
        <v/>
      </c>
      <c r="J47" s="13" t="str">
        <f t="shared" si="3"/>
        <v/>
      </c>
      <c r="K47" s="13" t="str">
        <f t="shared" si="4"/>
        <v>N/A</v>
      </c>
    </row>
    <row r="48" ht="19.5" customHeight="1">
      <c r="A48" s="1181" t="s">
        <v>775</v>
      </c>
      <c r="G48" s="13">
        <f t="shared" si="2"/>
        <v>1</v>
      </c>
      <c r="H48" s="224" t="str">
        <f t="shared" ref="H48:I48" si="31">IF(OR(C48=0,C48="SCORE"),"",C48)</f>
        <v/>
      </c>
      <c r="I48" s="13" t="str">
        <f t="shared" si="31"/>
        <v/>
      </c>
      <c r="J48" s="13" t="str">
        <f t="shared" si="3"/>
        <v/>
      </c>
      <c r="K48" s="13" t="str">
        <f t="shared" si="4"/>
        <v>N/A</v>
      </c>
    </row>
    <row r="49" ht="15.75" customHeight="1">
      <c r="A49" s="1182" t="s">
        <v>731</v>
      </c>
      <c r="B49" s="1183"/>
      <c r="C49" s="1182" t="s">
        <v>510</v>
      </c>
      <c r="D49" s="1182" t="s">
        <v>510</v>
      </c>
      <c r="E49" s="1183"/>
      <c r="F49" s="1182" t="s">
        <v>732</v>
      </c>
      <c r="G49" s="13">
        <f t="shared" si="2"/>
        <v>1</v>
      </c>
      <c r="H49" s="224" t="str">
        <f t="shared" ref="H49:I49" si="32">IF(OR(C49=0,C49="SCORE"),"",C49)</f>
        <v/>
      </c>
      <c r="I49" s="13" t="str">
        <f t="shared" si="32"/>
        <v/>
      </c>
      <c r="J49" s="13" t="str">
        <f t="shared" si="3"/>
        <v/>
      </c>
      <c r="K49" s="13" t="str">
        <f t="shared" si="4"/>
        <v>N/A</v>
      </c>
    </row>
    <row r="50" ht="15.75" customHeight="1">
      <c r="A50" s="1185"/>
      <c r="B50" s="1179" t="s">
        <v>724</v>
      </c>
      <c r="C50" s="1186">
        <v>131.05</v>
      </c>
      <c r="D50" s="1186">
        <v>148.43</v>
      </c>
      <c r="E50" s="1179" t="s">
        <v>723</v>
      </c>
      <c r="F50" s="1185"/>
      <c r="G50" s="13" t="str">
        <f t="shared" si="2"/>
        <v>METAMOOKDAWGS</v>
      </c>
      <c r="H50" s="1187">
        <f t="shared" ref="H50:I50" si="33">IF(OR(C50=0,C50="SCORE"),"",C50)</f>
        <v>131.05</v>
      </c>
      <c r="I50" s="1188">
        <f t="shared" si="33"/>
        <v>148.43</v>
      </c>
      <c r="J50" s="13" t="str">
        <f t="shared" si="3"/>
        <v>SAVAGES</v>
      </c>
      <c r="K50" s="13" t="str">
        <f t="shared" si="4"/>
        <v>Game</v>
      </c>
    </row>
    <row r="51" ht="15.75" customHeight="1">
      <c r="A51" s="1185" t="s">
        <v>1809</v>
      </c>
      <c r="B51" s="1179"/>
      <c r="C51" s="1186"/>
      <c r="D51" s="1186"/>
      <c r="E51" s="1179"/>
      <c r="F51" s="1185" t="s">
        <v>1810</v>
      </c>
      <c r="G51" s="13">
        <f t="shared" si="2"/>
        <v>1</v>
      </c>
      <c r="H51" s="224" t="str">
        <f t="shared" ref="H51:I51" si="34">IF(OR(C51=0,C51="SCORE"),"",C51)</f>
        <v/>
      </c>
      <c r="I51" s="13" t="str">
        <f t="shared" si="34"/>
        <v/>
      </c>
      <c r="J51" s="13" t="str">
        <f t="shared" si="3"/>
        <v/>
      </c>
      <c r="K51" s="13" t="str">
        <f t="shared" si="4"/>
        <v>N/A</v>
      </c>
    </row>
    <row r="52" ht="15.75" customHeight="1">
      <c r="A52" s="1185"/>
      <c r="B52" s="1179" t="s">
        <v>721</v>
      </c>
      <c r="C52" s="1186">
        <v>187.4</v>
      </c>
      <c r="D52" s="1186">
        <v>110.3</v>
      </c>
      <c r="E52" s="1179" t="s">
        <v>727</v>
      </c>
      <c r="F52" s="1185"/>
      <c r="G52" s="13" t="str">
        <f t="shared" si="2"/>
        <v>MUTTS</v>
      </c>
      <c r="H52" s="1187">
        <f t="shared" ref="H52:I52" si="35">IF(OR(C52=0,C52="SCORE"),"",C52)</f>
        <v>187.4</v>
      </c>
      <c r="I52" s="1188">
        <f t="shared" si="35"/>
        <v>110.3</v>
      </c>
      <c r="J52" s="13" t="str">
        <f t="shared" si="3"/>
        <v>GREEN</v>
      </c>
      <c r="K52" s="13" t="str">
        <f t="shared" si="4"/>
        <v>Game</v>
      </c>
    </row>
    <row r="53" ht="15.75" customHeight="1">
      <c r="A53" s="1185" t="s">
        <v>1811</v>
      </c>
      <c r="B53" s="1179"/>
      <c r="C53" s="1186"/>
      <c r="D53" s="1186"/>
      <c r="E53" s="1179"/>
      <c r="F53" s="1185" t="s">
        <v>1812</v>
      </c>
      <c r="G53" s="13">
        <f t="shared" si="2"/>
        <v>1</v>
      </c>
      <c r="H53" s="224" t="str">
        <f t="shared" ref="H53:I53" si="36">IF(OR(C53=0,C53="SCORE"),"",C53)</f>
        <v/>
      </c>
      <c r="I53" s="13" t="str">
        <f t="shared" si="36"/>
        <v/>
      </c>
      <c r="J53" s="13" t="str">
        <f t="shared" si="3"/>
        <v/>
      </c>
      <c r="K53" s="13" t="str">
        <f t="shared" si="4"/>
        <v>N/A</v>
      </c>
    </row>
    <row r="54" ht="15.75" customHeight="1">
      <c r="A54" s="1185"/>
      <c r="B54" s="1179" t="s">
        <v>725</v>
      </c>
      <c r="C54" s="1186">
        <v>103.2</v>
      </c>
      <c r="D54" s="1186">
        <v>70.3</v>
      </c>
      <c r="E54" s="1179" t="s">
        <v>726</v>
      </c>
      <c r="F54" s="1185"/>
      <c r="G54" s="13" t="str">
        <f t="shared" si="2"/>
        <v>YARDIES</v>
      </c>
      <c r="H54" s="1187">
        <f t="shared" ref="H54:I54" si="37">IF(OR(C54=0,C54="SCORE"),"",C54)</f>
        <v>103.2</v>
      </c>
      <c r="I54" s="1188">
        <f t="shared" si="37"/>
        <v>70.3</v>
      </c>
      <c r="J54" s="13" t="str">
        <f t="shared" si="3"/>
        <v>POPEYES</v>
      </c>
      <c r="K54" s="13" t="str">
        <f t="shared" si="4"/>
        <v>Game</v>
      </c>
    </row>
    <row r="55" ht="15.75" customHeight="1">
      <c r="A55" s="1185" t="s">
        <v>1813</v>
      </c>
      <c r="B55" s="1179"/>
      <c r="C55" s="1186"/>
      <c r="D55" s="1186"/>
      <c r="E55" s="1179"/>
      <c r="F55" s="1185" t="s">
        <v>1814</v>
      </c>
      <c r="G55" s="13">
        <f t="shared" si="2"/>
        <v>1</v>
      </c>
      <c r="H55" s="224" t="str">
        <f t="shared" ref="H55:I55" si="38">IF(OR(C55=0,C55="SCORE"),"",C55)</f>
        <v/>
      </c>
      <c r="I55" s="13" t="str">
        <f t="shared" si="38"/>
        <v/>
      </c>
      <c r="J55" s="13" t="str">
        <f t="shared" si="3"/>
        <v/>
      </c>
      <c r="K55" s="13" t="str">
        <f t="shared" si="4"/>
        <v>N/A</v>
      </c>
    </row>
    <row r="56" ht="15.75" customHeight="1">
      <c r="A56" s="1185"/>
      <c r="B56" s="1180" t="s">
        <v>722</v>
      </c>
      <c r="C56" s="1186">
        <v>137.13</v>
      </c>
      <c r="D56" s="1186">
        <v>127.92</v>
      </c>
      <c r="E56" s="1179" t="s">
        <v>728</v>
      </c>
      <c r="F56" s="1185"/>
      <c r="G56" s="13" t="str">
        <f t="shared" si="2"/>
        <v>DECOUPES</v>
      </c>
      <c r="H56" s="1187">
        <f t="shared" ref="H56:I56" si="39">IF(OR(C56=0,C56="SCORE"),"",C56)</f>
        <v>137.13</v>
      </c>
      <c r="I56" s="1188">
        <f t="shared" si="39"/>
        <v>127.92</v>
      </c>
      <c r="J56" s="13" t="str">
        <f t="shared" si="3"/>
        <v>DEEZ NUTS</v>
      </c>
      <c r="K56" s="13" t="str">
        <f t="shared" si="4"/>
        <v>Game</v>
      </c>
    </row>
    <row r="57" ht="15.75" customHeight="1">
      <c r="A57" s="1189" t="s">
        <v>1815</v>
      </c>
      <c r="B57" s="1180"/>
      <c r="C57" s="1186"/>
      <c r="D57" s="1186"/>
      <c r="E57" s="1179"/>
      <c r="F57" s="1185" t="s">
        <v>1816</v>
      </c>
      <c r="G57" s="13">
        <f t="shared" si="2"/>
        <v>1</v>
      </c>
      <c r="H57" s="224" t="str">
        <f t="shared" ref="H57:I57" si="40">IF(OR(C57=0,C57="SCORE"),"",C57)</f>
        <v/>
      </c>
      <c r="I57" s="13" t="str">
        <f t="shared" si="40"/>
        <v/>
      </c>
      <c r="J57" s="13" t="str">
        <f t="shared" si="3"/>
        <v/>
      </c>
      <c r="K57" s="13" t="str">
        <f t="shared" si="4"/>
        <v>N/A</v>
      </c>
    </row>
    <row r="58" ht="19.5" customHeight="1">
      <c r="A58" s="1181" t="s">
        <v>792</v>
      </c>
      <c r="G58" s="13">
        <f t="shared" si="2"/>
        <v>1</v>
      </c>
      <c r="H58" s="224" t="str">
        <f t="shared" ref="H58:I58" si="41">IF(OR(C58=0,C58="SCORE"),"",C58)</f>
        <v/>
      </c>
      <c r="I58" s="13" t="str">
        <f t="shared" si="41"/>
        <v/>
      </c>
      <c r="J58" s="13" t="str">
        <f t="shared" si="3"/>
        <v/>
      </c>
      <c r="K58" s="13" t="str">
        <f t="shared" si="4"/>
        <v>N/A</v>
      </c>
    </row>
    <row r="59" ht="15.75" customHeight="1">
      <c r="A59" s="1182" t="s">
        <v>731</v>
      </c>
      <c r="B59" s="1183"/>
      <c r="C59" s="1182" t="s">
        <v>510</v>
      </c>
      <c r="D59" s="1182" t="s">
        <v>510</v>
      </c>
      <c r="E59" s="1183"/>
      <c r="F59" s="1182" t="s">
        <v>732</v>
      </c>
      <c r="G59" s="13">
        <f t="shared" si="2"/>
        <v>1</v>
      </c>
      <c r="H59" s="224" t="str">
        <f t="shared" ref="H59:I59" si="42">IF(OR(C59=0,C59="SCORE"),"",C59)</f>
        <v/>
      </c>
      <c r="I59" s="13" t="str">
        <f t="shared" si="42"/>
        <v/>
      </c>
      <c r="J59" s="13" t="str">
        <f t="shared" si="3"/>
        <v/>
      </c>
      <c r="K59" s="13" t="str">
        <f t="shared" si="4"/>
        <v>N/A</v>
      </c>
    </row>
    <row r="60" ht="15.75" customHeight="1">
      <c r="A60" s="1185"/>
      <c r="B60" s="1179" t="s">
        <v>726</v>
      </c>
      <c r="C60" s="1186">
        <v>155.99</v>
      </c>
      <c r="D60" s="1186">
        <v>203.38</v>
      </c>
      <c r="E60" s="1179" t="s">
        <v>723</v>
      </c>
      <c r="F60" s="1185"/>
      <c r="G60" s="13" t="str">
        <f t="shared" si="2"/>
        <v>POPEYES</v>
      </c>
      <c r="H60" s="1187">
        <f t="shared" ref="H60:I60" si="43">IF(OR(C60=0,C60="SCORE"),"",C60)</f>
        <v>155.99</v>
      </c>
      <c r="I60" s="1188">
        <f t="shared" si="43"/>
        <v>203.38</v>
      </c>
      <c r="J60" s="13" t="str">
        <f t="shared" si="3"/>
        <v>SAVAGES</v>
      </c>
      <c r="K60" s="13" t="str">
        <f t="shared" si="4"/>
        <v>Game</v>
      </c>
    </row>
    <row r="61" ht="15.75" customHeight="1">
      <c r="A61" s="1185" t="s">
        <v>1817</v>
      </c>
      <c r="B61" s="1179"/>
      <c r="C61" s="1186"/>
      <c r="D61" s="1186"/>
      <c r="E61" s="1179"/>
      <c r="F61" s="1185" t="s">
        <v>1818</v>
      </c>
      <c r="G61" s="13">
        <f t="shared" si="2"/>
        <v>1</v>
      </c>
      <c r="H61" s="224" t="str">
        <f t="shared" ref="H61:I61" si="44">IF(OR(C61=0,C61="SCORE"),"",C61)</f>
        <v/>
      </c>
      <c r="I61" s="13" t="str">
        <f t="shared" si="44"/>
        <v/>
      </c>
      <c r="J61" s="13" t="str">
        <f t="shared" si="3"/>
        <v/>
      </c>
      <c r="K61" s="13" t="str">
        <f t="shared" si="4"/>
        <v>N/A</v>
      </c>
    </row>
    <row r="62" ht="15.75" customHeight="1">
      <c r="A62" s="1185"/>
      <c r="B62" s="1179" t="s">
        <v>727</v>
      </c>
      <c r="C62" s="1186">
        <v>97.41</v>
      </c>
      <c r="D62" s="1186">
        <v>131.03</v>
      </c>
      <c r="E62" s="1180" t="s">
        <v>722</v>
      </c>
      <c r="F62" s="1185"/>
      <c r="G62" s="13" t="str">
        <f t="shared" si="2"/>
        <v>GREEN</v>
      </c>
      <c r="H62" s="1187">
        <f t="shared" ref="H62:I62" si="45">IF(OR(C62=0,C62="SCORE"),"",C62)</f>
        <v>97.41</v>
      </c>
      <c r="I62" s="1188">
        <f t="shared" si="45"/>
        <v>131.03</v>
      </c>
      <c r="J62" s="13" t="str">
        <f t="shared" si="3"/>
        <v>DECOUPES</v>
      </c>
      <c r="K62" s="13" t="str">
        <f t="shared" si="4"/>
        <v>Game</v>
      </c>
    </row>
    <row r="63" ht="15.75" customHeight="1">
      <c r="A63" s="1185" t="s">
        <v>1819</v>
      </c>
      <c r="B63" s="1179"/>
      <c r="C63" s="1186"/>
      <c r="D63" s="1186"/>
      <c r="E63" s="1180"/>
      <c r="F63" s="1189" t="s">
        <v>1820</v>
      </c>
      <c r="G63" s="13">
        <f t="shared" si="2"/>
        <v>1</v>
      </c>
      <c r="H63" s="224" t="str">
        <f t="shared" ref="H63:I63" si="46">IF(OR(C63=0,C63="SCORE"),"",C63)</f>
        <v/>
      </c>
      <c r="I63" s="13" t="str">
        <f t="shared" si="46"/>
        <v/>
      </c>
      <c r="J63" s="13" t="str">
        <f t="shared" si="3"/>
        <v/>
      </c>
      <c r="K63" s="13" t="str">
        <f t="shared" si="4"/>
        <v>N/A</v>
      </c>
    </row>
    <row r="64" ht="15.75" customHeight="1">
      <c r="A64" s="1185"/>
      <c r="B64" s="1179" t="s">
        <v>728</v>
      </c>
      <c r="C64" s="1186">
        <v>171.28</v>
      </c>
      <c r="D64" s="1186">
        <v>106.72</v>
      </c>
      <c r="E64" s="1179" t="s">
        <v>725</v>
      </c>
      <c r="F64" s="1185"/>
      <c r="G64" s="13" t="str">
        <f t="shared" si="2"/>
        <v>DEEZ NUTS</v>
      </c>
      <c r="H64" s="1187">
        <f t="shared" ref="H64:I64" si="47">IF(OR(C64=0,C64="SCORE"),"",C64)</f>
        <v>171.28</v>
      </c>
      <c r="I64" s="1188">
        <f t="shared" si="47"/>
        <v>106.72</v>
      </c>
      <c r="J64" s="13" t="str">
        <f t="shared" si="3"/>
        <v>YARDIES</v>
      </c>
      <c r="K64" s="13" t="str">
        <f t="shared" si="4"/>
        <v>Game</v>
      </c>
    </row>
    <row r="65" ht="15.75" customHeight="1">
      <c r="A65" s="1185" t="s">
        <v>1821</v>
      </c>
      <c r="B65" s="1179"/>
      <c r="C65" s="1186"/>
      <c r="D65" s="1186"/>
      <c r="E65" s="1179"/>
      <c r="F65" s="1185" t="s">
        <v>1822</v>
      </c>
      <c r="G65" s="13">
        <f t="shared" si="2"/>
        <v>1</v>
      </c>
      <c r="H65" s="224" t="str">
        <f t="shared" ref="H65:I65" si="48">IF(OR(C65=0,C65="SCORE"),"",C65)</f>
        <v/>
      </c>
      <c r="I65" s="13" t="str">
        <f t="shared" si="48"/>
        <v/>
      </c>
      <c r="J65" s="13" t="str">
        <f t="shared" si="3"/>
        <v/>
      </c>
      <c r="K65" s="13" t="str">
        <f t="shared" si="4"/>
        <v>N/A</v>
      </c>
    </row>
    <row r="66" ht="15.75" customHeight="1">
      <c r="A66" s="1185"/>
      <c r="B66" s="1179" t="s">
        <v>724</v>
      </c>
      <c r="C66" s="1186">
        <v>259.34</v>
      </c>
      <c r="D66" s="1186">
        <v>123.78</v>
      </c>
      <c r="E66" s="1179" t="s">
        <v>721</v>
      </c>
      <c r="F66" s="1185"/>
      <c r="G66" s="13" t="str">
        <f t="shared" si="2"/>
        <v>METAMOOKDAWGS</v>
      </c>
      <c r="H66" s="1187">
        <f t="shared" ref="H66:I66" si="49">IF(OR(C66=0,C66="SCORE"),"",C66)</f>
        <v>259.34</v>
      </c>
      <c r="I66" s="1188">
        <f t="shared" si="49"/>
        <v>123.78</v>
      </c>
      <c r="J66" s="13" t="str">
        <f t="shared" si="3"/>
        <v>MUTTS</v>
      </c>
      <c r="K66" s="13" t="str">
        <f t="shared" si="4"/>
        <v>Game</v>
      </c>
    </row>
    <row r="67" ht="15.75" customHeight="1">
      <c r="A67" s="1185" t="s">
        <v>1823</v>
      </c>
      <c r="B67" s="1179"/>
      <c r="C67" s="1186"/>
      <c r="D67" s="1186"/>
      <c r="E67" s="1179"/>
      <c r="F67" s="1185" t="s">
        <v>1824</v>
      </c>
      <c r="G67" s="13">
        <f t="shared" si="2"/>
        <v>1</v>
      </c>
      <c r="H67" s="224" t="str">
        <f t="shared" ref="H67:I67" si="50">IF(OR(C67=0,C67="SCORE"),"",C67)</f>
        <v/>
      </c>
      <c r="I67" s="13" t="str">
        <f t="shared" si="50"/>
        <v/>
      </c>
      <c r="J67" s="13" t="str">
        <f t="shared" si="3"/>
        <v/>
      </c>
      <c r="K67" s="13" t="str">
        <f t="shared" si="4"/>
        <v>N/A</v>
      </c>
    </row>
    <row r="68" ht="19.5" customHeight="1">
      <c r="A68" s="1181" t="s">
        <v>812</v>
      </c>
      <c r="G68" s="13">
        <f t="shared" si="2"/>
        <v>1</v>
      </c>
      <c r="H68" s="224" t="str">
        <f t="shared" ref="H68:I68" si="51">IF(OR(C68=0,C68="SCORE"),"",C68)</f>
        <v/>
      </c>
      <c r="I68" s="13" t="str">
        <f t="shared" si="51"/>
        <v/>
      </c>
      <c r="J68" s="13" t="str">
        <f t="shared" si="3"/>
        <v/>
      </c>
      <c r="K68" s="13" t="str">
        <f t="shared" si="4"/>
        <v>N/A</v>
      </c>
    </row>
    <row r="69" ht="15.75" customHeight="1">
      <c r="A69" s="1182" t="s">
        <v>731</v>
      </c>
      <c r="B69" s="1183"/>
      <c r="C69" s="1182" t="s">
        <v>510</v>
      </c>
      <c r="D69" s="1182" t="s">
        <v>510</v>
      </c>
      <c r="E69" s="1183"/>
      <c r="F69" s="1182" t="s">
        <v>732</v>
      </c>
      <c r="G69" s="13">
        <f t="shared" si="2"/>
        <v>1</v>
      </c>
      <c r="H69" s="224" t="str">
        <f t="shared" ref="H69:I69" si="52">IF(OR(C69=0,C69="SCORE"),"",C69)</f>
        <v/>
      </c>
      <c r="I69" s="13" t="str">
        <f t="shared" si="52"/>
        <v/>
      </c>
      <c r="J69" s="13" t="str">
        <f t="shared" si="3"/>
        <v/>
      </c>
      <c r="K69" s="13" t="str">
        <f t="shared" si="4"/>
        <v>N/A</v>
      </c>
    </row>
    <row r="70" ht="15.75" customHeight="1">
      <c r="A70" s="1185"/>
      <c r="B70" s="1179" t="s">
        <v>723</v>
      </c>
      <c r="C70" s="1186">
        <v>146.64</v>
      </c>
      <c r="D70" s="1186">
        <v>93.64</v>
      </c>
      <c r="E70" s="1180" t="s">
        <v>722</v>
      </c>
      <c r="F70" s="1185"/>
      <c r="G70" s="13" t="str">
        <f t="shared" si="2"/>
        <v>SAVAGES</v>
      </c>
      <c r="H70" s="1187">
        <f t="shared" ref="H70:I70" si="53">IF(OR(C70=0,C70="SCORE"),"",C70)</f>
        <v>146.64</v>
      </c>
      <c r="I70" s="1188">
        <f t="shared" si="53"/>
        <v>93.64</v>
      </c>
      <c r="J70" s="13" t="str">
        <f t="shared" si="3"/>
        <v>DECOUPES</v>
      </c>
      <c r="K70" s="13" t="str">
        <f t="shared" si="4"/>
        <v>Game</v>
      </c>
    </row>
    <row r="71" ht="15.75" customHeight="1">
      <c r="A71" s="1185" t="s">
        <v>1825</v>
      </c>
      <c r="B71" s="1179"/>
      <c r="C71" s="1186"/>
      <c r="D71" s="1186"/>
      <c r="E71" s="1180"/>
      <c r="F71" s="1189" t="s">
        <v>1826</v>
      </c>
      <c r="G71" s="13">
        <f t="shared" si="2"/>
        <v>1</v>
      </c>
      <c r="H71" s="224" t="str">
        <f t="shared" ref="H71:I71" si="54">IF(OR(C71=0,C71="SCORE"),"",C71)</f>
        <v/>
      </c>
      <c r="I71" s="13" t="str">
        <f t="shared" si="54"/>
        <v/>
      </c>
      <c r="J71" s="13" t="str">
        <f t="shared" si="3"/>
        <v/>
      </c>
      <c r="K71" s="13" t="str">
        <f t="shared" si="4"/>
        <v>N/A</v>
      </c>
    </row>
    <row r="72" ht="15.75" customHeight="1">
      <c r="A72" s="1185"/>
      <c r="B72" s="1179" t="s">
        <v>721</v>
      </c>
      <c r="C72" s="1186">
        <v>158.7</v>
      </c>
      <c r="D72" s="1186">
        <v>120.54</v>
      </c>
      <c r="E72" s="1179" t="s">
        <v>725</v>
      </c>
      <c r="F72" s="1185"/>
      <c r="G72" s="13" t="str">
        <f t="shared" si="2"/>
        <v>MUTTS</v>
      </c>
      <c r="H72" s="1187">
        <f t="shared" ref="H72:I72" si="55">IF(OR(C72=0,C72="SCORE"),"",C72)</f>
        <v>158.7</v>
      </c>
      <c r="I72" s="1188">
        <f t="shared" si="55"/>
        <v>120.54</v>
      </c>
      <c r="J72" s="13" t="str">
        <f t="shared" si="3"/>
        <v>YARDIES</v>
      </c>
      <c r="K72" s="13" t="str">
        <f t="shared" si="4"/>
        <v>Game</v>
      </c>
    </row>
    <row r="73" ht="15.75" customHeight="1">
      <c r="A73" s="1185" t="s">
        <v>1827</v>
      </c>
      <c r="B73" s="1179"/>
      <c r="C73" s="1186"/>
      <c r="D73" s="1186"/>
      <c r="E73" s="1179"/>
      <c r="F73" s="1185" t="s">
        <v>1828</v>
      </c>
      <c r="G73" s="13">
        <f t="shared" si="2"/>
        <v>1</v>
      </c>
      <c r="H73" s="224" t="str">
        <f t="shared" ref="H73:I73" si="56">IF(OR(C73=0,C73="SCORE"),"",C73)</f>
        <v/>
      </c>
      <c r="I73" s="13" t="str">
        <f t="shared" si="56"/>
        <v/>
      </c>
      <c r="J73" s="13" t="str">
        <f t="shared" si="3"/>
        <v/>
      </c>
      <c r="K73" s="13" t="str">
        <f t="shared" si="4"/>
        <v>N/A</v>
      </c>
    </row>
    <row r="74" ht="15.75" customHeight="1">
      <c r="A74" s="1185"/>
      <c r="B74" s="1179" t="s">
        <v>728</v>
      </c>
      <c r="C74" s="1186">
        <v>115.76</v>
      </c>
      <c r="D74" s="1186">
        <v>151.33</v>
      </c>
      <c r="E74" s="1179" t="s">
        <v>724</v>
      </c>
      <c r="F74" s="1185"/>
      <c r="G74" s="13" t="str">
        <f t="shared" si="2"/>
        <v>DEEZ NUTS</v>
      </c>
      <c r="H74" s="1187">
        <f t="shared" ref="H74:I74" si="57">IF(OR(C74=0,C74="SCORE"),"",C74)</f>
        <v>115.76</v>
      </c>
      <c r="I74" s="1188">
        <f t="shared" si="57"/>
        <v>151.33</v>
      </c>
      <c r="J74" s="13" t="str">
        <f t="shared" si="3"/>
        <v>METAMOOKDAWGS</v>
      </c>
      <c r="K74" s="13" t="str">
        <f t="shared" si="4"/>
        <v>Game</v>
      </c>
    </row>
    <row r="75" ht="15.75" customHeight="1">
      <c r="A75" s="1185" t="s">
        <v>1829</v>
      </c>
      <c r="B75" s="1179"/>
      <c r="C75" s="1186"/>
      <c r="D75" s="1186"/>
      <c r="E75" s="1179"/>
      <c r="F75" s="1185" t="s">
        <v>1830</v>
      </c>
      <c r="G75" s="13">
        <f t="shared" si="2"/>
        <v>1</v>
      </c>
      <c r="H75" s="224" t="str">
        <f t="shared" ref="H75:I75" si="58">IF(OR(C75=0,C75="SCORE"),"",C75)</f>
        <v/>
      </c>
      <c r="I75" s="13" t="str">
        <f t="shared" si="58"/>
        <v/>
      </c>
      <c r="J75" s="13" t="str">
        <f t="shared" si="3"/>
        <v/>
      </c>
      <c r="K75" s="13" t="str">
        <f t="shared" si="4"/>
        <v>N/A</v>
      </c>
    </row>
    <row r="76" ht="15.75" customHeight="1">
      <c r="A76" s="1185"/>
      <c r="B76" s="1179" t="s">
        <v>727</v>
      </c>
      <c r="C76" s="1186">
        <v>147.71</v>
      </c>
      <c r="D76" s="1186">
        <v>125.57</v>
      </c>
      <c r="E76" s="1179" t="s">
        <v>726</v>
      </c>
      <c r="F76" s="1185"/>
      <c r="G76" s="13" t="str">
        <f t="shared" si="2"/>
        <v>GREEN</v>
      </c>
      <c r="H76" s="1187">
        <f t="shared" ref="H76:I76" si="59">IF(OR(C76=0,C76="SCORE"),"",C76)</f>
        <v>147.71</v>
      </c>
      <c r="I76" s="1188">
        <f t="shared" si="59"/>
        <v>125.57</v>
      </c>
      <c r="J76" s="13" t="str">
        <f t="shared" si="3"/>
        <v>POPEYES</v>
      </c>
      <c r="K76" s="13" t="str">
        <f t="shared" si="4"/>
        <v>Game</v>
      </c>
    </row>
    <row r="77" ht="15.75" customHeight="1">
      <c r="A77" s="1185" t="s">
        <v>1831</v>
      </c>
      <c r="B77" s="1179"/>
      <c r="C77" s="1186"/>
      <c r="D77" s="1186"/>
      <c r="E77" s="1179"/>
      <c r="F77" s="1185" t="s">
        <v>1832</v>
      </c>
      <c r="G77" s="13">
        <f t="shared" si="2"/>
        <v>1</v>
      </c>
      <c r="H77" s="224" t="str">
        <f t="shared" ref="H77:I77" si="60">IF(OR(C77=0,C77="SCORE"),"",C77)</f>
        <v/>
      </c>
      <c r="I77" s="13" t="str">
        <f t="shared" si="60"/>
        <v/>
      </c>
      <c r="J77" s="13" t="str">
        <f t="shared" si="3"/>
        <v/>
      </c>
      <c r="K77" s="13" t="str">
        <f t="shared" si="4"/>
        <v>N/A</v>
      </c>
    </row>
    <row r="78" ht="19.5" customHeight="1">
      <c r="A78" s="1181" t="s">
        <v>830</v>
      </c>
      <c r="G78" s="13">
        <f t="shared" si="2"/>
        <v>1</v>
      </c>
      <c r="H78" s="224" t="str">
        <f t="shared" ref="H78:I78" si="61">IF(OR(C78=0,C78="SCORE"),"",C78)</f>
        <v/>
      </c>
      <c r="I78" s="13" t="str">
        <f t="shared" si="61"/>
        <v/>
      </c>
      <c r="J78" s="13" t="str">
        <f t="shared" si="3"/>
        <v/>
      </c>
      <c r="K78" s="13" t="str">
        <f t="shared" si="4"/>
        <v>N/A</v>
      </c>
    </row>
    <row r="79" ht="15.75" customHeight="1">
      <c r="A79" s="1182" t="s">
        <v>731</v>
      </c>
      <c r="B79" s="1183"/>
      <c r="C79" s="1182" t="s">
        <v>510</v>
      </c>
      <c r="D79" s="1182" t="s">
        <v>510</v>
      </c>
      <c r="E79" s="1183"/>
      <c r="F79" s="1182" t="s">
        <v>732</v>
      </c>
      <c r="G79" s="13">
        <f t="shared" si="2"/>
        <v>1</v>
      </c>
      <c r="H79" s="224" t="str">
        <f t="shared" ref="H79:I79" si="62">IF(OR(C79=0,C79="SCORE"),"",C79)</f>
        <v/>
      </c>
      <c r="I79" s="13" t="str">
        <f t="shared" si="62"/>
        <v/>
      </c>
      <c r="J79" s="13" t="str">
        <f t="shared" si="3"/>
        <v/>
      </c>
      <c r="K79" s="13" t="str">
        <f t="shared" si="4"/>
        <v>N/A</v>
      </c>
    </row>
    <row r="80" ht="15.75" customHeight="1">
      <c r="A80" s="1185"/>
      <c r="B80" s="1180" t="s">
        <v>722</v>
      </c>
      <c r="C80" s="1186">
        <v>101.24</v>
      </c>
      <c r="D80" s="1186">
        <v>176.99</v>
      </c>
      <c r="E80" s="1179" t="s">
        <v>721</v>
      </c>
      <c r="F80" s="1185"/>
      <c r="G80" s="13" t="str">
        <f t="shared" si="2"/>
        <v>DECOUPES</v>
      </c>
      <c r="H80" s="1187">
        <f t="shared" ref="H80:I80" si="63">IF(OR(C80=0,C80="SCORE"),"",C80)</f>
        <v>101.24</v>
      </c>
      <c r="I80" s="1188">
        <f t="shared" si="63"/>
        <v>176.99</v>
      </c>
      <c r="J80" s="13" t="str">
        <f t="shared" si="3"/>
        <v>MUTTS</v>
      </c>
      <c r="K80" s="13" t="str">
        <f t="shared" si="4"/>
        <v>Game</v>
      </c>
    </row>
    <row r="81" ht="15.75" customHeight="1">
      <c r="A81" s="1189" t="s">
        <v>1833</v>
      </c>
      <c r="B81" s="1180"/>
      <c r="C81" s="1186"/>
      <c r="D81" s="1186"/>
      <c r="E81" s="1179"/>
      <c r="F81" s="1185" t="s">
        <v>1834</v>
      </c>
      <c r="G81" s="13">
        <f t="shared" si="2"/>
        <v>1</v>
      </c>
      <c r="H81" s="224" t="str">
        <f t="shared" ref="H81:I81" si="64">IF(OR(C81=0,C81="SCORE"),"",C81)</f>
        <v/>
      </c>
      <c r="I81" s="13" t="str">
        <f t="shared" si="64"/>
        <v/>
      </c>
      <c r="J81" s="13" t="str">
        <f t="shared" si="3"/>
        <v/>
      </c>
      <c r="K81" s="13" t="str">
        <f t="shared" si="4"/>
        <v>N/A</v>
      </c>
    </row>
    <row r="82" ht="15.75" customHeight="1">
      <c r="A82" s="1185"/>
      <c r="B82" s="1179" t="s">
        <v>726</v>
      </c>
      <c r="C82" s="1186">
        <v>93.41</v>
      </c>
      <c r="D82" s="1186">
        <v>104.81</v>
      </c>
      <c r="E82" s="1179" t="s">
        <v>724</v>
      </c>
      <c r="F82" s="1185"/>
      <c r="G82" s="13" t="str">
        <f t="shared" si="2"/>
        <v>POPEYES</v>
      </c>
      <c r="H82" s="1187">
        <f t="shared" ref="H82:I82" si="65">IF(OR(C82=0,C82="SCORE"),"",C82)</f>
        <v>93.41</v>
      </c>
      <c r="I82" s="1188">
        <f t="shared" si="65"/>
        <v>104.81</v>
      </c>
      <c r="J82" s="13" t="str">
        <f t="shared" si="3"/>
        <v>METAMOOKDAWGS</v>
      </c>
      <c r="K82" s="13" t="str">
        <f t="shared" si="4"/>
        <v>Game</v>
      </c>
    </row>
    <row r="83" ht="15.75" customHeight="1">
      <c r="A83" s="1185" t="s">
        <v>1835</v>
      </c>
      <c r="B83" s="1179"/>
      <c r="C83" s="1186"/>
      <c r="D83" s="1186"/>
      <c r="E83" s="1179"/>
      <c r="F83" s="1185" t="s">
        <v>1836</v>
      </c>
      <c r="G83" s="13">
        <f t="shared" si="2"/>
        <v>1</v>
      </c>
      <c r="H83" s="224" t="str">
        <f t="shared" ref="H83:I83" si="66">IF(OR(C83=0,C83="SCORE"),"",C83)</f>
        <v/>
      </c>
      <c r="I83" s="13" t="str">
        <f t="shared" si="66"/>
        <v/>
      </c>
      <c r="J83" s="13" t="str">
        <f t="shared" si="3"/>
        <v/>
      </c>
      <c r="K83" s="13" t="str">
        <f t="shared" si="4"/>
        <v>N/A</v>
      </c>
    </row>
    <row r="84" ht="15.75" customHeight="1">
      <c r="A84" s="1185"/>
      <c r="B84" s="1179" t="s">
        <v>723</v>
      </c>
      <c r="C84" s="1186">
        <v>139.29</v>
      </c>
      <c r="D84" s="1186">
        <v>132.57</v>
      </c>
      <c r="E84" s="1179" t="s">
        <v>725</v>
      </c>
      <c r="F84" s="1185"/>
      <c r="G84" s="13" t="str">
        <f t="shared" si="2"/>
        <v>SAVAGES</v>
      </c>
      <c r="H84" s="1187">
        <f t="shared" ref="H84:I84" si="67">IF(OR(C84=0,C84="SCORE"),"",C84)</f>
        <v>139.29</v>
      </c>
      <c r="I84" s="1188">
        <f t="shared" si="67"/>
        <v>132.57</v>
      </c>
      <c r="J84" s="13" t="str">
        <f t="shared" si="3"/>
        <v>YARDIES</v>
      </c>
      <c r="K84" s="13" t="str">
        <f t="shared" si="4"/>
        <v>Game</v>
      </c>
    </row>
    <row r="85" ht="15.75" customHeight="1">
      <c r="A85" s="1185" t="s">
        <v>1837</v>
      </c>
      <c r="B85" s="1179"/>
      <c r="C85" s="1186"/>
      <c r="D85" s="1186"/>
      <c r="E85" s="1179"/>
      <c r="F85" s="1185" t="s">
        <v>1838</v>
      </c>
      <c r="G85" s="13">
        <f t="shared" si="2"/>
        <v>1</v>
      </c>
      <c r="H85" s="224" t="str">
        <f t="shared" ref="H85:I85" si="68">IF(OR(C85=0,C85="SCORE"),"",C85)</f>
        <v/>
      </c>
      <c r="I85" s="13" t="str">
        <f t="shared" si="68"/>
        <v/>
      </c>
      <c r="J85" s="13" t="str">
        <f t="shared" si="3"/>
        <v/>
      </c>
      <c r="K85" s="13" t="str">
        <f t="shared" si="4"/>
        <v>N/A</v>
      </c>
    </row>
    <row r="86" ht="15.75" customHeight="1">
      <c r="A86" s="1185"/>
      <c r="B86" s="1179" t="s">
        <v>728</v>
      </c>
      <c r="C86" s="1186">
        <v>97.83</v>
      </c>
      <c r="D86" s="1186">
        <v>110.94</v>
      </c>
      <c r="E86" s="1179" t="s">
        <v>727</v>
      </c>
      <c r="F86" s="1185"/>
      <c r="G86" s="13" t="str">
        <f t="shared" si="2"/>
        <v>DEEZ NUTS</v>
      </c>
      <c r="H86" s="1187">
        <f t="shared" ref="H86:I86" si="69">IF(OR(C86=0,C86="SCORE"),"",C86)</f>
        <v>97.83</v>
      </c>
      <c r="I86" s="1188">
        <f t="shared" si="69"/>
        <v>110.94</v>
      </c>
      <c r="J86" s="13" t="str">
        <f t="shared" si="3"/>
        <v>GREEN</v>
      </c>
      <c r="K86" s="13" t="str">
        <f t="shared" si="4"/>
        <v>Game</v>
      </c>
    </row>
    <row r="87" ht="15.75" customHeight="1">
      <c r="A87" s="1185" t="s">
        <v>1839</v>
      </c>
      <c r="B87" s="1179"/>
      <c r="C87" s="1186"/>
      <c r="D87" s="1186"/>
      <c r="E87" s="1179"/>
      <c r="F87" s="1185" t="s">
        <v>1840</v>
      </c>
      <c r="G87" s="13">
        <f t="shared" si="2"/>
        <v>1</v>
      </c>
      <c r="H87" s="224" t="str">
        <f t="shared" ref="H87:I87" si="70">IF(OR(C87=0,C87="SCORE"),"",C87)</f>
        <v/>
      </c>
      <c r="I87" s="13" t="str">
        <f t="shared" si="70"/>
        <v/>
      </c>
      <c r="J87" s="13" t="str">
        <f t="shared" si="3"/>
        <v/>
      </c>
      <c r="K87" s="13" t="str">
        <f t="shared" si="4"/>
        <v>N/A</v>
      </c>
    </row>
    <row r="88" ht="19.5" customHeight="1">
      <c r="A88" s="1181" t="s">
        <v>848</v>
      </c>
      <c r="G88" s="13">
        <f t="shared" si="2"/>
        <v>1</v>
      </c>
      <c r="H88" s="224" t="str">
        <f t="shared" ref="H88:I88" si="71">IF(OR(C88=0,C88="SCORE"),"",C88)</f>
        <v/>
      </c>
      <c r="I88" s="13" t="str">
        <f t="shared" si="71"/>
        <v/>
      </c>
      <c r="J88" s="13" t="str">
        <f t="shared" si="3"/>
        <v/>
      </c>
      <c r="K88" s="13" t="str">
        <f t="shared" si="4"/>
        <v>N/A</v>
      </c>
    </row>
    <row r="89" ht="15.75" customHeight="1">
      <c r="A89" s="1182" t="s">
        <v>731</v>
      </c>
      <c r="B89" s="1183"/>
      <c r="C89" s="1182" t="s">
        <v>510</v>
      </c>
      <c r="D89" s="1182" t="s">
        <v>510</v>
      </c>
      <c r="E89" s="1183"/>
      <c r="F89" s="1182" t="s">
        <v>732</v>
      </c>
      <c r="G89" s="13">
        <f t="shared" si="2"/>
        <v>1</v>
      </c>
      <c r="H89" s="224" t="str">
        <f t="shared" ref="H89:I89" si="72">IF(OR(C89=0,C89="SCORE"),"",C89)</f>
        <v/>
      </c>
      <c r="I89" s="13" t="str">
        <f t="shared" si="72"/>
        <v/>
      </c>
      <c r="J89" s="13" t="str">
        <f t="shared" si="3"/>
        <v/>
      </c>
      <c r="K89" s="13" t="str">
        <f t="shared" si="4"/>
        <v>N/A</v>
      </c>
    </row>
    <row r="90" ht="15.75" customHeight="1">
      <c r="A90" s="1185"/>
      <c r="B90" s="1179" t="s">
        <v>728</v>
      </c>
      <c r="C90" s="1186">
        <v>131.63</v>
      </c>
      <c r="D90" s="1186">
        <v>154.96</v>
      </c>
      <c r="E90" s="1179" t="s">
        <v>721</v>
      </c>
      <c r="F90" s="1185"/>
      <c r="G90" s="13" t="str">
        <f t="shared" si="2"/>
        <v>DEEZ NUTS</v>
      </c>
      <c r="H90" s="1187">
        <f t="shared" ref="H90:I90" si="73">IF(OR(C90=0,C90="SCORE"),"",C90)</f>
        <v>131.63</v>
      </c>
      <c r="I90" s="1188">
        <f t="shared" si="73"/>
        <v>154.96</v>
      </c>
      <c r="J90" s="13" t="str">
        <f t="shared" si="3"/>
        <v>MUTTS</v>
      </c>
      <c r="K90" s="13" t="str">
        <f t="shared" si="4"/>
        <v>Game</v>
      </c>
    </row>
    <row r="91" ht="15.75" customHeight="1">
      <c r="A91" s="1185" t="s">
        <v>1841</v>
      </c>
      <c r="B91" s="1179"/>
      <c r="C91" s="1186"/>
      <c r="D91" s="1186"/>
      <c r="E91" s="1179"/>
      <c r="F91" s="1185" t="s">
        <v>1842</v>
      </c>
      <c r="G91" s="13">
        <f t="shared" si="2"/>
        <v>1</v>
      </c>
      <c r="H91" s="224" t="str">
        <f t="shared" ref="H91:I91" si="74">IF(OR(C91=0,C91="SCORE"),"",C91)</f>
        <v/>
      </c>
      <c r="I91" s="13" t="str">
        <f t="shared" si="74"/>
        <v/>
      </c>
      <c r="J91" s="13" t="str">
        <f t="shared" si="3"/>
        <v/>
      </c>
      <c r="K91" s="13" t="str">
        <f t="shared" si="4"/>
        <v>N/A</v>
      </c>
    </row>
    <row r="92" ht="15.75" customHeight="1">
      <c r="A92" s="1185"/>
      <c r="B92" s="1179" t="s">
        <v>726</v>
      </c>
      <c r="C92" s="1186">
        <v>132.62</v>
      </c>
      <c r="D92" s="1186">
        <v>189.32</v>
      </c>
      <c r="E92" s="1179" t="s">
        <v>723</v>
      </c>
      <c r="F92" s="1185"/>
      <c r="G92" s="13" t="str">
        <f t="shared" si="2"/>
        <v>POPEYES</v>
      </c>
      <c r="H92" s="1187">
        <f t="shared" ref="H92:I92" si="75">IF(OR(C92=0,C92="SCORE"),"",C92)</f>
        <v>132.62</v>
      </c>
      <c r="I92" s="1188">
        <f t="shared" si="75"/>
        <v>189.32</v>
      </c>
      <c r="J92" s="13" t="str">
        <f t="shared" si="3"/>
        <v>SAVAGES</v>
      </c>
      <c r="K92" s="13" t="str">
        <f t="shared" si="4"/>
        <v>Game</v>
      </c>
    </row>
    <row r="93" ht="15.75" customHeight="1">
      <c r="A93" s="1185" t="s">
        <v>1843</v>
      </c>
      <c r="B93" s="1179"/>
      <c r="C93" s="1186"/>
      <c r="D93" s="1186"/>
      <c r="E93" s="1179"/>
      <c r="F93" s="1185" t="s">
        <v>1844</v>
      </c>
      <c r="G93" s="13">
        <f t="shared" si="2"/>
        <v>1</v>
      </c>
      <c r="H93" s="224" t="str">
        <f t="shared" ref="H93:I93" si="76">IF(OR(C93=0,C93="SCORE"),"",C93)</f>
        <v/>
      </c>
      <c r="I93" s="13" t="str">
        <f t="shared" si="76"/>
        <v/>
      </c>
      <c r="J93" s="13" t="str">
        <f t="shared" si="3"/>
        <v/>
      </c>
      <c r="K93" s="13" t="str">
        <f t="shared" si="4"/>
        <v>N/A</v>
      </c>
    </row>
    <row r="94" ht="15.75" customHeight="1">
      <c r="A94" s="1185"/>
      <c r="B94" s="1179" t="s">
        <v>727</v>
      </c>
      <c r="C94" s="1186">
        <v>149.97</v>
      </c>
      <c r="D94" s="1186">
        <v>107.71</v>
      </c>
      <c r="E94" s="1180" t="s">
        <v>722</v>
      </c>
      <c r="F94" s="1185"/>
      <c r="G94" s="13" t="str">
        <f t="shared" si="2"/>
        <v>GREEN</v>
      </c>
      <c r="H94" s="1187">
        <f t="shared" ref="H94:I94" si="77">IF(OR(C94=0,C94="SCORE"),"",C94)</f>
        <v>149.97</v>
      </c>
      <c r="I94" s="1188">
        <f t="shared" si="77"/>
        <v>107.71</v>
      </c>
      <c r="J94" s="13" t="str">
        <f t="shared" si="3"/>
        <v>DECOUPES</v>
      </c>
      <c r="K94" s="13" t="str">
        <f t="shared" si="4"/>
        <v>Game</v>
      </c>
    </row>
    <row r="95" ht="15.75" customHeight="1">
      <c r="A95" s="1185" t="s">
        <v>1845</v>
      </c>
      <c r="B95" s="1179"/>
      <c r="C95" s="1186"/>
      <c r="D95" s="1186"/>
      <c r="E95" s="1180"/>
      <c r="F95" s="1189" t="s">
        <v>1846</v>
      </c>
      <c r="G95" s="13">
        <f t="shared" si="2"/>
        <v>1</v>
      </c>
      <c r="H95" s="224" t="str">
        <f t="shared" ref="H95:I95" si="78">IF(OR(C95=0,C95="SCORE"),"",C95)</f>
        <v/>
      </c>
      <c r="I95" s="13" t="str">
        <f t="shared" si="78"/>
        <v/>
      </c>
      <c r="J95" s="13" t="str">
        <f t="shared" si="3"/>
        <v/>
      </c>
      <c r="K95" s="13" t="str">
        <f t="shared" si="4"/>
        <v>N/A</v>
      </c>
    </row>
    <row r="96" ht="15.75" customHeight="1">
      <c r="A96" s="1185"/>
      <c r="B96" s="1179" t="s">
        <v>725</v>
      </c>
      <c r="C96" s="1186">
        <v>130.48</v>
      </c>
      <c r="D96" s="1186">
        <v>175.84</v>
      </c>
      <c r="E96" s="1179" t="s">
        <v>724</v>
      </c>
      <c r="F96" s="1185"/>
      <c r="G96" s="13" t="str">
        <f t="shared" si="2"/>
        <v>YARDIES</v>
      </c>
      <c r="H96" s="1187">
        <f t="shared" ref="H96:I96" si="79">IF(OR(C96=0,C96="SCORE"),"",C96)</f>
        <v>130.48</v>
      </c>
      <c r="I96" s="1188">
        <f t="shared" si="79"/>
        <v>175.84</v>
      </c>
      <c r="J96" s="13" t="str">
        <f t="shared" si="3"/>
        <v>METAMOOKDAWGS</v>
      </c>
      <c r="K96" s="13" t="str">
        <f t="shared" si="4"/>
        <v>Game</v>
      </c>
    </row>
    <row r="97" ht="15.75" customHeight="1">
      <c r="A97" s="1185" t="s">
        <v>1847</v>
      </c>
      <c r="B97" s="1179"/>
      <c r="C97" s="1186"/>
      <c r="D97" s="1186"/>
      <c r="E97" s="1179"/>
      <c r="F97" s="1185" t="s">
        <v>1848</v>
      </c>
      <c r="G97" s="13">
        <f t="shared" si="2"/>
        <v>1</v>
      </c>
      <c r="H97" s="224" t="str">
        <f t="shared" ref="H97:I97" si="80">IF(OR(C97=0,C97="SCORE"),"",C97)</f>
        <v/>
      </c>
      <c r="I97" s="13" t="str">
        <f t="shared" si="80"/>
        <v/>
      </c>
      <c r="J97" s="13" t="str">
        <f t="shared" si="3"/>
        <v/>
      </c>
      <c r="K97" s="13" t="str">
        <f t="shared" si="4"/>
        <v>N/A</v>
      </c>
    </row>
    <row r="98" ht="19.5" customHeight="1">
      <c r="A98" s="1181" t="s">
        <v>865</v>
      </c>
      <c r="G98" s="13">
        <f t="shared" si="2"/>
        <v>1</v>
      </c>
      <c r="H98" s="224" t="str">
        <f t="shared" ref="H98:I98" si="81">IF(OR(C98=0,C98="SCORE"),"",C98)</f>
        <v/>
      </c>
      <c r="I98" s="13" t="str">
        <f t="shared" si="81"/>
        <v/>
      </c>
      <c r="J98" s="13" t="str">
        <f t="shared" si="3"/>
        <v/>
      </c>
      <c r="K98" s="13" t="str">
        <f t="shared" si="4"/>
        <v>N/A</v>
      </c>
    </row>
    <row r="99" ht="15.75" customHeight="1">
      <c r="A99" s="1182" t="s">
        <v>731</v>
      </c>
      <c r="B99" s="1183"/>
      <c r="C99" s="1182" t="s">
        <v>510</v>
      </c>
      <c r="D99" s="1182" t="s">
        <v>510</v>
      </c>
      <c r="E99" s="1183"/>
      <c r="F99" s="1182" t="s">
        <v>732</v>
      </c>
      <c r="G99" s="13">
        <f t="shared" si="2"/>
        <v>1</v>
      </c>
      <c r="H99" s="224" t="str">
        <f t="shared" ref="H99:I99" si="82">IF(OR(C99=0,C99="SCORE"),"",C99)</f>
        <v/>
      </c>
      <c r="I99" s="13" t="str">
        <f t="shared" si="82"/>
        <v/>
      </c>
      <c r="J99" s="13" t="str">
        <f t="shared" si="3"/>
        <v/>
      </c>
      <c r="K99" s="13" t="str">
        <f t="shared" si="4"/>
        <v>N/A</v>
      </c>
    </row>
    <row r="100" ht="15.75" customHeight="1">
      <c r="A100" s="1185"/>
      <c r="B100" s="1179" t="s">
        <v>723</v>
      </c>
      <c r="C100" s="1186">
        <v>146.79</v>
      </c>
      <c r="D100" s="1186">
        <v>177.91</v>
      </c>
      <c r="E100" s="1179" t="s">
        <v>727</v>
      </c>
      <c r="F100" s="1185"/>
      <c r="G100" s="13" t="str">
        <f t="shared" si="2"/>
        <v>SAVAGES</v>
      </c>
      <c r="H100" s="1187">
        <f t="shared" ref="H100:I100" si="83">IF(OR(C100=0,C100="SCORE"),"",C100)</f>
        <v>146.79</v>
      </c>
      <c r="I100" s="1188">
        <f t="shared" si="83"/>
        <v>177.91</v>
      </c>
      <c r="J100" s="13" t="str">
        <f t="shared" si="3"/>
        <v>GREEN</v>
      </c>
      <c r="K100" s="13" t="str">
        <f t="shared" si="4"/>
        <v>Game</v>
      </c>
    </row>
    <row r="101" ht="15.75" customHeight="1">
      <c r="A101" s="1185" t="s">
        <v>1849</v>
      </c>
      <c r="B101" s="1179"/>
      <c r="C101" s="1186"/>
      <c r="D101" s="1186"/>
      <c r="E101" s="1179"/>
      <c r="F101" s="1185" t="s">
        <v>1850</v>
      </c>
      <c r="G101" s="13">
        <f t="shared" si="2"/>
        <v>1</v>
      </c>
      <c r="H101" s="224" t="str">
        <f t="shared" ref="H101:I101" si="84">IF(OR(C101=0,C101="SCORE"),"",C101)</f>
        <v/>
      </c>
      <c r="I101" s="13" t="str">
        <f t="shared" si="84"/>
        <v/>
      </c>
      <c r="J101" s="13" t="str">
        <f t="shared" si="3"/>
        <v/>
      </c>
      <c r="K101" s="13" t="str">
        <f t="shared" si="4"/>
        <v>N/A</v>
      </c>
    </row>
    <row r="102" ht="15.75" customHeight="1">
      <c r="A102" s="1185"/>
      <c r="B102" s="1180" t="s">
        <v>722</v>
      </c>
      <c r="C102" s="1186">
        <v>124.46</v>
      </c>
      <c r="D102" s="1186">
        <v>154.97</v>
      </c>
      <c r="E102" s="1179" t="s">
        <v>726</v>
      </c>
      <c r="F102" s="1185"/>
      <c r="G102" s="13" t="str">
        <f t="shared" si="2"/>
        <v>DECOUPES</v>
      </c>
      <c r="H102" s="1187">
        <f t="shared" ref="H102:I102" si="85">IF(OR(C102=0,C102="SCORE"),"",C102)</f>
        <v>124.46</v>
      </c>
      <c r="I102" s="1188">
        <f t="shared" si="85"/>
        <v>154.97</v>
      </c>
      <c r="J102" s="13" t="str">
        <f t="shared" si="3"/>
        <v>POPEYES</v>
      </c>
      <c r="K102" s="13" t="str">
        <f t="shared" si="4"/>
        <v>Game</v>
      </c>
    </row>
    <row r="103" ht="15.75" customHeight="1">
      <c r="A103" s="1189" t="s">
        <v>1851</v>
      </c>
      <c r="B103" s="1180"/>
      <c r="C103" s="1186"/>
      <c r="D103" s="1186"/>
      <c r="E103" s="1179"/>
      <c r="F103" s="1185" t="s">
        <v>1852</v>
      </c>
      <c r="G103" s="13">
        <f t="shared" si="2"/>
        <v>1</v>
      </c>
      <c r="H103" s="224" t="str">
        <f t="shared" ref="H103:I103" si="86">IF(OR(C103=0,C103="SCORE"),"",C103)</f>
        <v/>
      </c>
      <c r="I103" s="13" t="str">
        <f t="shared" si="86"/>
        <v/>
      </c>
      <c r="J103" s="13" t="str">
        <f t="shared" si="3"/>
        <v/>
      </c>
      <c r="K103" s="13" t="str">
        <f t="shared" si="4"/>
        <v>N/A</v>
      </c>
    </row>
    <row r="104" ht="15.75" customHeight="1">
      <c r="A104" s="1185"/>
      <c r="B104" s="1179" t="s">
        <v>721</v>
      </c>
      <c r="C104" s="1186">
        <v>103.72</v>
      </c>
      <c r="D104" s="1186">
        <v>113.15</v>
      </c>
      <c r="E104" s="1179" t="s">
        <v>724</v>
      </c>
      <c r="F104" s="1185"/>
      <c r="G104" s="13" t="str">
        <f t="shared" si="2"/>
        <v>MUTTS</v>
      </c>
      <c r="H104" s="1187">
        <f t="shared" ref="H104:I104" si="87">IF(OR(C104=0,C104="SCORE"),"",C104)</f>
        <v>103.72</v>
      </c>
      <c r="I104" s="1188">
        <f t="shared" si="87"/>
        <v>113.15</v>
      </c>
      <c r="J104" s="13" t="str">
        <f t="shared" si="3"/>
        <v>METAMOOKDAWGS</v>
      </c>
      <c r="K104" s="13" t="str">
        <f t="shared" si="4"/>
        <v>Game</v>
      </c>
    </row>
    <row r="105" ht="15.75" customHeight="1">
      <c r="A105" s="1185" t="s">
        <v>1853</v>
      </c>
      <c r="B105" s="1179"/>
      <c r="C105" s="1186"/>
      <c r="D105" s="1186"/>
      <c r="E105" s="1179"/>
      <c r="F105" s="1185" t="s">
        <v>1854</v>
      </c>
      <c r="G105" s="13">
        <f t="shared" si="2"/>
        <v>1</v>
      </c>
      <c r="H105" s="224" t="str">
        <f t="shared" ref="H105:I105" si="88">IF(OR(C105=0,C105="SCORE"),"",C105)</f>
        <v/>
      </c>
      <c r="I105" s="13" t="str">
        <f t="shared" si="88"/>
        <v/>
      </c>
      <c r="J105" s="13" t="str">
        <f t="shared" si="3"/>
        <v/>
      </c>
      <c r="K105" s="13" t="str">
        <f t="shared" si="4"/>
        <v>N/A</v>
      </c>
    </row>
    <row r="106" ht="15.75" customHeight="1">
      <c r="A106" s="1185"/>
      <c r="B106" s="1179" t="s">
        <v>725</v>
      </c>
      <c r="C106" s="1186">
        <v>149.58</v>
      </c>
      <c r="D106" s="1186">
        <v>111.51</v>
      </c>
      <c r="E106" s="1179" t="s">
        <v>728</v>
      </c>
      <c r="F106" s="1185"/>
      <c r="G106" s="13" t="str">
        <f t="shared" si="2"/>
        <v>YARDIES</v>
      </c>
      <c r="H106" s="1187">
        <f t="shared" ref="H106:I106" si="89">IF(OR(C106=0,C106="SCORE"),"",C106)</f>
        <v>149.58</v>
      </c>
      <c r="I106" s="1188">
        <f t="shared" si="89"/>
        <v>111.51</v>
      </c>
      <c r="J106" s="13" t="str">
        <f t="shared" si="3"/>
        <v>DEEZ NUTS</v>
      </c>
      <c r="K106" s="13" t="str">
        <f t="shared" si="4"/>
        <v>Game</v>
      </c>
    </row>
    <row r="107" ht="15.75" customHeight="1">
      <c r="A107" s="1185" t="s">
        <v>1855</v>
      </c>
      <c r="B107" s="1179"/>
      <c r="C107" s="1186"/>
      <c r="D107" s="1186"/>
      <c r="E107" s="1179"/>
      <c r="F107" s="1185" t="s">
        <v>1856</v>
      </c>
      <c r="G107" s="13">
        <f t="shared" si="2"/>
        <v>1</v>
      </c>
      <c r="H107" s="224" t="str">
        <f t="shared" ref="H107:I107" si="90">IF(OR(C107=0,C107="SCORE"),"",C107)</f>
        <v/>
      </c>
      <c r="I107" s="13" t="str">
        <f t="shared" si="90"/>
        <v/>
      </c>
      <c r="J107" s="13" t="str">
        <f t="shared" si="3"/>
        <v/>
      </c>
      <c r="K107" s="13" t="str">
        <f t="shared" si="4"/>
        <v>N/A</v>
      </c>
    </row>
    <row r="108" ht="19.5" customHeight="1">
      <c r="A108" s="1181" t="s">
        <v>882</v>
      </c>
      <c r="G108" s="13">
        <f t="shared" si="2"/>
        <v>1</v>
      </c>
      <c r="H108" s="224" t="str">
        <f t="shared" ref="H108:I108" si="91">IF(OR(C108=0,C108="SCORE"),"",C108)</f>
        <v/>
      </c>
      <c r="I108" s="13" t="str">
        <f t="shared" si="91"/>
        <v/>
      </c>
      <c r="J108" s="13" t="str">
        <f t="shared" si="3"/>
        <v/>
      </c>
      <c r="K108" s="13" t="str">
        <f t="shared" si="4"/>
        <v>N/A</v>
      </c>
    </row>
    <row r="109" ht="15.75" customHeight="1">
      <c r="A109" s="1182" t="s">
        <v>731</v>
      </c>
      <c r="B109" s="1183"/>
      <c r="C109" s="1182" t="s">
        <v>510</v>
      </c>
      <c r="D109" s="1182" t="s">
        <v>510</v>
      </c>
      <c r="E109" s="1183"/>
      <c r="F109" s="1182" t="s">
        <v>732</v>
      </c>
      <c r="G109" s="13">
        <f t="shared" si="2"/>
        <v>1</v>
      </c>
      <c r="H109" s="224" t="str">
        <f t="shared" ref="H109:I109" si="92">IF(OR(C109=0,C109="SCORE"),"",C109)</f>
        <v/>
      </c>
      <c r="I109" s="13" t="str">
        <f t="shared" si="92"/>
        <v/>
      </c>
      <c r="J109" s="13" t="str">
        <f t="shared" si="3"/>
        <v/>
      </c>
      <c r="K109" s="13" t="str">
        <f t="shared" si="4"/>
        <v>N/A</v>
      </c>
    </row>
    <row r="110" ht="15.75" customHeight="1">
      <c r="A110" s="1185"/>
      <c r="B110" s="1179" t="s">
        <v>723</v>
      </c>
      <c r="C110" s="1186">
        <v>146.03</v>
      </c>
      <c r="D110" s="1186">
        <v>158.28</v>
      </c>
      <c r="E110" s="1179" t="s">
        <v>728</v>
      </c>
      <c r="F110" s="1185"/>
      <c r="G110" s="13" t="str">
        <f t="shared" si="2"/>
        <v>SAVAGES</v>
      </c>
      <c r="H110" s="1187">
        <f t="shared" ref="H110:I110" si="93">IF(OR(C110=0,C110="SCORE"),"",C110)</f>
        <v>146.03</v>
      </c>
      <c r="I110" s="1188">
        <f t="shared" si="93"/>
        <v>158.28</v>
      </c>
      <c r="J110" s="13" t="str">
        <f t="shared" si="3"/>
        <v>DEEZ NUTS</v>
      </c>
      <c r="K110" s="13" t="str">
        <f t="shared" si="4"/>
        <v>Game</v>
      </c>
    </row>
    <row r="111" ht="15.75" customHeight="1">
      <c r="A111" s="1185" t="s">
        <v>1857</v>
      </c>
      <c r="B111" s="1179"/>
      <c r="C111" s="1186"/>
      <c r="D111" s="1186"/>
      <c r="E111" s="1179"/>
      <c r="F111" s="1185" t="s">
        <v>1858</v>
      </c>
      <c r="G111" s="13">
        <f t="shared" si="2"/>
        <v>1</v>
      </c>
      <c r="H111" s="224" t="str">
        <f t="shared" ref="H111:I111" si="94">IF(OR(C111=0,C111="SCORE"),"",C111)</f>
        <v/>
      </c>
      <c r="I111" s="13" t="str">
        <f t="shared" si="94"/>
        <v/>
      </c>
      <c r="J111" s="13" t="str">
        <f t="shared" si="3"/>
        <v/>
      </c>
      <c r="K111" s="13" t="str">
        <f t="shared" si="4"/>
        <v>N/A</v>
      </c>
    </row>
    <row r="112" ht="15.75" customHeight="1">
      <c r="A112" s="1185"/>
      <c r="B112" s="1179" t="s">
        <v>724</v>
      </c>
      <c r="C112" s="1186">
        <v>141.51</v>
      </c>
      <c r="D112" s="1186">
        <v>155.36</v>
      </c>
      <c r="E112" s="1180" t="s">
        <v>722</v>
      </c>
      <c r="F112" s="1185"/>
      <c r="G112" s="13" t="str">
        <f t="shared" si="2"/>
        <v>METAMOOKDAWGS</v>
      </c>
      <c r="H112" s="1187">
        <f t="shared" ref="H112:I112" si="95">IF(OR(C112=0,C112="SCORE"),"",C112)</f>
        <v>141.51</v>
      </c>
      <c r="I112" s="1188">
        <f t="shared" si="95"/>
        <v>155.36</v>
      </c>
      <c r="J112" s="13" t="str">
        <f t="shared" si="3"/>
        <v>DECOUPES</v>
      </c>
      <c r="K112" s="13" t="str">
        <f t="shared" si="4"/>
        <v>Game</v>
      </c>
    </row>
    <row r="113" ht="15.75" customHeight="1">
      <c r="A113" s="1185" t="s">
        <v>1859</v>
      </c>
      <c r="B113" s="1179"/>
      <c r="C113" s="1186"/>
      <c r="D113" s="1186"/>
      <c r="E113" s="1180"/>
      <c r="F113" s="1189" t="s">
        <v>1860</v>
      </c>
      <c r="G113" s="13">
        <f t="shared" si="2"/>
        <v>1</v>
      </c>
      <c r="H113" s="224" t="str">
        <f t="shared" ref="H113:I113" si="96">IF(OR(C113=0,C113="SCORE"),"",C113)</f>
        <v/>
      </c>
      <c r="I113" s="13" t="str">
        <f t="shared" si="96"/>
        <v/>
      </c>
      <c r="J113" s="13" t="str">
        <f t="shared" si="3"/>
        <v/>
      </c>
      <c r="K113" s="13" t="str">
        <f t="shared" si="4"/>
        <v>N/A</v>
      </c>
    </row>
    <row r="114" ht="15.75" customHeight="1">
      <c r="A114" s="1185"/>
      <c r="B114" s="1179" t="s">
        <v>726</v>
      </c>
      <c r="C114" s="1186">
        <v>125.54</v>
      </c>
      <c r="D114" s="1186">
        <v>127.39</v>
      </c>
      <c r="E114" s="1179" t="s">
        <v>721</v>
      </c>
      <c r="F114" s="1185"/>
      <c r="G114" s="13" t="str">
        <f t="shared" si="2"/>
        <v>POPEYES</v>
      </c>
      <c r="H114" s="1187">
        <f t="shared" ref="H114:I114" si="97">IF(OR(C114=0,C114="SCORE"),"",C114)</f>
        <v>125.54</v>
      </c>
      <c r="I114" s="1188">
        <f t="shared" si="97"/>
        <v>127.39</v>
      </c>
      <c r="J114" s="13" t="str">
        <f t="shared" si="3"/>
        <v>MUTTS</v>
      </c>
      <c r="K114" s="13" t="str">
        <f t="shared" si="4"/>
        <v>Game</v>
      </c>
    </row>
    <row r="115" ht="15.75" customHeight="1">
      <c r="A115" s="1185" t="s">
        <v>1861</v>
      </c>
      <c r="B115" s="1179"/>
      <c r="C115" s="1186"/>
      <c r="D115" s="1186"/>
      <c r="E115" s="1179"/>
      <c r="F115" s="1185" t="s">
        <v>1862</v>
      </c>
      <c r="G115" s="13">
        <f t="shared" si="2"/>
        <v>1</v>
      </c>
      <c r="H115" s="224" t="str">
        <f t="shared" ref="H115:I115" si="98">IF(OR(C115=0,C115="SCORE"),"",C115)</f>
        <v/>
      </c>
      <c r="I115" s="13" t="str">
        <f t="shared" si="98"/>
        <v/>
      </c>
      <c r="J115" s="13" t="str">
        <f t="shared" si="3"/>
        <v/>
      </c>
      <c r="K115" s="13" t="str">
        <f t="shared" si="4"/>
        <v>N/A</v>
      </c>
    </row>
    <row r="116" ht="15.75" customHeight="1">
      <c r="A116" s="1185"/>
      <c r="B116" s="1179" t="s">
        <v>727</v>
      </c>
      <c r="C116" s="1186">
        <v>94.51</v>
      </c>
      <c r="D116" s="1186">
        <v>160.15</v>
      </c>
      <c r="E116" s="1179" t="s">
        <v>725</v>
      </c>
      <c r="F116" s="1185"/>
      <c r="G116" s="13" t="str">
        <f t="shared" si="2"/>
        <v>GREEN</v>
      </c>
      <c r="H116" s="1187">
        <f t="shared" ref="H116:I116" si="99">IF(OR(C116=0,C116="SCORE"),"",C116)</f>
        <v>94.51</v>
      </c>
      <c r="I116" s="1188">
        <f t="shared" si="99"/>
        <v>160.15</v>
      </c>
      <c r="J116" s="13" t="str">
        <f t="shared" si="3"/>
        <v>YARDIES</v>
      </c>
      <c r="K116" s="13" t="str">
        <f t="shared" si="4"/>
        <v>Game</v>
      </c>
    </row>
    <row r="117" ht="15.75" customHeight="1">
      <c r="A117" s="1185" t="s">
        <v>1863</v>
      </c>
      <c r="B117" s="1179"/>
      <c r="C117" s="1186"/>
      <c r="D117" s="1186"/>
      <c r="E117" s="1179"/>
      <c r="F117" s="1185" t="s">
        <v>1864</v>
      </c>
      <c r="G117" s="13">
        <f t="shared" si="2"/>
        <v>1</v>
      </c>
      <c r="H117" s="224" t="str">
        <f t="shared" ref="H117:I117" si="100">IF(OR(C117=0,C117="SCORE"),"",C117)</f>
        <v/>
      </c>
      <c r="I117" s="13" t="str">
        <f t="shared" si="100"/>
        <v/>
      </c>
      <c r="J117" s="13" t="str">
        <f t="shared" si="3"/>
        <v/>
      </c>
      <c r="K117" s="13" t="str">
        <f t="shared" si="4"/>
        <v>N/A</v>
      </c>
    </row>
    <row r="118" ht="19.5" customHeight="1">
      <c r="A118" s="1181" t="s">
        <v>900</v>
      </c>
      <c r="G118" s="13">
        <f t="shared" si="2"/>
        <v>1</v>
      </c>
      <c r="H118" s="224" t="str">
        <f t="shared" ref="H118:I118" si="101">IF(OR(C118=0,C118="SCORE"),"",C118)</f>
        <v/>
      </c>
      <c r="I118" s="13" t="str">
        <f t="shared" si="101"/>
        <v/>
      </c>
      <c r="J118" s="13" t="str">
        <f t="shared" si="3"/>
        <v/>
      </c>
      <c r="K118" s="13" t="str">
        <f t="shared" si="4"/>
        <v>N/A</v>
      </c>
    </row>
    <row r="119" ht="15.75" customHeight="1">
      <c r="A119" s="1182" t="s">
        <v>731</v>
      </c>
      <c r="B119" s="1183"/>
      <c r="C119" s="1182" t="s">
        <v>510</v>
      </c>
      <c r="D119" s="1182" t="s">
        <v>510</v>
      </c>
      <c r="E119" s="1183"/>
      <c r="F119" s="1182" t="s">
        <v>732</v>
      </c>
      <c r="G119" s="13">
        <f t="shared" si="2"/>
        <v>1</v>
      </c>
      <c r="H119" s="224" t="str">
        <f t="shared" ref="H119:I119" si="102">IF(OR(C119=0,C119="SCORE"),"",C119)</f>
        <v/>
      </c>
      <c r="I119" s="13" t="str">
        <f t="shared" si="102"/>
        <v/>
      </c>
      <c r="J119" s="13" t="str">
        <f t="shared" si="3"/>
        <v/>
      </c>
      <c r="K119" s="13" t="str">
        <f t="shared" si="4"/>
        <v>N/A</v>
      </c>
    </row>
    <row r="120" ht="15.75" customHeight="1">
      <c r="A120" s="1185"/>
      <c r="B120" s="1179" t="s">
        <v>723</v>
      </c>
      <c r="C120" s="1186">
        <v>188.32</v>
      </c>
      <c r="D120" s="1186">
        <v>128.06</v>
      </c>
      <c r="E120" s="1179" t="s">
        <v>727</v>
      </c>
      <c r="F120" s="1185"/>
      <c r="G120" s="13" t="str">
        <f t="shared" si="2"/>
        <v>SAVAGES</v>
      </c>
      <c r="H120" s="1187">
        <f t="shared" ref="H120:I120" si="103">IF(OR(C120=0,C120="SCORE"),"",C120)</f>
        <v>188.32</v>
      </c>
      <c r="I120" s="1188">
        <f t="shared" si="103"/>
        <v>128.06</v>
      </c>
      <c r="J120" s="13" t="str">
        <f t="shared" si="3"/>
        <v>GREEN</v>
      </c>
      <c r="K120" s="13" t="str">
        <f t="shared" si="4"/>
        <v>Game</v>
      </c>
    </row>
    <row r="121" ht="15.75" customHeight="1">
      <c r="A121" s="1185" t="s">
        <v>1866</v>
      </c>
      <c r="B121" s="1179"/>
      <c r="C121" s="1186"/>
      <c r="D121" s="1186"/>
      <c r="E121" s="1179"/>
      <c r="F121" s="1185" t="s">
        <v>1867</v>
      </c>
      <c r="G121" s="13">
        <f t="shared" si="2"/>
        <v>1</v>
      </c>
      <c r="H121" s="224" t="str">
        <f t="shared" ref="H121:I121" si="104">IF(OR(C121=0,C121="SCORE"),"",C121)</f>
        <v/>
      </c>
      <c r="I121" s="13" t="str">
        <f t="shared" si="104"/>
        <v/>
      </c>
      <c r="J121" s="13" t="str">
        <f t="shared" si="3"/>
        <v/>
      </c>
      <c r="K121" s="13" t="str">
        <f t="shared" si="4"/>
        <v>N/A</v>
      </c>
    </row>
    <row r="122" ht="15.75" customHeight="1">
      <c r="A122" s="1185"/>
      <c r="B122" s="1180" t="s">
        <v>722</v>
      </c>
      <c r="C122" s="1186">
        <v>104.22</v>
      </c>
      <c r="D122" s="1186">
        <v>149.06</v>
      </c>
      <c r="E122" s="1179" t="s">
        <v>726</v>
      </c>
      <c r="F122" s="1185"/>
      <c r="G122" s="13" t="str">
        <f t="shared" si="2"/>
        <v>DECOUPES</v>
      </c>
      <c r="H122" s="1187">
        <f t="shared" ref="H122:I122" si="105">IF(OR(C122=0,C122="SCORE"),"",C122)</f>
        <v>104.22</v>
      </c>
      <c r="I122" s="1188">
        <f t="shared" si="105"/>
        <v>149.06</v>
      </c>
      <c r="J122" s="13" t="str">
        <f t="shared" si="3"/>
        <v>POPEYES</v>
      </c>
      <c r="K122" s="13" t="str">
        <f t="shared" si="4"/>
        <v>Game</v>
      </c>
    </row>
    <row r="123" ht="15.75" customHeight="1">
      <c r="A123" s="1189" t="s">
        <v>1870</v>
      </c>
      <c r="B123" s="1180"/>
      <c r="C123" s="1186"/>
      <c r="D123" s="1186"/>
      <c r="E123" s="1179"/>
      <c r="F123" s="1185" t="s">
        <v>1872</v>
      </c>
      <c r="G123" s="13">
        <f t="shared" si="2"/>
        <v>1</v>
      </c>
      <c r="H123" s="224" t="str">
        <f t="shared" ref="H123:I123" si="106">IF(OR(C123=0,C123="SCORE"),"",C123)</f>
        <v/>
      </c>
      <c r="I123" s="13" t="str">
        <f t="shared" si="106"/>
        <v/>
      </c>
      <c r="J123" s="13" t="str">
        <f t="shared" si="3"/>
        <v/>
      </c>
      <c r="K123" s="13" t="str">
        <f t="shared" si="4"/>
        <v>N/A</v>
      </c>
    </row>
    <row r="124" ht="15.75" customHeight="1">
      <c r="A124" s="1185"/>
      <c r="B124" s="1179" t="s">
        <v>724</v>
      </c>
      <c r="C124" s="1186">
        <v>137.91</v>
      </c>
      <c r="D124" s="1186">
        <v>99.14</v>
      </c>
      <c r="E124" s="1179" t="s">
        <v>725</v>
      </c>
      <c r="F124" s="1185"/>
      <c r="G124" s="13" t="str">
        <f t="shared" si="2"/>
        <v>METAMOOKDAWGS</v>
      </c>
      <c r="H124" s="1187">
        <f t="shared" ref="H124:I124" si="107">IF(OR(C124=0,C124="SCORE"),"",C124)</f>
        <v>137.91</v>
      </c>
      <c r="I124" s="1188">
        <f t="shared" si="107"/>
        <v>99.14</v>
      </c>
      <c r="J124" s="13" t="str">
        <f t="shared" si="3"/>
        <v>YARDIES</v>
      </c>
      <c r="K124" s="13" t="str">
        <f t="shared" si="4"/>
        <v>Game</v>
      </c>
    </row>
    <row r="125" ht="15.75" customHeight="1">
      <c r="A125" s="1185" t="s">
        <v>1879</v>
      </c>
      <c r="B125" s="1179"/>
      <c r="C125" s="1186"/>
      <c r="D125" s="1186"/>
      <c r="E125" s="1179"/>
      <c r="F125" s="1185" t="s">
        <v>1880</v>
      </c>
      <c r="G125" s="13">
        <f t="shared" si="2"/>
        <v>1</v>
      </c>
      <c r="H125" s="224" t="str">
        <f t="shared" ref="H125:I125" si="108">IF(OR(C125=0,C125="SCORE"),"",C125)</f>
        <v/>
      </c>
      <c r="I125" s="13" t="str">
        <f t="shared" si="108"/>
        <v/>
      </c>
      <c r="J125" s="13" t="str">
        <f t="shared" si="3"/>
        <v/>
      </c>
      <c r="K125" s="13" t="str">
        <f t="shared" si="4"/>
        <v>N/A</v>
      </c>
    </row>
    <row r="126" ht="15.75" customHeight="1">
      <c r="A126" s="1185"/>
      <c r="B126" s="1179" t="s">
        <v>721</v>
      </c>
      <c r="C126" s="1186">
        <v>115.17</v>
      </c>
      <c r="D126" s="1186">
        <v>118.14</v>
      </c>
      <c r="E126" s="1179" t="s">
        <v>728</v>
      </c>
      <c r="F126" s="1185"/>
      <c r="G126" s="13" t="str">
        <f t="shared" si="2"/>
        <v>MUTTS</v>
      </c>
      <c r="H126" s="1187">
        <f t="shared" ref="H126:I126" si="109">IF(OR(C126=0,C126="SCORE"),"",C126)</f>
        <v>115.17</v>
      </c>
      <c r="I126" s="1188">
        <f t="shared" si="109"/>
        <v>118.14</v>
      </c>
      <c r="J126" s="13" t="str">
        <f t="shared" si="3"/>
        <v>DEEZ NUTS</v>
      </c>
      <c r="K126" s="13" t="str">
        <f t="shared" si="4"/>
        <v>Game</v>
      </c>
    </row>
    <row r="127" ht="15.75" customHeight="1">
      <c r="A127" s="1185" t="s">
        <v>1883</v>
      </c>
      <c r="B127" s="1179"/>
      <c r="C127" s="1186"/>
      <c r="D127" s="1186"/>
      <c r="E127" s="1179"/>
      <c r="F127" s="1185" t="s">
        <v>1884</v>
      </c>
      <c r="G127" s="13">
        <f t="shared" si="2"/>
        <v>1</v>
      </c>
      <c r="H127" s="224" t="str">
        <f t="shared" ref="H127:I127" si="110">IF(OR(C127=0,C127="SCORE"),"",C127)</f>
        <v/>
      </c>
      <c r="I127" s="13" t="str">
        <f t="shared" si="110"/>
        <v/>
      </c>
      <c r="J127" s="13" t="str">
        <f t="shared" si="3"/>
        <v/>
      </c>
      <c r="K127" s="13" t="str">
        <f t="shared" si="4"/>
        <v>N/A</v>
      </c>
    </row>
    <row r="128" ht="19.5" customHeight="1">
      <c r="A128" s="1181" t="s">
        <v>917</v>
      </c>
      <c r="G128" s="13">
        <f t="shared" si="2"/>
        <v>1</v>
      </c>
      <c r="H128" s="224" t="str">
        <f t="shared" ref="H128:I128" si="111">IF(OR(C128=0,C128="SCORE"),"",C128)</f>
        <v/>
      </c>
      <c r="I128" s="13" t="str">
        <f t="shared" si="111"/>
        <v/>
      </c>
      <c r="J128" s="13" t="str">
        <f t="shared" si="3"/>
        <v/>
      </c>
      <c r="K128" s="13" t="str">
        <f t="shared" si="4"/>
        <v>N/A</v>
      </c>
    </row>
    <row r="129" ht="15.75" customHeight="1">
      <c r="A129" s="1182" t="s">
        <v>731</v>
      </c>
      <c r="B129" s="1183"/>
      <c r="C129" s="1182" t="s">
        <v>510</v>
      </c>
      <c r="D129" s="1182" t="s">
        <v>510</v>
      </c>
      <c r="E129" s="1183"/>
      <c r="F129" s="1182" t="s">
        <v>732</v>
      </c>
      <c r="G129" s="13">
        <f t="shared" si="2"/>
        <v>1</v>
      </c>
      <c r="H129" s="224" t="str">
        <f t="shared" ref="H129:I129" si="112">IF(OR(C129=0,C129="SCORE"),"",C129)</f>
        <v/>
      </c>
      <c r="I129" s="13" t="str">
        <f t="shared" si="112"/>
        <v/>
      </c>
      <c r="J129" s="13" t="str">
        <f t="shared" si="3"/>
        <v/>
      </c>
      <c r="K129" s="13" t="str">
        <f t="shared" si="4"/>
        <v>N/A</v>
      </c>
    </row>
    <row r="130" ht="15.75" customHeight="1">
      <c r="A130" s="1185"/>
      <c r="B130" s="1179" t="s">
        <v>726</v>
      </c>
      <c r="C130" s="1186">
        <v>142.06</v>
      </c>
      <c r="D130" s="1186">
        <v>141.86</v>
      </c>
      <c r="E130" s="1179" t="s">
        <v>723</v>
      </c>
      <c r="F130" s="1185"/>
      <c r="G130" s="13" t="str">
        <f t="shared" si="2"/>
        <v>POPEYES</v>
      </c>
      <c r="H130" s="1187">
        <f t="shared" ref="H130:I130" si="113">IF(OR(C130=0,C130="SCORE"),"",C130)</f>
        <v>142.06</v>
      </c>
      <c r="I130" s="1188">
        <f t="shared" si="113"/>
        <v>141.86</v>
      </c>
      <c r="J130" s="13" t="str">
        <f t="shared" si="3"/>
        <v>SAVAGES</v>
      </c>
      <c r="K130" s="13" t="str">
        <f t="shared" si="4"/>
        <v>Game</v>
      </c>
    </row>
    <row r="131" ht="15.75" customHeight="1">
      <c r="A131" s="1185" t="s">
        <v>1890</v>
      </c>
      <c r="B131" s="1179"/>
      <c r="C131" s="1186"/>
      <c r="D131" s="1186"/>
      <c r="E131" s="1179"/>
      <c r="F131" s="1185" t="s">
        <v>1891</v>
      </c>
      <c r="G131" s="13">
        <f t="shared" si="2"/>
        <v>1</v>
      </c>
      <c r="H131" s="224" t="str">
        <f t="shared" ref="H131:I131" si="114">IF(OR(C131=0,C131="SCORE"),"",C131)</f>
        <v/>
      </c>
      <c r="I131" s="13" t="str">
        <f t="shared" si="114"/>
        <v/>
      </c>
      <c r="J131" s="13" t="str">
        <f t="shared" si="3"/>
        <v/>
      </c>
      <c r="K131" s="13" t="str">
        <f t="shared" si="4"/>
        <v>N/A</v>
      </c>
    </row>
    <row r="132" ht="15.75" customHeight="1">
      <c r="A132" s="1185"/>
      <c r="B132" s="1179" t="s">
        <v>728</v>
      </c>
      <c r="C132" s="1186">
        <v>118.66</v>
      </c>
      <c r="D132" s="1186">
        <v>149.07</v>
      </c>
      <c r="E132" s="1179" t="s">
        <v>725</v>
      </c>
      <c r="F132" s="1185"/>
      <c r="G132" s="13" t="str">
        <f t="shared" si="2"/>
        <v>DEEZ NUTS</v>
      </c>
      <c r="H132" s="1187">
        <f t="shared" ref="H132:I132" si="115">IF(OR(C132=0,C132="SCORE"),"",C132)</f>
        <v>118.66</v>
      </c>
      <c r="I132" s="1188">
        <f t="shared" si="115"/>
        <v>149.07</v>
      </c>
      <c r="J132" s="13" t="str">
        <f t="shared" si="3"/>
        <v>YARDIES</v>
      </c>
      <c r="K132" s="13" t="str">
        <f t="shared" si="4"/>
        <v>Game</v>
      </c>
    </row>
    <row r="133" ht="15.75" customHeight="1">
      <c r="A133" s="1185" t="s">
        <v>1895</v>
      </c>
      <c r="B133" s="1179"/>
      <c r="C133" s="1186"/>
      <c r="D133" s="1186"/>
      <c r="E133" s="1179"/>
      <c r="F133" s="1185" t="s">
        <v>1896</v>
      </c>
      <c r="G133" s="13">
        <f t="shared" si="2"/>
        <v>1</v>
      </c>
      <c r="H133" s="224" t="str">
        <f t="shared" ref="H133:I133" si="116">IF(OR(C133=0,C133="SCORE"),"",C133)</f>
        <v/>
      </c>
      <c r="I133" s="13" t="str">
        <f t="shared" si="116"/>
        <v/>
      </c>
      <c r="J133" s="13" t="str">
        <f t="shared" si="3"/>
        <v/>
      </c>
      <c r="K133" s="13" t="str">
        <f t="shared" si="4"/>
        <v>N/A</v>
      </c>
    </row>
    <row r="134" ht="15.75" customHeight="1">
      <c r="A134" s="1185"/>
      <c r="B134" s="1179" t="s">
        <v>721</v>
      </c>
      <c r="C134" s="1186">
        <v>126.0</v>
      </c>
      <c r="D134" s="1186">
        <v>122.8</v>
      </c>
      <c r="E134" s="1179" t="s">
        <v>724</v>
      </c>
      <c r="F134" s="1185"/>
      <c r="G134" s="13" t="str">
        <f t="shared" si="2"/>
        <v>MUTTS</v>
      </c>
      <c r="H134" s="1187">
        <f t="shared" ref="H134:I134" si="117">IF(OR(C134=0,C134="SCORE"),"",C134)</f>
        <v>126</v>
      </c>
      <c r="I134" s="1188">
        <f t="shared" si="117"/>
        <v>122.8</v>
      </c>
      <c r="J134" s="13" t="str">
        <f t="shared" si="3"/>
        <v>METAMOOKDAWGS</v>
      </c>
      <c r="K134" s="13" t="str">
        <f t="shared" si="4"/>
        <v>Game</v>
      </c>
    </row>
    <row r="135" ht="15.75" customHeight="1">
      <c r="A135" s="1185" t="s">
        <v>1900</v>
      </c>
      <c r="B135" s="1179"/>
      <c r="C135" s="1186"/>
      <c r="D135" s="1186"/>
      <c r="E135" s="1179"/>
      <c r="F135" s="1185" t="s">
        <v>1902</v>
      </c>
      <c r="G135" s="13">
        <f t="shared" si="2"/>
        <v>1</v>
      </c>
      <c r="H135" s="224" t="str">
        <f t="shared" ref="H135:I135" si="118">IF(OR(C135=0,C135="SCORE"),"",C135)</f>
        <v/>
      </c>
      <c r="I135" s="13" t="str">
        <f t="shared" si="118"/>
        <v/>
      </c>
      <c r="J135" s="13" t="str">
        <f t="shared" si="3"/>
        <v/>
      </c>
      <c r="K135" s="13" t="str">
        <f t="shared" si="4"/>
        <v>N/A</v>
      </c>
    </row>
    <row r="136" ht="15.75" customHeight="1">
      <c r="A136" s="1185"/>
      <c r="B136" s="1180" t="s">
        <v>722</v>
      </c>
      <c r="C136" s="1186">
        <v>152.28</v>
      </c>
      <c r="D136" s="1186">
        <v>78.25</v>
      </c>
      <c r="E136" s="1179" t="s">
        <v>727</v>
      </c>
      <c r="F136" s="1185"/>
      <c r="G136" s="13" t="str">
        <f t="shared" si="2"/>
        <v>DECOUPES</v>
      </c>
      <c r="H136" s="1187">
        <f t="shared" ref="H136:I136" si="119">IF(OR(C136=0,C136="SCORE"),"",C136)</f>
        <v>152.28</v>
      </c>
      <c r="I136" s="1188">
        <f t="shared" si="119"/>
        <v>78.25</v>
      </c>
      <c r="J136" s="13" t="str">
        <f t="shared" si="3"/>
        <v>GREEN</v>
      </c>
      <c r="K136" s="13" t="str">
        <f t="shared" si="4"/>
        <v>Game</v>
      </c>
    </row>
    <row r="137" ht="15.75" customHeight="1">
      <c r="A137" s="1189" t="s">
        <v>1905</v>
      </c>
      <c r="B137" s="1180"/>
      <c r="C137" s="1186"/>
      <c r="D137" s="1186"/>
      <c r="E137" s="1179"/>
      <c r="F137" s="1185" t="s">
        <v>1906</v>
      </c>
      <c r="G137" s="13">
        <f t="shared" si="2"/>
        <v>1</v>
      </c>
      <c r="H137" s="224" t="str">
        <f t="shared" ref="H137:I137" si="120">IF(OR(C137=0,C137="SCORE"),"",C137)</f>
        <v/>
      </c>
      <c r="I137" s="13" t="str">
        <f t="shared" si="120"/>
        <v/>
      </c>
      <c r="J137" s="13" t="str">
        <f t="shared" si="3"/>
        <v/>
      </c>
      <c r="K137" s="13" t="str">
        <f t="shared" si="4"/>
        <v>N/A</v>
      </c>
    </row>
    <row r="138" ht="19.5" customHeight="1">
      <c r="A138" s="1181" t="s">
        <v>930</v>
      </c>
      <c r="G138" s="13">
        <f t="shared" si="2"/>
        <v>1</v>
      </c>
      <c r="H138" s="224" t="str">
        <f t="shared" ref="H138:I138" si="121">IF(OR(C138=0,C138="SCORE"),"",C138)</f>
        <v/>
      </c>
      <c r="I138" s="13" t="str">
        <f t="shared" si="121"/>
        <v/>
      </c>
      <c r="J138" s="13" t="str">
        <f t="shared" si="3"/>
        <v/>
      </c>
      <c r="K138" s="13" t="str">
        <f t="shared" si="4"/>
        <v>N/A</v>
      </c>
    </row>
    <row r="139" ht="15.75" customHeight="1">
      <c r="A139" s="1182" t="s">
        <v>731</v>
      </c>
      <c r="B139" s="1183"/>
      <c r="C139" s="1182" t="s">
        <v>510</v>
      </c>
      <c r="D139" s="1182" t="s">
        <v>510</v>
      </c>
      <c r="E139" s="1183"/>
      <c r="F139" s="1182" t="s">
        <v>732</v>
      </c>
      <c r="G139" s="13">
        <f t="shared" si="2"/>
        <v>1</v>
      </c>
      <c r="H139" s="224" t="str">
        <f t="shared" ref="H139:I139" si="122">IF(OR(C139=0,C139="SCORE"),"",C139)</f>
        <v/>
      </c>
      <c r="I139" s="13" t="str">
        <f t="shared" si="122"/>
        <v/>
      </c>
      <c r="J139" s="13" t="str">
        <f t="shared" si="3"/>
        <v/>
      </c>
      <c r="K139" s="13" t="str">
        <f t="shared" si="4"/>
        <v>N/A</v>
      </c>
    </row>
    <row r="140" ht="15.75" customHeight="1">
      <c r="A140" s="1185"/>
      <c r="B140" s="1179" t="s">
        <v>725</v>
      </c>
      <c r="C140" s="1186">
        <v>132.9</v>
      </c>
      <c r="D140" s="1186">
        <v>132.02</v>
      </c>
      <c r="E140" s="1179" t="s">
        <v>721</v>
      </c>
      <c r="F140" s="1185"/>
      <c r="G140" s="13" t="str">
        <f t="shared" si="2"/>
        <v>YARDIES</v>
      </c>
      <c r="H140" s="1187">
        <f t="shared" ref="H140:I140" si="123">IF(OR(C140=0,C140="SCORE"),"",C140)</f>
        <v>132.9</v>
      </c>
      <c r="I140" s="1188">
        <f t="shared" si="123"/>
        <v>132.02</v>
      </c>
      <c r="J140" s="13" t="str">
        <f t="shared" si="3"/>
        <v>MUTTS</v>
      </c>
      <c r="K140" s="13" t="str">
        <f t="shared" si="4"/>
        <v>Game</v>
      </c>
    </row>
    <row r="141" ht="15.75" customHeight="1">
      <c r="A141" s="1185" t="s">
        <v>1910</v>
      </c>
      <c r="B141" s="1179"/>
      <c r="C141" s="1186"/>
      <c r="D141" s="1186"/>
      <c r="E141" s="1179"/>
      <c r="F141" s="1185" t="s">
        <v>1912</v>
      </c>
      <c r="G141" s="13">
        <f t="shared" si="2"/>
        <v>1</v>
      </c>
      <c r="H141" s="224" t="str">
        <f t="shared" ref="H141:I141" si="124">IF(OR(C141=0,C141="SCORE"),"",C141)</f>
        <v/>
      </c>
      <c r="I141" s="13" t="str">
        <f t="shared" si="124"/>
        <v/>
      </c>
      <c r="J141" s="13" t="str">
        <f t="shared" si="3"/>
        <v/>
      </c>
      <c r="K141" s="13" t="str">
        <f t="shared" si="4"/>
        <v>N/A</v>
      </c>
    </row>
    <row r="142" ht="15.75" customHeight="1">
      <c r="A142" s="1185"/>
      <c r="B142" s="1180" t="s">
        <v>722</v>
      </c>
      <c r="C142" s="1186">
        <v>106.59</v>
      </c>
      <c r="D142" s="1186">
        <v>96.63</v>
      </c>
      <c r="E142" s="1179" t="s">
        <v>723</v>
      </c>
      <c r="F142" s="1185"/>
      <c r="G142" s="13" t="str">
        <f t="shared" si="2"/>
        <v>DECOUPES</v>
      </c>
      <c r="H142" s="1187">
        <f t="shared" ref="H142:I142" si="125">IF(OR(C142=0,C142="SCORE"),"",C142)</f>
        <v>106.59</v>
      </c>
      <c r="I142" s="1188">
        <f t="shared" si="125"/>
        <v>96.63</v>
      </c>
      <c r="J142" s="13" t="str">
        <f t="shared" si="3"/>
        <v>SAVAGES</v>
      </c>
      <c r="K142" s="13" t="str">
        <f t="shared" si="4"/>
        <v>Game</v>
      </c>
    </row>
    <row r="143" ht="15.75" customHeight="1">
      <c r="A143" s="1189" t="s">
        <v>1914</v>
      </c>
      <c r="B143" s="1180"/>
      <c r="C143" s="1186"/>
      <c r="D143" s="1186"/>
      <c r="E143" s="1179"/>
      <c r="F143" s="1185" t="s">
        <v>1915</v>
      </c>
      <c r="G143" s="13">
        <f t="shared" si="2"/>
        <v>1</v>
      </c>
      <c r="H143" s="224" t="str">
        <f t="shared" ref="H143:I143" si="126">IF(OR(C143=0,C143="SCORE"),"",C143)</f>
        <v/>
      </c>
      <c r="I143" s="13" t="str">
        <f t="shared" si="126"/>
        <v/>
      </c>
      <c r="J143" s="13" t="str">
        <f t="shared" si="3"/>
        <v/>
      </c>
      <c r="K143" s="13" t="str">
        <f t="shared" si="4"/>
        <v>N/A</v>
      </c>
    </row>
    <row r="144" ht="15.75" customHeight="1">
      <c r="A144" s="1185"/>
      <c r="B144" s="1179" t="s">
        <v>724</v>
      </c>
      <c r="C144" s="1186">
        <v>125.94</v>
      </c>
      <c r="D144" s="1186">
        <v>107.52</v>
      </c>
      <c r="E144" s="1179" t="s">
        <v>728</v>
      </c>
      <c r="F144" s="1185"/>
      <c r="G144" s="13" t="str">
        <f t="shared" si="2"/>
        <v>METAMOOKDAWGS</v>
      </c>
      <c r="H144" s="1187">
        <f t="shared" ref="H144:I144" si="127">IF(OR(C144=0,C144="SCORE"),"",C144)</f>
        <v>125.94</v>
      </c>
      <c r="I144" s="1188">
        <f t="shared" si="127"/>
        <v>107.52</v>
      </c>
      <c r="J144" s="13" t="str">
        <f t="shared" si="3"/>
        <v>DEEZ NUTS</v>
      </c>
      <c r="K144" s="13" t="str">
        <f t="shared" si="4"/>
        <v>Game</v>
      </c>
    </row>
    <row r="145" ht="15.75" customHeight="1">
      <c r="A145" s="1185" t="s">
        <v>1919</v>
      </c>
      <c r="B145" s="1179"/>
      <c r="C145" s="1186"/>
      <c r="D145" s="1186"/>
      <c r="E145" s="1179"/>
      <c r="F145" s="1185" t="s">
        <v>1920</v>
      </c>
      <c r="G145" s="13">
        <f t="shared" si="2"/>
        <v>1</v>
      </c>
      <c r="H145" s="224" t="str">
        <f t="shared" ref="H145:I145" si="128">IF(OR(C145=0,C145="SCORE"),"",C145)</f>
        <v/>
      </c>
      <c r="I145" s="13" t="str">
        <f t="shared" si="128"/>
        <v/>
      </c>
      <c r="J145" s="13" t="str">
        <f t="shared" si="3"/>
        <v/>
      </c>
      <c r="K145" s="13" t="str">
        <f t="shared" si="4"/>
        <v>N/A</v>
      </c>
    </row>
    <row r="146" ht="15.75" customHeight="1">
      <c r="A146" s="1185"/>
      <c r="B146" s="1179" t="s">
        <v>727</v>
      </c>
      <c r="C146" s="1186">
        <v>92.4</v>
      </c>
      <c r="D146" s="1186">
        <v>112.96</v>
      </c>
      <c r="E146" s="1179" t="s">
        <v>726</v>
      </c>
      <c r="F146" s="1185"/>
      <c r="G146" s="13" t="str">
        <f t="shared" si="2"/>
        <v>GREEN</v>
      </c>
      <c r="H146" s="1187">
        <f t="shared" ref="H146:I146" si="129">IF(OR(C146=0,C146="SCORE"),"",C146)</f>
        <v>92.4</v>
      </c>
      <c r="I146" s="1188">
        <f t="shared" si="129"/>
        <v>112.96</v>
      </c>
      <c r="J146" s="13" t="str">
        <f t="shared" si="3"/>
        <v>POPEYES</v>
      </c>
      <c r="K146" s="13" t="str">
        <f t="shared" si="4"/>
        <v>Game</v>
      </c>
    </row>
    <row r="147" ht="15.75" customHeight="1">
      <c r="A147" s="1185" t="s">
        <v>1923</v>
      </c>
      <c r="B147" s="1179"/>
      <c r="C147" s="1186"/>
      <c r="D147" s="1186"/>
      <c r="E147" s="1179"/>
      <c r="F147" s="1185" t="s">
        <v>1924</v>
      </c>
      <c r="G147" s="13">
        <f t="shared" si="2"/>
        <v>1</v>
      </c>
      <c r="H147" s="224" t="str">
        <f t="shared" ref="H147:I147" si="130">IF(OR(C147=0,C147="SCORE"),"",C147)</f>
        <v/>
      </c>
      <c r="I147" s="13" t="str">
        <f t="shared" si="130"/>
        <v/>
      </c>
      <c r="J147" s="13" t="str">
        <f t="shared" si="3"/>
        <v/>
      </c>
      <c r="K147" s="13" t="str">
        <f t="shared" si="4"/>
        <v>N/A</v>
      </c>
    </row>
    <row r="148" ht="15.75" hidden="1" customHeight="1">
      <c r="A148" s="1644"/>
      <c r="B148" s="1645"/>
      <c r="C148" s="1646"/>
      <c r="D148" s="1646"/>
      <c r="E148" s="1645"/>
      <c r="F148" s="1644"/>
      <c r="G148" s="1647"/>
      <c r="H148" s="1648"/>
      <c r="I148" s="1647"/>
      <c r="J148" s="1647"/>
      <c r="K148" s="1647"/>
      <c r="L148" s="1647"/>
      <c r="M148" s="1647"/>
      <c r="N148" s="1647"/>
      <c r="O148" s="1647"/>
      <c r="P148" s="1647"/>
      <c r="Q148" s="1647"/>
      <c r="R148" s="1647"/>
      <c r="S148" s="1647"/>
      <c r="T148" s="1647"/>
      <c r="U148" s="1647"/>
      <c r="V148" s="1647"/>
      <c r="W148" s="1647"/>
      <c r="X148" s="1647"/>
      <c r="Y148" s="1647"/>
      <c r="Z148" s="1647"/>
    </row>
    <row r="149" ht="19.5" customHeight="1">
      <c r="A149" s="1181" t="s">
        <v>947</v>
      </c>
      <c r="G149" s="13">
        <f t="shared" ref="G149:G181" si="132">IFERROR(VLOOKUP(B149, $A$2:$B$9, 2, FALSE),1)</f>
        <v>1</v>
      </c>
      <c r="H149" s="224" t="str">
        <f t="shared" ref="H149:I149" si="131">IF(OR(C149=0,C149="SCORE"),"",C149)</f>
        <v/>
      </c>
      <c r="I149" s="13" t="str">
        <f t="shared" si="131"/>
        <v/>
      </c>
      <c r="J149" s="13" t="str">
        <f t="shared" ref="J149:J181" si="134">IFERROR(VLOOKUP(E149, $A$2:$B$9, 2, FALSE),"")</f>
        <v/>
      </c>
      <c r="K149" s="13" t="str">
        <f t="shared" ref="K149:K181" si="135">IF(G149&lt;&gt;1, "Game", "N/A")</f>
        <v>N/A</v>
      </c>
    </row>
    <row r="150" ht="15.75" customHeight="1">
      <c r="A150" s="1182" t="s">
        <v>731</v>
      </c>
      <c r="B150" s="1183"/>
      <c r="C150" s="1182" t="s">
        <v>510</v>
      </c>
      <c r="D150" s="1182" t="s">
        <v>510</v>
      </c>
      <c r="E150" s="1183"/>
      <c r="F150" s="1182" t="s">
        <v>732</v>
      </c>
      <c r="G150" s="13">
        <f t="shared" si="132"/>
        <v>1</v>
      </c>
      <c r="H150" s="224" t="str">
        <f t="shared" ref="H150:I150" si="133">IF(OR(C150=0,C150="SCORE"),"",C150)</f>
        <v/>
      </c>
      <c r="I150" s="13" t="str">
        <f t="shared" si="133"/>
        <v/>
      </c>
      <c r="J150" s="13" t="str">
        <f t="shared" si="134"/>
        <v/>
      </c>
      <c r="K150" s="13" t="str">
        <f t="shared" si="135"/>
        <v>N/A</v>
      </c>
    </row>
    <row r="151" ht="15.75" customHeight="1">
      <c r="A151" s="1649"/>
      <c r="B151" s="1650" t="s">
        <v>727</v>
      </c>
      <c r="C151" s="1651">
        <v>101.86</v>
      </c>
      <c r="D151" s="1651">
        <v>155.85</v>
      </c>
      <c r="E151" s="1650" t="s">
        <v>728</v>
      </c>
      <c r="F151" s="1649"/>
      <c r="G151" s="1172" t="str">
        <f t="shared" si="132"/>
        <v>GREEN</v>
      </c>
      <c r="H151" s="1652">
        <f t="shared" ref="H151:I151" si="136">IF(OR(C151=0,C151="SCORE"),"",C151)</f>
        <v>101.86</v>
      </c>
      <c r="I151" s="1653">
        <f t="shared" si="136"/>
        <v>155.85</v>
      </c>
      <c r="J151" s="1172" t="str">
        <f t="shared" si="134"/>
        <v>DEEZ NUTS</v>
      </c>
      <c r="K151" s="1172" t="str">
        <f t="shared" si="135"/>
        <v>Game</v>
      </c>
      <c r="L151" s="1172"/>
      <c r="M151" s="1172"/>
      <c r="N151" s="1172"/>
      <c r="O151" s="1172"/>
      <c r="P151" s="1172"/>
      <c r="Q151" s="1172"/>
      <c r="R151" s="1172"/>
      <c r="S151" s="1172"/>
      <c r="T151" s="1172"/>
      <c r="U151" s="1172"/>
      <c r="V151" s="1172"/>
      <c r="W151" s="1172"/>
      <c r="X151" s="1172"/>
      <c r="Y151" s="1172"/>
      <c r="Z151" s="1172"/>
    </row>
    <row r="152" ht="15.75" customHeight="1">
      <c r="A152" s="1649" t="s">
        <v>1932</v>
      </c>
      <c r="B152" s="1650"/>
      <c r="C152" s="1651"/>
      <c r="D152" s="1651"/>
      <c r="E152" s="1650"/>
      <c r="F152" s="1649" t="s">
        <v>1933</v>
      </c>
      <c r="G152" s="1172">
        <f t="shared" si="132"/>
        <v>1</v>
      </c>
      <c r="H152" s="1654" t="str">
        <f t="shared" ref="H152:I152" si="137">IF(OR(C152=0,C152="SCORE"),"",C152)</f>
        <v/>
      </c>
      <c r="I152" s="1172" t="str">
        <f t="shared" si="137"/>
        <v/>
      </c>
      <c r="J152" s="1172" t="str">
        <f t="shared" si="134"/>
        <v/>
      </c>
      <c r="K152" s="1172" t="str">
        <f t="shared" si="135"/>
        <v>N/A</v>
      </c>
      <c r="L152" s="1172"/>
      <c r="M152" s="1172"/>
      <c r="N152" s="1172"/>
      <c r="O152" s="1172"/>
      <c r="P152" s="1172"/>
      <c r="Q152" s="1172"/>
      <c r="R152" s="1172"/>
      <c r="S152" s="1172"/>
      <c r="T152" s="1172"/>
      <c r="U152" s="1172"/>
      <c r="V152" s="1172"/>
      <c r="W152" s="1172"/>
      <c r="X152" s="1172"/>
      <c r="Y152" s="1172"/>
      <c r="Z152" s="1172"/>
    </row>
    <row r="153" ht="15.75" customHeight="1">
      <c r="A153" s="1185"/>
      <c r="B153" s="1180" t="s">
        <v>722</v>
      </c>
      <c r="C153" s="1186">
        <v>161.38</v>
      </c>
      <c r="D153" s="1186">
        <v>92.61</v>
      </c>
      <c r="E153" s="1179" t="s">
        <v>721</v>
      </c>
      <c r="F153" s="1185"/>
      <c r="G153" s="13" t="str">
        <f t="shared" si="132"/>
        <v>DECOUPES</v>
      </c>
      <c r="H153" s="1187">
        <f t="shared" ref="H153:I153" si="138">IF(OR(C153=0,C153="SCORE"),"",C153)</f>
        <v>161.38</v>
      </c>
      <c r="I153" s="1188">
        <f t="shared" si="138"/>
        <v>92.61</v>
      </c>
      <c r="J153" s="13" t="str">
        <f t="shared" si="134"/>
        <v>MUTTS</v>
      </c>
      <c r="K153" s="13" t="str">
        <f t="shared" si="135"/>
        <v>Game</v>
      </c>
    </row>
    <row r="154" ht="15.75" customHeight="1">
      <c r="A154" s="1189" t="s">
        <v>1935</v>
      </c>
      <c r="B154" s="1180"/>
      <c r="C154" s="1186"/>
      <c r="D154" s="1186"/>
      <c r="E154" s="1179"/>
      <c r="F154" s="1185" t="s">
        <v>1937</v>
      </c>
      <c r="G154" s="13">
        <f t="shared" si="132"/>
        <v>1</v>
      </c>
      <c r="H154" s="224" t="str">
        <f t="shared" ref="H154:I154" si="139">IF(OR(C154=0,C154="SCORE"),"",C154)</f>
        <v/>
      </c>
      <c r="I154" s="13" t="str">
        <f t="shared" si="139"/>
        <v/>
      </c>
      <c r="J154" s="13" t="str">
        <f t="shared" si="134"/>
        <v/>
      </c>
      <c r="K154" s="13" t="str">
        <f t="shared" si="135"/>
        <v>N/A</v>
      </c>
    </row>
    <row r="155" ht="15.75" customHeight="1">
      <c r="A155" s="1185"/>
      <c r="B155" s="1179" t="s">
        <v>725</v>
      </c>
      <c r="C155" s="1186">
        <v>120.06</v>
      </c>
      <c r="D155" s="1186">
        <v>152.5</v>
      </c>
      <c r="E155" s="1179" t="s">
        <v>726</v>
      </c>
      <c r="F155" s="1185"/>
      <c r="G155" s="13" t="str">
        <f t="shared" si="132"/>
        <v>YARDIES</v>
      </c>
      <c r="H155" s="1187">
        <f t="shared" ref="H155:I155" si="140">IF(OR(C155=0,C155="SCORE"),"",C155)</f>
        <v>120.06</v>
      </c>
      <c r="I155" s="1188">
        <f t="shared" si="140"/>
        <v>152.5</v>
      </c>
      <c r="J155" s="13" t="str">
        <f t="shared" si="134"/>
        <v>POPEYES</v>
      </c>
      <c r="K155" s="13" t="str">
        <f t="shared" si="135"/>
        <v>Game</v>
      </c>
    </row>
    <row r="156" ht="15.75" customHeight="1">
      <c r="A156" s="1185" t="s">
        <v>1940</v>
      </c>
      <c r="B156" s="1179"/>
      <c r="C156" s="1186"/>
      <c r="D156" s="1186"/>
      <c r="E156" s="1179"/>
      <c r="F156" s="1185" t="s">
        <v>1941</v>
      </c>
      <c r="G156" s="13">
        <f t="shared" si="132"/>
        <v>1</v>
      </c>
      <c r="H156" s="224" t="str">
        <f t="shared" ref="H156:I156" si="141">IF(OR(C156=0,C156="SCORE"),"",C156)</f>
        <v/>
      </c>
      <c r="I156" s="13" t="str">
        <f t="shared" si="141"/>
        <v/>
      </c>
      <c r="J156" s="13" t="str">
        <f t="shared" si="134"/>
        <v/>
      </c>
      <c r="K156" s="13" t="str">
        <f t="shared" si="135"/>
        <v>N/A</v>
      </c>
    </row>
    <row r="157" ht="15.75" customHeight="1">
      <c r="A157" s="1208" t="s">
        <v>850</v>
      </c>
      <c r="G157" s="13">
        <f t="shared" si="132"/>
        <v>1</v>
      </c>
      <c r="H157" s="224" t="str">
        <f t="shared" ref="H157:I157" si="142">IF(OR(C157=0,C157="SCORE"),"",C157)</f>
        <v/>
      </c>
      <c r="I157" s="13" t="str">
        <f t="shared" si="142"/>
        <v/>
      </c>
      <c r="J157" s="13" t="str">
        <f t="shared" si="134"/>
        <v/>
      </c>
      <c r="K157" s="13" t="str">
        <f t="shared" si="135"/>
        <v>N/A</v>
      </c>
    </row>
    <row r="158" ht="19.5" customHeight="1">
      <c r="A158" s="1209"/>
      <c r="G158" s="13">
        <f t="shared" si="132"/>
        <v>1</v>
      </c>
      <c r="H158" s="224" t="str">
        <f t="shared" ref="H158:I158" si="143">IF(OR(C158=0,C158="SCORE"),"",C158)</f>
        <v/>
      </c>
      <c r="I158" s="13" t="str">
        <f t="shared" si="143"/>
        <v/>
      </c>
      <c r="J158" s="13" t="str">
        <f t="shared" si="134"/>
        <v/>
      </c>
      <c r="K158" s="13" t="str">
        <f t="shared" si="135"/>
        <v>N/A</v>
      </c>
    </row>
    <row r="159" ht="15.75" customHeight="1">
      <c r="A159" s="1208" t="s">
        <v>1943</v>
      </c>
      <c r="G159" s="13">
        <f t="shared" si="132"/>
        <v>1</v>
      </c>
      <c r="H159" s="224" t="str">
        <f t="shared" ref="H159:I159" si="144">IF(OR(C159=0,C159="SCORE"),"",C159)</f>
        <v/>
      </c>
      <c r="I159" s="13" t="str">
        <f t="shared" si="144"/>
        <v/>
      </c>
      <c r="J159" s="13" t="str">
        <f t="shared" si="134"/>
        <v/>
      </c>
      <c r="K159" s="13" t="str">
        <f t="shared" si="135"/>
        <v>N/A</v>
      </c>
    </row>
    <row r="160" ht="19.5" customHeight="1">
      <c r="A160" s="1209"/>
      <c r="G160" s="13">
        <f t="shared" si="132"/>
        <v>1</v>
      </c>
      <c r="H160" s="224" t="str">
        <f t="shared" ref="H160:I160" si="145">IF(OR(C160=0,C160="SCORE"),"",C160)</f>
        <v/>
      </c>
      <c r="I160" s="13" t="str">
        <f t="shared" si="145"/>
        <v/>
      </c>
      <c r="J160" s="13" t="str">
        <f t="shared" si="134"/>
        <v/>
      </c>
      <c r="K160" s="13" t="str">
        <f t="shared" si="135"/>
        <v>N/A</v>
      </c>
    </row>
    <row r="161" ht="15.75" customHeight="1">
      <c r="A161" s="1208" t="s">
        <v>1946</v>
      </c>
      <c r="G161" s="13">
        <f t="shared" si="132"/>
        <v>1</v>
      </c>
      <c r="H161" s="224" t="str">
        <f t="shared" ref="H161:I161" si="146">IF(OR(C161=0,C161="SCORE"),"",C161)</f>
        <v/>
      </c>
      <c r="I161" s="13" t="str">
        <f t="shared" si="146"/>
        <v/>
      </c>
      <c r="J161" s="13" t="str">
        <f t="shared" si="134"/>
        <v/>
      </c>
      <c r="K161" s="13" t="str">
        <f t="shared" si="135"/>
        <v>N/A</v>
      </c>
    </row>
    <row r="162" ht="19.5" customHeight="1">
      <c r="A162" s="1181" t="s">
        <v>963</v>
      </c>
      <c r="G162" s="13">
        <f t="shared" si="132"/>
        <v>1</v>
      </c>
      <c r="H162" s="224" t="str">
        <f t="shared" ref="H162:I162" si="147">IF(OR(C162=0,C162="SCORE"),"",C162)</f>
        <v/>
      </c>
      <c r="I162" s="13" t="str">
        <f t="shared" si="147"/>
        <v/>
      </c>
      <c r="J162" s="13" t="str">
        <f t="shared" si="134"/>
        <v/>
      </c>
      <c r="K162" s="13" t="str">
        <f t="shared" si="135"/>
        <v>N/A</v>
      </c>
    </row>
    <row r="163" ht="15.75" customHeight="1">
      <c r="A163" s="1182" t="s">
        <v>731</v>
      </c>
      <c r="B163" s="1183"/>
      <c r="C163" s="1182" t="s">
        <v>510</v>
      </c>
      <c r="D163" s="1182" t="s">
        <v>510</v>
      </c>
      <c r="E163" s="1183"/>
      <c r="F163" s="1182" t="s">
        <v>732</v>
      </c>
      <c r="G163" s="13">
        <f t="shared" si="132"/>
        <v>1</v>
      </c>
      <c r="H163" s="224" t="str">
        <f t="shared" ref="H163:I163" si="148">IF(OR(C163=0,C163="SCORE"),"",C163)</f>
        <v/>
      </c>
      <c r="I163" s="13" t="str">
        <f t="shared" si="148"/>
        <v/>
      </c>
      <c r="J163" s="13" t="str">
        <f t="shared" si="134"/>
        <v/>
      </c>
      <c r="K163" s="13" t="str">
        <f t="shared" si="135"/>
        <v>N/A</v>
      </c>
    </row>
    <row r="164" ht="15.75" customHeight="1">
      <c r="A164" s="1185"/>
      <c r="B164" s="1180" t="s">
        <v>722</v>
      </c>
      <c r="C164" s="1186">
        <v>152.75</v>
      </c>
      <c r="D164" s="1186">
        <v>153.06</v>
      </c>
      <c r="E164" s="1179" t="s">
        <v>723</v>
      </c>
      <c r="F164" s="1185"/>
      <c r="G164" s="13" t="str">
        <f t="shared" si="132"/>
        <v>DECOUPES</v>
      </c>
      <c r="H164" s="1187">
        <f t="shared" ref="H164:I164" si="149">IF(OR(C164=0,C164="SCORE"),"",C164)</f>
        <v>152.75</v>
      </c>
      <c r="I164" s="1188">
        <f t="shared" si="149"/>
        <v>153.06</v>
      </c>
      <c r="J164" s="13" t="str">
        <f t="shared" si="134"/>
        <v>SAVAGES</v>
      </c>
      <c r="K164" s="13" t="str">
        <f t="shared" si="135"/>
        <v>Game</v>
      </c>
    </row>
    <row r="165" ht="15.75" customHeight="1">
      <c r="A165" s="1189" t="s">
        <v>1950</v>
      </c>
      <c r="B165" s="1180"/>
      <c r="C165" s="1186"/>
      <c r="D165" s="1186"/>
      <c r="E165" s="1179"/>
      <c r="F165" s="1185" t="s">
        <v>1951</v>
      </c>
      <c r="G165" s="13">
        <f t="shared" si="132"/>
        <v>1</v>
      </c>
      <c r="H165" s="224" t="str">
        <f t="shared" ref="H165:I165" si="150">IF(OR(C165=0,C165="SCORE"),"",C165)</f>
        <v/>
      </c>
      <c r="I165" s="13" t="str">
        <f t="shared" si="150"/>
        <v/>
      </c>
      <c r="J165" s="13" t="str">
        <f t="shared" si="134"/>
        <v/>
      </c>
      <c r="K165" s="13" t="str">
        <f t="shared" si="135"/>
        <v>N/A</v>
      </c>
    </row>
    <row r="166" ht="15.75" customHeight="1">
      <c r="A166" s="1185"/>
      <c r="B166" s="1179" t="s">
        <v>728</v>
      </c>
      <c r="C166" s="1186">
        <v>129.3</v>
      </c>
      <c r="D166" s="1186">
        <v>141.14</v>
      </c>
      <c r="E166" s="1179" t="s">
        <v>724</v>
      </c>
      <c r="F166" s="1185"/>
      <c r="G166" s="13" t="str">
        <f t="shared" si="132"/>
        <v>DEEZ NUTS</v>
      </c>
      <c r="H166" s="1187">
        <f t="shared" ref="H166:I166" si="151">IF(OR(C166=0,C166="SCORE"),"",C166)</f>
        <v>129.3</v>
      </c>
      <c r="I166" s="1188">
        <f t="shared" si="151"/>
        <v>141.14</v>
      </c>
      <c r="J166" s="13" t="str">
        <f t="shared" si="134"/>
        <v>METAMOOKDAWGS</v>
      </c>
      <c r="K166" s="13" t="str">
        <f t="shared" si="135"/>
        <v>Game</v>
      </c>
    </row>
    <row r="167" ht="15.75" customHeight="1">
      <c r="A167" s="1185" t="s">
        <v>1956</v>
      </c>
      <c r="B167" s="1179"/>
      <c r="C167" s="1186"/>
      <c r="D167" s="1186"/>
      <c r="E167" s="1179"/>
      <c r="F167" s="1185" t="s">
        <v>1957</v>
      </c>
      <c r="G167" s="13">
        <f t="shared" si="132"/>
        <v>1</v>
      </c>
      <c r="H167" s="224" t="str">
        <f t="shared" ref="H167:I167" si="152">IF(OR(C167=0,C167="SCORE"),"",C167)</f>
        <v/>
      </c>
      <c r="I167" s="13" t="str">
        <f t="shared" si="152"/>
        <v/>
      </c>
      <c r="J167" s="13" t="str">
        <f t="shared" si="134"/>
        <v/>
      </c>
      <c r="K167" s="13" t="str">
        <f t="shared" si="135"/>
        <v>N/A</v>
      </c>
    </row>
    <row r="168" ht="15.75" customHeight="1">
      <c r="A168" s="1185"/>
      <c r="B168" s="1179" t="s">
        <v>727</v>
      </c>
      <c r="C168" s="1186">
        <v>161.53</v>
      </c>
      <c r="D168" s="1186">
        <v>128.82</v>
      </c>
      <c r="E168" s="1179" t="s">
        <v>721</v>
      </c>
      <c r="F168" s="1185"/>
      <c r="G168" s="13" t="str">
        <f t="shared" si="132"/>
        <v>GREEN</v>
      </c>
      <c r="H168" s="1187">
        <f t="shared" ref="H168:I168" si="153">IF(OR(C168=0,C168="SCORE"),"",C168)</f>
        <v>161.53</v>
      </c>
      <c r="I168" s="1188">
        <f t="shared" si="153"/>
        <v>128.82</v>
      </c>
      <c r="J168" s="13" t="str">
        <f t="shared" si="134"/>
        <v>MUTTS</v>
      </c>
      <c r="K168" s="13" t="str">
        <f t="shared" si="135"/>
        <v>Game</v>
      </c>
    </row>
    <row r="169" ht="15.75" customHeight="1">
      <c r="A169" s="1185" t="s">
        <v>1959</v>
      </c>
      <c r="B169" s="1179"/>
      <c r="C169" s="1186"/>
      <c r="D169" s="1186"/>
      <c r="E169" s="1179"/>
      <c r="F169" s="1185" t="s">
        <v>1960</v>
      </c>
      <c r="G169" s="13">
        <f t="shared" si="132"/>
        <v>1</v>
      </c>
      <c r="H169" s="224" t="str">
        <f t="shared" ref="H169:I169" si="154">IF(OR(C169=0,C169="SCORE"),"",C169)</f>
        <v/>
      </c>
      <c r="I169" s="13" t="str">
        <f t="shared" si="154"/>
        <v/>
      </c>
      <c r="J169" s="13" t="str">
        <f t="shared" si="134"/>
        <v/>
      </c>
      <c r="K169" s="13" t="str">
        <f t="shared" si="135"/>
        <v>N/A</v>
      </c>
    </row>
    <row r="170" ht="15.75" customHeight="1">
      <c r="A170" s="1185"/>
      <c r="B170" s="1179" t="s">
        <v>725</v>
      </c>
      <c r="C170" s="1186">
        <v>145.65</v>
      </c>
      <c r="D170" s="1186">
        <v>126.73</v>
      </c>
      <c r="E170" s="1179" t="s">
        <v>726</v>
      </c>
      <c r="F170" s="1185"/>
      <c r="G170" s="13" t="str">
        <f t="shared" si="132"/>
        <v>YARDIES</v>
      </c>
      <c r="H170" s="1187">
        <f t="shared" ref="H170:I170" si="155">IF(OR(C170=0,C170="SCORE"),"",C170)</f>
        <v>145.65</v>
      </c>
      <c r="I170" s="1188">
        <f t="shared" si="155"/>
        <v>126.73</v>
      </c>
      <c r="J170" s="13" t="str">
        <f t="shared" si="134"/>
        <v>POPEYES</v>
      </c>
      <c r="K170" s="13" t="str">
        <f t="shared" si="135"/>
        <v>Game</v>
      </c>
    </row>
    <row r="171" ht="15.75" customHeight="1">
      <c r="A171" s="1185" t="s">
        <v>1963</v>
      </c>
      <c r="B171" s="1179"/>
      <c r="C171" s="1186"/>
      <c r="D171" s="1186"/>
      <c r="E171" s="1179"/>
      <c r="F171" s="1185" t="s">
        <v>1964</v>
      </c>
      <c r="G171" s="13">
        <f t="shared" si="132"/>
        <v>1</v>
      </c>
      <c r="H171" s="224" t="str">
        <f t="shared" ref="H171:I171" si="156">IF(OR(C171=0,C171="SCORE"),"",C171)</f>
        <v/>
      </c>
      <c r="I171" s="13" t="str">
        <f t="shared" si="156"/>
        <v/>
      </c>
      <c r="J171" s="13" t="str">
        <f t="shared" si="134"/>
        <v/>
      </c>
      <c r="K171" s="13" t="str">
        <f t="shared" si="135"/>
        <v>N/A</v>
      </c>
    </row>
    <row r="172" ht="19.5" customHeight="1">
      <c r="A172" s="1181" t="s">
        <v>988</v>
      </c>
      <c r="G172" s="13">
        <f t="shared" si="132"/>
        <v>1</v>
      </c>
      <c r="H172" s="224" t="str">
        <f t="shared" ref="H172:I172" si="157">IF(OR(C172=0,C172="SCORE"),"",C172)</f>
        <v/>
      </c>
      <c r="I172" s="13" t="str">
        <f t="shared" si="157"/>
        <v/>
      </c>
      <c r="J172" s="13" t="str">
        <f t="shared" si="134"/>
        <v/>
      </c>
      <c r="K172" s="13" t="str">
        <f t="shared" si="135"/>
        <v>N/A</v>
      </c>
    </row>
    <row r="173" ht="15.75" customHeight="1">
      <c r="A173" s="1182" t="s">
        <v>731</v>
      </c>
      <c r="B173" s="1183"/>
      <c r="C173" s="1182" t="s">
        <v>510</v>
      </c>
      <c r="D173" s="1182" t="s">
        <v>510</v>
      </c>
      <c r="E173" s="1183"/>
      <c r="F173" s="1182" t="s">
        <v>732</v>
      </c>
      <c r="G173" s="13">
        <f t="shared" si="132"/>
        <v>1</v>
      </c>
      <c r="H173" s="224" t="str">
        <f t="shared" ref="H173:I173" si="158">IF(OR(C173=0,C173="SCORE"),"",C173)</f>
        <v/>
      </c>
      <c r="I173" s="13" t="str">
        <f t="shared" si="158"/>
        <v/>
      </c>
      <c r="J173" s="13" t="str">
        <f t="shared" si="134"/>
        <v/>
      </c>
      <c r="K173" s="13" t="str">
        <f t="shared" si="135"/>
        <v>N/A</v>
      </c>
    </row>
    <row r="174" ht="15.75" customHeight="1">
      <c r="A174" s="1185"/>
      <c r="B174" s="1179" t="s">
        <v>724</v>
      </c>
      <c r="C174" s="1186">
        <v>140.87</v>
      </c>
      <c r="D174" s="1186">
        <v>202.93</v>
      </c>
      <c r="E174" s="1179" t="s">
        <v>723</v>
      </c>
      <c r="F174" s="1185"/>
      <c r="G174" s="13" t="str">
        <f t="shared" si="132"/>
        <v>METAMOOKDAWGS</v>
      </c>
      <c r="H174" s="1187">
        <f t="shared" ref="H174:I174" si="159">IF(OR(C174=0,C174="SCORE"),"",C174)</f>
        <v>140.87</v>
      </c>
      <c r="I174" s="1188">
        <f t="shared" si="159"/>
        <v>202.93</v>
      </c>
      <c r="J174" s="13" t="str">
        <f t="shared" si="134"/>
        <v>SAVAGES</v>
      </c>
      <c r="K174" s="13" t="str">
        <f t="shared" si="135"/>
        <v>Game</v>
      </c>
    </row>
    <row r="175" ht="15.75" customHeight="1">
      <c r="A175" s="1185" t="s">
        <v>1969</v>
      </c>
      <c r="B175" s="1179"/>
      <c r="C175" s="1186"/>
      <c r="D175" s="1186"/>
      <c r="E175" s="1179"/>
      <c r="F175" s="1185" t="s">
        <v>1970</v>
      </c>
      <c r="G175" s="13">
        <f t="shared" si="132"/>
        <v>1</v>
      </c>
      <c r="H175" s="224" t="str">
        <f t="shared" ref="H175:I175" si="160">IF(OR(C175=0,C175="SCORE"),"",C175)</f>
        <v/>
      </c>
      <c r="I175" s="13" t="str">
        <f t="shared" si="160"/>
        <v/>
      </c>
      <c r="J175" s="13" t="str">
        <f t="shared" si="134"/>
        <v/>
      </c>
      <c r="K175" s="13" t="str">
        <f t="shared" si="135"/>
        <v>N/A</v>
      </c>
    </row>
    <row r="176" ht="15.75" customHeight="1">
      <c r="A176" s="1185"/>
      <c r="B176" s="1180" t="s">
        <v>722</v>
      </c>
      <c r="C176" s="1186">
        <v>125.39</v>
      </c>
      <c r="D176" s="1186">
        <v>108.41</v>
      </c>
      <c r="E176" s="1179" t="s">
        <v>728</v>
      </c>
      <c r="F176" s="1185"/>
      <c r="G176" s="13" t="str">
        <f t="shared" si="132"/>
        <v>DECOUPES</v>
      </c>
      <c r="H176" s="1187">
        <f t="shared" ref="H176:I176" si="161">IF(OR(C176=0,C176="SCORE"),"",C176)</f>
        <v>125.39</v>
      </c>
      <c r="I176" s="1188">
        <f t="shared" si="161"/>
        <v>108.41</v>
      </c>
      <c r="J176" s="13" t="str">
        <f t="shared" si="134"/>
        <v>DEEZ NUTS</v>
      </c>
      <c r="K176" s="13" t="str">
        <f t="shared" si="135"/>
        <v>Game</v>
      </c>
    </row>
    <row r="177" ht="15.75" customHeight="1">
      <c r="A177" s="1189" t="s">
        <v>1972</v>
      </c>
      <c r="B177" s="1180"/>
      <c r="C177" s="1186"/>
      <c r="D177" s="1186"/>
      <c r="E177" s="1179"/>
      <c r="F177" s="1185" t="s">
        <v>1973</v>
      </c>
      <c r="G177" s="13">
        <f t="shared" si="132"/>
        <v>1</v>
      </c>
      <c r="H177" s="224" t="str">
        <f t="shared" ref="H177:I177" si="162">IF(OR(C177=0,C177="SCORE"),"",C177)</f>
        <v/>
      </c>
      <c r="I177" s="13" t="str">
        <f t="shared" si="162"/>
        <v/>
      </c>
      <c r="J177" s="13" t="str">
        <f t="shared" si="134"/>
        <v/>
      </c>
      <c r="K177" s="13" t="str">
        <f t="shared" si="135"/>
        <v>N/A</v>
      </c>
    </row>
    <row r="178" ht="15.75" customHeight="1">
      <c r="A178" s="1185"/>
      <c r="B178" s="1179" t="s">
        <v>727</v>
      </c>
      <c r="C178" s="1186">
        <v>113.96</v>
      </c>
      <c r="D178" s="1186">
        <v>116.12</v>
      </c>
      <c r="E178" s="1179" t="s">
        <v>721</v>
      </c>
      <c r="F178" s="1185"/>
      <c r="G178" s="13" t="str">
        <f t="shared" si="132"/>
        <v>GREEN</v>
      </c>
      <c r="H178" s="1187">
        <f t="shared" ref="H178:I178" si="163">IF(OR(C178=0,C178="SCORE"),"",C178)</f>
        <v>113.96</v>
      </c>
      <c r="I178" s="1188">
        <f t="shared" si="163"/>
        <v>116.12</v>
      </c>
      <c r="J178" s="13" t="str">
        <f t="shared" si="134"/>
        <v>MUTTS</v>
      </c>
      <c r="K178" s="13" t="str">
        <f t="shared" si="135"/>
        <v>Game</v>
      </c>
    </row>
    <row r="179" ht="15.75" customHeight="1">
      <c r="A179" s="1185" t="s">
        <v>1976</v>
      </c>
      <c r="B179" s="1179"/>
      <c r="C179" s="1186"/>
      <c r="D179" s="1186"/>
      <c r="E179" s="1179"/>
      <c r="F179" s="1185" t="s">
        <v>1977</v>
      </c>
      <c r="G179" s="13">
        <f t="shared" si="132"/>
        <v>1</v>
      </c>
      <c r="H179" s="224" t="str">
        <f t="shared" ref="H179:I179" si="164">IF(OR(C179=0,C179="SCORE"),"",C179)</f>
        <v/>
      </c>
      <c r="I179" s="13" t="str">
        <f t="shared" si="164"/>
        <v/>
      </c>
      <c r="J179" s="13" t="str">
        <f t="shared" si="134"/>
        <v/>
      </c>
      <c r="K179" s="13" t="str">
        <f t="shared" si="135"/>
        <v>N/A</v>
      </c>
    </row>
    <row r="180" ht="15.75" customHeight="1">
      <c r="A180" s="1185"/>
      <c r="B180" s="1179" t="s">
        <v>725</v>
      </c>
      <c r="C180" s="1186">
        <v>137.57</v>
      </c>
      <c r="D180" s="1186">
        <v>144.41</v>
      </c>
      <c r="E180" s="1179" t="s">
        <v>726</v>
      </c>
      <c r="F180" s="1185"/>
      <c r="G180" s="13" t="str">
        <f t="shared" si="132"/>
        <v>YARDIES</v>
      </c>
      <c r="H180" s="1187">
        <f t="shared" ref="H180:I180" si="165">IF(OR(C180=0,C180="SCORE"),"",C180)</f>
        <v>137.57</v>
      </c>
      <c r="I180" s="1188">
        <f t="shared" si="165"/>
        <v>144.41</v>
      </c>
      <c r="J180" s="13" t="str">
        <f t="shared" si="134"/>
        <v>POPEYES</v>
      </c>
      <c r="K180" s="13" t="str">
        <f t="shared" si="135"/>
        <v>Game</v>
      </c>
    </row>
    <row r="181" ht="15.75" customHeight="1">
      <c r="A181" s="1185" t="s">
        <v>1981</v>
      </c>
      <c r="B181" s="1179"/>
      <c r="C181" s="1186"/>
      <c r="D181" s="1186"/>
      <c r="E181" s="1179"/>
      <c r="F181" s="1185" t="s">
        <v>1983</v>
      </c>
      <c r="G181" s="13">
        <f t="shared" si="132"/>
        <v>1</v>
      </c>
      <c r="H181" s="224" t="str">
        <f>IF(OR(C181=0,C181="SCORE"),"",C181)</f>
        <v/>
      </c>
      <c r="J181" s="13" t="str">
        <f t="shared" si="134"/>
        <v/>
      </c>
      <c r="K181" s="13" t="str">
        <f t="shared" si="135"/>
        <v>N/A</v>
      </c>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20:$K$181">
    <filterColumn colId="4">
      <customFilters>
        <customFilter operator="notEqual" val=" "/>
      </customFilters>
    </filterColumn>
  </autoFilter>
  <dataValidations>
    <dataValidation type="list" allowBlank="1" showInputMessage="1" showErrorMessage="1" prompt="Select a Team Name" sqref="B2:B9">
      <formula1>'League History'!$A$3:$A$14</formula1>
    </dataValidation>
  </dataValidations>
  <hyperlinks>
    <hyperlink r:id="rId1" ref="C20"/>
    <hyperlink r:id="rId2" ref="D20"/>
    <hyperlink r:id="rId3" ref="C22"/>
    <hyperlink r:id="rId4" ref="D22"/>
    <hyperlink r:id="rId5" ref="C24"/>
    <hyperlink r:id="rId6" ref="D24"/>
    <hyperlink r:id="rId7" ref="C26"/>
    <hyperlink r:id="rId8" ref="D26"/>
    <hyperlink r:id="rId9" ref="C30"/>
    <hyperlink r:id="rId10" ref="D30"/>
    <hyperlink r:id="rId11" ref="C32"/>
    <hyperlink r:id="rId12" ref="D32"/>
    <hyperlink r:id="rId13" ref="C34"/>
    <hyperlink r:id="rId14" ref="D34"/>
    <hyperlink r:id="rId15" ref="C36"/>
    <hyperlink r:id="rId16" ref="D36"/>
    <hyperlink r:id="rId17" ref="C40"/>
    <hyperlink r:id="rId18" ref="D40"/>
    <hyperlink r:id="rId19" ref="C42"/>
    <hyperlink r:id="rId20" ref="D42"/>
    <hyperlink r:id="rId21" ref="C44"/>
    <hyperlink r:id="rId22" ref="D44"/>
    <hyperlink r:id="rId23" ref="C46"/>
    <hyperlink r:id="rId24" ref="D46"/>
    <hyperlink r:id="rId25" ref="C50"/>
    <hyperlink r:id="rId26" ref="D50"/>
    <hyperlink r:id="rId27" ref="C52"/>
    <hyperlink r:id="rId28" ref="D52"/>
    <hyperlink r:id="rId29" ref="C54"/>
    <hyperlink r:id="rId30" ref="D54"/>
    <hyperlink r:id="rId31" ref="C56"/>
    <hyperlink r:id="rId32" ref="D56"/>
    <hyperlink r:id="rId33" ref="C60"/>
    <hyperlink r:id="rId34" ref="D60"/>
    <hyperlink r:id="rId35" ref="C62"/>
    <hyperlink r:id="rId36" ref="D62"/>
    <hyperlink r:id="rId37" ref="C64"/>
    <hyperlink r:id="rId38" ref="D64"/>
    <hyperlink r:id="rId39" ref="C66"/>
    <hyperlink r:id="rId40" ref="D66"/>
    <hyperlink r:id="rId41" ref="C70"/>
    <hyperlink r:id="rId42" ref="D70"/>
    <hyperlink r:id="rId43" ref="C72"/>
    <hyperlink r:id="rId44" ref="D72"/>
    <hyperlink r:id="rId45" ref="C74"/>
    <hyperlink r:id="rId46" ref="D74"/>
    <hyperlink r:id="rId47" ref="C76"/>
    <hyperlink r:id="rId48" ref="D76"/>
    <hyperlink r:id="rId49" ref="C80"/>
    <hyperlink r:id="rId50" ref="D80"/>
    <hyperlink r:id="rId51" ref="C82"/>
    <hyperlink r:id="rId52" ref="D82"/>
    <hyperlink r:id="rId53" ref="C84"/>
    <hyperlink r:id="rId54" ref="D84"/>
    <hyperlink r:id="rId55" ref="C86"/>
    <hyperlink r:id="rId56" ref="D86"/>
    <hyperlink r:id="rId57" ref="C90"/>
    <hyperlink r:id="rId58" ref="D90"/>
    <hyperlink r:id="rId59" ref="C92"/>
    <hyperlink r:id="rId60" ref="D92"/>
    <hyperlink r:id="rId61" ref="C94"/>
    <hyperlink r:id="rId62" ref="D94"/>
    <hyperlink r:id="rId63" ref="C96"/>
    <hyperlink r:id="rId64" ref="D96"/>
    <hyperlink r:id="rId65" ref="C100"/>
    <hyperlink r:id="rId66" ref="D100"/>
    <hyperlink r:id="rId67" ref="C102"/>
    <hyperlink r:id="rId68" ref="D102"/>
    <hyperlink r:id="rId69" ref="C104"/>
    <hyperlink r:id="rId70" ref="D104"/>
    <hyperlink r:id="rId71" ref="C106"/>
    <hyperlink r:id="rId72" ref="D106"/>
    <hyperlink r:id="rId73" ref="C110"/>
    <hyperlink r:id="rId74" ref="D110"/>
    <hyperlink r:id="rId75" ref="C112"/>
    <hyperlink r:id="rId76" ref="D112"/>
    <hyperlink r:id="rId77" ref="C114"/>
    <hyperlink r:id="rId78" ref="D114"/>
    <hyperlink r:id="rId79" ref="C116"/>
    <hyperlink r:id="rId80" ref="D116"/>
    <hyperlink r:id="rId81" ref="C120"/>
    <hyperlink r:id="rId82" ref="D120"/>
    <hyperlink r:id="rId83" ref="C122"/>
    <hyperlink r:id="rId84" ref="D122"/>
    <hyperlink r:id="rId85" ref="C124"/>
    <hyperlink r:id="rId86" ref="D124"/>
    <hyperlink r:id="rId87" ref="C126"/>
    <hyperlink r:id="rId88" ref="D126"/>
    <hyperlink r:id="rId89" ref="C130"/>
    <hyperlink r:id="rId90" ref="D130"/>
    <hyperlink r:id="rId91" ref="C132"/>
    <hyperlink r:id="rId92" ref="D132"/>
    <hyperlink r:id="rId93" ref="C134"/>
    <hyperlink r:id="rId94" ref="D134"/>
    <hyperlink r:id="rId95" ref="C136"/>
    <hyperlink r:id="rId96" ref="D136"/>
    <hyperlink r:id="rId97" ref="C140"/>
    <hyperlink r:id="rId98" ref="D140"/>
    <hyperlink r:id="rId99" ref="C142"/>
    <hyperlink r:id="rId100" ref="D142"/>
    <hyperlink r:id="rId101" ref="C144"/>
    <hyperlink r:id="rId102" ref="D144"/>
    <hyperlink r:id="rId103" ref="C146"/>
    <hyperlink r:id="rId104" ref="D146"/>
    <hyperlink r:id="rId105" ref="C151"/>
    <hyperlink r:id="rId106" ref="D151"/>
    <hyperlink r:id="rId107" ref="C153"/>
    <hyperlink r:id="rId108" ref="D153"/>
    <hyperlink r:id="rId109" ref="C155"/>
    <hyperlink r:id="rId110" ref="D155"/>
    <hyperlink r:id="rId111" ref="C164"/>
    <hyperlink r:id="rId112" ref="D164"/>
    <hyperlink r:id="rId113" ref="C166"/>
    <hyperlink r:id="rId114" ref="D166"/>
    <hyperlink r:id="rId115" ref="C168"/>
    <hyperlink r:id="rId116" ref="D168"/>
    <hyperlink r:id="rId117" ref="C170"/>
    <hyperlink r:id="rId118" ref="D170"/>
    <hyperlink r:id="rId119" ref="C174"/>
    <hyperlink r:id="rId120" ref="D174"/>
    <hyperlink r:id="rId121" ref="C176"/>
    <hyperlink r:id="rId122" ref="D176"/>
    <hyperlink r:id="rId123" ref="C178"/>
    <hyperlink r:id="rId124" ref="D178"/>
    <hyperlink r:id="rId125" ref="C180"/>
    <hyperlink r:id="rId126" ref="D180"/>
  </hyperlinks>
  <printOptions/>
  <pageMargins bottom="0.75" footer="0.0" header="0.0" left="0.7" right="0.7" top="0.75"/>
  <pageSetup orientation="landscape"/>
  <drawing r:id="rId12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8.0"/>
    <col customWidth="1" min="3" max="4" width="7.11"/>
    <col customWidth="1" min="5" max="5" width="16.33"/>
    <col customWidth="1" min="6" max="6" width="31.44"/>
    <col customWidth="1" min="7" max="7" width="10.0"/>
    <col customWidth="1" min="8" max="9" width="10.67"/>
    <col customWidth="1" min="10" max="10" width="18.0"/>
    <col customWidth="1" min="11" max="11" width="10.67"/>
    <col customWidth="1" min="12" max="26" width="10.56"/>
  </cols>
  <sheetData>
    <row r="1" ht="15.75" customHeight="1">
      <c r="A1" s="1179" t="s">
        <v>721</v>
      </c>
      <c r="B1" s="700" t="s">
        <v>538</v>
      </c>
      <c r="C1" s="13">
        <f t="shared" ref="C1:C10" si="1">COUNTIF($G$20:$G$211,B1)+COUNTIF($J$20:$J$211,B1)</f>
        <v>17</v>
      </c>
    </row>
    <row r="2" ht="15.75" customHeight="1">
      <c r="A2" s="1180" t="s">
        <v>722</v>
      </c>
      <c r="B2" s="700" t="s">
        <v>493</v>
      </c>
      <c r="C2" s="13">
        <f t="shared" si="1"/>
        <v>16</v>
      </c>
    </row>
    <row r="3" ht="15.75" customHeight="1">
      <c r="A3" s="1179" t="s">
        <v>723</v>
      </c>
      <c r="B3" s="700" t="s">
        <v>497</v>
      </c>
      <c r="C3" s="13">
        <f t="shared" si="1"/>
        <v>17</v>
      </c>
    </row>
    <row r="4" ht="15.75" customHeight="1">
      <c r="A4" s="1179" t="s">
        <v>724</v>
      </c>
      <c r="B4" s="700" t="s">
        <v>578</v>
      </c>
      <c r="C4" s="13">
        <f t="shared" si="1"/>
        <v>17</v>
      </c>
    </row>
    <row r="5" ht="15.75" customHeight="1">
      <c r="A5" s="1640" t="s">
        <v>725</v>
      </c>
      <c r="B5" s="700" t="s">
        <v>537</v>
      </c>
      <c r="C5" s="13">
        <f t="shared" si="1"/>
        <v>16</v>
      </c>
    </row>
    <row r="6" ht="15.75" customHeight="1">
      <c r="A6" s="1640" t="s">
        <v>726</v>
      </c>
      <c r="B6" s="700" t="s">
        <v>494</v>
      </c>
      <c r="C6" s="13">
        <f t="shared" si="1"/>
        <v>17</v>
      </c>
    </row>
    <row r="7" ht="15.75" customHeight="1">
      <c r="A7" s="1640" t="s">
        <v>727</v>
      </c>
      <c r="B7" s="700" t="s">
        <v>495</v>
      </c>
      <c r="C7" s="13">
        <f t="shared" si="1"/>
        <v>17</v>
      </c>
    </row>
    <row r="8" ht="15.75" customHeight="1">
      <c r="A8" s="1640" t="s">
        <v>728</v>
      </c>
      <c r="B8" s="700" t="s">
        <v>672</v>
      </c>
      <c r="C8" s="13">
        <f t="shared" si="1"/>
        <v>0</v>
      </c>
    </row>
    <row r="9" ht="15.75" customHeight="1">
      <c r="A9" s="1640" t="s">
        <v>729</v>
      </c>
      <c r="B9" s="700" t="s">
        <v>673</v>
      </c>
      <c r="C9" s="13">
        <f t="shared" si="1"/>
        <v>0</v>
      </c>
    </row>
    <row r="10" ht="15.75" customHeight="1">
      <c r="A10" s="1640" t="s">
        <v>743</v>
      </c>
      <c r="B10" s="700" t="s">
        <v>536</v>
      </c>
      <c r="C10" s="13">
        <f t="shared" si="1"/>
        <v>17</v>
      </c>
    </row>
    <row r="11" ht="15.75" customHeight="1"/>
    <row r="12" ht="15.75" customHeight="1"/>
    <row r="13" ht="15.75" customHeight="1"/>
    <row r="14" ht="15.75" customHeight="1"/>
    <row r="15" ht="15.75" customHeight="1"/>
    <row r="16" ht="15.75" customHeight="1"/>
    <row r="17" ht="15.75" customHeight="1"/>
    <row r="18" ht="15.75" customHeight="1">
      <c r="A18" s="1181" t="s">
        <v>730</v>
      </c>
    </row>
    <row r="19" ht="15.75" customHeight="1">
      <c r="A19" s="1182" t="s">
        <v>731</v>
      </c>
      <c r="B19" s="1182" t="s">
        <v>1865</v>
      </c>
      <c r="C19" s="1182" t="s">
        <v>510</v>
      </c>
      <c r="D19" s="1182" t="s">
        <v>510</v>
      </c>
      <c r="E19" s="1182" t="s">
        <v>1865</v>
      </c>
      <c r="F19" s="1182" t="s">
        <v>732</v>
      </c>
      <c r="G19" s="13">
        <f>IFERROR(VLOOKUP(#REF!, $A$1:$B$10, 2, FALSE),1)</f>
        <v>1</v>
      </c>
      <c r="H19" s="224" t="str">
        <f t="shared" ref="H19:I19" si="2">IF(OR(#REF!=0,#REF!="SCORE"),"",#REF!)</f>
        <v>#REF!</v>
      </c>
      <c r="I19" s="13" t="str">
        <f t="shared" si="2"/>
        <v>#REF!</v>
      </c>
      <c r="J19" s="13" t="str">
        <f>IFERROR(VLOOKUP(#REF!, $A$1:$B$10, 2, FALSE),"")</f>
        <v/>
      </c>
      <c r="K19" s="13" t="str">
        <f t="shared" ref="K19:K212" si="4">IF(G19&lt;&gt;1, "Game", "N/A")</f>
        <v>N/A</v>
      </c>
    </row>
    <row r="20" ht="15.75" customHeight="1">
      <c r="A20" s="1185" t="s">
        <v>1868</v>
      </c>
      <c r="B20" s="1179" t="s">
        <v>727</v>
      </c>
      <c r="C20" s="1186">
        <v>224.74</v>
      </c>
      <c r="D20" s="1186">
        <v>157.83</v>
      </c>
      <c r="E20" s="1179" t="s">
        <v>721</v>
      </c>
      <c r="F20" s="1185" t="s">
        <v>1869</v>
      </c>
      <c r="G20" s="13" t="str">
        <f t="shared" ref="G20:G212" si="5">IFERROR(VLOOKUP(B20, $A$1:$B$10, 2, FALSE),1)</f>
        <v>GREEN</v>
      </c>
      <c r="H20" s="1187">
        <f t="shared" ref="H20:I20" si="3">IF(OR(C20=0,C20="SCORE"),"",C20)</f>
        <v>224.74</v>
      </c>
      <c r="I20" s="1188">
        <f t="shared" si="3"/>
        <v>157.83</v>
      </c>
      <c r="J20" s="13" t="str">
        <f t="shared" ref="J20:J212" si="7">IFERROR(VLOOKUP(E20, $A$1:$B$10, 2, FALSE),"")</f>
        <v>MUTTS</v>
      </c>
      <c r="K20" s="13" t="str">
        <f t="shared" si="4"/>
        <v>Game</v>
      </c>
    </row>
    <row r="21" ht="15.75" customHeight="1">
      <c r="A21" s="1185" t="s">
        <v>1871</v>
      </c>
      <c r="B21" s="1640" t="s">
        <v>725</v>
      </c>
      <c r="C21" s="1186">
        <v>198.1</v>
      </c>
      <c r="D21" s="1186">
        <v>135.94</v>
      </c>
      <c r="E21" s="1640" t="s">
        <v>726</v>
      </c>
      <c r="F21" s="1185" t="s">
        <v>1873</v>
      </c>
      <c r="G21" s="13" t="str">
        <f t="shared" si="5"/>
        <v>YARDIES</v>
      </c>
      <c r="H21" s="1187">
        <f t="shared" ref="H21:I21" si="6">IF(OR(C21=0,C21="SCORE"),"",C21)</f>
        <v>198.1</v>
      </c>
      <c r="I21" s="1188">
        <f t="shared" si="6"/>
        <v>135.94</v>
      </c>
      <c r="J21" s="13" t="str">
        <f t="shared" si="7"/>
        <v>POPEYES</v>
      </c>
      <c r="K21" s="13" t="str">
        <f t="shared" si="4"/>
        <v>Game</v>
      </c>
    </row>
    <row r="22" ht="15.75" customHeight="1">
      <c r="A22" s="1185" t="s">
        <v>1874</v>
      </c>
      <c r="B22" s="1640" t="s">
        <v>1875</v>
      </c>
      <c r="C22" s="1641">
        <v>180.47</v>
      </c>
      <c r="D22" s="1641">
        <v>171.78</v>
      </c>
      <c r="E22" s="1642" t="s">
        <v>1876</v>
      </c>
      <c r="F22" s="1643" t="s">
        <v>1877</v>
      </c>
      <c r="G22" s="13" t="str">
        <f t="shared" si="5"/>
        <v>CHAMPS</v>
      </c>
      <c r="H22" s="1187">
        <f t="shared" ref="H22:I22" si="8">IF(OR(C22=0,C22="SCORE"),"",C22)</f>
        <v>180.47</v>
      </c>
      <c r="I22" s="1188">
        <f t="shared" si="8"/>
        <v>171.78</v>
      </c>
      <c r="J22" s="13" t="str">
        <f t="shared" si="7"/>
        <v>DECOUPES</v>
      </c>
      <c r="K22" s="13" t="str">
        <f t="shared" si="4"/>
        <v>Game</v>
      </c>
    </row>
    <row r="23" ht="15.75" customHeight="1">
      <c r="A23" s="1185" t="s">
        <v>1878</v>
      </c>
      <c r="B23" s="1179" t="s">
        <v>723</v>
      </c>
      <c r="C23" s="1186">
        <v>169.18</v>
      </c>
      <c r="D23" s="1186">
        <v>162.32</v>
      </c>
      <c r="E23" s="1179" t="s">
        <v>724</v>
      </c>
      <c r="F23" s="1185" t="s">
        <v>1881</v>
      </c>
      <c r="G23" s="13" t="str">
        <f t="shared" si="5"/>
        <v>SAVAGES</v>
      </c>
      <c r="H23" s="1187">
        <f t="shared" ref="H23:I23" si="9">IF(OR(C23=0,C23="SCORE"),"",C23)</f>
        <v>169.18</v>
      </c>
      <c r="I23" s="1188">
        <f t="shared" si="9"/>
        <v>162.32</v>
      </c>
      <c r="J23" s="13" t="str">
        <f t="shared" si="7"/>
        <v>METAMOOKDAWGS</v>
      </c>
      <c r="K23" s="13" t="str">
        <f t="shared" si="4"/>
        <v>Game</v>
      </c>
    </row>
    <row r="24" ht="15.75" hidden="1" customHeight="1">
      <c r="A24" s="1185"/>
      <c r="B24" s="1179" t="s">
        <v>1882</v>
      </c>
      <c r="C24" s="1186"/>
      <c r="D24" s="1186"/>
      <c r="E24" s="1179" t="s">
        <v>1882</v>
      </c>
      <c r="F24" s="1185"/>
      <c r="G24" s="13">
        <f t="shared" si="5"/>
        <v>1</v>
      </c>
      <c r="H24" s="224" t="str">
        <f t="shared" ref="H24:I24" si="10">IF(OR(C24=0,C24="SCORE"),"",C24)</f>
        <v/>
      </c>
      <c r="I24" s="13" t="str">
        <f t="shared" si="10"/>
        <v/>
      </c>
      <c r="J24" s="13" t="str">
        <f t="shared" si="7"/>
        <v/>
      </c>
      <c r="K24" s="13" t="str">
        <f t="shared" si="4"/>
        <v>N/A</v>
      </c>
    </row>
    <row r="25" ht="15.75" hidden="1" customHeight="1">
      <c r="A25" s="1181" t="s">
        <v>741</v>
      </c>
      <c r="G25" s="13">
        <f t="shared" si="5"/>
        <v>1</v>
      </c>
      <c r="H25" s="224" t="str">
        <f t="shared" ref="H25:I25" si="11">IF(OR(C25=0,C25="SCORE"),"",C25)</f>
        <v/>
      </c>
      <c r="I25" s="13" t="str">
        <f t="shared" si="11"/>
        <v/>
      </c>
      <c r="J25" s="13" t="str">
        <f t="shared" si="7"/>
        <v/>
      </c>
      <c r="K25" s="13" t="str">
        <f t="shared" si="4"/>
        <v>N/A</v>
      </c>
    </row>
    <row r="26" ht="15.75" hidden="1" customHeight="1">
      <c r="A26" s="1182" t="s">
        <v>731</v>
      </c>
      <c r="B26" s="1182" t="s">
        <v>1865</v>
      </c>
      <c r="C26" s="1182" t="s">
        <v>510</v>
      </c>
      <c r="D26" s="1182" t="s">
        <v>510</v>
      </c>
      <c r="E26" s="1182" t="s">
        <v>1865</v>
      </c>
      <c r="F26" s="1182" t="s">
        <v>732</v>
      </c>
      <c r="G26" s="13">
        <f t="shared" si="5"/>
        <v>1</v>
      </c>
      <c r="H26" s="224" t="str">
        <f t="shared" ref="H26:I26" si="12">IF(OR(C26=0,C26="SCORE"),"",C26)</f>
        <v/>
      </c>
      <c r="I26" s="13" t="str">
        <f t="shared" si="12"/>
        <v/>
      </c>
      <c r="J26" s="13" t="str">
        <f t="shared" si="7"/>
        <v/>
      </c>
      <c r="K26" s="13" t="str">
        <f t="shared" si="4"/>
        <v>N/A</v>
      </c>
    </row>
    <row r="27" ht="15.75" customHeight="1">
      <c r="A27" s="1185" t="s">
        <v>1868</v>
      </c>
      <c r="B27" s="1179" t="s">
        <v>727</v>
      </c>
      <c r="C27" s="1186">
        <v>218.82</v>
      </c>
      <c r="D27" s="1186">
        <v>212.81</v>
      </c>
      <c r="E27" s="1640" t="s">
        <v>726</v>
      </c>
      <c r="F27" s="1185" t="s">
        <v>1885</v>
      </c>
      <c r="G27" s="13" t="str">
        <f t="shared" si="5"/>
        <v>GREEN</v>
      </c>
      <c r="H27" s="1187">
        <f t="shared" ref="H27:I27" si="13">IF(OR(C27=0,C27="SCORE"),"",C27)</f>
        <v>218.82</v>
      </c>
      <c r="I27" s="1188">
        <f t="shared" si="13"/>
        <v>212.81</v>
      </c>
      <c r="J27" s="13" t="str">
        <f t="shared" si="7"/>
        <v>POPEYES</v>
      </c>
      <c r="K27" s="13" t="str">
        <f t="shared" si="4"/>
        <v>Game</v>
      </c>
    </row>
    <row r="28" ht="15.75" customHeight="1">
      <c r="A28" s="1185" t="s">
        <v>1886</v>
      </c>
      <c r="B28" s="1179" t="s">
        <v>721</v>
      </c>
      <c r="C28" s="1186">
        <v>249.78</v>
      </c>
      <c r="D28" s="1186">
        <v>168.46</v>
      </c>
      <c r="E28" s="1640" t="s">
        <v>725</v>
      </c>
      <c r="F28" s="1185" t="s">
        <v>1887</v>
      </c>
      <c r="G28" s="13" t="str">
        <f t="shared" si="5"/>
        <v>MUTTS</v>
      </c>
      <c r="H28" s="1187">
        <f t="shared" ref="H28:I28" si="14">IF(OR(C28=0,C28="SCORE"),"",C28)</f>
        <v>249.78</v>
      </c>
      <c r="I28" s="1188">
        <f t="shared" si="14"/>
        <v>168.46</v>
      </c>
      <c r="J28" s="13" t="str">
        <f t="shared" si="7"/>
        <v>YARDIES</v>
      </c>
      <c r="K28" s="13" t="str">
        <f t="shared" si="4"/>
        <v>Game</v>
      </c>
    </row>
    <row r="29" ht="15.75" hidden="1" customHeight="1">
      <c r="A29" s="1185"/>
      <c r="B29" s="1179" t="s">
        <v>1882</v>
      </c>
      <c r="C29" s="1186"/>
      <c r="D29" s="1186"/>
      <c r="E29" s="1179" t="s">
        <v>1882</v>
      </c>
      <c r="F29" s="1185"/>
      <c r="G29" s="13">
        <f t="shared" si="5"/>
        <v>1</v>
      </c>
      <c r="H29" s="224" t="str">
        <f t="shared" ref="H29:I29" si="15">IF(OR(C29=0,C29="SCORE"),"",C29)</f>
        <v/>
      </c>
      <c r="I29" s="13" t="str">
        <f t="shared" si="15"/>
        <v/>
      </c>
      <c r="J29" s="13" t="str">
        <f t="shared" si="7"/>
        <v/>
      </c>
      <c r="K29" s="13" t="str">
        <f t="shared" si="4"/>
        <v>N/A</v>
      </c>
    </row>
    <row r="30" ht="15.75" hidden="1" customHeight="1">
      <c r="A30" s="1185"/>
      <c r="B30" s="1179" t="s">
        <v>1888</v>
      </c>
      <c r="C30" s="1186"/>
      <c r="D30" s="1186"/>
      <c r="F30" s="1185"/>
      <c r="G30" s="13">
        <f t="shared" si="5"/>
        <v>1</v>
      </c>
      <c r="H30" s="224" t="str">
        <f t="shared" ref="H30:I30" si="16">IF(OR(C30=0,C30="SCORE"),"",C30)</f>
        <v/>
      </c>
      <c r="I30" s="13" t="str">
        <f t="shared" si="16"/>
        <v/>
      </c>
      <c r="J30" s="13" t="str">
        <f t="shared" si="7"/>
        <v/>
      </c>
      <c r="K30" s="13" t="str">
        <f t="shared" si="4"/>
        <v>N/A</v>
      </c>
    </row>
    <row r="31" ht="15.75" customHeight="1">
      <c r="A31" s="1185"/>
      <c r="B31" s="1640" t="s">
        <v>743</v>
      </c>
      <c r="C31" s="1186">
        <v>205.4</v>
      </c>
      <c r="D31" s="1186">
        <v>208.54</v>
      </c>
      <c r="E31" s="1179" t="s">
        <v>724</v>
      </c>
      <c r="F31" s="1185" t="s">
        <v>1889</v>
      </c>
      <c r="G31" s="13" t="str">
        <f t="shared" si="5"/>
        <v>CHAMPS</v>
      </c>
      <c r="H31" s="1187">
        <f t="shared" ref="H31:I31" si="17">IF(OR(C31=0,C31="SCORE"),"",C31)</f>
        <v>205.4</v>
      </c>
      <c r="I31" s="1188">
        <f t="shared" si="17"/>
        <v>208.54</v>
      </c>
      <c r="J31" s="13" t="str">
        <f t="shared" si="7"/>
        <v>METAMOOKDAWGS</v>
      </c>
      <c r="K31" s="13" t="str">
        <f t="shared" si="4"/>
        <v>Game</v>
      </c>
    </row>
    <row r="32" ht="15.75" hidden="1" customHeight="1">
      <c r="A32" s="1185" t="s">
        <v>1892</v>
      </c>
      <c r="B32" s="1179" t="s">
        <v>1882</v>
      </c>
      <c r="C32" s="1186"/>
      <c r="D32" s="1186"/>
      <c r="E32" s="1179" t="s">
        <v>1882</v>
      </c>
      <c r="F32" s="1185"/>
      <c r="G32" s="13">
        <f t="shared" si="5"/>
        <v>1</v>
      </c>
      <c r="H32" s="224" t="str">
        <f t="shared" ref="H32:I32" si="18">IF(OR(C32=0,C32="SCORE"),"",C32)</f>
        <v/>
      </c>
      <c r="I32" s="13" t="str">
        <f t="shared" si="18"/>
        <v/>
      </c>
      <c r="J32" s="13" t="str">
        <f t="shared" si="7"/>
        <v/>
      </c>
      <c r="K32" s="13" t="str">
        <f t="shared" si="4"/>
        <v>N/A</v>
      </c>
    </row>
    <row r="33" ht="19.5" customHeight="1">
      <c r="A33" s="1189" t="s">
        <v>1893</v>
      </c>
      <c r="B33" s="1180" t="s">
        <v>722</v>
      </c>
      <c r="C33" s="1186">
        <v>201.11</v>
      </c>
      <c r="D33" s="1186">
        <v>114.25</v>
      </c>
      <c r="E33" s="1179" t="s">
        <v>723</v>
      </c>
      <c r="F33" s="1185" t="s">
        <v>1894</v>
      </c>
      <c r="G33" s="13" t="str">
        <f t="shared" si="5"/>
        <v>DECOUPES</v>
      </c>
      <c r="H33" s="1187">
        <f t="shared" ref="H33:I33" si="19">IF(OR(C33=0,C33="SCORE"),"",C33)</f>
        <v>201.11</v>
      </c>
      <c r="I33" s="1188">
        <f t="shared" si="19"/>
        <v>114.25</v>
      </c>
      <c r="J33" s="13" t="str">
        <f t="shared" si="7"/>
        <v>SAVAGES</v>
      </c>
      <c r="K33" s="13" t="str">
        <f t="shared" si="4"/>
        <v>Game</v>
      </c>
    </row>
    <row r="34" ht="15.75" hidden="1" customHeight="1">
      <c r="A34" s="1189"/>
      <c r="B34" s="1180" t="s">
        <v>1882</v>
      </c>
      <c r="C34" s="1186"/>
      <c r="D34" s="1186"/>
      <c r="E34" s="1179" t="s">
        <v>1882</v>
      </c>
      <c r="F34" s="1185"/>
      <c r="G34" s="13">
        <f t="shared" si="5"/>
        <v>1</v>
      </c>
      <c r="H34" s="224" t="str">
        <f t="shared" ref="H34:I34" si="20">IF(OR(C34=0,C34="SCORE"),"",C34)</f>
        <v/>
      </c>
      <c r="I34" s="13" t="str">
        <f t="shared" si="20"/>
        <v/>
      </c>
      <c r="J34" s="13" t="str">
        <f t="shared" si="7"/>
        <v/>
      </c>
      <c r="K34" s="13" t="str">
        <f t="shared" si="4"/>
        <v>N/A</v>
      </c>
    </row>
    <row r="35" ht="15.75" hidden="1" customHeight="1">
      <c r="A35" s="1181" t="s">
        <v>757</v>
      </c>
      <c r="G35" s="13">
        <f t="shared" si="5"/>
        <v>1</v>
      </c>
      <c r="H35" s="224" t="str">
        <f t="shared" ref="H35:I35" si="21">IF(OR(C35=0,C35="SCORE"),"",C35)</f>
        <v/>
      </c>
      <c r="I35" s="13" t="str">
        <f t="shared" si="21"/>
        <v/>
      </c>
      <c r="J35" s="13" t="str">
        <f t="shared" si="7"/>
        <v/>
      </c>
      <c r="K35" s="13" t="str">
        <f t="shared" si="4"/>
        <v>N/A</v>
      </c>
    </row>
    <row r="36" ht="15.75" hidden="1" customHeight="1">
      <c r="A36" s="1182" t="s">
        <v>731</v>
      </c>
      <c r="B36" s="1182" t="s">
        <v>1865</v>
      </c>
      <c r="C36" s="1182" t="s">
        <v>510</v>
      </c>
      <c r="D36" s="1182" t="s">
        <v>510</v>
      </c>
      <c r="E36" s="1182" t="s">
        <v>1865</v>
      </c>
      <c r="F36" s="1182" t="s">
        <v>732</v>
      </c>
      <c r="G36" s="13">
        <f t="shared" si="5"/>
        <v>1</v>
      </c>
      <c r="H36" s="224" t="str">
        <f t="shared" ref="H36:I36" si="22">IF(OR(C36=0,C36="SCORE"),"",C36)</f>
        <v/>
      </c>
      <c r="I36" s="13" t="str">
        <f t="shared" si="22"/>
        <v/>
      </c>
      <c r="J36" s="13" t="str">
        <f t="shared" si="7"/>
        <v/>
      </c>
      <c r="K36" s="13" t="str">
        <f t="shared" si="4"/>
        <v>N/A</v>
      </c>
    </row>
    <row r="37" ht="15.75" customHeight="1">
      <c r="A37" s="1185" t="s">
        <v>1868</v>
      </c>
      <c r="B37" s="1179" t="s">
        <v>727</v>
      </c>
      <c r="C37" s="1186">
        <v>180.46</v>
      </c>
      <c r="D37" s="1186">
        <v>218.94</v>
      </c>
      <c r="E37" s="1179" t="s">
        <v>724</v>
      </c>
      <c r="F37" s="1185" t="s">
        <v>1897</v>
      </c>
      <c r="G37" s="13" t="str">
        <f t="shared" si="5"/>
        <v>GREEN</v>
      </c>
      <c r="H37" s="1187">
        <f t="shared" ref="H37:I37" si="23">IF(OR(C37=0,C37="SCORE"),"",C37)</f>
        <v>180.46</v>
      </c>
      <c r="I37" s="1188">
        <f t="shared" si="23"/>
        <v>218.94</v>
      </c>
      <c r="J37" s="13" t="str">
        <f t="shared" si="7"/>
        <v>METAMOOKDAWGS</v>
      </c>
      <c r="K37" s="13" t="str">
        <f t="shared" si="4"/>
        <v>Game</v>
      </c>
    </row>
    <row r="38" ht="15.75" hidden="1" customHeight="1">
      <c r="A38" s="1185" t="s">
        <v>1898</v>
      </c>
      <c r="B38" s="1179" t="s">
        <v>1898</v>
      </c>
      <c r="C38" s="1186"/>
      <c r="D38" s="1186"/>
      <c r="E38" s="1179" t="s">
        <v>1882</v>
      </c>
      <c r="F38" s="1185"/>
      <c r="G38" s="13">
        <f t="shared" si="5"/>
        <v>1</v>
      </c>
      <c r="H38" s="224" t="str">
        <f t="shared" ref="H38:I38" si="24">IF(OR(C38=0,C38="SCORE"),"",C38)</f>
        <v/>
      </c>
      <c r="I38" s="13" t="str">
        <f t="shared" si="24"/>
        <v/>
      </c>
      <c r="J38" s="13" t="str">
        <f t="shared" si="7"/>
        <v/>
      </c>
      <c r="K38" s="13" t="str">
        <f t="shared" si="4"/>
        <v>N/A</v>
      </c>
    </row>
    <row r="39" ht="15.75" hidden="1" customHeight="1">
      <c r="A39" s="1535" t="s">
        <v>1899</v>
      </c>
      <c r="C39" s="1186"/>
      <c r="D39" s="1186"/>
      <c r="F39" s="1185"/>
      <c r="G39" s="13">
        <f t="shared" si="5"/>
        <v>1</v>
      </c>
      <c r="H39" s="224" t="str">
        <f t="shared" ref="H39:I39" si="25">IF(OR(C39=0,C39="SCORE"),"",C39)</f>
        <v/>
      </c>
      <c r="I39" s="13" t="str">
        <f t="shared" si="25"/>
        <v/>
      </c>
      <c r="J39" s="13" t="str">
        <f t="shared" si="7"/>
        <v/>
      </c>
      <c r="K39" s="13" t="str">
        <f t="shared" si="4"/>
        <v>N/A</v>
      </c>
    </row>
    <row r="40" ht="19.5" customHeight="1">
      <c r="A40" s="1185" t="s">
        <v>1901</v>
      </c>
      <c r="B40" s="1179" t="s">
        <v>721</v>
      </c>
      <c r="C40" s="1186">
        <v>220.34</v>
      </c>
      <c r="D40" s="1186">
        <v>186.93</v>
      </c>
      <c r="E40" s="1179" t="s">
        <v>723</v>
      </c>
      <c r="F40" s="1185" t="s">
        <v>1903</v>
      </c>
      <c r="G40" s="13" t="str">
        <f t="shared" si="5"/>
        <v>MUTTS</v>
      </c>
      <c r="H40" s="1187">
        <f t="shared" ref="H40:I40" si="26">IF(OR(C40=0,C40="SCORE"),"",C40)</f>
        <v>220.34</v>
      </c>
      <c r="I40" s="1188">
        <f t="shared" si="26"/>
        <v>186.93</v>
      </c>
      <c r="J40" s="13" t="str">
        <f t="shared" si="7"/>
        <v>SAVAGES</v>
      </c>
      <c r="K40" s="13" t="str">
        <f t="shared" si="4"/>
        <v>Game</v>
      </c>
    </row>
    <row r="41" ht="15.75" hidden="1" customHeight="1">
      <c r="A41" s="1185"/>
      <c r="B41" s="1179" t="s">
        <v>1882</v>
      </c>
      <c r="C41" s="1186"/>
      <c r="D41" s="1186"/>
      <c r="E41" s="1179" t="s">
        <v>1882</v>
      </c>
      <c r="F41" s="1185"/>
      <c r="G41" s="13">
        <f t="shared" si="5"/>
        <v>1</v>
      </c>
      <c r="H41" s="224" t="str">
        <f t="shared" ref="H41:I41" si="27">IF(OR(C41=0,C41="SCORE"),"",C41)</f>
        <v/>
      </c>
      <c r="I41" s="13" t="str">
        <f t="shared" si="27"/>
        <v/>
      </c>
      <c r="J41" s="13" t="str">
        <f t="shared" si="7"/>
        <v/>
      </c>
      <c r="K41" s="13" t="str">
        <f t="shared" si="4"/>
        <v>N/A</v>
      </c>
    </row>
    <row r="42" ht="15.75" hidden="1" customHeight="1">
      <c r="A42" s="1185"/>
      <c r="B42" s="1179" t="s">
        <v>1888</v>
      </c>
      <c r="C42" s="1186"/>
      <c r="D42" s="1186"/>
      <c r="F42" s="1185"/>
      <c r="G42" s="13">
        <f t="shared" si="5"/>
        <v>1</v>
      </c>
      <c r="H42" s="224" t="str">
        <f t="shared" ref="H42:I42" si="28">IF(OR(C42=0,C42="SCORE"),"",C42)</f>
        <v/>
      </c>
      <c r="I42" s="13" t="str">
        <f t="shared" si="28"/>
        <v/>
      </c>
      <c r="J42" s="13" t="str">
        <f t="shared" si="7"/>
        <v/>
      </c>
      <c r="K42" s="13" t="str">
        <f t="shared" si="4"/>
        <v>N/A</v>
      </c>
    </row>
    <row r="43" ht="15.75" customHeight="1">
      <c r="A43" s="1185" t="s">
        <v>1904</v>
      </c>
      <c r="B43" s="1640" t="s">
        <v>725</v>
      </c>
      <c r="C43" s="1186">
        <v>157.92</v>
      </c>
      <c r="D43" s="1186">
        <v>286.44</v>
      </c>
      <c r="E43" s="1180" t="s">
        <v>722</v>
      </c>
      <c r="F43" s="1189" t="s">
        <v>1907</v>
      </c>
      <c r="G43" s="13" t="str">
        <f t="shared" si="5"/>
        <v>YARDIES</v>
      </c>
      <c r="H43" s="1187">
        <f t="shared" ref="H43:I43" si="29">IF(OR(C43=0,C43="SCORE"),"",C43)</f>
        <v>157.92</v>
      </c>
      <c r="I43" s="1188">
        <f t="shared" si="29"/>
        <v>286.44</v>
      </c>
      <c r="J43" s="13" t="str">
        <f t="shared" si="7"/>
        <v>DECOUPES</v>
      </c>
      <c r="K43" s="13" t="str">
        <f t="shared" si="4"/>
        <v>Game</v>
      </c>
    </row>
    <row r="44" ht="15.75" hidden="1" customHeight="1">
      <c r="A44" s="1185"/>
      <c r="B44" s="1179" t="s">
        <v>1882</v>
      </c>
      <c r="C44" s="1186"/>
      <c r="D44" s="1186"/>
      <c r="E44" s="1180" t="s">
        <v>1882</v>
      </c>
      <c r="F44" s="1189"/>
      <c r="G44" s="13">
        <f t="shared" si="5"/>
        <v>1</v>
      </c>
      <c r="H44" s="224" t="str">
        <f t="shared" ref="H44:I44" si="30">IF(OR(C44=0,C44="SCORE"),"",C44)</f>
        <v/>
      </c>
      <c r="I44" s="13" t="str">
        <f t="shared" si="30"/>
        <v/>
      </c>
      <c r="J44" s="13" t="str">
        <f t="shared" si="7"/>
        <v/>
      </c>
      <c r="K44" s="13" t="str">
        <f t="shared" si="4"/>
        <v>N/A</v>
      </c>
    </row>
    <row r="45" ht="15.75" customHeight="1">
      <c r="A45" s="1185" t="s">
        <v>1908</v>
      </c>
      <c r="B45" s="1640" t="s">
        <v>726</v>
      </c>
      <c r="C45" s="1186">
        <v>197.51</v>
      </c>
      <c r="D45" s="1186">
        <v>235.31</v>
      </c>
      <c r="E45" s="1640" t="s">
        <v>743</v>
      </c>
      <c r="F45" s="1185"/>
      <c r="G45" s="13" t="str">
        <f t="shared" si="5"/>
        <v>POPEYES</v>
      </c>
      <c r="H45" s="1187">
        <f t="shared" ref="H45:I45" si="31">IF(OR(C45=0,C45="SCORE"),"",C45)</f>
        <v>197.51</v>
      </c>
      <c r="I45" s="1188">
        <f t="shared" si="31"/>
        <v>235.31</v>
      </c>
      <c r="J45" s="13" t="str">
        <f t="shared" si="7"/>
        <v>CHAMPS</v>
      </c>
      <c r="K45" s="13" t="str">
        <f t="shared" si="4"/>
        <v>Game</v>
      </c>
    </row>
    <row r="46" ht="15.75" hidden="1" customHeight="1">
      <c r="A46" s="1185"/>
      <c r="B46" s="1179" t="s">
        <v>1882</v>
      </c>
      <c r="C46" s="1186"/>
      <c r="D46" s="1186"/>
      <c r="E46" s="1179" t="s">
        <v>1882</v>
      </c>
      <c r="F46" s="1185" t="s">
        <v>1909</v>
      </c>
      <c r="G46" s="13">
        <f t="shared" si="5"/>
        <v>1</v>
      </c>
      <c r="H46" s="224" t="str">
        <f t="shared" ref="H46:I46" si="32">IF(OR(C46=0,C46="SCORE"),"",C46)</f>
        <v/>
      </c>
      <c r="I46" s="13" t="str">
        <f t="shared" si="32"/>
        <v/>
      </c>
      <c r="J46" s="13" t="str">
        <f t="shared" si="7"/>
        <v/>
      </c>
      <c r="K46" s="13" t="str">
        <f t="shared" si="4"/>
        <v>N/A</v>
      </c>
    </row>
    <row r="47" ht="19.5" hidden="1" customHeight="1">
      <c r="A47" s="1181" t="s">
        <v>775</v>
      </c>
      <c r="G47" s="13">
        <f t="shared" si="5"/>
        <v>1</v>
      </c>
      <c r="H47" s="224" t="str">
        <f t="shared" ref="H47:I47" si="33">IF(OR(C47=0,C47="SCORE"),"",C47)</f>
        <v/>
      </c>
      <c r="I47" s="13" t="str">
        <f t="shared" si="33"/>
        <v/>
      </c>
      <c r="J47" s="13" t="str">
        <f t="shared" si="7"/>
        <v/>
      </c>
      <c r="K47" s="13" t="str">
        <f t="shared" si="4"/>
        <v>N/A</v>
      </c>
    </row>
    <row r="48" ht="15.75" hidden="1" customHeight="1">
      <c r="A48" s="1182" t="s">
        <v>731</v>
      </c>
      <c r="B48" s="1182" t="s">
        <v>1865</v>
      </c>
      <c r="C48" s="1182" t="s">
        <v>510</v>
      </c>
      <c r="D48" s="1182" t="s">
        <v>510</v>
      </c>
      <c r="E48" s="1182" t="s">
        <v>1865</v>
      </c>
      <c r="F48" s="1182" t="s">
        <v>732</v>
      </c>
      <c r="G48" s="13">
        <f t="shared" si="5"/>
        <v>1</v>
      </c>
      <c r="H48" s="224" t="str">
        <f t="shared" ref="H48:I48" si="34">IF(OR(C48=0,C48="SCORE"),"",C48)</f>
        <v/>
      </c>
      <c r="I48" s="13" t="str">
        <f t="shared" si="34"/>
        <v/>
      </c>
      <c r="J48" s="13" t="str">
        <f t="shared" si="7"/>
        <v/>
      </c>
      <c r="K48" s="13" t="str">
        <f t="shared" si="4"/>
        <v>N/A</v>
      </c>
    </row>
    <row r="49" ht="15.75" customHeight="1">
      <c r="A49" s="1185" t="s">
        <v>1868</v>
      </c>
      <c r="B49" s="1179" t="s">
        <v>727</v>
      </c>
      <c r="C49" s="1186">
        <v>206.94</v>
      </c>
      <c r="D49" s="1186">
        <v>180.56</v>
      </c>
      <c r="E49" s="1180" t="s">
        <v>722</v>
      </c>
      <c r="F49" s="1189" t="s">
        <v>1911</v>
      </c>
      <c r="G49" s="13" t="str">
        <f t="shared" si="5"/>
        <v>GREEN</v>
      </c>
      <c r="H49" s="1187">
        <f t="shared" ref="H49:I49" si="35">IF(OR(C49=0,C49="SCORE"),"",C49)</f>
        <v>206.94</v>
      </c>
      <c r="I49" s="1188">
        <f t="shared" si="35"/>
        <v>180.56</v>
      </c>
      <c r="J49" s="13" t="str">
        <f t="shared" si="7"/>
        <v>DECOUPES</v>
      </c>
      <c r="K49" s="13" t="str">
        <f t="shared" si="4"/>
        <v>Game</v>
      </c>
    </row>
    <row r="50" ht="15.75" hidden="1" customHeight="1">
      <c r="A50" s="1185" t="s">
        <v>1898</v>
      </c>
      <c r="B50" s="1179" t="s">
        <v>1898</v>
      </c>
      <c r="C50" s="1186"/>
      <c r="D50" s="1186"/>
      <c r="E50" s="1180" t="s">
        <v>1882</v>
      </c>
      <c r="F50" s="1189"/>
      <c r="G50" s="13">
        <f t="shared" si="5"/>
        <v>1</v>
      </c>
      <c r="H50" s="224" t="str">
        <f t="shared" ref="H50:I50" si="36">IF(OR(C50=0,C50="SCORE"),"",C50)</f>
        <v/>
      </c>
      <c r="I50" s="13" t="str">
        <f t="shared" si="36"/>
        <v/>
      </c>
      <c r="J50" s="13" t="str">
        <f t="shared" si="7"/>
        <v/>
      </c>
      <c r="K50" s="13" t="str">
        <f t="shared" si="4"/>
        <v>N/A</v>
      </c>
    </row>
    <row r="51" ht="15.75" hidden="1" customHeight="1">
      <c r="A51" s="1535" t="s">
        <v>1899</v>
      </c>
      <c r="C51" s="1186"/>
      <c r="D51" s="1186"/>
      <c r="F51" s="1189"/>
      <c r="G51" s="13">
        <f t="shared" si="5"/>
        <v>1</v>
      </c>
      <c r="H51" s="224" t="str">
        <f t="shared" ref="H51:I51" si="37">IF(OR(C51=0,C51="SCORE"),"",C51)</f>
        <v/>
      </c>
      <c r="I51" s="13" t="str">
        <f t="shared" si="37"/>
        <v/>
      </c>
      <c r="J51" s="13" t="str">
        <f t="shared" si="7"/>
        <v/>
      </c>
      <c r="K51" s="13" t="str">
        <f t="shared" si="4"/>
        <v>N/A</v>
      </c>
    </row>
    <row r="52" ht="15.75" customHeight="1">
      <c r="A52" s="1185" t="s">
        <v>1913</v>
      </c>
      <c r="B52" s="1179" t="s">
        <v>721</v>
      </c>
      <c r="C52" s="1186">
        <v>137.84</v>
      </c>
      <c r="D52" s="1186">
        <v>207.67</v>
      </c>
      <c r="E52" s="1640" t="s">
        <v>743</v>
      </c>
      <c r="F52" s="1185"/>
      <c r="G52" s="13" t="str">
        <f t="shared" si="5"/>
        <v>MUTTS</v>
      </c>
      <c r="H52" s="1187">
        <f t="shared" ref="H52:I52" si="38">IF(OR(C52=0,C52="SCORE"),"",C52)</f>
        <v>137.84</v>
      </c>
      <c r="I52" s="1188">
        <f t="shared" si="38"/>
        <v>207.67</v>
      </c>
      <c r="J52" s="13" t="str">
        <f t="shared" si="7"/>
        <v>CHAMPS</v>
      </c>
      <c r="K52" s="13" t="str">
        <f t="shared" si="4"/>
        <v>Game</v>
      </c>
    </row>
    <row r="53" ht="15.75" hidden="1" customHeight="1">
      <c r="A53" s="1185"/>
      <c r="B53" s="1179" t="s">
        <v>1882</v>
      </c>
      <c r="C53" s="1186"/>
      <c r="D53" s="1186"/>
      <c r="E53" s="1179" t="s">
        <v>1882</v>
      </c>
      <c r="F53" s="1185" t="s">
        <v>1916</v>
      </c>
      <c r="G53" s="13">
        <f t="shared" si="5"/>
        <v>1</v>
      </c>
      <c r="H53" s="224" t="str">
        <f t="shared" ref="H53:I53" si="39">IF(OR(C53=0,C53="SCORE"),"",C53)</f>
        <v/>
      </c>
      <c r="I53" s="13" t="str">
        <f t="shared" si="39"/>
        <v/>
      </c>
      <c r="J53" s="13" t="str">
        <f t="shared" si="7"/>
        <v/>
      </c>
      <c r="K53" s="13" t="str">
        <f t="shared" si="4"/>
        <v>N/A</v>
      </c>
    </row>
    <row r="54" ht="19.5" hidden="1" customHeight="1">
      <c r="A54" s="1185"/>
      <c r="B54" s="1179" t="s">
        <v>1888</v>
      </c>
      <c r="C54" s="1186"/>
      <c r="D54" s="1186"/>
      <c r="G54" s="13">
        <f t="shared" si="5"/>
        <v>1</v>
      </c>
      <c r="H54" s="224" t="str">
        <f t="shared" ref="H54:I54" si="40">IF(OR(C54=0,C54="SCORE"),"",C54)</f>
        <v/>
      </c>
      <c r="I54" s="13" t="str">
        <f t="shared" si="40"/>
        <v/>
      </c>
      <c r="J54" s="13" t="str">
        <f t="shared" si="7"/>
        <v/>
      </c>
      <c r="K54" s="13" t="str">
        <f t="shared" si="4"/>
        <v>N/A</v>
      </c>
    </row>
    <row r="55" ht="15.75" customHeight="1">
      <c r="A55" s="1185" t="s">
        <v>1917</v>
      </c>
      <c r="B55" s="1640" t="s">
        <v>725</v>
      </c>
      <c r="C55" s="1186">
        <v>271.44</v>
      </c>
      <c r="D55" s="1186">
        <v>145.64</v>
      </c>
      <c r="E55" s="1179" t="s">
        <v>724</v>
      </c>
      <c r="F55" s="1185" t="s">
        <v>1918</v>
      </c>
      <c r="G55" s="13" t="str">
        <f t="shared" si="5"/>
        <v>YARDIES</v>
      </c>
      <c r="H55" s="1187">
        <f t="shared" ref="H55:I55" si="41">IF(OR(C55=0,C55="SCORE"),"",C55)</f>
        <v>271.44</v>
      </c>
      <c r="I55" s="1188">
        <f t="shared" si="41"/>
        <v>145.64</v>
      </c>
      <c r="J55" s="13" t="str">
        <f t="shared" si="7"/>
        <v>METAMOOKDAWGS</v>
      </c>
      <c r="K55" s="13" t="str">
        <f t="shared" si="4"/>
        <v>Game</v>
      </c>
    </row>
    <row r="56" ht="15.75" hidden="1" customHeight="1">
      <c r="A56" s="1185"/>
      <c r="B56" s="1179" t="s">
        <v>1882</v>
      </c>
      <c r="C56" s="1186"/>
      <c r="D56" s="1186"/>
      <c r="E56" s="1179" t="s">
        <v>1882</v>
      </c>
      <c r="F56" s="1185"/>
      <c r="G56" s="13">
        <f t="shared" si="5"/>
        <v>1</v>
      </c>
      <c r="H56" s="224" t="str">
        <f t="shared" ref="H56:I56" si="42">IF(OR(C56=0,C56="SCORE"),"",C56)</f>
        <v/>
      </c>
      <c r="I56" s="13" t="str">
        <f t="shared" si="42"/>
        <v/>
      </c>
      <c r="J56" s="13" t="str">
        <f t="shared" si="7"/>
        <v/>
      </c>
      <c r="K56" s="13" t="str">
        <f t="shared" si="4"/>
        <v>N/A</v>
      </c>
    </row>
    <row r="57" ht="15.75" customHeight="1">
      <c r="A57" s="1185" t="s">
        <v>1921</v>
      </c>
      <c r="B57" s="1640" t="s">
        <v>726</v>
      </c>
      <c r="C57" s="1186">
        <v>179.73</v>
      </c>
      <c r="D57" s="1186">
        <v>168.78</v>
      </c>
      <c r="E57" s="1179" t="s">
        <v>723</v>
      </c>
      <c r="F57" s="1185" t="s">
        <v>1922</v>
      </c>
      <c r="G57" s="13" t="str">
        <f t="shared" si="5"/>
        <v>POPEYES</v>
      </c>
      <c r="H57" s="1187">
        <f t="shared" ref="H57:I57" si="43">IF(OR(C57=0,C57="SCORE"),"",C57)</f>
        <v>179.73</v>
      </c>
      <c r="I57" s="1188">
        <f t="shared" si="43"/>
        <v>168.78</v>
      </c>
      <c r="J57" s="13" t="str">
        <f t="shared" si="7"/>
        <v>SAVAGES</v>
      </c>
      <c r="K57" s="13" t="str">
        <f t="shared" si="4"/>
        <v>Game</v>
      </c>
    </row>
    <row r="58" ht="15.75" hidden="1" customHeight="1">
      <c r="A58" s="1185"/>
      <c r="B58" s="1179" t="s">
        <v>1882</v>
      </c>
      <c r="C58" s="1186"/>
      <c r="D58" s="1186"/>
      <c r="E58" s="1179" t="s">
        <v>1882</v>
      </c>
      <c r="F58" s="1185"/>
      <c r="G58" s="13">
        <f t="shared" si="5"/>
        <v>1</v>
      </c>
      <c r="H58" s="224" t="str">
        <f t="shared" ref="H58:I58" si="44">IF(OR(C58=0,C58="SCORE"),"",C58)</f>
        <v/>
      </c>
      <c r="I58" s="13" t="str">
        <f t="shared" si="44"/>
        <v/>
      </c>
      <c r="J58" s="13" t="str">
        <f t="shared" si="7"/>
        <v/>
      </c>
      <c r="K58" s="13" t="str">
        <f t="shared" si="4"/>
        <v>N/A</v>
      </c>
    </row>
    <row r="59" ht="15.75" hidden="1" customHeight="1">
      <c r="A59" s="1181" t="s">
        <v>792</v>
      </c>
      <c r="G59" s="13">
        <f t="shared" si="5"/>
        <v>1</v>
      </c>
      <c r="H59" s="224" t="str">
        <f t="shared" ref="H59:I59" si="45">IF(OR(C59=0,C59="SCORE"),"",C59)</f>
        <v/>
      </c>
      <c r="I59" s="13" t="str">
        <f t="shared" si="45"/>
        <v/>
      </c>
      <c r="J59" s="13" t="str">
        <f t="shared" si="7"/>
        <v/>
      </c>
      <c r="K59" s="13" t="str">
        <f t="shared" si="4"/>
        <v>N/A</v>
      </c>
    </row>
    <row r="60" ht="15.75" hidden="1" customHeight="1">
      <c r="A60" s="1182" t="s">
        <v>731</v>
      </c>
      <c r="B60" s="1182" t="s">
        <v>1865</v>
      </c>
      <c r="C60" s="1182" t="s">
        <v>510</v>
      </c>
      <c r="D60" s="1182" t="s">
        <v>510</v>
      </c>
      <c r="E60" s="1182" t="s">
        <v>1865</v>
      </c>
      <c r="F60" s="1182" t="s">
        <v>732</v>
      </c>
      <c r="G60" s="13">
        <f t="shared" si="5"/>
        <v>1</v>
      </c>
      <c r="H60" s="224" t="str">
        <f t="shared" ref="H60:I60" si="46">IF(OR(C60=0,C60="SCORE"),"",C60)</f>
        <v/>
      </c>
      <c r="I60" s="13" t="str">
        <f t="shared" si="46"/>
        <v/>
      </c>
      <c r="J60" s="13" t="str">
        <f t="shared" si="7"/>
        <v/>
      </c>
      <c r="K60" s="13" t="str">
        <f t="shared" si="4"/>
        <v>N/A</v>
      </c>
    </row>
    <row r="61" ht="19.5" customHeight="1">
      <c r="A61" s="1185" t="s">
        <v>1868</v>
      </c>
      <c r="B61" s="1179" t="s">
        <v>727</v>
      </c>
      <c r="C61" s="1186">
        <v>148.78</v>
      </c>
      <c r="D61" s="1186">
        <v>222.61</v>
      </c>
      <c r="E61" s="1179" t="s">
        <v>723</v>
      </c>
      <c r="F61" s="1185" t="s">
        <v>1925</v>
      </c>
      <c r="G61" s="13" t="str">
        <f t="shared" si="5"/>
        <v>GREEN</v>
      </c>
      <c r="H61" s="1187">
        <f t="shared" ref="H61:I61" si="47">IF(OR(C61=0,C61="SCORE"),"",C61)</f>
        <v>148.78</v>
      </c>
      <c r="I61" s="1188">
        <f t="shared" si="47"/>
        <v>222.61</v>
      </c>
      <c r="J61" s="13" t="str">
        <f t="shared" si="7"/>
        <v>SAVAGES</v>
      </c>
      <c r="K61" s="13" t="str">
        <f t="shared" si="4"/>
        <v>Game</v>
      </c>
    </row>
    <row r="62" ht="15.75" hidden="1" customHeight="1">
      <c r="A62" s="1185" t="s">
        <v>1898</v>
      </c>
      <c r="B62" s="1179" t="s">
        <v>1898</v>
      </c>
      <c r="C62" s="1186"/>
      <c r="D62" s="1186"/>
      <c r="E62" s="1179" t="s">
        <v>1882</v>
      </c>
      <c r="F62" s="1185"/>
      <c r="G62" s="13">
        <f t="shared" si="5"/>
        <v>1</v>
      </c>
      <c r="H62" s="224" t="str">
        <f t="shared" ref="H62:I62" si="48">IF(OR(C62=0,C62="SCORE"),"",C62)</f>
        <v/>
      </c>
      <c r="I62" s="13" t="str">
        <f t="shared" si="48"/>
        <v/>
      </c>
      <c r="J62" s="13" t="str">
        <f t="shared" si="7"/>
        <v/>
      </c>
      <c r="K62" s="13" t="str">
        <f t="shared" si="4"/>
        <v>N/A</v>
      </c>
    </row>
    <row r="63" ht="15.75" hidden="1" customHeight="1">
      <c r="A63" s="1535" t="s">
        <v>1899</v>
      </c>
      <c r="C63" s="1186"/>
      <c r="D63" s="1186"/>
      <c r="F63" s="1185"/>
      <c r="G63" s="13">
        <f t="shared" si="5"/>
        <v>1</v>
      </c>
      <c r="H63" s="224" t="str">
        <f t="shared" ref="H63:I63" si="49">IF(OR(C63=0,C63="SCORE"),"",C63)</f>
        <v/>
      </c>
      <c r="I63" s="13" t="str">
        <f t="shared" si="49"/>
        <v/>
      </c>
      <c r="J63" s="13" t="str">
        <f t="shared" si="7"/>
        <v/>
      </c>
      <c r="K63" s="13" t="str">
        <f t="shared" si="4"/>
        <v>N/A</v>
      </c>
    </row>
    <row r="64" ht="15.75" customHeight="1">
      <c r="A64" s="1185" t="s">
        <v>1926</v>
      </c>
      <c r="B64" s="1640" t="s">
        <v>721</v>
      </c>
      <c r="C64" s="1186">
        <v>170.58</v>
      </c>
      <c r="D64" s="1186">
        <v>215.66</v>
      </c>
      <c r="E64" s="1179" t="s">
        <v>724</v>
      </c>
      <c r="F64" s="1185" t="s">
        <v>1927</v>
      </c>
      <c r="G64" s="13" t="str">
        <f t="shared" si="5"/>
        <v>MUTTS</v>
      </c>
      <c r="H64" s="1187">
        <f t="shared" ref="H64:I64" si="50">IF(OR(C64=0,C64="SCORE"),"",C64)</f>
        <v>170.58</v>
      </c>
      <c r="I64" s="1188">
        <f t="shared" si="50"/>
        <v>215.66</v>
      </c>
      <c r="J64" s="13" t="str">
        <f t="shared" si="7"/>
        <v>METAMOOKDAWGS</v>
      </c>
      <c r="K64" s="13" t="str">
        <f t="shared" si="4"/>
        <v>Game</v>
      </c>
    </row>
    <row r="65" ht="15.75" hidden="1" customHeight="1">
      <c r="A65" s="1185"/>
      <c r="B65" s="1179" t="s">
        <v>1882</v>
      </c>
      <c r="C65" s="1186"/>
      <c r="D65" s="1186"/>
      <c r="E65" s="1179" t="s">
        <v>1882</v>
      </c>
      <c r="F65" s="1185"/>
      <c r="G65" s="13">
        <f t="shared" si="5"/>
        <v>1</v>
      </c>
      <c r="H65" s="224" t="str">
        <f t="shared" ref="H65:I65" si="51">IF(OR(C65=0,C65="SCORE"),"",C65)</f>
        <v/>
      </c>
      <c r="I65" s="13" t="str">
        <f t="shared" si="51"/>
        <v/>
      </c>
      <c r="J65" s="13" t="str">
        <f t="shared" si="7"/>
        <v/>
      </c>
      <c r="K65" s="13" t="str">
        <f t="shared" si="4"/>
        <v>N/A</v>
      </c>
    </row>
    <row r="66" ht="15.75" hidden="1" customHeight="1">
      <c r="A66" s="1185"/>
      <c r="B66" s="1179" t="s">
        <v>1888</v>
      </c>
      <c r="C66" s="1186"/>
      <c r="D66" s="1186"/>
      <c r="F66" s="1185"/>
      <c r="G66" s="13">
        <f t="shared" si="5"/>
        <v>1</v>
      </c>
      <c r="H66" s="224" t="str">
        <f t="shared" ref="H66:I66" si="52">IF(OR(C66=0,C66="SCORE"),"",C66)</f>
        <v/>
      </c>
      <c r="I66" s="13" t="str">
        <f t="shared" si="52"/>
        <v/>
      </c>
      <c r="J66" s="13" t="str">
        <f t="shared" si="7"/>
        <v/>
      </c>
      <c r="K66" s="13" t="str">
        <f t="shared" si="4"/>
        <v>N/A</v>
      </c>
    </row>
    <row r="67" ht="15.75" customHeight="1">
      <c r="A67" s="1185" t="s">
        <v>1928</v>
      </c>
      <c r="B67" s="1640" t="s">
        <v>725</v>
      </c>
      <c r="C67" s="1186">
        <v>206.71</v>
      </c>
      <c r="D67" s="1186">
        <v>170.76</v>
      </c>
      <c r="E67" s="1640" t="s">
        <v>743</v>
      </c>
      <c r="F67" s="1185"/>
      <c r="G67" s="13" t="str">
        <f t="shared" si="5"/>
        <v>YARDIES</v>
      </c>
      <c r="H67" s="1187">
        <f t="shared" ref="H67:I67" si="53">IF(OR(C67=0,C67="SCORE"),"",C67)</f>
        <v>206.71</v>
      </c>
      <c r="I67" s="1188">
        <f t="shared" si="53"/>
        <v>170.76</v>
      </c>
      <c r="J67" s="13" t="str">
        <f t="shared" si="7"/>
        <v>CHAMPS</v>
      </c>
      <c r="K67" s="13" t="str">
        <f t="shared" si="4"/>
        <v>Game</v>
      </c>
    </row>
    <row r="68" ht="19.5" hidden="1" customHeight="1">
      <c r="A68" s="1185"/>
      <c r="B68" s="1179" t="s">
        <v>1882</v>
      </c>
      <c r="C68" s="1186"/>
      <c r="D68" s="1186"/>
      <c r="E68" s="1179" t="s">
        <v>1882</v>
      </c>
      <c r="F68" s="1185" t="s">
        <v>1929</v>
      </c>
      <c r="G68" s="13">
        <f t="shared" si="5"/>
        <v>1</v>
      </c>
      <c r="H68" s="224" t="str">
        <f t="shared" ref="H68:I68" si="54">IF(OR(C68=0,C68="SCORE"),"",C68)</f>
        <v/>
      </c>
      <c r="I68" s="13" t="str">
        <f t="shared" si="54"/>
        <v/>
      </c>
      <c r="J68" s="13" t="str">
        <f t="shared" si="7"/>
        <v/>
      </c>
      <c r="K68" s="13" t="str">
        <f t="shared" si="4"/>
        <v>N/A</v>
      </c>
    </row>
    <row r="69" ht="15.75" customHeight="1">
      <c r="A69" s="1185" t="s">
        <v>1930</v>
      </c>
      <c r="B69" s="1640" t="s">
        <v>726</v>
      </c>
      <c r="C69" s="1186">
        <v>192.75</v>
      </c>
      <c r="D69" s="1186">
        <v>225.06</v>
      </c>
      <c r="E69" s="1180" t="s">
        <v>722</v>
      </c>
      <c r="F69" s="1189" t="s">
        <v>1931</v>
      </c>
      <c r="G69" s="13" t="str">
        <f t="shared" si="5"/>
        <v>POPEYES</v>
      </c>
      <c r="H69" s="1187">
        <f t="shared" ref="H69:I69" si="55">IF(OR(C69=0,C69="SCORE"),"",C69)</f>
        <v>192.75</v>
      </c>
      <c r="I69" s="1188">
        <f t="shared" si="55"/>
        <v>225.06</v>
      </c>
      <c r="J69" s="13" t="str">
        <f t="shared" si="7"/>
        <v>DECOUPES</v>
      </c>
      <c r="K69" s="13" t="str">
        <f t="shared" si="4"/>
        <v>Game</v>
      </c>
    </row>
    <row r="70" ht="15.75" hidden="1" customHeight="1">
      <c r="A70" s="1185"/>
      <c r="B70" s="1179" t="s">
        <v>1882</v>
      </c>
      <c r="C70" s="1186"/>
      <c r="D70" s="1186"/>
      <c r="E70" s="1180" t="s">
        <v>1882</v>
      </c>
      <c r="F70" s="1189"/>
      <c r="G70" s="13">
        <f t="shared" si="5"/>
        <v>1</v>
      </c>
      <c r="H70" s="224" t="str">
        <f t="shared" ref="H70:I70" si="56">IF(OR(C70=0,C70="SCORE"),"",C70)</f>
        <v/>
      </c>
      <c r="I70" s="13" t="str">
        <f t="shared" si="56"/>
        <v/>
      </c>
      <c r="J70" s="13" t="str">
        <f t="shared" si="7"/>
        <v/>
      </c>
      <c r="K70" s="13" t="str">
        <f t="shared" si="4"/>
        <v>N/A</v>
      </c>
    </row>
    <row r="71" ht="15.75" hidden="1" customHeight="1">
      <c r="A71" s="1181" t="s">
        <v>812</v>
      </c>
      <c r="G71" s="13">
        <f t="shared" si="5"/>
        <v>1</v>
      </c>
      <c r="H71" s="224" t="str">
        <f t="shared" ref="H71:I71" si="57">IF(OR(C71=0,C71="SCORE"),"",C71)</f>
        <v/>
      </c>
      <c r="I71" s="13" t="str">
        <f t="shared" si="57"/>
        <v/>
      </c>
      <c r="J71" s="13" t="str">
        <f t="shared" si="7"/>
        <v/>
      </c>
      <c r="K71" s="13" t="str">
        <f t="shared" si="4"/>
        <v>N/A</v>
      </c>
    </row>
    <row r="72" ht="15.75" hidden="1" customHeight="1">
      <c r="A72" s="1182" t="s">
        <v>731</v>
      </c>
      <c r="B72" s="1182" t="s">
        <v>1865</v>
      </c>
      <c r="C72" s="1182" t="s">
        <v>510</v>
      </c>
      <c r="D72" s="1182" t="s">
        <v>510</v>
      </c>
      <c r="E72" s="1182" t="s">
        <v>1865</v>
      </c>
      <c r="F72" s="1182" t="s">
        <v>732</v>
      </c>
      <c r="G72" s="13">
        <f t="shared" si="5"/>
        <v>1</v>
      </c>
      <c r="H72" s="224" t="str">
        <f t="shared" ref="H72:I72" si="58">IF(OR(C72=0,C72="SCORE"),"",C72)</f>
        <v/>
      </c>
      <c r="I72" s="13" t="str">
        <f t="shared" si="58"/>
        <v/>
      </c>
      <c r="J72" s="13" t="str">
        <f t="shared" si="7"/>
        <v/>
      </c>
      <c r="K72" s="13" t="str">
        <f t="shared" si="4"/>
        <v>N/A</v>
      </c>
    </row>
    <row r="73" ht="15.75" customHeight="1">
      <c r="A73" s="1185" t="s">
        <v>1868</v>
      </c>
      <c r="B73" s="1179" t="s">
        <v>727</v>
      </c>
      <c r="C73" s="1186">
        <v>231.65</v>
      </c>
      <c r="D73" s="1186">
        <v>151.71</v>
      </c>
      <c r="E73" s="1640" t="s">
        <v>725</v>
      </c>
      <c r="F73" s="1185" t="s">
        <v>1934</v>
      </c>
      <c r="G73" s="13" t="str">
        <f t="shared" si="5"/>
        <v>GREEN</v>
      </c>
      <c r="H73" s="1187">
        <f t="shared" ref="H73:I73" si="59">IF(OR(C73=0,C73="SCORE"),"",C73)</f>
        <v>231.65</v>
      </c>
      <c r="I73" s="1188">
        <f t="shared" si="59"/>
        <v>151.71</v>
      </c>
      <c r="J73" s="13" t="str">
        <f t="shared" si="7"/>
        <v>YARDIES</v>
      </c>
      <c r="K73" s="13" t="str">
        <f t="shared" si="4"/>
        <v>Game</v>
      </c>
    </row>
    <row r="74" ht="15.75" hidden="1" customHeight="1">
      <c r="A74" s="1185" t="s">
        <v>1898</v>
      </c>
      <c r="B74" s="1179" t="s">
        <v>1898</v>
      </c>
      <c r="C74" s="1186"/>
      <c r="D74" s="1186"/>
      <c r="E74" s="1179" t="s">
        <v>1882</v>
      </c>
      <c r="F74" s="1185"/>
      <c r="G74" s="13">
        <f t="shared" si="5"/>
        <v>1</v>
      </c>
      <c r="H74" s="224" t="str">
        <f t="shared" ref="H74:I74" si="60">IF(OR(C74=0,C74="SCORE"),"",C74)</f>
        <v/>
      </c>
      <c r="I74" s="13" t="str">
        <f t="shared" si="60"/>
        <v/>
      </c>
      <c r="J74" s="13" t="str">
        <f t="shared" si="7"/>
        <v/>
      </c>
      <c r="K74" s="13" t="str">
        <f t="shared" si="4"/>
        <v>N/A</v>
      </c>
    </row>
    <row r="75" ht="19.5" hidden="1" customHeight="1">
      <c r="A75" s="1535" t="s">
        <v>1899</v>
      </c>
      <c r="C75" s="1186"/>
      <c r="D75" s="1186"/>
      <c r="F75" s="1185"/>
      <c r="G75" s="13">
        <f t="shared" si="5"/>
        <v>1</v>
      </c>
      <c r="H75" s="224" t="str">
        <f t="shared" ref="H75:I75" si="61">IF(OR(C75=0,C75="SCORE"),"",C75)</f>
        <v/>
      </c>
      <c r="I75" s="13" t="str">
        <f t="shared" si="61"/>
        <v/>
      </c>
      <c r="J75" s="13" t="str">
        <f t="shared" si="7"/>
        <v/>
      </c>
      <c r="K75" s="13" t="str">
        <f t="shared" si="4"/>
        <v>N/A</v>
      </c>
    </row>
    <row r="76" ht="15.75" customHeight="1">
      <c r="A76" s="1185" t="s">
        <v>1936</v>
      </c>
      <c r="B76" s="1179" t="s">
        <v>721</v>
      </c>
      <c r="C76" s="1186">
        <v>202.82</v>
      </c>
      <c r="D76" s="1186">
        <v>148.18</v>
      </c>
      <c r="E76" s="1180" t="s">
        <v>722</v>
      </c>
      <c r="F76" s="1189" t="s">
        <v>1938</v>
      </c>
      <c r="G76" s="13" t="str">
        <f t="shared" si="5"/>
        <v>MUTTS</v>
      </c>
      <c r="H76" s="1187">
        <f t="shared" ref="H76:I76" si="62">IF(OR(C76=0,C76="SCORE"),"",C76)</f>
        <v>202.82</v>
      </c>
      <c r="I76" s="1188">
        <f t="shared" si="62"/>
        <v>148.18</v>
      </c>
      <c r="J76" s="13" t="str">
        <f t="shared" si="7"/>
        <v>DECOUPES</v>
      </c>
      <c r="K76" s="13" t="str">
        <f t="shared" si="4"/>
        <v>Game</v>
      </c>
    </row>
    <row r="77" ht="15.75" hidden="1" customHeight="1">
      <c r="A77" s="1185"/>
      <c r="B77" s="1179" t="s">
        <v>1882</v>
      </c>
      <c r="C77" s="1186"/>
      <c r="D77" s="1186"/>
      <c r="E77" s="1180" t="s">
        <v>1882</v>
      </c>
      <c r="F77" s="1189"/>
      <c r="G77" s="13">
        <f t="shared" si="5"/>
        <v>1</v>
      </c>
      <c r="H77" s="224" t="str">
        <f t="shared" ref="H77:I77" si="63">IF(OR(C77=0,C77="SCORE"),"",C77)</f>
        <v/>
      </c>
      <c r="I77" s="13" t="str">
        <f t="shared" si="63"/>
        <v/>
      </c>
      <c r="J77" s="13" t="str">
        <f t="shared" si="7"/>
        <v/>
      </c>
      <c r="K77" s="13" t="str">
        <f t="shared" si="4"/>
        <v>N/A</v>
      </c>
    </row>
    <row r="78" ht="15.75" hidden="1" customHeight="1">
      <c r="A78" s="1185"/>
      <c r="B78" s="1179" t="s">
        <v>1888</v>
      </c>
      <c r="C78" s="1186"/>
      <c r="D78" s="1186"/>
      <c r="F78" s="1189"/>
      <c r="G78" s="13">
        <f t="shared" si="5"/>
        <v>1</v>
      </c>
      <c r="H78" s="224" t="str">
        <f t="shared" ref="H78:I78" si="64">IF(OR(C78=0,C78="SCORE"),"",C78)</f>
        <v/>
      </c>
      <c r="I78" s="13" t="str">
        <f t="shared" si="64"/>
        <v/>
      </c>
      <c r="J78" s="13" t="str">
        <f t="shared" si="7"/>
        <v/>
      </c>
      <c r="K78" s="13" t="str">
        <f t="shared" si="4"/>
        <v>N/A</v>
      </c>
    </row>
    <row r="79" ht="15.75" customHeight="1">
      <c r="A79" s="1185" t="s">
        <v>1939</v>
      </c>
      <c r="B79" s="1640" t="s">
        <v>726</v>
      </c>
      <c r="C79" s="1186">
        <v>189.38</v>
      </c>
      <c r="D79" s="1186">
        <v>113.93</v>
      </c>
      <c r="E79" s="1179" t="s">
        <v>724</v>
      </c>
      <c r="F79" s="1185" t="s">
        <v>1942</v>
      </c>
      <c r="G79" s="13" t="str">
        <f t="shared" si="5"/>
        <v>POPEYES</v>
      </c>
      <c r="H79" s="1187">
        <f t="shared" ref="H79:I79" si="65">IF(OR(C79=0,C79="SCORE"),"",C79)</f>
        <v>189.38</v>
      </c>
      <c r="I79" s="1188">
        <f t="shared" si="65"/>
        <v>113.93</v>
      </c>
      <c r="J79" s="13" t="str">
        <f t="shared" si="7"/>
        <v>METAMOOKDAWGS</v>
      </c>
      <c r="K79" s="13" t="str">
        <f t="shared" si="4"/>
        <v>Game</v>
      </c>
    </row>
    <row r="80" ht="15.75" hidden="1" customHeight="1">
      <c r="A80" s="1185"/>
      <c r="B80" s="1179" t="s">
        <v>1882</v>
      </c>
      <c r="C80" s="1186"/>
      <c r="D80" s="1186"/>
      <c r="E80" s="1179" t="s">
        <v>1882</v>
      </c>
      <c r="F80" s="1185"/>
      <c r="G80" s="13">
        <f t="shared" si="5"/>
        <v>1</v>
      </c>
      <c r="H80" s="224" t="str">
        <f t="shared" ref="H80:I80" si="66">IF(OR(C80=0,C80="SCORE"),"",C80)</f>
        <v/>
      </c>
      <c r="I80" s="13" t="str">
        <f t="shared" si="66"/>
        <v/>
      </c>
      <c r="J80" s="13" t="str">
        <f t="shared" si="7"/>
        <v/>
      </c>
      <c r="K80" s="13" t="str">
        <f t="shared" si="4"/>
        <v>N/A</v>
      </c>
    </row>
    <row r="81" ht="15.75" customHeight="1">
      <c r="A81" s="1185"/>
      <c r="B81" s="1640" t="s">
        <v>743</v>
      </c>
      <c r="C81" s="1186">
        <v>174.47</v>
      </c>
      <c r="D81" s="1186">
        <v>193.26</v>
      </c>
      <c r="E81" s="1179" t="s">
        <v>723</v>
      </c>
      <c r="F81" s="1185" t="s">
        <v>1944</v>
      </c>
      <c r="G81" s="13" t="str">
        <f t="shared" si="5"/>
        <v>CHAMPS</v>
      </c>
      <c r="H81" s="1187">
        <f t="shared" ref="H81:I81" si="67">IF(OR(C81=0,C81="SCORE"),"",C81)</f>
        <v>174.47</v>
      </c>
      <c r="I81" s="1188">
        <f t="shared" si="67"/>
        <v>193.26</v>
      </c>
      <c r="J81" s="13" t="str">
        <f t="shared" si="7"/>
        <v>SAVAGES</v>
      </c>
      <c r="K81" s="13" t="str">
        <f t="shared" si="4"/>
        <v>Game</v>
      </c>
    </row>
    <row r="82" ht="19.5" hidden="1" customHeight="1">
      <c r="A82" s="1185" t="s">
        <v>1945</v>
      </c>
      <c r="B82" s="1179" t="s">
        <v>1882</v>
      </c>
      <c r="C82" s="1186"/>
      <c r="D82" s="1186"/>
      <c r="E82" s="1179" t="s">
        <v>1882</v>
      </c>
      <c r="F82" s="1185"/>
      <c r="G82" s="13">
        <f t="shared" si="5"/>
        <v>1</v>
      </c>
      <c r="H82" s="224" t="str">
        <f t="shared" ref="H82:I82" si="68">IF(OR(C82=0,C82="SCORE"),"",C82)</f>
        <v/>
      </c>
      <c r="I82" s="13" t="str">
        <f t="shared" si="68"/>
        <v/>
      </c>
      <c r="J82" s="13" t="str">
        <f t="shared" si="7"/>
        <v/>
      </c>
      <c r="K82" s="13" t="str">
        <f t="shared" si="4"/>
        <v>N/A</v>
      </c>
    </row>
    <row r="83" ht="15.75" hidden="1" customHeight="1">
      <c r="A83" s="1181" t="s">
        <v>830</v>
      </c>
      <c r="G83" s="13">
        <f t="shared" si="5"/>
        <v>1</v>
      </c>
      <c r="H83" s="224" t="str">
        <f t="shared" ref="H83:I83" si="69">IF(OR(C83=0,C83="SCORE"),"",C83)</f>
        <v/>
      </c>
      <c r="I83" s="13" t="str">
        <f t="shared" si="69"/>
        <v/>
      </c>
      <c r="J83" s="13" t="str">
        <f t="shared" si="7"/>
        <v/>
      </c>
      <c r="K83" s="13" t="str">
        <f t="shared" si="4"/>
        <v>N/A</v>
      </c>
    </row>
    <row r="84" ht="15.75" hidden="1" customHeight="1">
      <c r="A84" s="1182" t="s">
        <v>731</v>
      </c>
      <c r="B84" s="1182" t="s">
        <v>1865</v>
      </c>
      <c r="C84" s="1182" t="s">
        <v>510</v>
      </c>
      <c r="D84" s="1182" t="s">
        <v>510</v>
      </c>
      <c r="E84" s="1182" t="s">
        <v>1865</v>
      </c>
      <c r="F84" s="1182" t="s">
        <v>732</v>
      </c>
      <c r="G84" s="13">
        <f t="shared" si="5"/>
        <v>1</v>
      </c>
      <c r="H84" s="224" t="str">
        <f t="shared" ref="H84:I84" si="70">IF(OR(C84=0,C84="SCORE"),"",C84)</f>
        <v/>
      </c>
      <c r="I84" s="13" t="str">
        <f t="shared" si="70"/>
        <v/>
      </c>
      <c r="J84" s="13" t="str">
        <f t="shared" si="7"/>
        <v/>
      </c>
      <c r="K84" s="13" t="str">
        <f t="shared" si="4"/>
        <v>N/A</v>
      </c>
    </row>
    <row r="85" ht="15.75" customHeight="1">
      <c r="A85" s="1185" t="s">
        <v>1868</v>
      </c>
      <c r="B85" s="1179" t="s">
        <v>727</v>
      </c>
      <c r="C85" s="1186">
        <v>205.68</v>
      </c>
      <c r="D85" s="1186">
        <v>198.16</v>
      </c>
      <c r="E85" s="1180" t="s">
        <v>722</v>
      </c>
      <c r="F85" s="1189" t="s">
        <v>1947</v>
      </c>
      <c r="G85" s="13" t="str">
        <f t="shared" si="5"/>
        <v>GREEN</v>
      </c>
      <c r="H85" s="1187">
        <f t="shared" ref="H85:I85" si="71">IF(OR(C85=0,C85="SCORE"),"",C85)</f>
        <v>205.68</v>
      </c>
      <c r="I85" s="1188">
        <f t="shared" si="71"/>
        <v>198.16</v>
      </c>
      <c r="J85" s="13" t="str">
        <f t="shared" si="7"/>
        <v>DECOUPES</v>
      </c>
      <c r="K85" s="13" t="str">
        <f t="shared" si="4"/>
        <v>Game</v>
      </c>
    </row>
    <row r="86" ht="15.75" hidden="1" customHeight="1">
      <c r="A86" s="1185" t="s">
        <v>1898</v>
      </c>
      <c r="B86" s="1179" t="s">
        <v>1898</v>
      </c>
      <c r="C86" s="1186"/>
      <c r="D86" s="1186"/>
      <c r="E86" s="1180" t="s">
        <v>1882</v>
      </c>
      <c r="F86" s="1189"/>
      <c r="G86" s="13">
        <f t="shared" si="5"/>
        <v>1</v>
      </c>
      <c r="H86" s="224" t="str">
        <f t="shared" ref="H86:I86" si="72">IF(OR(C86=0,C86="SCORE"),"",C86)</f>
        <v/>
      </c>
      <c r="I86" s="13" t="str">
        <f t="shared" si="72"/>
        <v/>
      </c>
      <c r="J86" s="13" t="str">
        <f t="shared" si="7"/>
        <v/>
      </c>
      <c r="K86" s="13" t="str">
        <f t="shared" si="4"/>
        <v>N/A</v>
      </c>
    </row>
    <row r="87" ht="15.75" hidden="1" customHeight="1">
      <c r="A87" s="1535" t="s">
        <v>1899</v>
      </c>
      <c r="C87" s="1186"/>
      <c r="D87" s="1186"/>
      <c r="F87" s="1189"/>
      <c r="G87" s="13">
        <f t="shared" si="5"/>
        <v>1</v>
      </c>
      <c r="H87" s="224" t="str">
        <f t="shared" ref="H87:I87" si="73">IF(OR(C87=0,C87="SCORE"),"",C87)</f>
        <v/>
      </c>
      <c r="I87" s="13" t="str">
        <f t="shared" si="73"/>
        <v/>
      </c>
      <c r="J87" s="13" t="str">
        <f t="shared" si="7"/>
        <v/>
      </c>
      <c r="K87" s="13" t="str">
        <f t="shared" si="4"/>
        <v>N/A</v>
      </c>
    </row>
    <row r="88" ht="15.75" customHeight="1">
      <c r="A88" s="1185" t="s">
        <v>1948</v>
      </c>
      <c r="B88" s="1179" t="s">
        <v>721</v>
      </c>
      <c r="C88" s="1186">
        <v>177.2</v>
      </c>
      <c r="D88" s="1186">
        <v>139.6</v>
      </c>
      <c r="E88" s="1640" t="s">
        <v>743</v>
      </c>
      <c r="F88" s="1185"/>
      <c r="G88" s="13" t="str">
        <f t="shared" si="5"/>
        <v>MUTTS</v>
      </c>
      <c r="H88" s="1187">
        <f t="shared" ref="H88:I88" si="74">IF(OR(C88=0,C88="SCORE"),"",C88)</f>
        <v>177.2</v>
      </c>
      <c r="I88" s="1188">
        <f t="shared" si="74"/>
        <v>139.6</v>
      </c>
      <c r="J88" s="13" t="str">
        <f t="shared" si="7"/>
        <v>CHAMPS</v>
      </c>
      <c r="K88" s="13" t="str">
        <f t="shared" si="4"/>
        <v>Game</v>
      </c>
    </row>
    <row r="89" ht="19.5" hidden="1" customHeight="1">
      <c r="A89" s="1185"/>
      <c r="B89" s="1179" t="s">
        <v>1882</v>
      </c>
      <c r="C89" s="1186"/>
      <c r="D89" s="1186"/>
      <c r="E89" s="1179" t="s">
        <v>1882</v>
      </c>
      <c r="F89" s="1185" t="s">
        <v>1949</v>
      </c>
      <c r="G89" s="13">
        <f t="shared" si="5"/>
        <v>1</v>
      </c>
      <c r="H89" s="224" t="str">
        <f t="shared" ref="H89:I89" si="75">IF(OR(C89=0,C89="SCORE"),"",C89)</f>
        <v/>
      </c>
      <c r="I89" s="13" t="str">
        <f t="shared" si="75"/>
        <v/>
      </c>
      <c r="J89" s="13" t="str">
        <f t="shared" si="7"/>
        <v/>
      </c>
      <c r="K89" s="13" t="str">
        <f t="shared" si="4"/>
        <v>N/A</v>
      </c>
    </row>
    <row r="90" ht="15.75" hidden="1" customHeight="1">
      <c r="A90" s="1185"/>
      <c r="B90" s="1179" t="s">
        <v>1888</v>
      </c>
      <c r="C90" s="1186"/>
      <c r="D90" s="1186"/>
      <c r="G90" s="13">
        <f t="shared" si="5"/>
        <v>1</v>
      </c>
      <c r="H90" s="224" t="str">
        <f t="shared" ref="H90:I90" si="76">IF(OR(C90=0,C90="SCORE"),"",C90)</f>
        <v/>
      </c>
      <c r="I90" s="13" t="str">
        <f t="shared" si="76"/>
        <v/>
      </c>
      <c r="J90" s="13" t="str">
        <f t="shared" si="7"/>
        <v/>
      </c>
      <c r="K90" s="13" t="str">
        <f t="shared" si="4"/>
        <v>N/A</v>
      </c>
    </row>
    <row r="91" ht="15.75" customHeight="1">
      <c r="A91" s="1185" t="s">
        <v>1952</v>
      </c>
      <c r="B91" s="1640" t="s">
        <v>725</v>
      </c>
      <c r="C91" s="1186">
        <v>205.94</v>
      </c>
      <c r="D91" s="1186">
        <v>175.06</v>
      </c>
      <c r="E91" s="1179" t="s">
        <v>724</v>
      </c>
      <c r="F91" s="1185" t="s">
        <v>1953</v>
      </c>
      <c r="G91" s="13" t="str">
        <f t="shared" si="5"/>
        <v>YARDIES</v>
      </c>
      <c r="H91" s="1187">
        <f t="shared" ref="H91:I91" si="77">IF(OR(C91=0,C91="SCORE"),"",C91)</f>
        <v>205.94</v>
      </c>
      <c r="I91" s="1188">
        <f t="shared" si="77"/>
        <v>175.06</v>
      </c>
      <c r="J91" s="13" t="str">
        <f t="shared" si="7"/>
        <v>METAMOOKDAWGS</v>
      </c>
      <c r="K91" s="13" t="str">
        <f t="shared" si="4"/>
        <v>Game</v>
      </c>
    </row>
    <row r="92" ht="15.75" hidden="1" customHeight="1">
      <c r="A92" s="1185"/>
      <c r="B92" s="1179" t="s">
        <v>1882</v>
      </c>
      <c r="C92" s="1186"/>
      <c r="D92" s="1186"/>
      <c r="E92" s="1179" t="s">
        <v>1882</v>
      </c>
      <c r="F92" s="1185"/>
      <c r="G92" s="13">
        <f t="shared" si="5"/>
        <v>1</v>
      </c>
      <c r="H92" s="224" t="str">
        <f t="shared" ref="H92:I92" si="78">IF(OR(C92=0,C92="SCORE"),"",C92)</f>
        <v/>
      </c>
      <c r="I92" s="13" t="str">
        <f t="shared" si="78"/>
        <v/>
      </c>
      <c r="J92" s="13" t="str">
        <f t="shared" si="7"/>
        <v/>
      </c>
      <c r="K92" s="13" t="str">
        <f t="shared" si="4"/>
        <v>N/A</v>
      </c>
    </row>
    <row r="93" ht="15.75" customHeight="1">
      <c r="A93" s="1185" t="s">
        <v>1954</v>
      </c>
      <c r="B93" s="1640" t="s">
        <v>726</v>
      </c>
      <c r="C93" s="1186">
        <v>160.14</v>
      </c>
      <c r="D93" s="1186">
        <v>152.93</v>
      </c>
      <c r="E93" s="1179" t="s">
        <v>723</v>
      </c>
      <c r="F93" s="1185" t="s">
        <v>1955</v>
      </c>
      <c r="G93" s="13" t="str">
        <f t="shared" si="5"/>
        <v>POPEYES</v>
      </c>
      <c r="H93" s="1187">
        <f t="shared" ref="H93:I93" si="79">IF(OR(C93=0,C93="SCORE"),"",C93)</f>
        <v>160.14</v>
      </c>
      <c r="I93" s="1188">
        <f t="shared" si="79"/>
        <v>152.93</v>
      </c>
      <c r="J93" s="13" t="str">
        <f t="shared" si="7"/>
        <v>SAVAGES</v>
      </c>
      <c r="K93" s="13" t="str">
        <f t="shared" si="4"/>
        <v>Game</v>
      </c>
    </row>
    <row r="94" ht="15.75" hidden="1" customHeight="1">
      <c r="A94" s="1185"/>
      <c r="B94" s="1179" t="s">
        <v>1882</v>
      </c>
      <c r="C94" s="1186"/>
      <c r="D94" s="1186"/>
      <c r="E94" s="1179" t="s">
        <v>1882</v>
      </c>
      <c r="F94" s="1185"/>
      <c r="G94" s="13">
        <f t="shared" si="5"/>
        <v>1</v>
      </c>
      <c r="H94" s="224" t="str">
        <f t="shared" ref="H94:I94" si="80">IF(OR(C94=0,C94="SCORE"),"",C94)</f>
        <v/>
      </c>
      <c r="I94" s="13" t="str">
        <f t="shared" si="80"/>
        <v/>
      </c>
      <c r="J94" s="13" t="str">
        <f t="shared" si="7"/>
        <v/>
      </c>
      <c r="K94" s="13" t="str">
        <f t="shared" si="4"/>
        <v>N/A</v>
      </c>
    </row>
    <row r="95" ht="15.75" hidden="1" customHeight="1">
      <c r="A95" s="1181" t="s">
        <v>848</v>
      </c>
      <c r="G95" s="13">
        <f t="shared" si="5"/>
        <v>1</v>
      </c>
      <c r="H95" s="224" t="str">
        <f t="shared" ref="H95:I95" si="81">IF(OR(C95=0,C95="SCORE"),"",C95)</f>
        <v/>
      </c>
      <c r="I95" s="13" t="str">
        <f t="shared" si="81"/>
        <v/>
      </c>
      <c r="J95" s="13" t="str">
        <f t="shared" si="7"/>
        <v/>
      </c>
      <c r="K95" s="13" t="str">
        <f t="shared" si="4"/>
        <v>N/A</v>
      </c>
    </row>
    <row r="96" ht="19.5" hidden="1" customHeight="1">
      <c r="A96" s="1182" t="s">
        <v>731</v>
      </c>
      <c r="B96" s="1182" t="s">
        <v>1865</v>
      </c>
      <c r="C96" s="1182" t="s">
        <v>510</v>
      </c>
      <c r="D96" s="1182" t="s">
        <v>510</v>
      </c>
      <c r="E96" s="1182" t="s">
        <v>1865</v>
      </c>
      <c r="F96" s="1182" t="s">
        <v>732</v>
      </c>
      <c r="G96" s="13">
        <f t="shared" si="5"/>
        <v>1</v>
      </c>
      <c r="H96" s="224" t="str">
        <f t="shared" ref="H96:I96" si="82">IF(OR(C96=0,C96="SCORE"),"",C96)</f>
        <v/>
      </c>
      <c r="I96" s="13" t="str">
        <f t="shared" si="82"/>
        <v/>
      </c>
      <c r="J96" s="13" t="str">
        <f t="shared" si="7"/>
        <v/>
      </c>
      <c r="K96" s="13" t="str">
        <f t="shared" si="4"/>
        <v>N/A</v>
      </c>
    </row>
    <row r="97" ht="15.75" customHeight="1">
      <c r="A97" s="1185" t="s">
        <v>1868</v>
      </c>
      <c r="B97" s="1179" t="s">
        <v>727</v>
      </c>
      <c r="C97" s="1186">
        <v>166.26</v>
      </c>
      <c r="D97" s="1186">
        <v>171.95</v>
      </c>
      <c r="E97" s="1179" t="s">
        <v>723</v>
      </c>
      <c r="F97" s="1185" t="s">
        <v>1958</v>
      </c>
      <c r="G97" s="13" t="str">
        <f t="shared" si="5"/>
        <v>GREEN</v>
      </c>
      <c r="H97" s="1187">
        <f t="shared" ref="H97:I97" si="83">IF(OR(C97=0,C97="SCORE"),"",C97)</f>
        <v>166.26</v>
      </c>
      <c r="I97" s="1188">
        <f t="shared" si="83"/>
        <v>171.95</v>
      </c>
      <c r="J97" s="13" t="str">
        <f t="shared" si="7"/>
        <v>SAVAGES</v>
      </c>
      <c r="K97" s="13" t="str">
        <f t="shared" si="4"/>
        <v>Game</v>
      </c>
    </row>
    <row r="98" ht="15.75" hidden="1" customHeight="1">
      <c r="A98" s="1185" t="s">
        <v>1898</v>
      </c>
      <c r="B98" s="1179" t="s">
        <v>1898</v>
      </c>
      <c r="C98" s="1186"/>
      <c r="D98" s="1186"/>
      <c r="E98" s="1179" t="s">
        <v>1882</v>
      </c>
      <c r="F98" s="1185"/>
      <c r="G98" s="13">
        <f t="shared" si="5"/>
        <v>1</v>
      </c>
      <c r="H98" s="224" t="str">
        <f t="shared" ref="H98:I98" si="84">IF(OR(C98=0,C98="SCORE"),"",C98)</f>
        <v/>
      </c>
      <c r="I98" s="13" t="str">
        <f t="shared" si="84"/>
        <v/>
      </c>
      <c r="J98" s="13" t="str">
        <f t="shared" si="7"/>
        <v/>
      </c>
      <c r="K98" s="13" t="str">
        <f t="shared" si="4"/>
        <v>N/A</v>
      </c>
    </row>
    <row r="99" ht="15.75" hidden="1" customHeight="1">
      <c r="A99" s="1535" t="s">
        <v>1899</v>
      </c>
      <c r="C99" s="1186"/>
      <c r="D99" s="1186"/>
      <c r="F99" s="1185"/>
      <c r="G99" s="13">
        <f t="shared" si="5"/>
        <v>1</v>
      </c>
      <c r="H99" s="224" t="str">
        <f t="shared" ref="H99:I99" si="85">IF(OR(C99=0,C99="SCORE"),"",C99)</f>
        <v/>
      </c>
      <c r="I99" s="13" t="str">
        <f t="shared" si="85"/>
        <v/>
      </c>
      <c r="J99" s="13" t="str">
        <f t="shared" si="7"/>
        <v/>
      </c>
      <c r="K99" s="13" t="str">
        <f t="shared" si="4"/>
        <v>N/A</v>
      </c>
    </row>
    <row r="100" ht="15.75" customHeight="1">
      <c r="A100" s="1185" t="s">
        <v>1961</v>
      </c>
      <c r="B100" s="1179" t="s">
        <v>721</v>
      </c>
      <c r="C100" s="1186">
        <v>195.62</v>
      </c>
      <c r="D100" s="1186">
        <v>150.7</v>
      </c>
      <c r="E100" s="1179" t="s">
        <v>724</v>
      </c>
      <c r="F100" s="1185" t="s">
        <v>1962</v>
      </c>
      <c r="G100" s="13" t="str">
        <f t="shared" si="5"/>
        <v>MUTTS</v>
      </c>
      <c r="H100" s="1187">
        <f t="shared" ref="H100:I100" si="86">IF(OR(C100=0,C100="SCORE"),"",C100)</f>
        <v>195.62</v>
      </c>
      <c r="I100" s="1188">
        <f t="shared" si="86"/>
        <v>150.7</v>
      </c>
      <c r="J100" s="13" t="str">
        <f t="shared" si="7"/>
        <v>METAMOOKDAWGS</v>
      </c>
      <c r="K100" s="13" t="str">
        <f t="shared" si="4"/>
        <v>Game</v>
      </c>
    </row>
    <row r="101" ht="15.75" hidden="1" customHeight="1">
      <c r="A101" s="1185"/>
      <c r="B101" s="1179" t="s">
        <v>1882</v>
      </c>
      <c r="C101" s="1186"/>
      <c r="D101" s="1186"/>
      <c r="E101" s="1179" t="s">
        <v>1882</v>
      </c>
      <c r="F101" s="1185"/>
      <c r="G101" s="13">
        <f t="shared" si="5"/>
        <v>1</v>
      </c>
      <c r="H101" s="224" t="str">
        <f t="shared" ref="H101:I101" si="87">IF(OR(C101=0,C101="SCORE"),"",C101)</f>
        <v/>
      </c>
      <c r="I101" s="13" t="str">
        <f t="shared" si="87"/>
        <v/>
      </c>
      <c r="J101" s="13" t="str">
        <f t="shared" si="7"/>
        <v/>
      </c>
      <c r="K101" s="13" t="str">
        <f t="shared" si="4"/>
        <v>N/A</v>
      </c>
    </row>
    <row r="102" ht="15.75" hidden="1" customHeight="1">
      <c r="A102" s="1185"/>
      <c r="B102" s="1179" t="s">
        <v>1888</v>
      </c>
      <c r="C102" s="1186"/>
      <c r="D102" s="1186"/>
      <c r="F102" s="1185"/>
      <c r="G102" s="13">
        <f t="shared" si="5"/>
        <v>1</v>
      </c>
      <c r="H102" s="224" t="str">
        <f t="shared" ref="H102:I102" si="88">IF(OR(C102=0,C102="SCORE"),"",C102)</f>
        <v/>
      </c>
      <c r="I102" s="13" t="str">
        <f t="shared" si="88"/>
        <v/>
      </c>
      <c r="J102" s="13" t="str">
        <f t="shared" si="7"/>
        <v/>
      </c>
      <c r="K102" s="13" t="str">
        <f t="shared" si="4"/>
        <v>N/A</v>
      </c>
    </row>
    <row r="103" ht="19.5" customHeight="1">
      <c r="A103" s="1185" t="s">
        <v>1965</v>
      </c>
      <c r="B103" s="1640" t="s">
        <v>725</v>
      </c>
      <c r="C103" s="1186">
        <v>227.66</v>
      </c>
      <c r="D103" s="1186">
        <v>205.96</v>
      </c>
      <c r="E103" s="1640" t="s">
        <v>743</v>
      </c>
      <c r="F103" s="1185"/>
      <c r="G103" s="13" t="str">
        <f t="shared" si="5"/>
        <v>YARDIES</v>
      </c>
      <c r="H103" s="1187">
        <f t="shared" ref="H103:I103" si="89">IF(OR(C103=0,C103="SCORE"),"",C103)</f>
        <v>227.66</v>
      </c>
      <c r="I103" s="1188">
        <f t="shared" si="89"/>
        <v>205.96</v>
      </c>
      <c r="J103" s="13" t="str">
        <f t="shared" si="7"/>
        <v>CHAMPS</v>
      </c>
      <c r="K103" s="13" t="str">
        <f t="shared" si="4"/>
        <v>Game</v>
      </c>
    </row>
    <row r="104" ht="15.75" hidden="1" customHeight="1">
      <c r="A104" s="1185"/>
      <c r="B104" s="1179" t="s">
        <v>1882</v>
      </c>
      <c r="C104" s="1186"/>
      <c r="D104" s="1186"/>
      <c r="E104" s="1179" t="s">
        <v>1882</v>
      </c>
      <c r="F104" s="1185" t="s">
        <v>1966</v>
      </c>
      <c r="G104" s="13">
        <f t="shared" si="5"/>
        <v>1</v>
      </c>
      <c r="H104" s="224" t="str">
        <f t="shared" ref="H104:I104" si="90">IF(OR(C104=0,C104="SCORE"),"",C104)</f>
        <v/>
      </c>
      <c r="I104" s="13" t="str">
        <f t="shared" si="90"/>
        <v/>
      </c>
      <c r="J104" s="13" t="str">
        <f t="shared" si="7"/>
        <v/>
      </c>
      <c r="K104" s="13" t="str">
        <f t="shared" si="4"/>
        <v>N/A</v>
      </c>
    </row>
    <row r="105" ht="15.75" customHeight="1">
      <c r="A105" s="1185" t="s">
        <v>1967</v>
      </c>
      <c r="B105" s="1640" t="s">
        <v>726</v>
      </c>
      <c r="C105" s="1186">
        <v>184.69</v>
      </c>
      <c r="D105" s="1186">
        <v>233.65</v>
      </c>
      <c r="E105" s="1180" t="s">
        <v>722</v>
      </c>
      <c r="F105" s="1189" t="s">
        <v>1968</v>
      </c>
      <c r="G105" s="13" t="str">
        <f t="shared" si="5"/>
        <v>POPEYES</v>
      </c>
      <c r="H105" s="1187">
        <f t="shared" ref="H105:I105" si="91">IF(OR(C105=0,C105="SCORE"),"",C105)</f>
        <v>184.69</v>
      </c>
      <c r="I105" s="1188">
        <f t="shared" si="91"/>
        <v>233.65</v>
      </c>
      <c r="J105" s="13" t="str">
        <f t="shared" si="7"/>
        <v>DECOUPES</v>
      </c>
      <c r="K105" s="13" t="str">
        <f t="shared" si="4"/>
        <v>Game</v>
      </c>
    </row>
    <row r="106" ht="15.75" hidden="1" customHeight="1">
      <c r="A106" s="1185"/>
      <c r="B106" s="1179" t="s">
        <v>1882</v>
      </c>
      <c r="C106" s="1186"/>
      <c r="D106" s="1186"/>
      <c r="E106" s="1180" t="s">
        <v>1882</v>
      </c>
      <c r="F106" s="1189"/>
      <c r="G106" s="13">
        <f t="shared" si="5"/>
        <v>1</v>
      </c>
      <c r="H106" s="224" t="str">
        <f t="shared" ref="H106:I106" si="92">IF(OR(C106=0,C106="SCORE"),"",C106)</f>
        <v/>
      </c>
      <c r="I106" s="13" t="str">
        <f t="shared" si="92"/>
        <v/>
      </c>
      <c r="J106" s="13" t="str">
        <f t="shared" si="7"/>
        <v/>
      </c>
      <c r="K106" s="13" t="str">
        <f t="shared" si="4"/>
        <v>N/A</v>
      </c>
    </row>
    <row r="107" ht="15.75" hidden="1" customHeight="1">
      <c r="A107" s="1181" t="s">
        <v>865</v>
      </c>
      <c r="G107" s="13">
        <f t="shared" si="5"/>
        <v>1</v>
      </c>
      <c r="H107" s="224" t="str">
        <f t="shared" ref="H107:I107" si="93">IF(OR(C107=0,C107="SCORE"),"",C107)</f>
        <v/>
      </c>
      <c r="I107" s="13" t="str">
        <f t="shared" si="93"/>
        <v/>
      </c>
      <c r="J107" s="13" t="str">
        <f t="shared" si="7"/>
        <v/>
      </c>
      <c r="K107" s="13" t="str">
        <f t="shared" si="4"/>
        <v>N/A</v>
      </c>
    </row>
    <row r="108" ht="15.75" hidden="1" customHeight="1">
      <c r="A108" s="1182" t="s">
        <v>731</v>
      </c>
      <c r="B108" s="1182" t="s">
        <v>1865</v>
      </c>
      <c r="C108" s="1182" t="s">
        <v>510</v>
      </c>
      <c r="D108" s="1182" t="s">
        <v>510</v>
      </c>
      <c r="E108" s="1182" t="s">
        <v>1865</v>
      </c>
      <c r="F108" s="1182" t="s">
        <v>732</v>
      </c>
      <c r="G108" s="13">
        <f t="shared" si="5"/>
        <v>1</v>
      </c>
      <c r="H108" s="224" t="str">
        <f t="shared" ref="H108:I108" si="94">IF(OR(C108=0,C108="SCORE"),"",C108)</f>
        <v/>
      </c>
      <c r="I108" s="13" t="str">
        <f t="shared" si="94"/>
        <v/>
      </c>
      <c r="J108" s="13" t="str">
        <f t="shared" si="7"/>
        <v/>
      </c>
      <c r="K108" s="13" t="str">
        <f t="shared" si="4"/>
        <v>N/A</v>
      </c>
    </row>
    <row r="109" ht="15.75" customHeight="1">
      <c r="A109" s="1185" t="s">
        <v>1868</v>
      </c>
      <c r="B109" s="1179" t="s">
        <v>727</v>
      </c>
      <c r="C109" s="1186">
        <v>199.26</v>
      </c>
      <c r="D109" s="1186">
        <v>188.12</v>
      </c>
      <c r="E109" s="1640" t="s">
        <v>743</v>
      </c>
      <c r="F109" s="1185"/>
      <c r="G109" s="13" t="str">
        <f t="shared" si="5"/>
        <v>GREEN</v>
      </c>
      <c r="H109" s="1187">
        <f t="shared" ref="H109:I109" si="95">IF(OR(C109=0,C109="SCORE"),"",C109)</f>
        <v>199.26</v>
      </c>
      <c r="I109" s="1188">
        <f t="shared" si="95"/>
        <v>188.12</v>
      </c>
      <c r="J109" s="13" t="str">
        <f t="shared" si="7"/>
        <v>CHAMPS</v>
      </c>
      <c r="K109" s="13" t="str">
        <f t="shared" si="4"/>
        <v>Game</v>
      </c>
      <c r="L109" s="288"/>
      <c r="M109" s="288"/>
      <c r="N109" s="288"/>
      <c r="O109" s="288"/>
      <c r="P109" s="288"/>
      <c r="Q109" s="288"/>
      <c r="R109" s="288"/>
      <c r="S109" s="288"/>
      <c r="T109" s="288"/>
      <c r="U109" s="288"/>
      <c r="V109" s="288"/>
      <c r="W109" s="288"/>
      <c r="X109" s="288"/>
      <c r="Y109" s="288"/>
      <c r="Z109" s="288"/>
    </row>
    <row r="110" ht="19.5" hidden="1" customHeight="1">
      <c r="A110" s="1185" t="s">
        <v>1898</v>
      </c>
      <c r="B110" s="1179" t="s">
        <v>1898</v>
      </c>
      <c r="C110" s="1186"/>
      <c r="D110" s="1186"/>
      <c r="E110" s="1179" t="s">
        <v>1882</v>
      </c>
      <c r="F110" s="1185" t="s">
        <v>1971</v>
      </c>
      <c r="G110" s="13">
        <f t="shared" si="5"/>
        <v>1</v>
      </c>
      <c r="H110" s="224" t="str">
        <f t="shared" ref="H110:I110" si="96">IF(OR(C110=0,C110="SCORE"),"",C110)</f>
        <v/>
      </c>
      <c r="I110" s="13" t="str">
        <f t="shared" si="96"/>
        <v/>
      </c>
      <c r="J110" s="13" t="str">
        <f t="shared" si="7"/>
        <v/>
      </c>
      <c r="K110" s="13" t="str">
        <f t="shared" si="4"/>
        <v>N/A</v>
      </c>
    </row>
    <row r="111" ht="15.75" hidden="1" customHeight="1">
      <c r="A111" s="1535" t="s">
        <v>1899</v>
      </c>
      <c r="C111" s="1186"/>
      <c r="D111" s="1186"/>
      <c r="G111" s="13">
        <f t="shared" si="5"/>
        <v>1</v>
      </c>
      <c r="H111" s="224" t="str">
        <f t="shared" ref="H111:I111" si="97">IF(OR(C111=0,C111="SCORE"),"",C111)</f>
        <v/>
      </c>
      <c r="I111" s="13" t="str">
        <f t="shared" si="97"/>
        <v/>
      </c>
      <c r="J111" s="13" t="str">
        <f t="shared" si="7"/>
        <v/>
      </c>
      <c r="K111" s="13" t="str">
        <f t="shared" si="4"/>
        <v>N/A</v>
      </c>
    </row>
    <row r="112" ht="15.75" customHeight="1">
      <c r="A112" s="1185" t="s">
        <v>1974</v>
      </c>
      <c r="B112" s="1179" t="s">
        <v>721</v>
      </c>
      <c r="C112" s="1186">
        <v>206.02</v>
      </c>
      <c r="D112" s="1186">
        <v>168.78</v>
      </c>
      <c r="E112" s="1640" t="s">
        <v>726</v>
      </c>
      <c r="F112" s="1185" t="s">
        <v>1975</v>
      </c>
      <c r="G112" s="13" t="str">
        <f t="shared" si="5"/>
        <v>MUTTS</v>
      </c>
      <c r="H112" s="1187">
        <f t="shared" ref="H112:I112" si="98">IF(OR(C112=0,C112="SCORE"),"",C112)</f>
        <v>206.02</v>
      </c>
      <c r="I112" s="1188">
        <f t="shared" si="98"/>
        <v>168.78</v>
      </c>
      <c r="J112" s="13" t="str">
        <f t="shared" si="7"/>
        <v>POPEYES</v>
      </c>
      <c r="K112" s="13" t="str">
        <f t="shared" si="4"/>
        <v>Game</v>
      </c>
    </row>
    <row r="113" ht="15.75" hidden="1" customHeight="1">
      <c r="A113" s="1185"/>
      <c r="B113" s="1179" t="s">
        <v>1882</v>
      </c>
      <c r="C113" s="1186"/>
      <c r="D113" s="1186"/>
      <c r="E113" s="1179" t="s">
        <v>1882</v>
      </c>
      <c r="F113" s="1185"/>
      <c r="G113" s="13">
        <f t="shared" si="5"/>
        <v>1</v>
      </c>
      <c r="H113" s="224" t="str">
        <f t="shared" ref="H113:I113" si="99">IF(OR(C113=0,C113="SCORE"),"",C113)</f>
        <v/>
      </c>
      <c r="I113" s="13" t="str">
        <f t="shared" si="99"/>
        <v/>
      </c>
      <c r="J113" s="13" t="str">
        <f t="shared" si="7"/>
        <v/>
      </c>
      <c r="K113" s="13" t="str">
        <f t="shared" si="4"/>
        <v>N/A</v>
      </c>
    </row>
    <row r="114" ht="15.75" hidden="1" customHeight="1">
      <c r="A114" s="1185"/>
      <c r="B114" s="1179" t="s">
        <v>1888</v>
      </c>
      <c r="C114" s="1186"/>
      <c r="D114" s="1186"/>
      <c r="F114" s="1185"/>
      <c r="G114" s="13">
        <f t="shared" si="5"/>
        <v>1</v>
      </c>
      <c r="H114" s="224" t="str">
        <f t="shared" ref="H114:I114" si="100">IF(OR(C114=0,C114="SCORE"),"",C114)</f>
        <v/>
      </c>
      <c r="I114" s="13" t="str">
        <f t="shared" si="100"/>
        <v/>
      </c>
      <c r="J114" s="13" t="str">
        <f t="shared" si="7"/>
        <v/>
      </c>
      <c r="K114" s="13" t="str">
        <f t="shared" si="4"/>
        <v>N/A</v>
      </c>
    </row>
    <row r="115" ht="15.75" customHeight="1">
      <c r="A115" s="1185" t="s">
        <v>1978</v>
      </c>
      <c r="B115" s="1640" t="s">
        <v>725</v>
      </c>
      <c r="C115" s="1186">
        <v>213.46</v>
      </c>
      <c r="D115" s="1186">
        <v>119.54</v>
      </c>
      <c r="E115" s="1179" t="s">
        <v>723</v>
      </c>
      <c r="F115" s="1185" t="s">
        <v>1979</v>
      </c>
      <c r="G115" s="13" t="str">
        <f t="shared" si="5"/>
        <v>YARDIES</v>
      </c>
      <c r="H115" s="1187">
        <f t="shared" ref="H115:I115" si="101">IF(OR(C115=0,C115="SCORE"),"",C115)</f>
        <v>213.46</v>
      </c>
      <c r="I115" s="1188">
        <f t="shared" si="101"/>
        <v>119.54</v>
      </c>
      <c r="J115" s="13" t="str">
        <f t="shared" si="7"/>
        <v>SAVAGES</v>
      </c>
      <c r="K115" s="13" t="str">
        <f t="shared" si="4"/>
        <v>Game</v>
      </c>
    </row>
    <row r="116" ht="15.75" hidden="1" customHeight="1">
      <c r="A116" s="1185"/>
      <c r="B116" s="1179" t="s">
        <v>1882</v>
      </c>
      <c r="C116" s="1186"/>
      <c r="D116" s="1186"/>
      <c r="E116" s="1179" t="s">
        <v>1882</v>
      </c>
      <c r="F116" s="1185"/>
      <c r="G116" s="13">
        <f t="shared" si="5"/>
        <v>1</v>
      </c>
      <c r="H116" s="224" t="str">
        <f t="shared" ref="H116:I116" si="102">IF(OR(C116=0,C116="SCORE"),"",C116)</f>
        <v/>
      </c>
      <c r="I116" s="13" t="str">
        <f t="shared" si="102"/>
        <v/>
      </c>
      <c r="J116" s="13" t="str">
        <f t="shared" si="7"/>
        <v/>
      </c>
      <c r="K116" s="13" t="str">
        <f t="shared" si="4"/>
        <v>N/A</v>
      </c>
    </row>
    <row r="117" ht="15.75" customHeight="1">
      <c r="A117" s="1189" t="s">
        <v>1980</v>
      </c>
      <c r="B117" s="1180" t="s">
        <v>722</v>
      </c>
      <c r="C117" s="1186">
        <v>147.34</v>
      </c>
      <c r="D117" s="1186">
        <v>161.01</v>
      </c>
      <c r="E117" s="1179" t="s">
        <v>724</v>
      </c>
      <c r="F117" s="1185" t="s">
        <v>1982</v>
      </c>
      <c r="G117" s="13" t="str">
        <f t="shared" si="5"/>
        <v>DECOUPES</v>
      </c>
      <c r="H117" s="1187">
        <f t="shared" ref="H117:I117" si="103">IF(OR(C117=0,C117="SCORE"),"",C117)</f>
        <v>147.34</v>
      </c>
      <c r="I117" s="1188">
        <f t="shared" si="103"/>
        <v>161.01</v>
      </c>
      <c r="J117" s="13" t="str">
        <f t="shared" si="7"/>
        <v>METAMOOKDAWGS</v>
      </c>
      <c r="K117" s="13" t="str">
        <f t="shared" si="4"/>
        <v>Game</v>
      </c>
    </row>
    <row r="118" ht="15.75" hidden="1" customHeight="1">
      <c r="A118" s="1189"/>
      <c r="B118" s="1180" t="s">
        <v>1882</v>
      </c>
      <c r="C118" s="1186"/>
      <c r="D118" s="1186"/>
      <c r="E118" s="1179" t="s">
        <v>1882</v>
      </c>
      <c r="F118" s="1185"/>
      <c r="G118" s="13">
        <f t="shared" si="5"/>
        <v>1</v>
      </c>
      <c r="H118" s="224" t="str">
        <f t="shared" ref="H118:I118" si="104">IF(OR(C118=0,C118="SCORE"),"",C118)</f>
        <v/>
      </c>
      <c r="I118" s="13" t="str">
        <f t="shared" si="104"/>
        <v/>
      </c>
      <c r="J118" s="13" t="str">
        <f t="shared" si="7"/>
        <v/>
      </c>
      <c r="K118" s="13" t="str">
        <f t="shared" si="4"/>
        <v>N/A</v>
      </c>
    </row>
    <row r="119" ht="19.5" hidden="1" customHeight="1">
      <c r="A119" s="1181" t="s">
        <v>882</v>
      </c>
      <c r="G119" s="13">
        <f t="shared" si="5"/>
        <v>1</v>
      </c>
      <c r="H119" s="224" t="str">
        <f t="shared" ref="H119:I119" si="105">IF(OR(C119=0,C119="SCORE"),"",C119)</f>
        <v/>
      </c>
      <c r="I119" s="13" t="str">
        <f t="shared" si="105"/>
        <v/>
      </c>
      <c r="J119" s="13" t="str">
        <f t="shared" si="7"/>
        <v/>
      </c>
      <c r="K119" s="13" t="str">
        <f t="shared" si="4"/>
        <v>N/A</v>
      </c>
    </row>
    <row r="120" ht="15.75" hidden="1" customHeight="1">
      <c r="A120" s="1182" t="s">
        <v>731</v>
      </c>
      <c r="B120" s="1182" t="s">
        <v>1865</v>
      </c>
      <c r="C120" s="1182" t="s">
        <v>510</v>
      </c>
      <c r="D120" s="1182" t="s">
        <v>510</v>
      </c>
      <c r="E120" s="1182" t="s">
        <v>1865</v>
      </c>
      <c r="F120" s="1182" t="s">
        <v>732</v>
      </c>
      <c r="G120" s="13">
        <f t="shared" si="5"/>
        <v>1</v>
      </c>
      <c r="H120" s="224" t="str">
        <f t="shared" ref="H120:I120" si="106">IF(OR(C120=0,C120="SCORE"),"",C120)</f>
        <v/>
      </c>
      <c r="I120" s="13" t="str">
        <f t="shared" si="106"/>
        <v/>
      </c>
      <c r="J120" s="13" t="str">
        <f t="shared" si="7"/>
        <v/>
      </c>
      <c r="K120" s="13" t="str">
        <f t="shared" si="4"/>
        <v>N/A</v>
      </c>
    </row>
    <row r="121" ht="15.75" customHeight="1">
      <c r="A121" s="1185" t="s">
        <v>1868</v>
      </c>
      <c r="B121" s="1179" t="s">
        <v>727</v>
      </c>
      <c r="C121" s="1186">
        <v>188.03</v>
      </c>
      <c r="D121" s="1186">
        <v>158.98</v>
      </c>
      <c r="E121" s="1640" t="s">
        <v>726</v>
      </c>
      <c r="F121" s="1185" t="s">
        <v>1985</v>
      </c>
      <c r="G121" s="13" t="str">
        <f t="shared" si="5"/>
        <v>GREEN</v>
      </c>
      <c r="H121" s="1187">
        <f t="shared" ref="H121:I121" si="107">IF(OR(C121=0,C121="SCORE"),"",C121)</f>
        <v>188.03</v>
      </c>
      <c r="I121" s="1188">
        <f t="shared" si="107"/>
        <v>158.98</v>
      </c>
      <c r="J121" s="13" t="str">
        <f t="shared" si="7"/>
        <v>POPEYES</v>
      </c>
      <c r="K121" s="13" t="str">
        <f t="shared" si="4"/>
        <v>Game</v>
      </c>
    </row>
    <row r="122" ht="15.75" hidden="1" customHeight="1">
      <c r="A122" s="1185" t="s">
        <v>1898</v>
      </c>
      <c r="B122" s="1179" t="s">
        <v>1898</v>
      </c>
      <c r="C122" s="1186"/>
      <c r="D122" s="1186"/>
      <c r="E122" s="1179" t="s">
        <v>1882</v>
      </c>
      <c r="F122" s="1185"/>
      <c r="G122" s="13">
        <f t="shared" si="5"/>
        <v>1</v>
      </c>
      <c r="H122" s="224" t="str">
        <f t="shared" ref="H122:I122" si="108">IF(OR(C122=0,C122="SCORE"),"",C122)</f>
        <v/>
      </c>
      <c r="I122" s="13" t="str">
        <f t="shared" si="108"/>
        <v/>
      </c>
      <c r="J122" s="13" t="str">
        <f t="shared" si="7"/>
        <v/>
      </c>
      <c r="K122" s="13" t="str">
        <f t="shared" si="4"/>
        <v>N/A</v>
      </c>
    </row>
    <row r="123" ht="15.75" hidden="1" customHeight="1">
      <c r="A123" s="1535" t="s">
        <v>1899</v>
      </c>
      <c r="C123" s="1186"/>
      <c r="D123" s="1186"/>
      <c r="F123" s="1185"/>
      <c r="G123" s="13">
        <f t="shared" si="5"/>
        <v>1</v>
      </c>
      <c r="H123" s="224" t="str">
        <f t="shared" ref="H123:I123" si="109">IF(OR(C123=0,C123="SCORE"),"",C123)</f>
        <v/>
      </c>
      <c r="I123" s="13" t="str">
        <f t="shared" si="109"/>
        <v/>
      </c>
      <c r="J123" s="13" t="str">
        <f t="shared" si="7"/>
        <v/>
      </c>
      <c r="K123" s="13" t="str">
        <f t="shared" si="4"/>
        <v>N/A</v>
      </c>
    </row>
    <row r="124" ht="15.75" customHeight="1">
      <c r="A124" s="1185" t="s">
        <v>1986</v>
      </c>
      <c r="B124" s="1179" t="s">
        <v>721</v>
      </c>
      <c r="C124" s="1186">
        <v>228.23</v>
      </c>
      <c r="D124" s="1186">
        <v>188.45</v>
      </c>
      <c r="E124" s="1640" t="s">
        <v>725</v>
      </c>
      <c r="F124" s="1185" t="s">
        <v>1987</v>
      </c>
      <c r="G124" s="13" t="str">
        <f t="shared" si="5"/>
        <v>MUTTS</v>
      </c>
      <c r="H124" s="1187">
        <f t="shared" ref="H124:I124" si="110">IF(OR(C124=0,C124="SCORE"),"",C124)</f>
        <v>228.23</v>
      </c>
      <c r="I124" s="1188">
        <f t="shared" si="110"/>
        <v>188.45</v>
      </c>
      <c r="J124" s="13" t="str">
        <f t="shared" si="7"/>
        <v>YARDIES</v>
      </c>
      <c r="K124" s="13" t="str">
        <f t="shared" si="4"/>
        <v>Game</v>
      </c>
    </row>
    <row r="125" ht="15.75" hidden="1" customHeight="1">
      <c r="A125" s="1185"/>
      <c r="B125" s="1179" t="s">
        <v>1882</v>
      </c>
      <c r="C125" s="1186"/>
      <c r="D125" s="1186"/>
      <c r="E125" s="1179" t="s">
        <v>1882</v>
      </c>
      <c r="F125" s="1185"/>
      <c r="G125" s="13">
        <f t="shared" si="5"/>
        <v>1</v>
      </c>
      <c r="H125" s="224" t="str">
        <f t="shared" ref="H125:I125" si="111">IF(OR(C125=0,C125="SCORE"),"",C125)</f>
        <v/>
      </c>
      <c r="I125" s="13" t="str">
        <f t="shared" si="111"/>
        <v/>
      </c>
      <c r="J125" s="13" t="str">
        <f t="shared" si="7"/>
        <v/>
      </c>
      <c r="K125" s="13" t="str">
        <f t="shared" si="4"/>
        <v>N/A</v>
      </c>
    </row>
    <row r="126" ht="19.5" hidden="1" customHeight="1">
      <c r="A126" s="1185"/>
      <c r="B126" s="1179" t="s">
        <v>1888</v>
      </c>
      <c r="C126" s="1186"/>
      <c r="D126" s="1186"/>
      <c r="F126" s="1185"/>
      <c r="G126" s="13">
        <f t="shared" si="5"/>
        <v>1</v>
      </c>
      <c r="H126" s="224" t="str">
        <f t="shared" ref="H126:I126" si="112">IF(OR(C126=0,C126="SCORE"),"",C126)</f>
        <v/>
      </c>
      <c r="I126" s="13" t="str">
        <f t="shared" si="112"/>
        <v/>
      </c>
      <c r="J126" s="13" t="str">
        <f t="shared" si="7"/>
        <v/>
      </c>
      <c r="K126" s="13" t="str">
        <f t="shared" si="4"/>
        <v>N/A</v>
      </c>
    </row>
    <row r="127" ht="15.75" customHeight="1">
      <c r="A127" s="1185"/>
      <c r="B127" s="1640" t="s">
        <v>743</v>
      </c>
      <c r="C127" s="1186">
        <v>209.72</v>
      </c>
      <c r="D127" s="1186">
        <v>192.62</v>
      </c>
      <c r="E127" s="1179" t="s">
        <v>724</v>
      </c>
      <c r="F127" s="1185" t="s">
        <v>1988</v>
      </c>
      <c r="G127" s="13" t="str">
        <f t="shared" si="5"/>
        <v>CHAMPS</v>
      </c>
      <c r="H127" s="1187">
        <f t="shared" ref="H127:I127" si="113">IF(OR(C127=0,C127="SCORE"),"",C127)</f>
        <v>209.72</v>
      </c>
      <c r="I127" s="1188">
        <f t="shared" si="113"/>
        <v>192.62</v>
      </c>
      <c r="J127" s="13" t="str">
        <f t="shared" si="7"/>
        <v>METAMOOKDAWGS</v>
      </c>
      <c r="K127" s="13" t="str">
        <f t="shared" si="4"/>
        <v>Game</v>
      </c>
    </row>
    <row r="128" ht="15.75" hidden="1" customHeight="1">
      <c r="A128" s="1185" t="s">
        <v>1989</v>
      </c>
      <c r="B128" s="1179" t="s">
        <v>1882</v>
      </c>
      <c r="C128" s="1186"/>
      <c r="D128" s="1186"/>
      <c r="E128" s="1179" t="s">
        <v>1882</v>
      </c>
      <c r="F128" s="1185"/>
      <c r="G128" s="13">
        <f t="shared" si="5"/>
        <v>1</v>
      </c>
      <c r="H128" s="224" t="str">
        <f t="shared" ref="H128:I128" si="114">IF(OR(C128=0,C128="SCORE"),"",C128)</f>
        <v/>
      </c>
      <c r="I128" s="13" t="str">
        <f t="shared" si="114"/>
        <v/>
      </c>
      <c r="J128" s="13" t="str">
        <f t="shared" si="7"/>
        <v/>
      </c>
      <c r="K128" s="13" t="str">
        <f t="shared" si="4"/>
        <v>N/A</v>
      </c>
    </row>
    <row r="129" ht="15.75" customHeight="1">
      <c r="A129" s="1189" t="s">
        <v>1990</v>
      </c>
      <c r="B129" s="1180" t="s">
        <v>722</v>
      </c>
      <c r="C129" s="1186">
        <v>179.73</v>
      </c>
      <c r="D129" s="1186">
        <v>152.57</v>
      </c>
      <c r="E129" s="1179" t="s">
        <v>723</v>
      </c>
      <c r="F129" s="1185" t="s">
        <v>1991</v>
      </c>
      <c r="G129" s="13" t="str">
        <f t="shared" si="5"/>
        <v>DECOUPES</v>
      </c>
      <c r="H129" s="1187">
        <f t="shared" ref="H129:I129" si="115">IF(OR(C129=0,C129="SCORE"),"",C129)</f>
        <v>179.73</v>
      </c>
      <c r="I129" s="1188">
        <f t="shared" si="115"/>
        <v>152.57</v>
      </c>
      <c r="J129" s="13" t="str">
        <f t="shared" si="7"/>
        <v>SAVAGES</v>
      </c>
      <c r="K129" s="13" t="str">
        <f t="shared" si="4"/>
        <v>Game</v>
      </c>
    </row>
    <row r="130" ht="15.75" hidden="1" customHeight="1">
      <c r="A130" s="1189"/>
      <c r="B130" s="1180" t="s">
        <v>1882</v>
      </c>
      <c r="C130" s="1186"/>
      <c r="D130" s="1186"/>
      <c r="E130" s="1179" t="s">
        <v>1882</v>
      </c>
      <c r="F130" s="1185"/>
      <c r="G130" s="13">
        <f t="shared" si="5"/>
        <v>1</v>
      </c>
      <c r="H130" s="224" t="str">
        <f t="shared" ref="H130:I130" si="116">IF(OR(C130=0,C130="SCORE"),"",C130)</f>
        <v/>
      </c>
      <c r="I130" s="13" t="str">
        <f t="shared" si="116"/>
        <v/>
      </c>
      <c r="J130" s="13" t="str">
        <f t="shared" si="7"/>
        <v/>
      </c>
      <c r="K130" s="13" t="str">
        <f t="shared" si="4"/>
        <v>N/A</v>
      </c>
    </row>
    <row r="131" ht="15.75" hidden="1" customHeight="1">
      <c r="A131" s="1181" t="s">
        <v>900</v>
      </c>
      <c r="G131" s="13">
        <f t="shared" si="5"/>
        <v>1</v>
      </c>
      <c r="H131" s="224" t="str">
        <f t="shared" ref="H131:I131" si="117">IF(OR(C131=0,C131="SCORE"),"",C131)</f>
        <v/>
      </c>
      <c r="I131" s="13" t="str">
        <f t="shared" si="117"/>
        <v/>
      </c>
      <c r="J131" s="13" t="str">
        <f t="shared" si="7"/>
        <v/>
      </c>
      <c r="K131" s="13" t="str">
        <f t="shared" si="4"/>
        <v>N/A</v>
      </c>
    </row>
    <row r="132" ht="15.75" hidden="1" customHeight="1">
      <c r="A132" s="1182" t="s">
        <v>731</v>
      </c>
      <c r="B132" s="1182" t="s">
        <v>1865</v>
      </c>
      <c r="C132" s="1182" t="s">
        <v>510</v>
      </c>
      <c r="D132" s="1182" t="s">
        <v>510</v>
      </c>
      <c r="E132" s="1182" t="s">
        <v>1865</v>
      </c>
      <c r="F132" s="1182" t="s">
        <v>732</v>
      </c>
      <c r="G132" s="13">
        <f t="shared" si="5"/>
        <v>1</v>
      </c>
      <c r="H132" s="224" t="str">
        <f t="shared" ref="H132:I132" si="118">IF(OR(C132=0,C132="SCORE"),"",C132)</f>
        <v/>
      </c>
      <c r="I132" s="13" t="str">
        <f t="shared" si="118"/>
        <v/>
      </c>
      <c r="J132" s="13" t="str">
        <f t="shared" si="7"/>
        <v/>
      </c>
      <c r="K132" s="13" t="str">
        <f t="shared" si="4"/>
        <v>N/A</v>
      </c>
    </row>
    <row r="133" ht="15.75" customHeight="1">
      <c r="A133" s="1185" t="s">
        <v>1868</v>
      </c>
      <c r="B133" s="1179" t="s">
        <v>727</v>
      </c>
      <c r="C133" s="1186">
        <v>165.94</v>
      </c>
      <c r="D133" s="1186">
        <v>200.2</v>
      </c>
      <c r="E133" s="1179" t="s">
        <v>721</v>
      </c>
      <c r="F133" s="1185" t="s">
        <v>1992</v>
      </c>
      <c r="G133" s="13" t="str">
        <f t="shared" si="5"/>
        <v>GREEN</v>
      </c>
      <c r="H133" s="1187">
        <f t="shared" ref="H133:I133" si="119">IF(OR(C133=0,C133="SCORE"),"",C133)</f>
        <v>165.94</v>
      </c>
      <c r="I133" s="1188">
        <f t="shared" si="119"/>
        <v>200.2</v>
      </c>
      <c r="J133" s="13" t="str">
        <f t="shared" si="7"/>
        <v>MUTTS</v>
      </c>
      <c r="K133" s="13" t="str">
        <f t="shared" si="4"/>
        <v>Game</v>
      </c>
    </row>
    <row r="134" ht="15.75" hidden="1" customHeight="1">
      <c r="A134" s="1185" t="s">
        <v>1898</v>
      </c>
      <c r="B134" s="1179" t="s">
        <v>1898</v>
      </c>
      <c r="C134" s="1186"/>
      <c r="D134" s="1186"/>
      <c r="E134" s="1179" t="s">
        <v>1882</v>
      </c>
      <c r="F134" s="1185"/>
      <c r="G134" s="13">
        <f t="shared" si="5"/>
        <v>1</v>
      </c>
      <c r="H134" s="224" t="str">
        <f t="shared" ref="H134:I134" si="120">IF(OR(C134=0,C134="SCORE"),"",C134)</f>
        <v/>
      </c>
      <c r="I134" s="13" t="str">
        <f t="shared" si="120"/>
        <v/>
      </c>
      <c r="J134" s="13" t="str">
        <f t="shared" si="7"/>
        <v/>
      </c>
      <c r="K134" s="13" t="str">
        <f t="shared" si="4"/>
        <v>N/A</v>
      </c>
    </row>
    <row r="135" ht="15.75" hidden="1" customHeight="1">
      <c r="A135" s="1535" t="s">
        <v>1899</v>
      </c>
      <c r="C135" s="1186"/>
      <c r="D135" s="1186"/>
      <c r="E135" s="1179" t="s">
        <v>1888</v>
      </c>
      <c r="F135" s="1185"/>
      <c r="G135" s="13">
        <f t="shared" si="5"/>
        <v>1</v>
      </c>
      <c r="H135" s="224" t="str">
        <f t="shared" ref="H135:I135" si="121">IF(OR(C135=0,C135="SCORE"),"",C135)</f>
        <v/>
      </c>
      <c r="I135" s="13" t="str">
        <f t="shared" si="121"/>
        <v/>
      </c>
      <c r="J135" s="13" t="str">
        <f t="shared" si="7"/>
        <v/>
      </c>
      <c r="K135" s="13" t="str">
        <f t="shared" si="4"/>
        <v>N/A</v>
      </c>
    </row>
    <row r="136" ht="15.75" customHeight="1">
      <c r="A136" s="1185" t="s">
        <v>1993</v>
      </c>
      <c r="B136" s="1640" t="s">
        <v>725</v>
      </c>
      <c r="C136" s="1186">
        <v>208.02</v>
      </c>
      <c r="D136" s="1186">
        <v>183.26</v>
      </c>
      <c r="E136" s="1640" t="s">
        <v>726</v>
      </c>
      <c r="F136" s="1185" t="s">
        <v>1994</v>
      </c>
      <c r="G136" s="13" t="str">
        <f t="shared" si="5"/>
        <v>YARDIES</v>
      </c>
      <c r="H136" s="1187">
        <f t="shared" ref="H136:I136" si="122">IF(OR(C136=0,C136="SCORE"),"",C136)</f>
        <v>208.02</v>
      </c>
      <c r="I136" s="1188">
        <f t="shared" si="122"/>
        <v>183.26</v>
      </c>
      <c r="J136" s="13" t="str">
        <f t="shared" si="7"/>
        <v>POPEYES</v>
      </c>
      <c r="K136" s="13" t="str">
        <f t="shared" si="4"/>
        <v>Game</v>
      </c>
    </row>
    <row r="137" ht="15.75" hidden="1" customHeight="1">
      <c r="A137" s="1185"/>
      <c r="B137" s="1179" t="s">
        <v>1882</v>
      </c>
      <c r="C137" s="1186"/>
      <c r="D137" s="1186"/>
      <c r="E137" s="1179" t="s">
        <v>1882</v>
      </c>
      <c r="F137" s="1185"/>
      <c r="G137" s="13">
        <f t="shared" si="5"/>
        <v>1</v>
      </c>
      <c r="H137" s="224" t="str">
        <f t="shared" ref="H137:I137" si="123">IF(OR(C137=0,C137="SCORE"),"",C137)</f>
        <v/>
      </c>
      <c r="I137" s="13" t="str">
        <f t="shared" si="123"/>
        <v/>
      </c>
      <c r="J137" s="13" t="str">
        <f t="shared" si="7"/>
        <v/>
      </c>
      <c r="K137" s="13" t="str">
        <f t="shared" si="4"/>
        <v>N/A</v>
      </c>
    </row>
    <row r="138" ht="15.75" customHeight="1">
      <c r="A138" s="1185"/>
      <c r="B138" s="1640" t="s">
        <v>743</v>
      </c>
      <c r="C138" s="1186">
        <v>181.65</v>
      </c>
      <c r="D138" s="1186">
        <v>197.39</v>
      </c>
      <c r="E138" s="1180" t="s">
        <v>722</v>
      </c>
      <c r="F138" s="1189" t="s">
        <v>1995</v>
      </c>
      <c r="G138" s="13" t="str">
        <f t="shared" si="5"/>
        <v>CHAMPS</v>
      </c>
      <c r="H138" s="1187">
        <f t="shared" ref="H138:I138" si="124">IF(OR(C138=0,C138="SCORE"),"",C138)</f>
        <v>181.65</v>
      </c>
      <c r="I138" s="1188">
        <f t="shared" si="124"/>
        <v>197.39</v>
      </c>
      <c r="J138" s="13" t="str">
        <f t="shared" si="7"/>
        <v>DECOUPES</v>
      </c>
      <c r="K138" s="13" t="str">
        <f t="shared" si="4"/>
        <v>Game</v>
      </c>
    </row>
    <row r="139" ht="15.75" hidden="1" customHeight="1">
      <c r="A139" s="1185" t="s">
        <v>1996</v>
      </c>
      <c r="B139" s="1179" t="s">
        <v>1882</v>
      </c>
      <c r="C139" s="1186"/>
      <c r="D139" s="1186"/>
      <c r="E139" s="1180" t="s">
        <v>1882</v>
      </c>
      <c r="F139" s="1189"/>
      <c r="G139" s="13">
        <f t="shared" si="5"/>
        <v>1</v>
      </c>
      <c r="H139" s="224" t="str">
        <f t="shared" ref="H139:I139" si="125">IF(OR(C139=0,C139="SCORE"),"",C139)</f>
        <v/>
      </c>
      <c r="I139" s="13" t="str">
        <f t="shared" si="125"/>
        <v/>
      </c>
      <c r="J139" s="13" t="str">
        <f t="shared" si="7"/>
        <v/>
      </c>
      <c r="K139" s="13" t="str">
        <f t="shared" si="4"/>
        <v>N/A</v>
      </c>
    </row>
    <row r="140" ht="15.75" customHeight="1">
      <c r="A140" s="1185" t="s">
        <v>1997</v>
      </c>
      <c r="B140" s="1179" t="s">
        <v>723</v>
      </c>
      <c r="C140" s="1186">
        <v>224.3</v>
      </c>
      <c r="D140" s="1186">
        <v>114.18</v>
      </c>
      <c r="E140" s="1179" t="s">
        <v>724</v>
      </c>
      <c r="F140" s="1185" t="s">
        <v>1998</v>
      </c>
      <c r="G140" s="13" t="str">
        <f t="shared" si="5"/>
        <v>SAVAGES</v>
      </c>
      <c r="H140" s="1187">
        <f t="shared" ref="H140:I140" si="126">IF(OR(C140=0,C140="SCORE"),"",C140)</f>
        <v>224.3</v>
      </c>
      <c r="I140" s="1188">
        <f t="shared" si="126"/>
        <v>114.18</v>
      </c>
      <c r="J140" s="13" t="str">
        <f t="shared" si="7"/>
        <v>METAMOOKDAWGS</v>
      </c>
      <c r="K140" s="13" t="str">
        <f t="shared" si="4"/>
        <v>Game</v>
      </c>
    </row>
    <row r="141" ht="15.75" hidden="1" customHeight="1">
      <c r="A141" s="1185"/>
      <c r="B141" s="1179" t="s">
        <v>1882</v>
      </c>
      <c r="C141" s="1186"/>
      <c r="D141" s="1186"/>
      <c r="E141" s="1179" t="s">
        <v>1882</v>
      </c>
      <c r="F141" s="1185"/>
      <c r="G141" s="13">
        <f t="shared" si="5"/>
        <v>1</v>
      </c>
      <c r="H141" s="224" t="str">
        <f t="shared" ref="H141:I141" si="127">IF(OR(C141=0,C141="SCORE"),"",C141)</f>
        <v/>
      </c>
      <c r="I141" s="13" t="str">
        <f t="shared" si="127"/>
        <v/>
      </c>
      <c r="J141" s="13" t="str">
        <f t="shared" si="7"/>
        <v/>
      </c>
      <c r="K141" s="13" t="str">
        <f t="shared" si="4"/>
        <v>N/A</v>
      </c>
    </row>
    <row r="142" ht="15.75" hidden="1" customHeight="1">
      <c r="A142" s="1181" t="s">
        <v>917</v>
      </c>
      <c r="G142" s="13">
        <f t="shared" si="5"/>
        <v>1</v>
      </c>
      <c r="H142" s="224" t="str">
        <f t="shared" ref="H142:I142" si="128">IF(OR(C142=0,C142="SCORE"),"",C142)</f>
        <v/>
      </c>
      <c r="I142" s="13" t="str">
        <f t="shared" si="128"/>
        <v/>
      </c>
      <c r="J142" s="13" t="str">
        <f t="shared" si="7"/>
        <v/>
      </c>
      <c r="K142" s="13" t="str">
        <f t="shared" si="4"/>
        <v>N/A</v>
      </c>
    </row>
    <row r="143" ht="15.75" hidden="1" customHeight="1">
      <c r="A143" s="1182" t="s">
        <v>731</v>
      </c>
      <c r="B143" s="1182" t="s">
        <v>1865</v>
      </c>
      <c r="C143" s="1182" t="s">
        <v>510</v>
      </c>
      <c r="D143" s="1182" t="s">
        <v>510</v>
      </c>
      <c r="E143" s="1182" t="s">
        <v>1865</v>
      </c>
      <c r="F143" s="1182" t="s">
        <v>732</v>
      </c>
      <c r="G143" s="13">
        <f t="shared" si="5"/>
        <v>1</v>
      </c>
      <c r="H143" s="224" t="str">
        <f t="shared" ref="H143:I143" si="129">IF(OR(C143=0,C143="SCORE"),"",C143)</f>
        <v/>
      </c>
      <c r="I143" s="13" t="str">
        <f t="shared" si="129"/>
        <v/>
      </c>
      <c r="J143" s="13" t="str">
        <f t="shared" si="7"/>
        <v/>
      </c>
      <c r="K143" s="13" t="str">
        <f t="shared" si="4"/>
        <v>N/A</v>
      </c>
    </row>
    <row r="144" ht="15.75" customHeight="1">
      <c r="A144" s="1185" t="s">
        <v>1868</v>
      </c>
      <c r="B144" s="1179" t="s">
        <v>727</v>
      </c>
      <c r="C144" s="1186">
        <v>204.87</v>
      </c>
      <c r="D144" s="1186">
        <v>120.39</v>
      </c>
      <c r="E144" s="1179" t="s">
        <v>723</v>
      </c>
      <c r="F144" s="1185" t="s">
        <v>1999</v>
      </c>
      <c r="G144" s="13" t="str">
        <f t="shared" si="5"/>
        <v>GREEN</v>
      </c>
      <c r="H144" s="1187">
        <f t="shared" ref="H144:I144" si="130">IF(OR(C144=0,C144="SCORE"),"",C144)</f>
        <v>204.87</v>
      </c>
      <c r="I144" s="1188">
        <f t="shared" si="130"/>
        <v>120.39</v>
      </c>
      <c r="J144" s="13" t="str">
        <f t="shared" si="7"/>
        <v>SAVAGES</v>
      </c>
      <c r="K144" s="13" t="str">
        <f t="shared" si="4"/>
        <v>Game</v>
      </c>
    </row>
    <row r="145" ht="15.75" hidden="1" customHeight="1">
      <c r="A145" s="1185" t="s">
        <v>1898</v>
      </c>
      <c r="B145" s="1179" t="s">
        <v>1898</v>
      </c>
      <c r="C145" s="1186"/>
      <c r="D145" s="1186"/>
      <c r="E145" s="1179" t="s">
        <v>1882</v>
      </c>
      <c r="F145" s="1185"/>
      <c r="G145" s="13">
        <f t="shared" si="5"/>
        <v>1</v>
      </c>
      <c r="H145" s="224" t="str">
        <f t="shared" ref="H145:I145" si="131">IF(OR(C145=0,C145="SCORE"),"",C145)</f>
        <v/>
      </c>
      <c r="I145" s="13" t="str">
        <f t="shared" si="131"/>
        <v/>
      </c>
      <c r="J145" s="13" t="str">
        <f t="shared" si="7"/>
        <v/>
      </c>
      <c r="K145" s="13" t="str">
        <f t="shared" si="4"/>
        <v>N/A</v>
      </c>
    </row>
    <row r="146" ht="15.75" hidden="1" customHeight="1">
      <c r="A146" s="1535" t="s">
        <v>1899</v>
      </c>
      <c r="C146" s="1186"/>
      <c r="D146" s="1186"/>
      <c r="F146" s="1185"/>
      <c r="G146" s="13">
        <f t="shared" si="5"/>
        <v>1</v>
      </c>
      <c r="H146" s="224" t="str">
        <f t="shared" ref="H146:I146" si="132">IF(OR(C146=0,C146="SCORE"),"",C146)</f>
        <v/>
      </c>
      <c r="I146" s="13" t="str">
        <f t="shared" si="132"/>
        <v/>
      </c>
      <c r="J146" s="13" t="str">
        <f t="shared" si="7"/>
        <v/>
      </c>
      <c r="K146" s="13" t="str">
        <f t="shared" si="4"/>
        <v>N/A</v>
      </c>
    </row>
    <row r="147" ht="15.75" customHeight="1">
      <c r="A147" s="1185" t="s">
        <v>2000</v>
      </c>
      <c r="B147" s="1179" t="s">
        <v>721</v>
      </c>
      <c r="C147" s="1186">
        <v>224.96</v>
      </c>
      <c r="D147" s="1186">
        <v>230.52</v>
      </c>
      <c r="E147" s="1179" t="s">
        <v>724</v>
      </c>
      <c r="F147" s="1185" t="s">
        <v>2001</v>
      </c>
      <c r="G147" s="13" t="str">
        <f t="shared" si="5"/>
        <v>MUTTS</v>
      </c>
      <c r="H147" s="1187">
        <f t="shared" ref="H147:I147" si="133">IF(OR(C147=0,C147="SCORE"),"",C147)</f>
        <v>224.96</v>
      </c>
      <c r="I147" s="1188">
        <f t="shared" si="133"/>
        <v>230.52</v>
      </c>
      <c r="J147" s="13" t="str">
        <f t="shared" si="7"/>
        <v>METAMOOKDAWGS</v>
      </c>
      <c r="K147" s="13" t="str">
        <f t="shared" si="4"/>
        <v>Game</v>
      </c>
    </row>
    <row r="148" ht="15.75" hidden="1" customHeight="1">
      <c r="A148" s="1185"/>
      <c r="B148" s="1179" t="s">
        <v>1882</v>
      </c>
      <c r="C148" s="1186"/>
      <c r="D148" s="1186"/>
      <c r="E148" s="1179" t="s">
        <v>1882</v>
      </c>
      <c r="F148" s="1185"/>
      <c r="G148" s="13">
        <f t="shared" si="5"/>
        <v>1</v>
      </c>
      <c r="H148" s="224" t="str">
        <f t="shared" ref="H148:I148" si="134">IF(OR(C148=0,C148="SCORE"),"",C148)</f>
        <v/>
      </c>
      <c r="I148" s="13" t="str">
        <f t="shared" si="134"/>
        <v/>
      </c>
      <c r="J148" s="13" t="str">
        <f t="shared" si="7"/>
        <v/>
      </c>
      <c r="K148" s="13" t="str">
        <f t="shared" si="4"/>
        <v>N/A</v>
      </c>
    </row>
    <row r="149" ht="15.75" hidden="1" customHeight="1">
      <c r="A149" s="1185"/>
      <c r="B149" s="1179" t="s">
        <v>1888</v>
      </c>
      <c r="C149" s="1186"/>
      <c r="D149" s="1186"/>
      <c r="F149" s="1185"/>
      <c r="G149" s="13">
        <f t="shared" si="5"/>
        <v>1</v>
      </c>
      <c r="H149" s="224" t="str">
        <f t="shared" ref="H149:I149" si="135">IF(OR(C149=0,C149="SCORE"),"",C149)</f>
        <v/>
      </c>
      <c r="I149" s="13" t="str">
        <f t="shared" si="135"/>
        <v/>
      </c>
      <c r="J149" s="13" t="str">
        <f t="shared" si="7"/>
        <v/>
      </c>
      <c r="K149" s="13" t="str">
        <f t="shared" si="4"/>
        <v>N/A</v>
      </c>
    </row>
    <row r="150" ht="15.75" customHeight="1">
      <c r="A150" s="1185" t="s">
        <v>2002</v>
      </c>
      <c r="B150" s="1640" t="s">
        <v>725</v>
      </c>
      <c r="C150" s="1186">
        <v>201.86</v>
      </c>
      <c r="D150" s="1186">
        <v>208.6</v>
      </c>
      <c r="E150" s="1640" t="s">
        <v>743</v>
      </c>
      <c r="F150" s="1185"/>
      <c r="G150" s="13" t="str">
        <f t="shared" si="5"/>
        <v>YARDIES</v>
      </c>
      <c r="H150" s="1187">
        <f t="shared" ref="H150:I150" si="136">IF(OR(C150=0,C150="SCORE"),"",C150)</f>
        <v>201.86</v>
      </c>
      <c r="I150" s="1188">
        <f t="shared" si="136"/>
        <v>208.6</v>
      </c>
      <c r="J150" s="13" t="str">
        <f t="shared" si="7"/>
        <v>CHAMPS</v>
      </c>
      <c r="K150" s="13" t="str">
        <f t="shared" si="4"/>
        <v>Game</v>
      </c>
    </row>
    <row r="151" ht="15.75" hidden="1" customHeight="1">
      <c r="A151" s="1185"/>
      <c r="B151" s="1179" t="s">
        <v>1882</v>
      </c>
      <c r="C151" s="1186"/>
      <c r="D151" s="1186"/>
      <c r="E151" s="1179" t="s">
        <v>1882</v>
      </c>
      <c r="F151" s="1185" t="s">
        <v>2004</v>
      </c>
      <c r="G151" s="13">
        <f t="shared" si="5"/>
        <v>1</v>
      </c>
      <c r="H151" s="224" t="str">
        <f t="shared" ref="H151:I151" si="137">IF(OR(C151=0,C151="SCORE"),"",C151)</f>
        <v/>
      </c>
      <c r="I151" s="13" t="str">
        <f t="shared" si="137"/>
        <v/>
      </c>
      <c r="J151" s="13" t="str">
        <f t="shared" si="7"/>
        <v/>
      </c>
      <c r="K151" s="13" t="str">
        <f t="shared" si="4"/>
        <v>N/A</v>
      </c>
    </row>
    <row r="152" ht="15.75" customHeight="1">
      <c r="A152" s="1185" t="s">
        <v>2005</v>
      </c>
      <c r="B152" s="1640" t="s">
        <v>726</v>
      </c>
      <c r="C152" s="1186">
        <v>226.26</v>
      </c>
      <c r="D152" s="1186">
        <v>166.76</v>
      </c>
      <c r="E152" s="1180" t="s">
        <v>722</v>
      </c>
      <c r="F152" s="1189" t="s">
        <v>2006</v>
      </c>
      <c r="G152" s="13" t="str">
        <f t="shared" si="5"/>
        <v>POPEYES</v>
      </c>
      <c r="H152" s="1187">
        <f t="shared" ref="H152:I152" si="138">IF(OR(C152=0,C152="SCORE"),"",C152)</f>
        <v>226.26</v>
      </c>
      <c r="I152" s="1188">
        <f t="shared" si="138"/>
        <v>166.76</v>
      </c>
      <c r="J152" s="13" t="str">
        <f t="shared" si="7"/>
        <v>DECOUPES</v>
      </c>
      <c r="K152" s="13" t="str">
        <f t="shared" si="4"/>
        <v>Game</v>
      </c>
    </row>
    <row r="153" ht="15.75" hidden="1" customHeight="1">
      <c r="A153" s="1185"/>
      <c r="B153" s="1179" t="s">
        <v>1882</v>
      </c>
      <c r="C153" s="1186"/>
      <c r="D153" s="1186"/>
      <c r="E153" s="1180" t="s">
        <v>1882</v>
      </c>
      <c r="F153" s="1189"/>
      <c r="G153" s="13">
        <f t="shared" si="5"/>
        <v>1</v>
      </c>
      <c r="H153" s="224" t="str">
        <f t="shared" ref="H153:I153" si="139">IF(OR(C153=0,C153="SCORE"),"",C153)</f>
        <v/>
      </c>
      <c r="I153" s="13" t="str">
        <f t="shared" si="139"/>
        <v/>
      </c>
      <c r="J153" s="13" t="str">
        <f t="shared" si="7"/>
        <v/>
      </c>
      <c r="K153" s="13" t="str">
        <f t="shared" si="4"/>
        <v>N/A</v>
      </c>
    </row>
    <row r="154" ht="15.75" hidden="1" customHeight="1">
      <c r="A154" s="1181" t="s">
        <v>930</v>
      </c>
      <c r="G154" s="13">
        <f t="shared" si="5"/>
        <v>1</v>
      </c>
      <c r="H154" s="224" t="str">
        <f t="shared" ref="H154:I154" si="140">IF(OR(C154=0,C154="SCORE"),"",C154)</f>
        <v/>
      </c>
      <c r="I154" s="13" t="str">
        <f t="shared" si="140"/>
        <v/>
      </c>
      <c r="J154" s="13" t="str">
        <f t="shared" si="7"/>
        <v/>
      </c>
      <c r="K154" s="13" t="str">
        <f t="shared" si="4"/>
        <v>N/A</v>
      </c>
    </row>
    <row r="155" ht="15.75" hidden="1" customHeight="1">
      <c r="A155" s="1182" t="s">
        <v>731</v>
      </c>
      <c r="B155" s="1182" t="s">
        <v>1865</v>
      </c>
      <c r="C155" s="1182" t="s">
        <v>510</v>
      </c>
      <c r="D155" s="1182" t="s">
        <v>510</v>
      </c>
      <c r="E155" s="1182" t="s">
        <v>1865</v>
      </c>
      <c r="F155" s="1182" t="s">
        <v>732</v>
      </c>
      <c r="G155" s="13">
        <f t="shared" si="5"/>
        <v>1</v>
      </c>
      <c r="H155" s="224" t="str">
        <f t="shared" ref="H155:I155" si="141">IF(OR(C155=0,C155="SCORE"),"",C155)</f>
        <v/>
      </c>
      <c r="I155" s="13" t="str">
        <f t="shared" si="141"/>
        <v/>
      </c>
      <c r="J155" s="13" t="str">
        <f t="shared" si="7"/>
        <v/>
      </c>
      <c r="K155" s="13" t="str">
        <f t="shared" si="4"/>
        <v>N/A</v>
      </c>
    </row>
    <row r="156" ht="15.75" customHeight="1">
      <c r="A156" s="1185" t="s">
        <v>1868</v>
      </c>
      <c r="B156" s="1179" t="s">
        <v>727</v>
      </c>
      <c r="C156" s="1186">
        <v>189.42</v>
      </c>
      <c r="D156" s="1186">
        <v>256.0</v>
      </c>
      <c r="E156" s="1180" t="s">
        <v>722</v>
      </c>
      <c r="F156" s="1189" t="s">
        <v>2009</v>
      </c>
      <c r="G156" s="13" t="str">
        <f t="shared" si="5"/>
        <v>GREEN</v>
      </c>
      <c r="H156" s="1187">
        <f t="shared" ref="H156:I156" si="142">IF(OR(C156=0,C156="SCORE"),"",C156)</f>
        <v>189.42</v>
      </c>
      <c r="I156" s="1188">
        <f t="shared" si="142"/>
        <v>256</v>
      </c>
      <c r="J156" s="13" t="str">
        <f t="shared" si="7"/>
        <v>DECOUPES</v>
      </c>
      <c r="K156" s="13" t="str">
        <f t="shared" si="4"/>
        <v>Game</v>
      </c>
    </row>
    <row r="157" ht="15.75" hidden="1" customHeight="1">
      <c r="A157" s="1185" t="s">
        <v>1898</v>
      </c>
      <c r="B157" s="1179" t="s">
        <v>1898</v>
      </c>
      <c r="C157" s="1186"/>
      <c r="D157" s="1186"/>
      <c r="E157" s="1180" t="s">
        <v>1882</v>
      </c>
      <c r="F157" s="1189"/>
      <c r="G157" s="13">
        <f t="shared" si="5"/>
        <v>1</v>
      </c>
      <c r="H157" s="224" t="str">
        <f t="shared" ref="H157:I157" si="143">IF(OR(C157=0,C157="SCORE"),"",C157)</f>
        <v/>
      </c>
      <c r="I157" s="13" t="str">
        <f t="shared" si="143"/>
        <v/>
      </c>
      <c r="J157" s="13" t="str">
        <f t="shared" si="7"/>
        <v/>
      </c>
      <c r="K157" s="13" t="str">
        <f t="shared" si="4"/>
        <v>N/A</v>
      </c>
    </row>
    <row r="158" ht="15.75" hidden="1" customHeight="1">
      <c r="A158" s="1535" t="s">
        <v>1899</v>
      </c>
      <c r="C158" s="1186"/>
      <c r="D158" s="1186"/>
      <c r="F158" s="1189"/>
      <c r="G158" s="13">
        <f t="shared" si="5"/>
        <v>1</v>
      </c>
      <c r="H158" s="224" t="str">
        <f t="shared" ref="H158:I158" si="144">IF(OR(C158=0,C158="SCORE"),"",C158)</f>
        <v/>
      </c>
      <c r="I158" s="13" t="str">
        <f t="shared" si="144"/>
        <v/>
      </c>
      <c r="J158" s="13" t="str">
        <f t="shared" si="7"/>
        <v/>
      </c>
      <c r="K158" s="13" t="str">
        <f t="shared" si="4"/>
        <v>N/A</v>
      </c>
    </row>
    <row r="159" ht="15.75" customHeight="1">
      <c r="A159" s="1185" t="s">
        <v>2011</v>
      </c>
      <c r="B159" s="1179" t="s">
        <v>721</v>
      </c>
      <c r="C159" s="1186">
        <v>217.26</v>
      </c>
      <c r="D159" s="1186">
        <v>182.3</v>
      </c>
      <c r="E159" s="1640" t="s">
        <v>743</v>
      </c>
      <c r="F159" s="1185"/>
      <c r="G159" s="13" t="str">
        <f t="shared" si="5"/>
        <v>MUTTS</v>
      </c>
      <c r="H159" s="1187">
        <f t="shared" ref="H159:I159" si="145">IF(OR(C159=0,C159="SCORE"),"",C159)</f>
        <v>217.26</v>
      </c>
      <c r="I159" s="1188">
        <f t="shared" si="145"/>
        <v>182.3</v>
      </c>
      <c r="J159" s="13" t="str">
        <f t="shared" si="7"/>
        <v>CHAMPS</v>
      </c>
      <c r="K159" s="13" t="str">
        <f t="shared" si="4"/>
        <v>Game</v>
      </c>
    </row>
    <row r="160" ht="15.75" hidden="1" customHeight="1">
      <c r="A160" s="1185"/>
      <c r="B160" s="1179" t="s">
        <v>1882</v>
      </c>
      <c r="C160" s="1186"/>
      <c r="D160" s="1186"/>
      <c r="E160" s="1179" t="s">
        <v>1882</v>
      </c>
      <c r="F160" s="1185" t="s">
        <v>2014</v>
      </c>
      <c r="G160" s="13">
        <f t="shared" si="5"/>
        <v>1</v>
      </c>
      <c r="H160" s="224" t="str">
        <f t="shared" ref="H160:I160" si="146">IF(OR(C160=0,C160="SCORE"),"",C160)</f>
        <v/>
      </c>
      <c r="I160" s="13" t="str">
        <f t="shared" si="146"/>
        <v/>
      </c>
      <c r="J160" s="13" t="str">
        <f t="shared" si="7"/>
        <v/>
      </c>
      <c r="K160" s="13" t="str">
        <f t="shared" si="4"/>
        <v>N/A</v>
      </c>
    </row>
    <row r="161" ht="15.75" hidden="1" customHeight="1">
      <c r="A161" s="1185"/>
      <c r="B161" s="1179" t="s">
        <v>1888</v>
      </c>
      <c r="C161" s="1186"/>
      <c r="D161" s="1186"/>
      <c r="G161" s="13">
        <f t="shared" si="5"/>
        <v>1</v>
      </c>
      <c r="H161" s="224" t="str">
        <f t="shared" ref="H161:I161" si="147">IF(OR(C161=0,C161="SCORE"),"",C161)</f>
        <v/>
      </c>
      <c r="I161" s="13" t="str">
        <f t="shared" si="147"/>
        <v/>
      </c>
      <c r="J161" s="13" t="str">
        <f t="shared" si="7"/>
        <v/>
      </c>
      <c r="K161" s="13" t="str">
        <f t="shared" si="4"/>
        <v>N/A</v>
      </c>
    </row>
    <row r="162" ht="15.75" customHeight="1">
      <c r="A162" s="1185" t="s">
        <v>2016</v>
      </c>
      <c r="B162" s="1640" t="s">
        <v>725</v>
      </c>
      <c r="C162" s="1186">
        <v>189.91</v>
      </c>
      <c r="D162" s="1186">
        <v>139.14</v>
      </c>
      <c r="E162" s="1179" t="s">
        <v>724</v>
      </c>
      <c r="F162" s="1185" t="s">
        <v>2017</v>
      </c>
      <c r="G162" s="13" t="str">
        <f t="shared" si="5"/>
        <v>YARDIES</v>
      </c>
      <c r="H162" s="1187">
        <f t="shared" ref="H162:I162" si="148">IF(OR(C162=0,C162="SCORE"),"",C162)</f>
        <v>189.91</v>
      </c>
      <c r="I162" s="1188">
        <f t="shared" si="148"/>
        <v>139.14</v>
      </c>
      <c r="J162" s="13" t="str">
        <f t="shared" si="7"/>
        <v>METAMOOKDAWGS</v>
      </c>
      <c r="K162" s="13" t="str">
        <f t="shared" si="4"/>
        <v>Game</v>
      </c>
    </row>
    <row r="163" ht="15.75" hidden="1" customHeight="1">
      <c r="A163" s="1185"/>
      <c r="B163" s="1179" t="s">
        <v>1882</v>
      </c>
      <c r="C163" s="1186"/>
      <c r="D163" s="1186"/>
      <c r="E163" s="1179" t="s">
        <v>1882</v>
      </c>
      <c r="F163" s="1185"/>
      <c r="G163" s="13">
        <f t="shared" si="5"/>
        <v>1</v>
      </c>
      <c r="H163" s="224" t="str">
        <f t="shared" ref="H163:I163" si="149">IF(OR(C163=0,C163="SCORE"),"",C163)</f>
        <v/>
      </c>
      <c r="I163" s="13" t="str">
        <f t="shared" si="149"/>
        <v/>
      </c>
      <c r="J163" s="13" t="str">
        <f t="shared" si="7"/>
        <v/>
      </c>
      <c r="K163" s="13" t="str">
        <f t="shared" si="4"/>
        <v>N/A</v>
      </c>
    </row>
    <row r="164" ht="15.75" customHeight="1">
      <c r="A164" s="1185" t="s">
        <v>2019</v>
      </c>
      <c r="B164" s="1640" t="s">
        <v>726</v>
      </c>
      <c r="C164" s="1186">
        <v>219.36</v>
      </c>
      <c r="D164" s="1186">
        <v>125.3</v>
      </c>
      <c r="E164" s="1179" t="s">
        <v>723</v>
      </c>
      <c r="F164" s="1185" t="s">
        <v>2020</v>
      </c>
      <c r="G164" s="13" t="str">
        <f t="shared" si="5"/>
        <v>POPEYES</v>
      </c>
      <c r="H164" s="1187">
        <f t="shared" ref="H164:I164" si="150">IF(OR(C164=0,C164="SCORE"),"",C164)</f>
        <v>219.36</v>
      </c>
      <c r="I164" s="1188">
        <f t="shared" si="150"/>
        <v>125.3</v>
      </c>
      <c r="J164" s="13" t="str">
        <f t="shared" si="7"/>
        <v>SAVAGES</v>
      </c>
      <c r="K164" s="13" t="str">
        <f t="shared" si="4"/>
        <v>Game</v>
      </c>
    </row>
    <row r="165" ht="15.75" hidden="1" customHeight="1">
      <c r="A165" s="1185"/>
      <c r="B165" s="1179" t="s">
        <v>1882</v>
      </c>
      <c r="C165" s="1186"/>
      <c r="D165" s="1186"/>
      <c r="E165" s="1179" t="s">
        <v>1882</v>
      </c>
      <c r="F165" s="1185"/>
      <c r="G165" s="13">
        <f t="shared" si="5"/>
        <v>1</v>
      </c>
      <c r="H165" s="224" t="str">
        <f t="shared" ref="H165:I165" si="151">IF(OR(C165=0,C165="SCORE"),"",C165)</f>
        <v/>
      </c>
      <c r="I165" s="13" t="str">
        <f t="shared" si="151"/>
        <v/>
      </c>
      <c r="J165" s="13" t="str">
        <f t="shared" si="7"/>
        <v/>
      </c>
      <c r="K165" s="13" t="str">
        <f t="shared" si="4"/>
        <v>N/A</v>
      </c>
    </row>
    <row r="166" ht="15.75" hidden="1" customHeight="1">
      <c r="A166" s="1181" t="s">
        <v>1029</v>
      </c>
      <c r="G166" s="13">
        <f t="shared" si="5"/>
        <v>1</v>
      </c>
      <c r="H166" s="224" t="str">
        <f t="shared" ref="H166:I166" si="152">IF(OR(C166=0,C166="SCORE"),"",C166)</f>
        <v/>
      </c>
      <c r="I166" s="13" t="str">
        <f t="shared" si="152"/>
        <v/>
      </c>
      <c r="J166" s="13" t="str">
        <f t="shared" si="7"/>
        <v/>
      </c>
      <c r="K166" s="13" t="str">
        <f t="shared" si="4"/>
        <v>N/A</v>
      </c>
    </row>
    <row r="167" ht="15.75" hidden="1" customHeight="1">
      <c r="A167" s="1182" t="s">
        <v>731</v>
      </c>
      <c r="B167" s="1182" t="s">
        <v>1865</v>
      </c>
      <c r="C167" s="1182" t="s">
        <v>510</v>
      </c>
      <c r="D167" s="1182" t="s">
        <v>510</v>
      </c>
      <c r="E167" s="1182" t="s">
        <v>1865</v>
      </c>
      <c r="F167" s="1182" t="s">
        <v>732</v>
      </c>
      <c r="G167" s="13">
        <f t="shared" si="5"/>
        <v>1</v>
      </c>
      <c r="H167" s="224" t="str">
        <f t="shared" ref="H167:I167" si="153">IF(OR(C167=0,C167="SCORE"),"",C167)</f>
        <v/>
      </c>
      <c r="I167" s="13" t="str">
        <f t="shared" si="153"/>
        <v/>
      </c>
      <c r="J167" s="13" t="str">
        <f t="shared" si="7"/>
        <v/>
      </c>
      <c r="K167" s="13" t="str">
        <f t="shared" si="4"/>
        <v>N/A</v>
      </c>
    </row>
    <row r="168" ht="15.75" customHeight="1">
      <c r="A168" s="1185" t="s">
        <v>1868</v>
      </c>
      <c r="B168" s="1179" t="s">
        <v>727</v>
      </c>
      <c r="C168" s="1186">
        <v>159.65</v>
      </c>
      <c r="D168" s="1186">
        <v>223.14</v>
      </c>
      <c r="E168" s="1640" t="s">
        <v>726</v>
      </c>
      <c r="F168" s="1185" t="s">
        <v>2023</v>
      </c>
      <c r="G168" s="13" t="str">
        <f t="shared" si="5"/>
        <v>GREEN</v>
      </c>
      <c r="H168" s="1187">
        <f t="shared" ref="H168:I168" si="154">IF(OR(C168=0,C168="SCORE"),"",C168)</f>
        <v>159.65</v>
      </c>
      <c r="I168" s="1188">
        <f t="shared" si="154"/>
        <v>223.14</v>
      </c>
      <c r="J168" s="13" t="str">
        <f t="shared" si="7"/>
        <v>POPEYES</v>
      </c>
      <c r="K168" s="13" t="str">
        <f t="shared" si="4"/>
        <v>Game</v>
      </c>
    </row>
    <row r="169" ht="15.75" hidden="1" customHeight="1">
      <c r="A169" s="1185" t="s">
        <v>1898</v>
      </c>
      <c r="B169" s="1179" t="s">
        <v>1898</v>
      </c>
      <c r="C169" s="1186"/>
      <c r="D169" s="1186"/>
      <c r="E169" s="1179" t="s">
        <v>1882</v>
      </c>
      <c r="F169" s="1185"/>
      <c r="G169" s="13">
        <f t="shared" si="5"/>
        <v>1</v>
      </c>
      <c r="H169" s="224" t="str">
        <f t="shared" ref="H169:I169" si="155">IF(OR(C169=0,C169="SCORE"),"",C169)</f>
        <v/>
      </c>
      <c r="I169" s="13" t="str">
        <f t="shared" si="155"/>
        <v/>
      </c>
      <c r="J169" s="13" t="str">
        <f t="shared" si="7"/>
        <v/>
      </c>
      <c r="K169" s="13" t="str">
        <f t="shared" si="4"/>
        <v>N/A</v>
      </c>
    </row>
    <row r="170" ht="15.75" hidden="1" customHeight="1">
      <c r="A170" s="1535" t="s">
        <v>1899</v>
      </c>
      <c r="C170" s="1186"/>
      <c r="D170" s="1186"/>
      <c r="F170" s="1185"/>
      <c r="G170" s="13">
        <f t="shared" si="5"/>
        <v>1</v>
      </c>
      <c r="H170" s="224" t="str">
        <f t="shared" ref="H170:I170" si="156">IF(OR(C170=0,C170="SCORE"),"",C170)</f>
        <v/>
      </c>
      <c r="I170" s="13" t="str">
        <f t="shared" si="156"/>
        <v/>
      </c>
      <c r="J170" s="13" t="str">
        <f t="shared" si="7"/>
        <v/>
      </c>
      <c r="K170" s="13" t="str">
        <f t="shared" si="4"/>
        <v>N/A</v>
      </c>
    </row>
    <row r="171" ht="15.75" customHeight="1">
      <c r="A171" s="1185" t="s">
        <v>2024</v>
      </c>
      <c r="B171" s="1179" t="s">
        <v>721</v>
      </c>
      <c r="C171" s="1186">
        <v>180.71</v>
      </c>
      <c r="D171" s="1186">
        <v>200.52</v>
      </c>
      <c r="E171" s="1640" t="s">
        <v>725</v>
      </c>
      <c r="F171" s="1185" t="s">
        <v>2026</v>
      </c>
      <c r="G171" s="13" t="str">
        <f t="shared" si="5"/>
        <v>MUTTS</v>
      </c>
      <c r="H171" s="1187">
        <f t="shared" ref="H171:I171" si="157">IF(OR(C171=0,C171="SCORE"),"",C171)</f>
        <v>180.71</v>
      </c>
      <c r="I171" s="1188">
        <f t="shared" si="157"/>
        <v>200.52</v>
      </c>
      <c r="J171" s="13" t="str">
        <f t="shared" si="7"/>
        <v>YARDIES</v>
      </c>
      <c r="K171" s="13" t="str">
        <f t="shared" si="4"/>
        <v>Game</v>
      </c>
    </row>
    <row r="172" ht="15.75" hidden="1" customHeight="1">
      <c r="A172" s="1185"/>
      <c r="B172" s="1179" t="s">
        <v>1882</v>
      </c>
      <c r="C172" s="1186"/>
      <c r="D172" s="1186"/>
      <c r="E172" s="1179" t="s">
        <v>1882</v>
      </c>
      <c r="F172" s="1185"/>
      <c r="G172" s="13">
        <f t="shared" si="5"/>
        <v>1</v>
      </c>
      <c r="H172" s="224" t="str">
        <f t="shared" ref="H172:I172" si="158">IF(OR(C172=0,C172="SCORE"),"",C172)</f>
        <v/>
      </c>
      <c r="I172" s="13" t="str">
        <f t="shared" si="158"/>
        <v/>
      </c>
      <c r="J172" s="13" t="str">
        <f t="shared" si="7"/>
        <v/>
      </c>
      <c r="K172" s="13" t="str">
        <f t="shared" si="4"/>
        <v>N/A</v>
      </c>
    </row>
    <row r="173" ht="15.75" hidden="1" customHeight="1">
      <c r="A173" s="1185"/>
      <c r="B173" s="1179" t="s">
        <v>1888</v>
      </c>
      <c r="C173" s="1186"/>
      <c r="D173" s="1186"/>
      <c r="F173" s="1185"/>
      <c r="G173" s="13">
        <f t="shared" si="5"/>
        <v>1</v>
      </c>
      <c r="H173" s="224" t="str">
        <f t="shared" ref="H173:I173" si="159">IF(OR(C173=0,C173="SCORE"),"",C173)</f>
        <v/>
      </c>
      <c r="I173" s="13" t="str">
        <f t="shared" si="159"/>
        <v/>
      </c>
      <c r="J173" s="13" t="str">
        <f t="shared" si="7"/>
        <v/>
      </c>
      <c r="K173" s="13" t="str">
        <f t="shared" si="4"/>
        <v>N/A</v>
      </c>
    </row>
    <row r="174" ht="15.75" customHeight="1">
      <c r="A174" s="1216"/>
      <c r="B174" s="1664" t="s">
        <v>743</v>
      </c>
      <c r="C174" s="1218">
        <v>186.01</v>
      </c>
      <c r="D174" s="1218">
        <v>168.9</v>
      </c>
      <c r="E174" s="1217" t="s">
        <v>724</v>
      </c>
      <c r="F174" s="1216" t="s">
        <v>2030</v>
      </c>
      <c r="G174" s="288" t="str">
        <f t="shared" si="5"/>
        <v>CHAMPS</v>
      </c>
      <c r="H174" s="1219">
        <f t="shared" ref="H174:I174" si="160">IF(OR(C174=0,C174="SCORE"),"",C174)</f>
        <v>186.01</v>
      </c>
      <c r="I174" s="1220">
        <f t="shared" si="160"/>
        <v>168.9</v>
      </c>
      <c r="J174" s="288" t="str">
        <f t="shared" si="7"/>
        <v>METAMOOKDAWGS</v>
      </c>
      <c r="K174" s="288" t="str">
        <f t="shared" si="4"/>
        <v>Game</v>
      </c>
      <c r="L174" s="288"/>
      <c r="M174" s="288"/>
      <c r="N174" s="288"/>
      <c r="O174" s="288"/>
      <c r="P174" s="288"/>
      <c r="Q174" s="288"/>
      <c r="R174" s="288"/>
      <c r="S174" s="288"/>
      <c r="T174" s="288"/>
      <c r="U174" s="288"/>
      <c r="V174" s="288"/>
      <c r="W174" s="288"/>
      <c r="X174" s="288"/>
      <c r="Y174" s="288"/>
      <c r="Z174" s="288"/>
    </row>
    <row r="175" ht="15.75" hidden="1" customHeight="1">
      <c r="A175" s="1185" t="s">
        <v>2032</v>
      </c>
      <c r="B175" s="1179" t="s">
        <v>1882</v>
      </c>
      <c r="C175" s="1186"/>
      <c r="D175" s="1186"/>
      <c r="E175" s="1179" t="s">
        <v>1882</v>
      </c>
      <c r="F175" s="1185"/>
      <c r="G175" s="13">
        <f t="shared" si="5"/>
        <v>1</v>
      </c>
      <c r="H175" s="224" t="str">
        <f t="shared" ref="H175:I175" si="161">IF(OR(C175=0,C175="SCORE"),"",C175)</f>
        <v/>
      </c>
      <c r="I175" s="13" t="str">
        <f t="shared" si="161"/>
        <v/>
      </c>
      <c r="J175" s="13" t="str">
        <f t="shared" si="7"/>
        <v/>
      </c>
      <c r="K175" s="13" t="str">
        <f t="shared" si="4"/>
        <v>N/A</v>
      </c>
    </row>
    <row r="176" ht="15.75" customHeight="1">
      <c r="A176" s="1189" t="s">
        <v>2034</v>
      </c>
      <c r="B176" s="1180" t="s">
        <v>722</v>
      </c>
      <c r="C176" s="1186">
        <v>205.02</v>
      </c>
      <c r="D176" s="1186">
        <v>93.03</v>
      </c>
      <c r="E176" s="1179" t="s">
        <v>723</v>
      </c>
      <c r="F176" s="1185" t="s">
        <v>2035</v>
      </c>
      <c r="G176" s="13" t="str">
        <f t="shared" si="5"/>
        <v>DECOUPES</v>
      </c>
      <c r="H176" s="1187">
        <f t="shared" ref="H176:I176" si="162">IF(OR(C176=0,C176="SCORE"),"",C176)</f>
        <v>205.02</v>
      </c>
      <c r="I176" s="1188">
        <f t="shared" si="162"/>
        <v>93.03</v>
      </c>
      <c r="J176" s="13" t="str">
        <f t="shared" si="7"/>
        <v>SAVAGES</v>
      </c>
      <c r="K176" s="13" t="str">
        <f t="shared" si="4"/>
        <v>Game</v>
      </c>
    </row>
    <row r="177" ht="15.75" hidden="1" customHeight="1">
      <c r="A177" s="1189"/>
      <c r="B177" s="1180" t="s">
        <v>1882</v>
      </c>
      <c r="C177" s="1186"/>
      <c r="D177" s="1186"/>
      <c r="E177" s="1179" t="s">
        <v>1882</v>
      </c>
      <c r="F177" s="1185"/>
      <c r="G177" s="13">
        <f t="shared" si="5"/>
        <v>1</v>
      </c>
      <c r="H177" s="224" t="str">
        <f t="shared" ref="H177:I177" si="163">IF(OR(C177=0,C177="SCORE"),"",C177)</f>
        <v/>
      </c>
      <c r="I177" s="13" t="str">
        <f t="shared" si="163"/>
        <v/>
      </c>
      <c r="J177" s="13" t="str">
        <f t="shared" si="7"/>
        <v/>
      </c>
      <c r="K177" s="13" t="str">
        <f t="shared" si="4"/>
        <v>N/A</v>
      </c>
    </row>
    <row r="178" ht="15.75" hidden="1" customHeight="1">
      <c r="A178" s="1181" t="s">
        <v>1056</v>
      </c>
      <c r="G178" s="13">
        <f t="shared" si="5"/>
        <v>1</v>
      </c>
      <c r="H178" s="224" t="str">
        <f t="shared" ref="H178:I178" si="164">IF(OR(C178=0,C178="SCORE"),"",C178)</f>
        <v/>
      </c>
      <c r="I178" s="13" t="str">
        <f t="shared" si="164"/>
        <v/>
      </c>
      <c r="J178" s="13" t="str">
        <f t="shared" si="7"/>
        <v/>
      </c>
      <c r="K178" s="13" t="str">
        <f t="shared" si="4"/>
        <v>N/A</v>
      </c>
    </row>
    <row r="179" ht="15.75" hidden="1" customHeight="1">
      <c r="A179" s="1182" t="s">
        <v>731</v>
      </c>
      <c r="B179" s="1182" t="s">
        <v>1865</v>
      </c>
      <c r="C179" s="1182" t="s">
        <v>510</v>
      </c>
      <c r="D179" s="1182" t="s">
        <v>510</v>
      </c>
      <c r="E179" s="1182" t="s">
        <v>1865</v>
      </c>
      <c r="F179" s="1182" t="s">
        <v>732</v>
      </c>
      <c r="G179" s="13">
        <f t="shared" si="5"/>
        <v>1</v>
      </c>
      <c r="H179" s="224" t="str">
        <f t="shared" ref="H179:I179" si="165">IF(OR(C179=0,C179="SCORE"),"",C179)</f>
        <v/>
      </c>
      <c r="I179" s="13" t="str">
        <f t="shared" si="165"/>
        <v/>
      </c>
      <c r="J179" s="13" t="str">
        <f t="shared" si="7"/>
        <v/>
      </c>
      <c r="K179" s="13" t="str">
        <f t="shared" si="4"/>
        <v>N/A</v>
      </c>
    </row>
    <row r="180" ht="15.75" customHeight="1">
      <c r="A180" s="1185" t="s">
        <v>2037</v>
      </c>
      <c r="B180" s="1640" t="s">
        <v>726</v>
      </c>
      <c r="C180" s="1186">
        <v>265.78</v>
      </c>
      <c r="D180" s="1186">
        <v>204.64</v>
      </c>
      <c r="E180" s="1179" t="s">
        <v>727</v>
      </c>
      <c r="F180" s="1185" t="s">
        <v>2039</v>
      </c>
      <c r="G180" s="13" t="str">
        <f t="shared" si="5"/>
        <v>POPEYES</v>
      </c>
      <c r="H180" s="1187">
        <f t="shared" ref="H180:I180" si="166">IF(OR(C180=0,C180="SCORE"),"",C180)</f>
        <v>265.78</v>
      </c>
      <c r="I180" s="1188">
        <f t="shared" si="166"/>
        <v>204.64</v>
      </c>
      <c r="J180" s="13" t="str">
        <f t="shared" si="7"/>
        <v>GREEN</v>
      </c>
      <c r="K180" s="13" t="str">
        <f t="shared" si="4"/>
        <v>Game</v>
      </c>
    </row>
    <row r="181" ht="15.75" hidden="1" customHeight="1">
      <c r="A181" s="1185"/>
      <c r="B181" s="1179" t="s">
        <v>1882</v>
      </c>
      <c r="C181" s="1186"/>
      <c r="D181" s="1186"/>
      <c r="E181" s="1179" t="s">
        <v>1898</v>
      </c>
      <c r="F181" s="1185" t="s">
        <v>1898</v>
      </c>
      <c r="G181" s="13">
        <f t="shared" si="5"/>
        <v>1</v>
      </c>
      <c r="H181" s="224" t="str">
        <f t="shared" ref="H181:I181" si="167">IF(OR(C181=0,C181="SCORE"),"",C181)</f>
        <v/>
      </c>
      <c r="I181" s="13" t="str">
        <f t="shared" si="167"/>
        <v/>
      </c>
      <c r="J181" s="13" t="str">
        <f t="shared" si="7"/>
        <v/>
      </c>
      <c r="K181" s="13" t="str">
        <f t="shared" si="4"/>
        <v>N/A</v>
      </c>
    </row>
    <row r="182" ht="15.75" hidden="1" customHeight="1">
      <c r="A182" s="1185"/>
      <c r="C182" s="1186"/>
      <c r="D182" s="1186"/>
      <c r="F182" s="1535" t="s">
        <v>1899</v>
      </c>
      <c r="G182" s="13">
        <f t="shared" si="5"/>
        <v>1</v>
      </c>
      <c r="H182" s="224" t="str">
        <f t="shared" ref="H182:I182" si="168">IF(OR(C182=0,C182="SCORE"),"",C182)</f>
        <v/>
      </c>
      <c r="I182" s="13" t="str">
        <f t="shared" si="168"/>
        <v/>
      </c>
      <c r="J182" s="13" t="str">
        <f t="shared" si="7"/>
        <v/>
      </c>
      <c r="K182" s="13" t="str">
        <f t="shared" si="4"/>
        <v>N/A</v>
      </c>
    </row>
    <row r="183" ht="15.75" customHeight="1">
      <c r="A183" s="1185"/>
      <c r="B183" s="1640" t="s">
        <v>743</v>
      </c>
      <c r="C183" s="1186">
        <v>191.16</v>
      </c>
      <c r="D183" s="1186">
        <v>185.45</v>
      </c>
      <c r="E183" s="1179" t="s">
        <v>721</v>
      </c>
      <c r="F183" s="1185" t="s">
        <v>2042</v>
      </c>
      <c r="G183" s="13" t="str">
        <f t="shared" si="5"/>
        <v>CHAMPS</v>
      </c>
      <c r="H183" s="1187">
        <f t="shared" ref="H183:I183" si="169">IF(OR(C183=0,C183="SCORE"),"",C183)</f>
        <v>191.16</v>
      </c>
      <c r="I183" s="1188">
        <f t="shared" si="169"/>
        <v>185.45</v>
      </c>
      <c r="J183" s="13" t="str">
        <f t="shared" si="7"/>
        <v>MUTTS</v>
      </c>
      <c r="K183" s="13" t="str">
        <f t="shared" si="4"/>
        <v>Game</v>
      </c>
    </row>
    <row r="184" ht="15.75" hidden="1" customHeight="1">
      <c r="A184" s="1185" t="s">
        <v>2044</v>
      </c>
      <c r="B184" s="1179" t="s">
        <v>1882</v>
      </c>
      <c r="C184" s="1186"/>
      <c r="D184" s="1186"/>
      <c r="E184" s="1179" t="s">
        <v>1882</v>
      </c>
      <c r="F184" s="1185"/>
      <c r="G184" s="13">
        <f t="shared" si="5"/>
        <v>1</v>
      </c>
      <c r="H184" s="224" t="str">
        <f t="shared" ref="H184:I184" si="170">IF(OR(C184=0,C184="SCORE"),"",C184)</f>
        <v/>
      </c>
      <c r="I184" s="13" t="str">
        <f t="shared" si="170"/>
        <v/>
      </c>
      <c r="J184" s="13" t="str">
        <f t="shared" si="7"/>
        <v/>
      </c>
      <c r="K184" s="13" t="str">
        <f t="shared" si="4"/>
        <v>N/A</v>
      </c>
    </row>
    <row r="185" ht="15.75" hidden="1" customHeight="1">
      <c r="C185" s="1186"/>
      <c r="D185" s="1186"/>
      <c r="E185" s="1179" t="s">
        <v>1888</v>
      </c>
      <c r="F185" s="1185"/>
      <c r="G185" s="13">
        <f t="shared" si="5"/>
        <v>1</v>
      </c>
      <c r="H185" s="224" t="str">
        <f t="shared" ref="H185:I185" si="171">IF(OR(C185=0,C185="SCORE"),"",C185)</f>
        <v/>
      </c>
      <c r="I185" s="13" t="str">
        <f t="shared" si="171"/>
        <v/>
      </c>
      <c r="J185" s="13" t="str">
        <f t="shared" si="7"/>
        <v/>
      </c>
      <c r="K185" s="13" t="str">
        <f t="shared" si="4"/>
        <v>N/A</v>
      </c>
    </row>
    <row r="186" ht="15.75" customHeight="1">
      <c r="A186" s="1185" t="s">
        <v>2045</v>
      </c>
      <c r="B186" s="1179" t="s">
        <v>723</v>
      </c>
      <c r="C186" s="1186">
        <v>100.26</v>
      </c>
      <c r="D186" s="1186">
        <v>173.52</v>
      </c>
      <c r="E186" s="1179" t="s">
        <v>724</v>
      </c>
      <c r="F186" s="1185" t="s">
        <v>2047</v>
      </c>
      <c r="G186" s="13" t="str">
        <f t="shared" si="5"/>
        <v>SAVAGES</v>
      </c>
      <c r="H186" s="1187">
        <f t="shared" ref="H186:I186" si="172">IF(OR(C186=0,C186="SCORE"),"",C186)</f>
        <v>100.26</v>
      </c>
      <c r="I186" s="1188">
        <f t="shared" si="172"/>
        <v>173.52</v>
      </c>
      <c r="J186" s="13" t="str">
        <f t="shared" si="7"/>
        <v>METAMOOKDAWGS</v>
      </c>
      <c r="K186" s="13" t="str">
        <f t="shared" si="4"/>
        <v>Game</v>
      </c>
    </row>
    <row r="187" ht="15.75" hidden="1" customHeight="1">
      <c r="A187" s="1185"/>
      <c r="B187" s="1179" t="s">
        <v>1882</v>
      </c>
      <c r="C187" s="1186"/>
      <c r="D187" s="1186"/>
      <c r="E187" s="1179" t="s">
        <v>1882</v>
      </c>
      <c r="F187" s="1185"/>
      <c r="G187" s="13">
        <f t="shared" si="5"/>
        <v>1</v>
      </c>
      <c r="H187" s="224" t="str">
        <f t="shared" ref="H187:I187" si="173">IF(OR(C187=0,C187="SCORE"),"",C187)</f>
        <v/>
      </c>
      <c r="I187" s="13" t="str">
        <f t="shared" si="173"/>
        <v/>
      </c>
      <c r="J187" s="13" t="str">
        <f t="shared" si="7"/>
        <v/>
      </c>
      <c r="K187" s="13" t="str">
        <f t="shared" si="4"/>
        <v>N/A</v>
      </c>
    </row>
    <row r="188" ht="15.75" hidden="1" customHeight="1">
      <c r="A188" s="1208" t="s">
        <v>850</v>
      </c>
      <c r="G188" s="13">
        <f t="shared" si="5"/>
        <v>1</v>
      </c>
      <c r="H188" s="224" t="str">
        <f t="shared" ref="H188:I188" si="174">IF(OR(C188=0,C188="SCORE"),"",C188)</f>
        <v/>
      </c>
      <c r="I188" s="13" t="str">
        <f t="shared" si="174"/>
        <v/>
      </c>
      <c r="J188" s="13" t="str">
        <f t="shared" si="7"/>
        <v/>
      </c>
      <c r="K188" s="13" t="str">
        <f t="shared" si="4"/>
        <v>N/A</v>
      </c>
    </row>
    <row r="189" ht="15.75" hidden="1" customHeight="1">
      <c r="A189" s="1208" t="s">
        <v>2049</v>
      </c>
      <c r="G189" s="13">
        <f t="shared" si="5"/>
        <v>1</v>
      </c>
      <c r="H189" s="224" t="str">
        <f t="shared" ref="H189:I189" si="175">IF(OR(C189=0,C189="SCORE"),"",C189)</f>
        <v/>
      </c>
      <c r="I189" s="13" t="str">
        <f t="shared" si="175"/>
        <v/>
      </c>
      <c r="J189" s="13" t="str">
        <f t="shared" si="7"/>
        <v/>
      </c>
      <c r="K189" s="13" t="str">
        <f t="shared" si="4"/>
        <v>N/A</v>
      </c>
    </row>
    <row r="190" ht="15.75" hidden="1" customHeight="1">
      <c r="A190" s="1208" t="s">
        <v>1877</v>
      </c>
      <c r="G190" s="13">
        <f t="shared" si="5"/>
        <v>1</v>
      </c>
      <c r="H190" s="224" t="str">
        <f t="shared" ref="H190:I190" si="176">IF(OR(C190=0,C190="SCORE"),"",C190)</f>
        <v/>
      </c>
      <c r="I190" s="13" t="str">
        <f t="shared" si="176"/>
        <v/>
      </c>
      <c r="J190" s="13" t="str">
        <f t="shared" si="7"/>
        <v/>
      </c>
      <c r="K190" s="13" t="str">
        <f t="shared" si="4"/>
        <v>N/A</v>
      </c>
    </row>
    <row r="191" ht="15.75" hidden="1" customHeight="1">
      <c r="A191" s="1181" t="s">
        <v>1073</v>
      </c>
      <c r="G191" s="13">
        <f t="shared" si="5"/>
        <v>1</v>
      </c>
      <c r="H191" s="224" t="str">
        <f t="shared" ref="H191:I191" si="177">IF(OR(C191=0,C191="SCORE"),"",C191)</f>
        <v/>
      </c>
      <c r="I191" s="13" t="str">
        <f t="shared" si="177"/>
        <v/>
      </c>
      <c r="J191" s="13" t="str">
        <f t="shared" si="7"/>
        <v/>
      </c>
      <c r="K191" s="13" t="str">
        <f t="shared" si="4"/>
        <v>N/A</v>
      </c>
    </row>
    <row r="192" ht="15.75" hidden="1" customHeight="1">
      <c r="A192" s="1182" t="s">
        <v>731</v>
      </c>
      <c r="B192" s="1182" t="s">
        <v>1865</v>
      </c>
      <c r="C192" s="1182" t="s">
        <v>510</v>
      </c>
      <c r="D192" s="1182" t="s">
        <v>510</v>
      </c>
      <c r="E192" s="1182" t="s">
        <v>1865</v>
      </c>
      <c r="F192" s="1182" t="s">
        <v>732</v>
      </c>
      <c r="G192" s="13">
        <f t="shared" si="5"/>
        <v>1</v>
      </c>
      <c r="H192" s="224" t="str">
        <f t="shared" ref="H192:I192" si="178">IF(OR(C192=0,C192="SCORE"),"",C192)</f>
        <v/>
      </c>
      <c r="I192" s="13" t="str">
        <f t="shared" si="178"/>
        <v/>
      </c>
      <c r="J192" s="13" t="str">
        <f t="shared" si="7"/>
        <v/>
      </c>
      <c r="K192" s="13" t="str">
        <f t="shared" si="4"/>
        <v>N/A</v>
      </c>
    </row>
    <row r="193" ht="15.75" customHeight="1">
      <c r="A193" s="1185"/>
      <c r="B193" s="1640" t="s">
        <v>743</v>
      </c>
      <c r="C193" s="1186">
        <v>133.66</v>
      </c>
      <c r="D193" s="1186">
        <v>126.11</v>
      </c>
      <c r="E193" s="1640" t="s">
        <v>725</v>
      </c>
      <c r="F193" s="1185" t="s">
        <v>2052</v>
      </c>
      <c r="G193" s="13" t="str">
        <f t="shared" si="5"/>
        <v>CHAMPS</v>
      </c>
      <c r="H193" s="1187">
        <f t="shared" ref="H193:I193" si="179">IF(OR(C193=0,C193="SCORE"),"",C193)</f>
        <v>133.66</v>
      </c>
      <c r="I193" s="1188">
        <f t="shared" si="179"/>
        <v>126.11</v>
      </c>
      <c r="J193" s="13" t="str">
        <f t="shared" si="7"/>
        <v>YARDIES</v>
      </c>
      <c r="K193" s="13" t="str">
        <f t="shared" si="4"/>
        <v>Game</v>
      </c>
    </row>
    <row r="194" ht="15.75" hidden="1" customHeight="1">
      <c r="A194" s="1185" t="s">
        <v>2053</v>
      </c>
      <c r="B194" s="1179" t="s">
        <v>1882</v>
      </c>
      <c r="C194" s="1186"/>
      <c r="D194" s="1186"/>
      <c r="E194" s="1179" t="s">
        <v>1882</v>
      </c>
      <c r="F194" s="1185"/>
      <c r="G194" s="13">
        <f t="shared" si="5"/>
        <v>1</v>
      </c>
      <c r="H194" s="224" t="str">
        <f t="shared" ref="H194:I194" si="180">IF(OR(C194=0,C194="SCORE"),"",C194)</f>
        <v/>
      </c>
      <c r="I194" s="13" t="str">
        <f t="shared" si="180"/>
        <v/>
      </c>
      <c r="J194" s="13" t="str">
        <f t="shared" si="7"/>
        <v/>
      </c>
      <c r="K194" s="13" t="str">
        <f t="shared" si="4"/>
        <v>N/A</v>
      </c>
    </row>
    <row r="195" ht="15.75" customHeight="1">
      <c r="A195" s="1185" t="s">
        <v>2055</v>
      </c>
      <c r="B195" s="1640" t="s">
        <v>726</v>
      </c>
      <c r="C195" s="1186">
        <v>228.72</v>
      </c>
      <c r="D195" s="1186">
        <v>218.05</v>
      </c>
      <c r="E195" s="1180" t="s">
        <v>722</v>
      </c>
      <c r="F195" s="1189" t="s">
        <v>2056</v>
      </c>
      <c r="G195" s="13" t="str">
        <f t="shared" si="5"/>
        <v>POPEYES</v>
      </c>
      <c r="H195" s="1187">
        <f t="shared" ref="H195:I195" si="181">IF(OR(C195=0,C195="SCORE"),"",C195)</f>
        <v>228.72</v>
      </c>
      <c r="I195" s="1188">
        <f t="shared" si="181"/>
        <v>218.05</v>
      </c>
      <c r="J195" s="13" t="str">
        <f t="shared" si="7"/>
        <v>DECOUPES</v>
      </c>
      <c r="K195" s="13" t="str">
        <f t="shared" si="4"/>
        <v>Game</v>
      </c>
    </row>
    <row r="196" ht="15.75" hidden="1" customHeight="1">
      <c r="A196" s="1185"/>
      <c r="B196" s="1179" t="s">
        <v>1882</v>
      </c>
      <c r="C196" s="1186"/>
      <c r="D196" s="1186"/>
      <c r="E196" s="1180" t="s">
        <v>1882</v>
      </c>
      <c r="F196" s="1189"/>
      <c r="G196" s="13">
        <f t="shared" si="5"/>
        <v>1</v>
      </c>
      <c r="H196" s="224" t="str">
        <f t="shared" ref="H196:I196" si="182">IF(OR(C196=0,C196="SCORE"),"",C196)</f>
        <v/>
      </c>
      <c r="I196" s="13" t="str">
        <f t="shared" si="182"/>
        <v/>
      </c>
      <c r="J196" s="13" t="str">
        <f t="shared" si="7"/>
        <v/>
      </c>
      <c r="K196" s="13" t="str">
        <f t="shared" si="4"/>
        <v>N/A</v>
      </c>
    </row>
    <row r="197" ht="15.75" customHeight="1">
      <c r="A197" s="1185" t="s">
        <v>1868</v>
      </c>
      <c r="B197" s="1179" t="s">
        <v>727</v>
      </c>
      <c r="C197" s="1186">
        <v>211.41</v>
      </c>
      <c r="D197" s="1186">
        <v>211.46</v>
      </c>
      <c r="E197" s="1179" t="s">
        <v>721</v>
      </c>
      <c r="F197" s="1185" t="s">
        <v>2058</v>
      </c>
      <c r="G197" s="13" t="str">
        <f t="shared" si="5"/>
        <v>GREEN</v>
      </c>
      <c r="H197" s="1187">
        <f t="shared" ref="H197:I197" si="183">IF(OR(C197=0,C197="SCORE"),"",C197)</f>
        <v>211.41</v>
      </c>
      <c r="I197" s="1188">
        <f t="shared" si="183"/>
        <v>211.46</v>
      </c>
      <c r="J197" s="13" t="str">
        <f t="shared" si="7"/>
        <v>MUTTS</v>
      </c>
      <c r="K197" s="13" t="str">
        <f t="shared" si="4"/>
        <v>Game</v>
      </c>
    </row>
    <row r="198" ht="15.75" hidden="1" customHeight="1">
      <c r="A198" s="1185" t="s">
        <v>1898</v>
      </c>
      <c r="B198" s="1179" t="s">
        <v>1898</v>
      </c>
      <c r="C198" s="1186"/>
      <c r="D198" s="1186"/>
      <c r="E198" s="1179" t="s">
        <v>1882</v>
      </c>
      <c r="F198" s="1185"/>
      <c r="G198" s="13">
        <f t="shared" si="5"/>
        <v>1</v>
      </c>
      <c r="H198" s="224" t="str">
        <f t="shared" ref="H198:I198" si="184">IF(OR(C198=0,C198="SCORE"),"",C198)</f>
        <v/>
      </c>
      <c r="I198" s="13" t="str">
        <f t="shared" si="184"/>
        <v/>
      </c>
      <c r="J198" s="13" t="str">
        <f t="shared" si="7"/>
        <v/>
      </c>
      <c r="K198" s="13" t="str">
        <f t="shared" si="4"/>
        <v>N/A</v>
      </c>
    </row>
    <row r="199" ht="15.75" hidden="1" customHeight="1">
      <c r="A199" s="1535" t="s">
        <v>1899</v>
      </c>
      <c r="C199" s="1186"/>
      <c r="D199" s="1186"/>
      <c r="E199" s="1179" t="s">
        <v>1888</v>
      </c>
      <c r="F199" s="1185"/>
      <c r="G199" s="13">
        <f t="shared" si="5"/>
        <v>1</v>
      </c>
      <c r="H199" s="224" t="str">
        <f t="shared" ref="H199:I199" si="185">IF(OR(C199=0,C199="SCORE"),"",C199)</f>
        <v/>
      </c>
      <c r="I199" s="13" t="str">
        <f t="shared" si="185"/>
        <v/>
      </c>
      <c r="J199" s="13" t="str">
        <f t="shared" si="7"/>
        <v/>
      </c>
      <c r="K199" s="13" t="str">
        <f t="shared" si="4"/>
        <v>N/A</v>
      </c>
    </row>
    <row r="200" ht="15.75" customHeight="1">
      <c r="A200" s="1185" t="s">
        <v>2060</v>
      </c>
      <c r="B200" s="1179" t="s">
        <v>723</v>
      </c>
      <c r="C200" s="1186">
        <v>151.3</v>
      </c>
      <c r="D200" s="1186">
        <v>161.78</v>
      </c>
      <c r="E200" s="1179" t="s">
        <v>724</v>
      </c>
      <c r="F200" s="1185" t="s">
        <v>2062</v>
      </c>
      <c r="G200" s="13" t="str">
        <f t="shared" si="5"/>
        <v>SAVAGES</v>
      </c>
      <c r="H200" s="1187">
        <f t="shared" ref="H200:I200" si="186">IF(OR(C200=0,C200="SCORE"),"",C200)</f>
        <v>151.3</v>
      </c>
      <c r="I200" s="1188">
        <f t="shared" si="186"/>
        <v>161.78</v>
      </c>
      <c r="J200" s="13" t="str">
        <f t="shared" si="7"/>
        <v>METAMOOKDAWGS</v>
      </c>
      <c r="K200" s="13" t="str">
        <f t="shared" si="4"/>
        <v>Game</v>
      </c>
    </row>
    <row r="201" ht="15.75" hidden="1" customHeight="1">
      <c r="A201" s="1185"/>
      <c r="B201" s="1179" t="s">
        <v>1882</v>
      </c>
      <c r="C201" s="1186"/>
      <c r="D201" s="1186"/>
      <c r="E201" s="1179" t="s">
        <v>1882</v>
      </c>
      <c r="F201" s="1185"/>
      <c r="G201" s="13">
        <f t="shared" si="5"/>
        <v>1</v>
      </c>
      <c r="H201" s="224" t="str">
        <f t="shared" ref="H201:I201" si="187">IF(OR(C201=0,C201="SCORE"),"",C201)</f>
        <v/>
      </c>
      <c r="I201" s="13" t="str">
        <f t="shared" si="187"/>
        <v/>
      </c>
      <c r="J201" s="13" t="str">
        <f t="shared" si="7"/>
        <v/>
      </c>
      <c r="K201" s="13" t="str">
        <f t="shared" si="4"/>
        <v>N/A</v>
      </c>
    </row>
    <row r="202" ht="15.75" hidden="1" customHeight="1">
      <c r="A202" s="1181" t="s">
        <v>1085</v>
      </c>
      <c r="G202" s="13">
        <f t="shared" si="5"/>
        <v>1</v>
      </c>
      <c r="H202" s="224" t="str">
        <f t="shared" ref="H202:I202" si="188">IF(OR(C202=0,C202="SCORE"),"",C202)</f>
        <v/>
      </c>
      <c r="I202" s="13" t="str">
        <f t="shared" si="188"/>
        <v/>
      </c>
      <c r="J202" s="13" t="str">
        <f t="shared" si="7"/>
        <v/>
      </c>
      <c r="K202" s="13" t="str">
        <f t="shared" si="4"/>
        <v>N/A</v>
      </c>
    </row>
    <row r="203" ht="15.75" hidden="1" customHeight="1">
      <c r="A203" s="1182" t="s">
        <v>731</v>
      </c>
      <c r="B203" s="1182" t="s">
        <v>1865</v>
      </c>
      <c r="C203" s="1182" t="s">
        <v>510</v>
      </c>
      <c r="D203" s="1182" t="s">
        <v>510</v>
      </c>
      <c r="E203" s="1182" t="s">
        <v>1865</v>
      </c>
      <c r="F203" s="1182" t="s">
        <v>732</v>
      </c>
      <c r="G203" s="13">
        <f t="shared" si="5"/>
        <v>1</v>
      </c>
      <c r="H203" s="224" t="str">
        <f t="shared" ref="H203:I203" si="189">IF(OR(C203=0,C203="SCORE"),"",C203)</f>
        <v/>
      </c>
      <c r="I203" s="13" t="str">
        <f t="shared" si="189"/>
        <v/>
      </c>
      <c r="J203" s="13" t="str">
        <f t="shared" si="7"/>
        <v/>
      </c>
      <c r="K203" s="13" t="str">
        <f t="shared" si="4"/>
        <v>N/A</v>
      </c>
    </row>
    <row r="204" ht="15.75" customHeight="1">
      <c r="A204" s="1185"/>
      <c r="B204" s="1640" t="s">
        <v>743</v>
      </c>
      <c r="C204" s="1186">
        <v>154.08</v>
      </c>
      <c r="D204" s="1186">
        <v>199.34</v>
      </c>
      <c r="E204" s="1640" t="s">
        <v>726</v>
      </c>
      <c r="F204" s="1185" t="s">
        <v>2065</v>
      </c>
      <c r="G204" s="13" t="str">
        <f t="shared" si="5"/>
        <v>CHAMPS</v>
      </c>
      <c r="H204" s="1187">
        <f t="shared" ref="H204:I204" si="190">IF(OR(C204=0,C204="SCORE"),"",C204)</f>
        <v>154.08</v>
      </c>
      <c r="I204" s="1188">
        <f t="shared" si="190"/>
        <v>199.34</v>
      </c>
      <c r="J204" s="13" t="str">
        <f t="shared" si="7"/>
        <v>POPEYES</v>
      </c>
      <c r="K204" s="13" t="str">
        <f t="shared" si="4"/>
        <v>Game</v>
      </c>
    </row>
    <row r="205" ht="15.75" hidden="1" customHeight="1">
      <c r="A205" s="1185" t="s">
        <v>2067</v>
      </c>
      <c r="B205" s="1179" t="s">
        <v>1882</v>
      </c>
      <c r="C205" s="1186"/>
      <c r="D205" s="1186"/>
      <c r="E205" s="1179" t="s">
        <v>1882</v>
      </c>
      <c r="F205" s="1185"/>
      <c r="G205" s="13">
        <f t="shared" si="5"/>
        <v>1</v>
      </c>
      <c r="H205" s="224" t="str">
        <f t="shared" ref="H205:I205" si="191">IF(OR(C205=0,C205="SCORE"),"",C205)</f>
        <v/>
      </c>
      <c r="I205" s="13" t="str">
        <f t="shared" si="191"/>
        <v/>
      </c>
      <c r="J205" s="13" t="str">
        <f t="shared" si="7"/>
        <v/>
      </c>
      <c r="K205" s="13" t="str">
        <f t="shared" si="4"/>
        <v>N/A</v>
      </c>
    </row>
    <row r="206" ht="15.75" customHeight="1">
      <c r="A206" s="1189" t="s">
        <v>2068</v>
      </c>
      <c r="B206" s="1180" t="s">
        <v>722</v>
      </c>
      <c r="C206" s="1186">
        <v>225.73</v>
      </c>
      <c r="D206" s="1186">
        <v>207.1</v>
      </c>
      <c r="E206" s="1640" t="s">
        <v>725</v>
      </c>
      <c r="F206" s="1185" t="s">
        <v>2070</v>
      </c>
      <c r="G206" s="13" t="str">
        <f t="shared" si="5"/>
        <v>DECOUPES</v>
      </c>
      <c r="H206" s="1187">
        <f t="shared" ref="H206:I206" si="192">IF(OR(C206=0,C206="SCORE"),"",C206)</f>
        <v>225.73</v>
      </c>
      <c r="I206" s="1188">
        <f t="shared" si="192"/>
        <v>207.1</v>
      </c>
      <c r="J206" s="13" t="str">
        <f t="shared" si="7"/>
        <v>YARDIES</v>
      </c>
      <c r="K206" s="13" t="str">
        <f t="shared" si="4"/>
        <v>Game</v>
      </c>
    </row>
    <row r="207" ht="15.75" hidden="1" customHeight="1">
      <c r="A207" s="1189"/>
      <c r="B207" s="1180" t="s">
        <v>1882</v>
      </c>
      <c r="C207" s="1186"/>
      <c r="D207" s="1186"/>
      <c r="E207" s="1179" t="s">
        <v>1882</v>
      </c>
      <c r="F207" s="1185"/>
      <c r="G207" s="13">
        <f t="shared" si="5"/>
        <v>1</v>
      </c>
      <c r="H207" s="224" t="str">
        <f t="shared" ref="H207:I207" si="193">IF(OR(C207=0,C207="SCORE"),"",C207)</f>
        <v/>
      </c>
      <c r="I207" s="13" t="str">
        <f t="shared" si="193"/>
        <v/>
      </c>
      <c r="J207" s="13" t="str">
        <f t="shared" si="7"/>
        <v/>
      </c>
      <c r="K207" s="13" t="str">
        <f t="shared" si="4"/>
        <v>N/A</v>
      </c>
    </row>
    <row r="208" ht="15.75" customHeight="1">
      <c r="A208" s="1185" t="s">
        <v>2039</v>
      </c>
      <c r="B208" s="1179" t="s">
        <v>727</v>
      </c>
      <c r="C208" s="1186">
        <v>207.49</v>
      </c>
      <c r="D208" s="1186">
        <v>229.4</v>
      </c>
      <c r="E208" s="1179" t="s">
        <v>721</v>
      </c>
      <c r="F208" s="1185" t="s">
        <v>2071</v>
      </c>
      <c r="G208" s="13" t="str">
        <f t="shared" si="5"/>
        <v>GREEN</v>
      </c>
      <c r="H208" s="1187">
        <f t="shared" ref="H208:I208" si="194">IF(OR(C208=0,C208="SCORE"),"",C208)</f>
        <v>207.49</v>
      </c>
      <c r="I208" s="1188">
        <f t="shared" si="194"/>
        <v>229.4</v>
      </c>
      <c r="J208" s="13" t="str">
        <f t="shared" si="7"/>
        <v>MUTTS</v>
      </c>
      <c r="K208" s="13" t="str">
        <f t="shared" si="4"/>
        <v>Game</v>
      </c>
    </row>
    <row r="209" ht="15.75" hidden="1" customHeight="1">
      <c r="A209" s="1185" t="s">
        <v>1898</v>
      </c>
      <c r="B209" s="1179" t="s">
        <v>1898</v>
      </c>
      <c r="C209" s="1186"/>
      <c r="D209" s="1186"/>
      <c r="E209" s="1179" t="s">
        <v>1882</v>
      </c>
      <c r="F209" s="1185"/>
      <c r="G209" s="13">
        <f t="shared" si="5"/>
        <v>1</v>
      </c>
      <c r="H209" s="224" t="str">
        <f t="shared" ref="H209:I209" si="195">IF(OR(C209=0,C209="SCORE"),"",C209)</f>
        <v/>
      </c>
      <c r="I209" s="13" t="str">
        <f t="shared" si="195"/>
        <v/>
      </c>
      <c r="J209" s="13" t="str">
        <f t="shared" si="7"/>
        <v/>
      </c>
      <c r="K209" s="13" t="str">
        <f t="shared" si="4"/>
        <v>N/A</v>
      </c>
    </row>
    <row r="210" ht="15.75" hidden="1" customHeight="1">
      <c r="A210" s="1535" t="s">
        <v>1899</v>
      </c>
      <c r="C210" s="1186"/>
      <c r="D210" s="1186"/>
      <c r="E210" s="1179" t="s">
        <v>1888</v>
      </c>
      <c r="F210" s="1185"/>
      <c r="G210" s="13">
        <f t="shared" si="5"/>
        <v>1</v>
      </c>
      <c r="H210" s="224" t="str">
        <f t="shared" ref="H210:I210" si="196">IF(OR(C210=0,C210="SCORE"),"",C210)</f>
        <v/>
      </c>
      <c r="I210" s="13" t="str">
        <f t="shared" si="196"/>
        <v/>
      </c>
      <c r="J210" s="13" t="str">
        <f t="shared" si="7"/>
        <v/>
      </c>
      <c r="K210" s="13" t="str">
        <f t="shared" si="4"/>
        <v>N/A</v>
      </c>
    </row>
    <row r="211" ht="15.75" customHeight="1">
      <c r="A211" s="1185" t="s">
        <v>2073</v>
      </c>
      <c r="B211" s="1179" t="s">
        <v>723</v>
      </c>
      <c r="C211" s="1186">
        <v>91.52</v>
      </c>
      <c r="D211" s="1186">
        <v>114.66</v>
      </c>
      <c r="E211" s="1179" t="s">
        <v>724</v>
      </c>
      <c r="F211" s="1185" t="s">
        <v>2075</v>
      </c>
      <c r="G211" s="13" t="str">
        <f t="shared" si="5"/>
        <v>SAVAGES</v>
      </c>
      <c r="H211" s="1187">
        <f t="shared" ref="H211:I211" si="197">IF(OR(C211=0,C211="SCORE"),"",C211)</f>
        <v>91.52</v>
      </c>
      <c r="I211" s="1188">
        <f t="shared" si="197"/>
        <v>114.66</v>
      </c>
      <c r="J211" s="13" t="str">
        <f t="shared" si="7"/>
        <v>METAMOOKDAWGS</v>
      </c>
      <c r="K211" s="13" t="str">
        <f t="shared" si="4"/>
        <v>Game</v>
      </c>
    </row>
    <row r="212" ht="15.75" hidden="1" customHeight="1">
      <c r="A212" s="1185"/>
      <c r="B212" s="1179" t="s">
        <v>1882</v>
      </c>
      <c r="C212" s="1186"/>
      <c r="D212" s="1186"/>
      <c r="E212" s="1179" t="s">
        <v>1882</v>
      </c>
      <c r="F212" s="1185"/>
      <c r="G212" s="13">
        <f t="shared" si="5"/>
        <v>1</v>
      </c>
      <c r="H212" s="224" t="str">
        <f t="shared" ref="H212:I212" si="198">IF(OR(C212=0,C212="SCORE"),"",C212)</f>
        <v/>
      </c>
      <c r="I212" s="13" t="str">
        <f t="shared" si="198"/>
        <v/>
      </c>
      <c r="J212" s="13" t="str">
        <f t="shared" si="7"/>
        <v/>
      </c>
      <c r="K212" s="13" t="str">
        <f t="shared" si="4"/>
        <v>N/A</v>
      </c>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c r="A238" s="1185"/>
      <c r="B238" s="1179" t="s">
        <v>2076</v>
      </c>
      <c r="C238" s="1186">
        <v>180.47</v>
      </c>
      <c r="D238" s="1186">
        <v>171.78</v>
      </c>
      <c r="E238" s="1180" t="s">
        <v>2077</v>
      </c>
      <c r="F238" s="1676" t="s">
        <v>1877</v>
      </c>
    </row>
    <row r="239" ht="15.75" customHeight="1">
      <c r="A239" s="1185" t="s">
        <v>2078</v>
      </c>
      <c r="B239" s="1179" t="s">
        <v>1882</v>
      </c>
      <c r="C239" s="1186"/>
      <c r="D239" s="1186"/>
      <c r="E239" s="1180" t="s">
        <v>1882</v>
      </c>
      <c r="F239" s="167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19:$K$212">
    <filterColumn colId="2">
      <customFilters>
        <customFilter operator="notEqual" val=" "/>
      </customFilters>
    </filterColumn>
  </autoFilter>
  <hyperlinks>
    <hyperlink r:id="rId1" ref="C20"/>
    <hyperlink r:id="rId2" ref="D20"/>
    <hyperlink r:id="rId3" ref="C21"/>
    <hyperlink r:id="rId4" ref="D21"/>
    <hyperlink r:id="rId5" ref="C22"/>
    <hyperlink r:id="rId6" ref="D22"/>
    <hyperlink r:id="rId7" ref="C23"/>
    <hyperlink r:id="rId8" ref="D23"/>
    <hyperlink r:id="rId9" ref="C27"/>
    <hyperlink r:id="rId10" ref="D27"/>
    <hyperlink r:id="rId11" ref="C28"/>
    <hyperlink r:id="rId12" ref="D28"/>
    <hyperlink r:id="rId13" ref="C31"/>
    <hyperlink r:id="rId14" ref="D31"/>
    <hyperlink r:id="rId15" ref="C33"/>
    <hyperlink r:id="rId16" ref="D33"/>
    <hyperlink r:id="rId17" ref="C37"/>
    <hyperlink r:id="rId18" ref="D37"/>
    <hyperlink r:id="rId19" ref="C40"/>
    <hyperlink r:id="rId20" ref="D40"/>
    <hyperlink r:id="rId21" ref="C43"/>
    <hyperlink r:id="rId22" ref="D43"/>
    <hyperlink r:id="rId23" ref="C45"/>
    <hyperlink r:id="rId24" ref="D45"/>
    <hyperlink r:id="rId25" ref="C49"/>
    <hyperlink r:id="rId26" ref="D49"/>
    <hyperlink r:id="rId27" ref="C52"/>
    <hyperlink r:id="rId28" ref="D52"/>
    <hyperlink r:id="rId29" ref="C55"/>
    <hyperlink r:id="rId30" ref="D55"/>
    <hyperlink r:id="rId31" ref="C57"/>
    <hyperlink r:id="rId32" ref="D57"/>
    <hyperlink r:id="rId33" ref="C61"/>
    <hyperlink r:id="rId34" ref="D61"/>
    <hyperlink r:id="rId35" ref="C64"/>
    <hyperlink r:id="rId36" ref="D64"/>
    <hyperlink r:id="rId37" ref="C67"/>
    <hyperlink r:id="rId38" ref="D67"/>
    <hyperlink r:id="rId39" ref="C69"/>
    <hyperlink r:id="rId40" ref="D69"/>
    <hyperlink r:id="rId41" ref="C73"/>
    <hyperlink r:id="rId42" ref="D73"/>
    <hyperlink r:id="rId43" ref="C76"/>
    <hyperlink r:id="rId44" ref="D76"/>
    <hyperlink r:id="rId45" ref="C79"/>
    <hyperlink r:id="rId46" ref="D79"/>
    <hyperlink r:id="rId47" ref="C81"/>
    <hyperlink r:id="rId48" ref="D81"/>
    <hyperlink r:id="rId49" ref="C85"/>
    <hyperlink r:id="rId50" ref="D85"/>
    <hyperlink r:id="rId51" ref="C88"/>
    <hyperlink r:id="rId52" ref="D88"/>
    <hyperlink r:id="rId53" ref="C91"/>
    <hyperlink r:id="rId54" ref="D91"/>
    <hyperlink r:id="rId55" ref="C93"/>
    <hyperlink r:id="rId56" ref="D93"/>
    <hyperlink r:id="rId57" ref="C97"/>
    <hyperlink r:id="rId58" ref="D97"/>
    <hyperlink r:id="rId59" ref="C100"/>
    <hyperlink r:id="rId60" ref="D100"/>
    <hyperlink r:id="rId61" ref="C103"/>
    <hyperlink r:id="rId62" ref="D103"/>
    <hyperlink r:id="rId63" ref="C105"/>
    <hyperlink r:id="rId64" ref="D105"/>
    <hyperlink r:id="rId65" ref="C109"/>
    <hyperlink r:id="rId66" ref="D109"/>
    <hyperlink r:id="rId67" ref="C112"/>
    <hyperlink r:id="rId68" ref="D112"/>
    <hyperlink r:id="rId69" ref="C115"/>
    <hyperlink r:id="rId70" ref="D115"/>
    <hyperlink r:id="rId71" ref="C117"/>
    <hyperlink r:id="rId72" ref="D117"/>
    <hyperlink r:id="rId73" ref="C121"/>
    <hyperlink r:id="rId74" ref="D121"/>
    <hyperlink r:id="rId75" ref="C124"/>
    <hyperlink r:id="rId76" ref="D124"/>
    <hyperlink r:id="rId77" ref="C127"/>
    <hyperlink r:id="rId78" ref="D127"/>
    <hyperlink r:id="rId79" ref="C129"/>
    <hyperlink r:id="rId80" ref="D129"/>
    <hyperlink r:id="rId81" ref="C133"/>
    <hyperlink r:id="rId82" ref="D133"/>
    <hyperlink r:id="rId83" ref="C136"/>
    <hyperlink r:id="rId84" ref="D136"/>
    <hyperlink r:id="rId85" ref="C138"/>
    <hyperlink r:id="rId86" ref="D138"/>
    <hyperlink r:id="rId87" ref="C140"/>
    <hyperlink r:id="rId88" ref="D140"/>
    <hyperlink r:id="rId89" ref="C144"/>
    <hyperlink r:id="rId90" ref="D144"/>
    <hyperlink r:id="rId91" ref="C147"/>
    <hyperlink r:id="rId92" ref="D147"/>
    <hyperlink r:id="rId93" ref="C150"/>
    <hyperlink r:id="rId94" ref="D150"/>
    <hyperlink r:id="rId95" ref="C152"/>
    <hyperlink r:id="rId96" ref="D152"/>
    <hyperlink r:id="rId97" ref="C156"/>
    <hyperlink r:id="rId98" ref="D156"/>
    <hyperlink r:id="rId99" ref="C159"/>
    <hyperlink r:id="rId100" ref="D159"/>
    <hyperlink r:id="rId101" ref="C162"/>
    <hyperlink r:id="rId102" ref="D162"/>
    <hyperlink r:id="rId103" ref="C164"/>
    <hyperlink r:id="rId104" ref="D164"/>
    <hyperlink r:id="rId105" ref="C168"/>
    <hyperlink r:id="rId106" ref="D168"/>
    <hyperlink r:id="rId107" ref="C171"/>
    <hyperlink r:id="rId108" ref="D171"/>
    <hyperlink r:id="rId109" ref="C174"/>
    <hyperlink r:id="rId110" ref="D174"/>
    <hyperlink r:id="rId111" ref="C176"/>
    <hyperlink r:id="rId112" ref="D176"/>
    <hyperlink r:id="rId113" ref="C180"/>
    <hyperlink r:id="rId114" ref="D180"/>
    <hyperlink r:id="rId115" ref="C183"/>
    <hyperlink r:id="rId116" ref="D183"/>
    <hyperlink r:id="rId117" ref="C186"/>
    <hyperlink r:id="rId118" ref="D186"/>
    <hyperlink r:id="rId119" ref="C193"/>
    <hyperlink r:id="rId120" ref="D193"/>
    <hyperlink r:id="rId121" ref="C195"/>
    <hyperlink r:id="rId122" ref="D195"/>
    <hyperlink r:id="rId123" ref="C197"/>
    <hyperlink r:id="rId124" ref="D197"/>
    <hyperlink r:id="rId125" ref="C200"/>
    <hyperlink r:id="rId126" ref="D200"/>
    <hyperlink r:id="rId127" ref="C204"/>
    <hyperlink r:id="rId128" ref="D204"/>
    <hyperlink r:id="rId129" ref="C206"/>
    <hyperlink r:id="rId130" ref="D206"/>
    <hyperlink r:id="rId131" ref="C208"/>
    <hyperlink r:id="rId132" ref="D208"/>
    <hyperlink r:id="rId133" ref="C211"/>
    <hyperlink r:id="rId134" ref="D211"/>
    <hyperlink r:id="rId135" ref="C238"/>
    <hyperlink r:id="rId136" ref="D238"/>
  </hyperlinks>
  <printOptions/>
  <pageMargins bottom="0.75" footer="0.0" header="0.0" left="0.7" right="0.7" top="0.75"/>
  <pageSetup orientation="landscape"/>
  <drawing r:id="rId13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8.0"/>
    <col customWidth="1" min="3" max="4" width="7.11"/>
    <col customWidth="1" min="5" max="5" width="16.33"/>
    <col customWidth="1" min="6" max="6" width="31.44"/>
    <col customWidth="1" min="7" max="11" width="10.67"/>
    <col customWidth="1" min="12" max="26" width="10.56"/>
  </cols>
  <sheetData>
    <row r="1" ht="15.75" customHeight="1">
      <c r="A1" s="1179" t="s">
        <v>721</v>
      </c>
      <c r="B1" s="700" t="s">
        <v>538</v>
      </c>
    </row>
    <row r="2" ht="15.75" customHeight="1">
      <c r="A2" s="1180" t="s">
        <v>722</v>
      </c>
      <c r="B2" s="700" t="s">
        <v>493</v>
      </c>
    </row>
    <row r="3" ht="15.75" customHeight="1">
      <c r="A3" s="1179" t="s">
        <v>723</v>
      </c>
      <c r="B3" s="700" t="s">
        <v>497</v>
      </c>
    </row>
    <row r="4" ht="15.75" customHeight="1">
      <c r="A4" s="1179" t="s">
        <v>724</v>
      </c>
      <c r="B4" s="700" t="s">
        <v>578</v>
      </c>
    </row>
    <row r="5" ht="15.75" customHeight="1">
      <c r="A5" s="1640" t="s">
        <v>725</v>
      </c>
      <c r="B5" s="700" t="s">
        <v>537</v>
      </c>
    </row>
    <row r="6" ht="15.75" customHeight="1">
      <c r="A6" s="1640" t="s">
        <v>726</v>
      </c>
      <c r="B6" s="700" t="s">
        <v>494</v>
      </c>
    </row>
    <row r="7" ht="15.75" customHeight="1">
      <c r="A7" s="1640" t="s">
        <v>727</v>
      </c>
      <c r="B7" s="700" t="s">
        <v>495</v>
      </c>
    </row>
    <row r="8" ht="15.75" customHeight="1">
      <c r="A8" s="1640" t="s">
        <v>728</v>
      </c>
      <c r="B8" s="700" t="s">
        <v>672</v>
      </c>
    </row>
    <row r="9" ht="15.75" customHeight="1">
      <c r="A9" s="1640" t="s">
        <v>729</v>
      </c>
      <c r="B9" s="700" t="s">
        <v>673</v>
      </c>
    </row>
    <row r="10" ht="15.75" customHeight="1">
      <c r="A10" s="1640" t="s">
        <v>743</v>
      </c>
      <c r="B10" s="700" t="s">
        <v>536</v>
      </c>
    </row>
    <row r="11" ht="15.75" customHeight="1"/>
    <row r="12" ht="15.75" customHeight="1"/>
    <row r="13" ht="15.75" customHeight="1"/>
    <row r="14" ht="15.75" customHeight="1"/>
    <row r="15" ht="15.75" customHeight="1"/>
    <row r="16" ht="15.75" customHeight="1"/>
    <row r="17" ht="15.75" customHeight="1"/>
    <row r="18" ht="15.75" customHeight="1">
      <c r="A18" s="1181" t="s">
        <v>730</v>
      </c>
    </row>
    <row r="19" ht="15.75" customHeight="1">
      <c r="A19" s="1182" t="s">
        <v>731</v>
      </c>
      <c r="B19" s="1183"/>
      <c r="C19" s="1182" t="s">
        <v>510</v>
      </c>
      <c r="D19" s="1182" t="s">
        <v>510</v>
      </c>
      <c r="E19" s="1183"/>
      <c r="F19" s="1182" t="s">
        <v>732</v>
      </c>
      <c r="G19" s="13">
        <f t="shared" ref="G19:G138" si="2">IFERROR(VLOOKUP(B19, $A$1:$B$10, 2, FALSE),1)</f>
        <v>1</v>
      </c>
      <c r="H19" s="224" t="str">
        <f t="shared" ref="H19:I19" si="1">IF(OR(C19=0,C19="SCORE"),"",C19)</f>
        <v/>
      </c>
      <c r="I19" s="13" t="str">
        <f t="shared" si="1"/>
        <v/>
      </c>
      <c r="J19" s="13" t="str">
        <f t="shared" ref="J19:J138" si="4">IFERROR(VLOOKUP(E19, $A$1:$B$10, 2, FALSE),"")</f>
        <v/>
      </c>
      <c r="K19" s="13" t="str">
        <f t="shared" ref="K19:K138" si="5">IF(G19&lt;&gt;1, "Game", "N/A")</f>
        <v>N/A</v>
      </c>
    </row>
    <row r="20" ht="15.75" customHeight="1">
      <c r="A20" s="1189" t="s">
        <v>2003</v>
      </c>
      <c r="B20" s="1180" t="s">
        <v>722</v>
      </c>
      <c r="C20" s="1186">
        <v>199.48</v>
      </c>
      <c r="D20" s="1186">
        <v>174.95</v>
      </c>
      <c r="E20" s="1179" t="s">
        <v>743</v>
      </c>
      <c r="F20" s="1185"/>
      <c r="G20" s="13" t="str">
        <f t="shared" si="2"/>
        <v>DECOUPES</v>
      </c>
      <c r="H20" s="1187">
        <f t="shared" ref="H20:I20" si="3">IF(OR(C20=0,C20="SCORE"),"",C20)</f>
        <v>199.48</v>
      </c>
      <c r="I20" s="1188">
        <f t="shared" si="3"/>
        <v>174.95</v>
      </c>
      <c r="J20" s="13" t="str">
        <f t="shared" si="4"/>
        <v>CHAMPS</v>
      </c>
      <c r="K20" s="13" t="str">
        <f t="shared" si="5"/>
        <v>Game</v>
      </c>
    </row>
    <row r="21" ht="15.75" hidden="1" customHeight="1">
      <c r="A21" s="1189"/>
      <c r="B21" s="1180"/>
      <c r="C21" s="1186"/>
      <c r="D21" s="1186"/>
      <c r="E21" s="1179"/>
      <c r="F21" s="1185" t="s">
        <v>2007</v>
      </c>
      <c r="G21" s="13">
        <f t="shared" si="2"/>
        <v>1</v>
      </c>
      <c r="H21" s="224" t="str">
        <f t="shared" ref="H21:I21" si="6">IF(OR(C21=0,C21="SCORE"),"",C21)</f>
        <v/>
      </c>
      <c r="I21" s="13" t="str">
        <f t="shared" si="6"/>
        <v/>
      </c>
      <c r="J21" s="13" t="str">
        <f t="shared" si="4"/>
        <v/>
      </c>
      <c r="K21" s="13" t="str">
        <f t="shared" si="5"/>
        <v>N/A</v>
      </c>
    </row>
    <row r="22" ht="15.75" customHeight="1">
      <c r="A22" s="1185" t="s">
        <v>2008</v>
      </c>
      <c r="B22" s="1179" t="s">
        <v>726</v>
      </c>
      <c r="C22" s="1186">
        <v>160.44</v>
      </c>
      <c r="D22" s="1186">
        <v>213.9</v>
      </c>
      <c r="E22" s="1179" t="s">
        <v>724</v>
      </c>
      <c r="F22" s="1185" t="s">
        <v>2010</v>
      </c>
      <c r="G22" s="13" t="str">
        <f t="shared" si="2"/>
        <v>POPEYES</v>
      </c>
      <c r="H22" s="1187">
        <f t="shared" ref="H22:I22" si="7">IF(OR(C22=0,C22="SCORE"),"",C22)</f>
        <v>160.44</v>
      </c>
      <c r="I22" s="1188">
        <f t="shared" si="7"/>
        <v>213.9</v>
      </c>
      <c r="J22" s="13" t="str">
        <f t="shared" si="4"/>
        <v>METAMOOKDAWGS</v>
      </c>
      <c r="K22" s="13" t="str">
        <f t="shared" si="5"/>
        <v>Game</v>
      </c>
    </row>
    <row r="23" ht="15.75" customHeight="1">
      <c r="A23" s="1185" t="s">
        <v>2012</v>
      </c>
      <c r="B23" s="1179" t="s">
        <v>727</v>
      </c>
      <c r="C23" s="1186">
        <v>212.35</v>
      </c>
      <c r="D23" s="1186">
        <v>180.67</v>
      </c>
      <c r="E23" s="1179" t="s">
        <v>725</v>
      </c>
      <c r="F23" s="1185" t="s">
        <v>2013</v>
      </c>
      <c r="G23" s="13" t="str">
        <f t="shared" si="2"/>
        <v>GREEN</v>
      </c>
      <c r="H23" s="1187">
        <f t="shared" ref="H23:I23" si="8">IF(OR(C23=0,C23="SCORE"),"",C23)</f>
        <v>212.35</v>
      </c>
      <c r="I23" s="1188">
        <f t="shared" si="8"/>
        <v>180.67</v>
      </c>
      <c r="J23" s="13" t="str">
        <f t="shared" si="4"/>
        <v>YARDIES</v>
      </c>
      <c r="K23" s="13" t="str">
        <f t="shared" si="5"/>
        <v>Game</v>
      </c>
    </row>
    <row r="24" ht="15.75" customHeight="1">
      <c r="A24" s="1185" t="s">
        <v>2015</v>
      </c>
      <c r="B24" s="1179" t="s">
        <v>723</v>
      </c>
      <c r="C24" s="1186">
        <v>207.82</v>
      </c>
      <c r="D24" s="1186">
        <v>200.33</v>
      </c>
      <c r="E24" s="1179" t="s">
        <v>721</v>
      </c>
      <c r="F24" s="1185" t="s">
        <v>2018</v>
      </c>
      <c r="G24" s="13" t="str">
        <f t="shared" si="2"/>
        <v>SAVAGES</v>
      </c>
      <c r="H24" s="1187">
        <f t="shared" ref="H24:I24" si="9">IF(OR(C24=0,C24="SCORE"),"",C24)</f>
        <v>207.82</v>
      </c>
      <c r="I24" s="1188">
        <f t="shared" si="9"/>
        <v>200.33</v>
      </c>
      <c r="J24" s="13" t="str">
        <f t="shared" si="4"/>
        <v>MUTTS</v>
      </c>
      <c r="K24" s="13" t="str">
        <f t="shared" si="5"/>
        <v>Game</v>
      </c>
    </row>
    <row r="25" ht="19.5" hidden="1" customHeight="1">
      <c r="A25" s="1181" t="s">
        <v>741</v>
      </c>
      <c r="G25" s="13">
        <f t="shared" si="2"/>
        <v>1</v>
      </c>
      <c r="H25" s="224" t="str">
        <f t="shared" ref="H25:I25" si="10">IF(OR(C25=0,C25="SCORE"),"",C25)</f>
        <v/>
      </c>
      <c r="I25" s="13" t="str">
        <f t="shared" si="10"/>
        <v/>
      </c>
      <c r="J25" s="13" t="str">
        <f t="shared" si="4"/>
        <v/>
      </c>
      <c r="K25" s="13" t="str">
        <f t="shared" si="5"/>
        <v>N/A</v>
      </c>
    </row>
    <row r="26" ht="15.75" hidden="1" customHeight="1">
      <c r="A26" s="1182" t="s">
        <v>731</v>
      </c>
      <c r="B26" s="1183"/>
      <c r="C26" s="1182" t="s">
        <v>510</v>
      </c>
      <c r="D26" s="1182" t="s">
        <v>510</v>
      </c>
      <c r="E26" s="1183"/>
      <c r="F26" s="1182" t="s">
        <v>732</v>
      </c>
      <c r="G26" s="13">
        <f t="shared" si="2"/>
        <v>1</v>
      </c>
      <c r="H26" s="224" t="str">
        <f t="shared" ref="H26:I26" si="11">IF(OR(C26=0,C26="SCORE"),"",C26)</f>
        <v/>
      </c>
      <c r="I26" s="13" t="str">
        <f t="shared" si="11"/>
        <v/>
      </c>
      <c r="J26" s="13" t="str">
        <f t="shared" si="4"/>
        <v/>
      </c>
      <c r="K26" s="13" t="str">
        <f t="shared" si="5"/>
        <v>N/A</v>
      </c>
    </row>
    <row r="27" ht="15.75" customHeight="1">
      <c r="A27" s="1189" t="s">
        <v>2021</v>
      </c>
      <c r="B27" s="1180" t="s">
        <v>722</v>
      </c>
      <c r="C27" s="1186">
        <v>193.26</v>
      </c>
      <c r="D27" s="1186">
        <v>198.08</v>
      </c>
      <c r="E27" s="1179" t="s">
        <v>726</v>
      </c>
      <c r="F27" s="1185" t="s">
        <v>2022</v>
      </c>
      <c r="G27" s="13" t="str">
        <f t="shared" si="2"/>
        <v>DECOUPES</v>
      </c>
      <c r="H27" s="1187">
        <f t="shared" ref="H27:I27" si="12">IF(OR(C27=0,C27="SCORE"),"",C27)</f>
        <v>193.26</v>
      </c>
      <c r="I27" s="1188">
        <f t="shared" si="12"/>
        <v>198.08</v>
      </c>
      <c r="J27" s="13" t="str">
        <f t="shared" si="4"/>
        <v>POPEYES</v>
      </c>
      <c r="K27" s="13" t="str">
        <f t="shared" si="5"/>
        <v>Game</v>
      </c>
    </row>
    <row r="28" ht="15.75" customHeight="1">
      <c r="A28" s="1185"/>
      <c r="B28" s="1179" t="s">
        <v>743</v>
      </c>
      <c r="C28" s="1186">
        <v>181.79</v>
      </c>
      <c r="D28" s="1186">
        <v>141.89</v>
      </c>
      <c r="E28" s="1179" t="s">
        <v>724</v>
      </c>
      <c r="F28" s="1185" t="s">
        <v>2025</v>
      </c>
      <c r="G28" s="13" t="str">
        <f t="shared" si="2"/>
        <v>CHAMPS</v>
      </c>
      <c r="H28" s="1187">
        <f t="shared" ref="H28:I28" si="13">IF(OR(C28=0,C28="SCORE"),"",C28)</f>
        <v>181.79</v>
      </c>
      <c r="I28" s="1188">
        <f t="shared" si="13"/>
        <v>141.89</v>
      </c>
      <c r="J28" s="13" t="str">
        <f t="shared" si="4"/>
        <v>METAMOOKDAWGS</v>
      </c>
      <c r="K28" s="13" t="str">
        <f t="shared" si="5"/>
        <v>Game</v>
      </c>
    </row>
    <row r="29" ht="15.75" hidden="1" customHeight="1">
      <c r="A29" s="1185" t="s">
        <v>2027</v>
      </c>
      <c r="B29" s="1179"/>
      <c r="C29" s="1186"/>
      <c r="D29" s="1186"/>
      <c r="E29" s="1179"/>
      <c r="F29" s="1185"/>
      <c r="G29" s="13">
        <f t="shared" si="2"/>
        <v>1</v>
      </c>
      <c r="H29" s="224" t="str">
        <f t="shared" ref="H29:I29" si="14">IF(OR(C29=0,C29="SCORE"),"",C29)</f>
        <v/>
      </c>
      <c r="I29" s="13" t="str">
        <f t="shared" si="14"/>
        <v/>
      </c>
      <c r="J29" s="13" t="str">
        <f t="shared" si="4"/>
        <v/>
      </c>
      <c r="K29" s="13" t="str">
        <f t="shared" si="5"/>
        <v>N/A</v>
      </c>
    </row>
    <row r="30" ht="15.75" customHeight="1">
      <c r="A30" s="1185" t="s">
        <v>2028</v>
      </c>
      <c r="B30" s="1179" t="s">
        <v>727</v>
      </c>
      <c r="C30" s="1186">
        <v>228.64</v>
      </c>
      <c r="D30" s="1186">
        <v>179.53</v>
      </c>
      <c r="E30" s="1179" t="s">
        <v>723</v>
      </c>
      <c r="F30" s="1185" t="s">
        <v>2029</v>
      </c>
      <c r="G30" s="13" t="str">
        <f t="shared" si="2"/>
        <v>GREEN</v>
      </c>
      <c r="H30" s="1187">
        <f t="shared" ref="H30:I30" si="15">IF(OR(C30=0,C30="SCORE"),"",C30)</f>
        <v>228.64</v>
      </c>
      <c r="I30" s="1188">
        <f t="shared" si="15"/>
        <v>179.53</v>
      </c>
      <c r="J30" s="13" t="str">
        <f t="shared" si="4"/>
        <v>SAVAGES</v>
      </c>
      <c r="K30" s="13" t="str">
        <f t="shared" si="5"/>
        <v>Game</v>
      </c>
    </row>
    <row r="31" ht="15.75" customHeight="1">
      <c r="A31" s="1185" t="s">
        <v>2031</v>
      </c>
      <c r="B31" s="1179" t="s">
        <v>725</v>
      </c>
      <c r="C31" s="1186">
        <v>232.58</v>
      </c>
      <c r="D31" s="1186">
        <v>140.26</v>
      </c>
      <c r="E31" s="1179" t="s">
        <v>721</v>
      </c>
      <c r="F31" s="1185" t="s">
        <v>2033</v>
      </c>
      <c r="G31" s="13" t="str">
        <f t="shared" si="2"/>
        <v>YARDIES</v>
      </c>
      <c r="H31" s="1187">
        <f t="shared" ref="H31:I31" si="16">IF(OR(C31=0,C31="SCORE"),"",C31)</f>
        <v>232.58</v>
      </c>
      <c r="I31" s="1188">
        <f t="shared" si="16"/>
        <v>140.26</v>
      </c>
      <c r="J31" s="13" t="str">
        <f t="shared" si="4"/>
        <v>MUTTS</v>
      </c>
      <c r="K31" s="13" t="str">
        <f t="shared" si="5"/>
        <v>Game</v>
      </c>
    </row>
    <row r="32" ht="19.5" hidden="1" customHeight="1">
      <c r="A32" s="1181" t="s">
        <v>757</v>
      </c>
      <c r="G32" s="13">
        <f t="shared" si="2"/>
        <v>1</v>
      </c>
      <c r="H32" s="224" t="str">
        <f t="shared" ref="H32:I32" si="17">IF(OR(C32=0,C32="SCORE"),"",C32)</f>
        <v/>
      </c>
      <c r="I32" s="13" t="str">
        <f t="shared" si="17"/>
        <v/>
      </c>
      <c r="J32" s="13" t="str">
        <f t="shared" si="4"/>
        <v/>
      </c>
      <c r="K32" s="13" t="str">
        <f t="shared" si="5"/>
        <v>N/A</v>
      </c>
    </row>
    <row r="33" ht="15.75" hidden="1" customHeight="1">
      <c r="A33" s="1182" t="s">
        <v>731</v>
      </c>
      <c r="B33" s="1183"/>
      <c r="C33" s="1182" t="s">
        <v>510</v>
      </c>
      <c r="D33" s="1182" t="s">
        <v>510</v>
      </c>
      <c r="E33" s="1183"/>
      <c r="F33" s="1182" t="s">
        <v>732</v>
      </c>
      <c r="G33" s="13">
        <f t="shared" si="2"/>
        <v>1</v>
      </c>
      <c r="H33" s="224" t="str">
        <f t="shared" ref="H33:I33" si="18">IF(OR(C33=0,C33="SCORE"),"",C33)</f>
        <v/>
      </c>
      <c r="I33" s="13" t="str">
        <f t="shared" si="18"/>
        <v/>
      </c>
      <c r="J33" s="13" t="str">
        <f t="shared" si="4"/>
        <v/>
      </c>
      <c r="K33" s="13" t="str">
        <f t="shared" si="5"/>
        <v>N/A</v>
      </c>
    </row>
    <row r="34" ht="15.75" customHeight="1">
      <c r="A34" s="1189" t="s">
        <v>2036</v>
      </c>
      <c r="B34" s="1180" t="s">
        <v>722</v>
      </c>
      <c r="C34" s="1186">
        <v>154.61</v>
      </c>
      <c r="D34" s="1186">
        <v>157.14</v>
      </c>
      <c r="E34" s="1179" t="s">
        <v>725</v>
      </c>
      <c r="F34" s="1185" t="s">
        <v>2038</v>
      </c>
      <c r="G34" s="13" t="str">
        <f t="shared" si="2"/>
        <v>DECOUPES</v>
      </c>
      <c r="H34" s="1187">
        <f t="shared" ref="H34:I34" si="19">IF(OR(C34=0,C34="SCORE"),"",C34)</f>
        <v>154.61</v>
      </c>
      <c r="I34" s="1188">
        <f t="shared" si="19"/>
        <v>157.14</v>
      </c>
      <c r="J34" s="13" t="str">
        <f t="shared" si="4"/>
        <v>YARDIES</v>
      </c>
      <c r="K34" s="13" t="str">
        <f t="shared" si="5"/>
        <v>Game</v>
      </c>
    </row>
    <row r="35" ht="15.75" customHeight="1">
      <c r="A35" s="1185" t="s">
        <v>2040</v>
      </c>
      <c r="B35" s="1179" t="s">
        <v>726</v>
      </c>
      <c r="C35" s="1186">
        <v>165.43</v>
      </c>
      <c r="D35" s="1186">
        <v>144.72</v>
      </c>
      <c r="E35" s="1179" t="s">
        <v>721</v>
      </c>
      <c r="F35" s="1185" t="s">
        <v>2041</v>
      </c>
      <c r="G35" s="13" t="str">
        <f t="shared" si="2"/>
        <v>POPEYES</v>
      </c>
      <c r="H35" s="1187">
        <f t="shared" ref="H35:I35" si="20">IF(OR(C35=0,C35="SCORE"),"",C35)</f>
        <v>165.43</v>
      </c>
      <c r="I35" s="1188">
        <f t="shared" si="20"/>
        <v>144.72</v>
      </c>
      <c r="J35" s="13" t="str">
        <f t="shared" si="4"/>
        <v>MUTTS</v>
      </c>
      <c r="K35" s="13" t="str">
        <f t="shared" si="5"/>
        <v>Game</v>
      </c>
    </row>
    <row r="36" ht="15.75" customHeight="1">
      <c r="A36" s="1185" t="s">
        <v>2043</v>
      </c>
      <c r="B36" s="1179" t="s">
        <v>727</v>
      </c>
      <c r="C36" s="1186">
        <v>197.8</v>
      </c>
      <c r="D36" s="1186">
        <v>199.68</v>
      </c>
      <c r="E36" s="1179" t="s">
        <v>743</v>
      </c>
      <c r="F36" s="1185"/>
      <c r="G36" s="13" t="str">
        <f t="shared" si="2"/>
        <v>GREEN</v>
      </c>
      <c r="H36" s="1187">
        <f t="shared" ref="H36:I36" si="21">IF(OR(C36=0,C36="SCORE"),"",C36)</f>
        <v>197.8</v>
      </c>
      <c r="I36" s="1188">
        <f t="shared" si="21"/>
        <v>199.68</v>
      </c>
      <c r="J36" s="13" t="str">
        <f t="shared" si="4"/>
        <v>CHAMPS</v>
      </c>
      <c r="K36" s="13" t="str">
        <f t="shared" si="5"/>
        <v>Game</v>
      </c>
    </row>
    <row r="37" ht="15.75" hidden="1" customHeight="1">
      <c r="A37" s="1185"/>
      <c r="B37" s="1179"/>
      <c r="C37" s="1186"/>
      <c r="D37" s="1186"/>
      <c r="E37" s="1179"/>
      <c r="F37" s="1185" t="s">
        <v>2046</v>
      </c>
      <c r="G37" s="13">
        <f t="shared" si="2"/>
        <v>1</v>
      </c>
      <c r="H37" s="224" t="str">
        <f t="shared" ref="H37:I37" si="22">IF(OR(C37=0,C37="SCORE"),"",C37)</f>
        <v/>
      </c>
      <c r="I37" s="13" t="str">
        <f t="shared" si="22"/>
        <v/>
      </c>
      <c r="J37" s="13" t="str">
        <f t="shared" si="4"/>
        <v/>
      </c>
      <c r="K37" s="13" t="str">
        <f t="shared" si="5"/>
        <v>N/A</v>
      </c>
    </row>
    <row r="38" ht="15.75" customHeight="1">
      <c r="A38" s="1185" t="s">
        <v>2048</v>
      </c>
      <c r="B38" s="1179" t="s">
        <v>723</v>
      </c>
      <c r="C38" s="1186">
        <v>145.69</v>
      </c>
      <c r="D38" s="1186">
        <v>186.57</v>
      </c>
      <c r="E38" s="1179" t="s">
        <v>724</v>
      </c>
      <c r="F38" s="1185" t="s">
        <v>2050</v>
      </c>
      <c r="G38" s="13" t="str">
        <f t="shared" si="2"/>
        <v>SAVAGES</v>
      </c>
      <c r="H38" s="1187">
        <f t="shared" ref="H38:I38" si="23">IF(OR(C38=0,C38="SCORE"),"",C38)</f>
        <v>145.69</v>
      </c>
      <c r="I38" s="1188">
        <f t="shared" si="23"/>
        <v>186.57</v>
      </c>
      <c r="J38" s="13" t="str">
        <f t="shared" si="4"/>
        <v>METAMOOKDAWGS</v>
      </c>
      <c r="K38" s="13" t="str">
        <f t="shared" si="5"/>
        <v>Game</v>
      </c>
    </row>
    <row r="39" ht="19.5" hidden="1" customHeight="1">
      <c r="A39" s="1181" t="s">
        <v>775</v>
      </c>
      <c r="G39" s="13">
        <f t="shared" si="2"/>
        <v>1</v>
      </c>
      <c r="H39" s="224" t="str">
        <f t="shared" ref="H39:I39" si="24">IF(OR(C39=0,C39="SCORE"),"",C39)</f>
        <v/>
      </c>
      <c r="I39" s="13" t="str">
        <f t="shared" si="24"/>
        <v/>
      </c>
      <c r="J39" s="13" t="str">
        <f t="shared" si="4"/>
        <v/>
      </c>
      <c r="K39" s="13" t="str">
        <f t="shared" si="5"/>
        <v>N/A</v>
      </c>
    </row>
    <row r="40" ht="15.75" hidden="1" customHeight="1">
      <c r="A40" s="1182" t="s">
        <v>731</v>
      </c>
      <c r="B40" s="1183"/>
      <c r="C40" s="1182" t="s">
        <v>510</v>
      </c>
      <c r="D40" s="1182" t="s">
        <v>510</v>
      </c>
      <c r="E40" s="1183"/>
      <c r="F40" s="1182" t="s">
        <v>732</v>
      </c>
      <c r="G40" s="13">
        <f t="shared" si="2"/>
        <v>1</v>
      </c>
      <c r="H40" s="224" t="str">
        <f t="shared" ref="H40:I40" si="25">IF(OR(C40=0,C40="SCORE"),"",C40)</f>
        <v/>
      </c>
      <c r="I40" s="13" t="str">
        <f t="shared" si="25"/>
        <v/>
      </c>
      <c r="J40" s="13" t="str">
        <f t="shared" si="4"/>
        <v/>
      </c>
      <c r="K40" s="13" t="str">
        <f t="shared" si="5"/>
        <v>N/A</v>
      </c>
    </row>
    <row r="41" ht="15.75" customHeight="1">
      <c r="A41" s="1189" t="s">
        <v>2054</v>
      </c>
      <c r="B41" s="1180" t="s">
        <v>722</v>
      </c>
      <c r="C41" s="1186">
        <v>196.18</v>
      </c>
      <c r="D41" s="1186">
        <v>202.72</v>
      </c>
      <c r="E41" s="1179" t="s">
        <v>727</v>
      </c>
      <c r="F41" s="1185" t="s">
        <v>2057</v>
      </c>
      <c r="G41" s="13" t="str">
        <f t="shared" si="2"/>
        <v>DECOUPES</v>
      </c>
      <c r="H41" s="1187">
        <f t="shared" ref="H41:I41" si="26">IF(OR(C41=0,C41="SCORE"),"",C41)</f>
        <v>196.18</v>
      </c>
      <c r="I41" s="1188">
        <f t="shared" si="26"/>
        <v>202.72</v>
      </c>
      <c r="J41" s="13" t="str">
        <f t="shared" si="4"/>
        <v>GREEN</v>
      </c>
      <c r="K41" s="13" t="str">
        <f t="shared" si="5"/>
        <v>Game</v>
      </c>
    </row>
    <row r="42" ht="15.75" customHeight="1">
      <c r="A42" s="1185"/>
      <c r="B42" s="1179" t="s">
        <v>743</v>
      </c>
      <c r="C42" s="1186">
        <v>197.4</v>
      </c>
      <c r="D42" s="1186">
        <v>166.85</v>
      </c>
      <c r="E42" s="1179" t="s">
        <v>725</v>
      </c>
      <c r="F42" s="1185" t="s">
        <v>2059</v>
      </c>
      <c r="G42" s="13" t="str">
        <f t="shared" si="2"/>
        <v>CHAMPS</v>
      </c>
      <c r="H42" s="1187">
        <f t="shared" ref="H42:I42" si="27">IF(OR(C42=0,C42="SCORE"),"",C42)</f>
        <v>197.4</v>
      </c>
      <c r="I42" s="1188">
        <f t="shared" si="27"/>
        <v>166.85</v>
      </c>
      <c r="J42" s="13" t="str">
        <f t="shared" si="4"/>
        <v>YARDIES</v>
      </c>
      <c r="K42" s="13" t="str">
        <f t="shared" si="5"/>
        <v>Game</v>
      </c>
    </row>
    <row r="43" ht="15.75" hidden="1" customHeight="1">
      <c r="A43" s="1185" t="s">
        <v>2061</v>
      </c>
      <c r="B43" s="1179"/>
      <c r="C43" s="1186"/>
      <c r="D43" s="1186"/>
      <c r="E43" s="1179"/>
      <c r="F43" s="1185"/>
      <c r="G43" s="13">
        <f t="shared" si="2"/>
        <v>1</v>
      </c>
      <c r="H43" s="224" t="str">
        <f t="shared" ref="H43:I43" si="28">IF(OR(C43=0,C43="SCORE"),"",C43)</f>
        <v/>
      </c>
      <c r="I43" s="13" t="str">
        <f t="shared" si="28"/>
        <v/>
      </c>
      <c r="J43" s="13" t="str">
        <f t="shared" si="4"/>
        <v/>
      </c>
      <c r="K43" s="13" t="str">
        <f t="shared" si="5"/>
        <v>N/A</v>
      </c>
    </row>
    <row r="44" ht="15.75" customHeight="1">
      <c r="A44" s="1185" t="s">
        <v>2063</v>
      </c>
      <c r="B44" s="1179" t="s">
        <v>726</v>
      </c>
      <c r="C44" s="1186">
        <v>201.36</v>
      </c>
      <c r="D44" s="1186">
        <v>193.6</v>
      </c>
      <c r="E44" s="1179" t="s">
        <v>723</v>
      </c>
      <c r="F44" s="1185" t="s">
        <v>2064</v>
      </c>
      <c r="G44" s="13" t="str">
        <f t="shared" si="2"/>
        <v>POPEYES</v>
      </c>
      <c r="H44" s="1187">
        <f t="shared" ref="H44:I44" si="29">IF(OR(C44=0,C44="SCORE"),"",C44)</f>
        <v>201.36</v>
      </c>
      <c r="I44" s="1188">
        <f t="shared" si="29"/>
        <v>193.6</v>
      </c>
      <c r="J44" s="13" t="str">
        <f t="shared" si="4"/>
        <v>SAVAGES</v>
      </c>
      <c r="K44" s="13" t="str">
        <f t="shared" si="5"/>
        <v>Game</v>
      </c>
    </row>
    <row r="45" ht="15.75" customHeight="1">
      <c r="A45" s="1185" t="s">
        <v>2066</v>
      </c>
      <c r="B45" s="1179" t="s">
        <v>724</v>
      </c>
      <c r="C45" s="1186">
        <v>134.55</v>
      </c>
      <c r="D45" s="1186">
        <v>218.82</v>
      </c>
      <c r="E45" s="1179" t="s">
        <v>721</v>
      </c>
      <c r="F45" s="1185" t="s">
        <v>2069</v>
      </c>
      <c r="G45" s="13" t="str">
        <f t="shared" si="2"/>
        <v>METAMOOKDAWGS</v>
      </c>
      <c r="H45" s="1187">
        <f t="shared" ref="H45:I45" si="30">IF(OR(C45=0,C45="SCORE"),"",C45)</f>
        <v>134.55</v>
      </c>
      <c r="I45" s="1188">
        <f t="shared" si="30"/>
        <v>218.82</v>
      </c>
      <c r="J45" s="13" t="str">
        <f t="shared" si="4"/>
        <v>MUTTS</v>
      </c>
      <c r="K45" s="13" t="str">
        <f t="shared" si="5"/>
        <v>Game</v>
      </c>
    </row>
    <row r="46" ht="19.5" hidden="1" customHeight="1">
      <c r="A46" s="1181" t="s">
        <v>792</v>
      </c>
      <c r="G46" s="13">
        <f t="shared" si="2"/>
        <v>1</v>
      </c>
      <c r="H46" s="224" t="str">
        <f t="shared" ref="H46:I46" si="31">IF(OR(C46=0,C46="SCORE"),"",C46)</f>
        <v/>
      </c>
      <c r="I46" s="13" t="str">
        <f t="shared" si="31"/>
        <v/>
      </c>
      <c r="J46" s="13" t="str">
        <f t="shared" si="4"/>
        <v/>
      </c>
      <c r="K46" s="13" t="str">
        <f t="shared" si="5"/>
        <v>N/A</v>
      </c>
    </row>
    <row r="47" ht="15.75" hidden="1" customHeight="1">
      <c r="A47" s="1182" t="s">
        <v>731</v>
      </c>
      <c r="B47" s="1183"/>
      <c r="C47" s="1182" t="s">
        <v>510</v>
      </c>
      <c r="D47" s="1182" t="s">
        <v>510</v>
      </c>
      <c r="E47" s="1183"/>
      <c r="F47" s="1182" t="s">
        <v>732</v>
      </c>
      <c r="G47" s="13">
        <f t="shared" si="2"/>
        <v>1</v>
      </c>
      <c r="H47" s="224" t="str">
        <f t="shared" ref="H47:I47" si="32">IF(OR(C47=0,C47="SCORE"),"",C47)</f>
        <v/>
      </c>
      <c r="I47" s="13" t="str">
        <f t="shared" si="32"/>
        <v/>
      </c>
      <c r="J47" s="13" t="str">
        <f t="shared" si="4"/>
        <v/>
      </c>
      <c r="K47" s="13" t="str">
        <f t="shared" si="5"/>
        <v>N/A</v>
      </c>
    </row>
    <row r="48" ht="15.75" customHeight="1">
      <c r="A48" s="1189" t="s">
        <v>2072</v>
      </c>
      <c r="B48" s="1180" t="s">
        <v>722</v>
      </c>
      <c r="C48" s="1186">
        <v>172.8</v>
      </c>
      <c r="D48" s="1186">
        <v>190.44</v>
      </c>
      <c r="E48" s="1179" t="s">
        <v>723</v>
      </c>
      <c r="F48" s="1185" t="s">
        <v>2074</v>
      </c>
      <c r="G48" s="13" t="str">
        <f t="shared" si="2"/>
        <v>DECOUPES</v>
      </c>
      <c r="H48" s="1187">
        <f t="shared" ref="H48:I48" si="33">IF(OR(C48=0,C48="SCORE"),"",C48)</f>
        <v>172.8</v>
      </c>
      <c r="I48" s="1188">
        <f t="shared" si="33"/>
        <v>190.44</v>
      </c>
      <c r="J48" s="13" t="str">
        <f t="shared" si="4"/>
        <v>SAVAGES</v>
      </c>
      <c r="K48" s="13" t="str">
        <f t="shared" si="5"/>
        <v>Game</v>
      </c>
    </row>
    <row r="49" ht="15.75" customHeight="1">
      <c r="A49" s="1185"/>
      <c r="B49" s="1179" t="s">
        <v>743</v>
      </c>
      <c r="C49" s="1186">
        <v>169.35</v>
      </c>
      <c r="D49" s="1186">
        <v>184.82</v>
      </c>
      <c r="E49" s="1179" t="s">
        <v>721</v>
      </c>
      <c r="F49" s="1185" t="s">
        <v>2079</v>
      </c>
      <c r="G49" s="13" t="str">
        <f t="shared" si="2"/>
        <v>CHAMPS</v>
      </c>
      <c r="H49" s="1187">
        <f t="shared" ref="H49:I49" si="34">IF(OR(C49=0,C49="SCORE"),"",C49)</f>
        <v>169.35</v>
      </c>
      <c r="I49" s="1188">
        <f t="shared" si="34"/>
        <v>184.82</v>
      </c>
      <c r="J49" s="13" t="str">
        <f t="shared" si="4"/>
        <v>MUTTS</v>
      </c>
      <c r="K49" s="13" t="str">
        <f t="shared" si="5"/>
        <v>Game</v>
      </c>
    </row>
    <row r="50" ht="15.75" hidden="1" customHeight="1">
      <c r="A50" s="1185" t="s">
        <v>2080</v>
      </c>
      <c r="B50" s="1179"/>
      <c r="C50" s="1186"/>
      <c r="D50" s="1186"/>
      <c r="E50" s="1179"/>
      <c r="F50" s="1185"/>
      <c r="G50" s="13">
        <f t="shared" si="2"/>
        <v>1</v>
      </c>
      <c r="H50" s="224" t="str">
        <f t="shared" ref="H50:I50" si="35">IF(OR(C50=0,C50="SCORE"),"",C50)</f>
        <v/>
      </c>
      <c r="I50" s="13" t="str">
        <f t="shared" si="35"/>
        <v/>
      </c>
      <c r="J50" s="13" t="str">
        <f t="shared" si="4"/>
        <v/>
      </c>
      <c r="K50" s="13" t="str">
        <f t="shared" si="5"/>
        <v>N/A</v>
      </c>
    </row>
    <row r="51" ht="15.75" customHeight="1">
      <c r="A51" s="1185" t="s">
        <v>2081</v>
      </c>
      <c r="B51" s="1179" t="s">
        <v>726</v>
      </c>
      <c r="C51" s="1186">
        <v>183.45</v>
      </c>
      <c r="D51" s="1186">
        <v>217.62</v>
      </c>
      <c r="E51" s="1179" t="s">
        <v>727</v>
      </c>
      <c r="F51" s="1185" t="s">
        <v>2082</v>
      </c>
      <c r="G51" s="13" t="str">
        <f t="shared" si="2"/>
        <v>POPEYES</v>
      </c>
      <c r="H51" s="1187">
        <f t="shared" ref="H51:I51" si="36">IF(OR(C51=0,C51="SCORE"),"",C51)</f>
        <v>183.45</v>
      </c>
      <c r="I51" s="1188">
        <f t="shared" si="36"/>
        <v>217.62</v>
      </c>
      <c r="J51" s="13" t="str">
        <f t="shared" si="4"/>
        <v>GREEN</v>
      </c>
      <c r="K51" s="13" t="str">
        <f t="shared" si="5"/>
        <v>Game</v>
      </c>
    </row>
    <row r="52" ht="15.75" customHeight="1">
      <c r="A52" s="1185" t="s">
        <v>2083</v>
      </c>
      <c r="B52" s="1179" t="s">
        <v>724</v>
      </c>
      <c r="C52" s="1186">
        <v>166.56</v>
      </c>
      <c r="D52" s="1186">
        <v>220.68</v>
      </c>
      <c r="E52" s="1179" t="s">
        <v>725</v>
      </c>
      <c r="F52" s="1185" t="s">
        <v>2084</v>
      </c>
      <c r="G52" s="13" t="str">
        <f t="shared" si="2"/>
        <v>METAMOOKDAWGS</v>
      </c>
      <c r="H52" s="1187">
        <f t="shared" ref="H52:I52" si="37">IF(OR(C52=0,C52="SCORE"),"",C52)</f>
        <v>166.56</v>
      </c>
      <c r="I52" s="1188">
        <f t="shared" si="37"/>
        <v>220.68</v>
      </c>
      <c r="J52" s="13" t="str">
        <f t="shared" si="4"/>
        <v>YARDIES</v>
      </c>
      <c r="K52" s="13" t="str">
        <f t="shared" si="5"/>
        <v>Game</v>
      </c>
    </row>
    <row r="53" ht="19.5" hidden="1" customHeight="1">
      <c r="A53" s="1181" t="s">
        <v>812</v>
      </c>
      <c r="G53" s="13">
        <f t="shared" si="2"/>
        <v>1</v>
      </c>
      <c r="H53" s="224" t="str">
        <f t="shared" ref="H53:I53" si="38">IF(OR(C53=0,C53="SCORE"),"",C53)</f>
        <v/>
      </c>
      <c r="I53" s="13" t="str">
        <f t="shared" si="38"/>
        <v/>
      </c>
      <c r="J53" s="13" t="str">
        <f t="shared" si="4"/>
        <v/>
      </c>
      <c r="K53" s="13" t="str">
        <f t="shared" si="5"/>
        <v>N/A</v>
      </c>
    </row>
    <row r="54" ht="15.75" hidden="1" customHeight="1">
      <c r="A54" s="1182" t="s">
        <v>731</v>
      </c>
      <c r="B54" s="1183"/>
      <c r="C54" s="1182" t="s">
        <v>510</v>
      </c>
      <c r="D54" s="1182" t="s">
        <v>510</v>
      </c>
      <c r="E54" s="1183"/>
      <c r="F54" s="1182" t="s">
        <v>732</v>
      </c>
      <c r="G54" s="13">
        <f t="shared" si="2"/>
        <v>1</v>
      </c>
      <c r="H54" s="224" t="str">
        <f t="shared" ref="H54:I54" si="39">IF(OR(C54=0,C54="SCORE"),"",C54)</f>
        <v/>
      </c>
      <c r="I54" s="13" t="str">
        <f t="shared" si="39"/>
        <v/>
      </c>
      <c r="J54" s="13" t="str">
        <f t="shared" si="4"/>
        <v/>
      </c>
      <c r="K54" s="13" t="str">
        <f t="shared" si="5"/>
        <v>N/A</v>
      </c>
    </row>
    <row r="55" ht="15.75" customHeight="1">
      <c r="A55" s="1189" t="s">
        <v>2085</v>
      </c>
      <c r="B55" s="1180" t="s">
        <v>722</v>
      </c>
      <c r="C55" s="1186">
        <v>208.38</v>
      </c>
      <c r="D55" s="1186">
        <v>139.3</v>
      </c>
      <c r="E55" s="1179" t="s">
        <v>721</v>
      </c>
      <c r="F55" s="1185" t="s">
        <v>2086</v>
      </c>
      <c r="G55" s="13" t="str">
        <f t="shared" si="2"/>
        <v>DECOUPES</v>
      </c>
      <c r="H55" s="1187">
        <f t="shared" ref="H55:I55" si="40">IF(OR(C55=0,C55="SCORE"),"",C55)</f>
        <v>208.38</v>
      </c>
      <c r="I55" s="1188">
        <f t="shared" si="40"/>
        <v>139.3</v>
      </c>
      <c r="J55" s="13" t="str">
        <f t="shared" si="4"/>
        <v>MUTTS</v>
      </c>
      <c r="K55" s="13" t="str">
        <f t="shared" si="5"/>
        <v>Game</v>
      </c>
    </row>
    <row r="56" ht="15.75" customHeight="1">
      <c r="A56" s="1185" t="s">
        <v>2087</v>
      </c>
      <c r="B56" s="1179" t="s">
        <v>726</v>
      </c>
      <c r="C56" s="1186">
        <v>155.86</v>
      </c>
      <c r="D56" s="1186">
        <v>165.81</v>
      </c>
      <c r="E56" s="1179" t="s">
        <v>743</v>
      </c>
      <c r="F56" s="1185"/>
      <c r="G56" s="13" t="str">
        <f t="shared" si="2"/>
        <v>POPEYES</v>
      </c>
      <c r="H56" s="1187">
        <f t="shared" ref="H56:I56" si="41">IF(OR(C56=0,C56="SCORE"),"",C56)</f>
        <v>155.86</v>
      </c>
      <c r="I56" s="1188">
        <f t="shared" si="41"/>
        <v>165.81</v>
      </c>
      <c r="J56" s="13" t="str">
        <f t="shared" si="4"/>
        <v>CHAMPS</v>
      </c>
      <c r="K56" s="13" t="str">
        <f t="shared" si="5"/>
        <v>Game</v>
      </c>
    </row>
    <row r="57" ht="15.75" hidden="1" customHeight="1">
      <c r="A57" s="1185"/>
      <c r="B57" s="1179"/>
      <c r="C57" s="1186"/>
      <c r="D57" s="1186"/>
      <c r="E57" s="1179"/>
      <c r="F57" s="1185" t="s">
        <v>2088</v>
      </c>
      <c r="G57" s="13">
        <f t="shared" si="2"/>
        <v>1</v>
      </c>
      <c r="H57" s="224" t="str">
        <f t="shared" ref="H57:I57" si="42">IF(OR(C57=0,C57="SCORE"),"",C57)</f>
        <v/>
      </c>
      <c r="I57" s="13" t="str">
        <f t="shared" si="42"/>
        <v/>
      </c>
      <c r="J57" s="13" t="str">
        <f t="shared" si="4"/>
        <v/>
      </c>
      <c r="K57" s="13" t="str">
        <f t="shared" si="5"/>
        <v>N/A</v>
      </c>
    </row>
    <row r="58" ht="15.75" customHeight="1">
      <c r="A58" s="1185" t="s">
        <v>2089</v>
      </c>
      <c r="B58" s="1179" t="s">
        <v>727</v>
      </c>
      <c r="C58" s="1186">
        <v>188.34</v>
      </c>
      <c r="D58" s="1186">
        <v>132.72</v>
      </c>
      <c r="E58" s="1179" t="s">
        <v>724</v>
      </c>
      <c r="F58" s="1185" t="s">
        <v>2090</v>
      </c>
      <c r="G58" s="13" t="str">
        <f t="shared" si="2"/>
        <v>GREEN</v>
      </c>
      <c r="H58" s="1187">
        <f t="shared" ref="H58:I58" si="43">IF(OR(C58=0,C58="SCORE"),"",C58)</f>
        <v>188.34</v>
      </c>
      <c r="I58" s="1188">
        <f t="shared" si="43"/>
        <v>132.72</v>
      </c>
      <c r="J58" s="13" t="str">
        <f t="shared" si="4"/>
        <v>METAMOOKDAWGS</v>
      </c>
      <c r="K58" s="13" t="str">
        <f t="shared" si="5"/>
        <v>Game</v>
      </c>
    </row>
    <row r="59" ht="15.75" customHeight="1">
      <c r="A59" s="1185" t="s">
        <v>2091</v>
      </c>
      <c r="B59" s="1179" t="s">
        <v>723</v>
      </c>
      <c r="C59" s="1186">
        <v>116.36</v>
      </c>
      <c r="D59" s="1186">
        <v>158.05</v>
      </c>
      <c r="E59" s="1179" t="s">
        <v>725</v>
      </c>
      <c r="F59" s="1185" t="s">
        <v>2092</v>
      </c>
      <c r="G59" s="13" t="str">
        <f t="shared" si="2"/>
        <v>SAVAGES</v>
      </c>
      <c r="H59" s="1187">
        <f t="shared" ref="H59:I59" si="44">IF(OR(C59=0,C59="SCORE"),"",C59)</f>
        <v>116.36</v>
      </c>
      <c r="I59" s="1188">
        <f t="shared" si="44"/>
        <v>158.05</v>
      </c>
      <c r="J59" s="13" t="str">
        <f t="shared" si="4"/>
        <v>YARDIES</v>
      </c>
      <c r="K59" s="13" t="str">
        <f t="shared" si="5"/>
        <v>Game</v>
      </c>
    </row>
    <row r="60" ht="19.5" hidden="1" customHeight="1">
      <c r="A60" s="1181" t="s">
        <v>830</v>
      </c>
      <c r="G60" s="13">
        <f t="shared" si="2"/>
        <v>1</v>
      </c>
      <c r="H60" s="224" t="str">
        <f t="shared" ref="H60:I60" si="45">IF(OR(C60=0,C60="SCORE"),"",C60)</f>
        <v/>
      </c>
      <c r="I60" s="13" t="str">
        <f t="shared" si="45"/>
        <v/>
      </c>
      <c r="J60" s="13" t="str">
        <f t="shared" si="4"/>
        <v/>
      </c>
      <c r="K60" s="13" t="str">
        <f t="shared" si="5"/>
        <v>N/A</v>
      </c>
    </row>
    <row r="61" ht="15.75" hidden="1" customHeight="1">
      <c r="A61" s="1182" t="s">
        <v>731</v>
      </c>
      <c r="B61" s="1183"/>
      <c r="C61" s="1182" t="s">
        <v>510</v>
      </c>
      <c r="D61" s="1182" t="s">
        <v>510</v>
      </c>
      <c r="E61" s="1183"/>
      <c r="F61" s="1182" t="s">
        <v>732</v>
      </c>
      <c r="G61" s="13">
        <f t="shared" si="2"/>
        <v>1</v>
      </c>
      <c r="H61" s="224" t="str">
        <f t="shared" ref="H61:I61" si="46">IF(OR(C61=0,C61="SCORE"),"",C61)</f>
        <v/>
      </c>
      <c r="I61" s="13" t="str">
        <f t="shared" si="46"/>
        <v/>
      </c>
      <c r="J61" s="13" t="str">
        <f t="shared" si="4"/>
        <v/>
      </c>
      <c r="K61" s="13" t="str">
        <f t="shared" si="5"/>
        <v>N/A</v>
      </c>
    </row>
    <row r="62" ht="15.75" customHeight="1">
      <c r="A62" s="1189" t="s">
        <v>2093</v>
      </c>
      <c r="B62" s="1180" t="s">
        <v>722</v>
      </c>
      <c r="C62" s="1186">
        <v>205.97</v>
      </c>
      <c r="D62" s="1186">
        <v>73.16</v>
      </c>
      <c r="E62" s="1179" t="s">
        <v>727</v>
      </c>
      <c r="F62" s="1185" t="s">
        <v>2094</v>
      </c>
      <c r="G62" s="13" t="str">
        <f t="shared" si="2"/>
        <v>DECOUPES</v>
      </c>
      <c r="H62" s="1187">
        <f t="shared" ref="H62:I62" si="47">IF(OR(C62=0,C62="SCORE"),"",C62)</f>
        <v>205.97</v>
      </c>
      <c r="I62" s="1188">
        <f t="shared" si="47"/>
        <v>73.16</v>
      </c>
      <c r="J62" s="13" t="str">
        <f t="shared" si="4"/>
        <v>GREEN</v>
      </c>
      <c r="K62" s="13" t="str">
        <f t="shared" si="5"/>
        <v>Game</v>
      </c>
    </row>
    <row r="63" ht="15.75" customHeight="1">
      <c r="A63" s="1185"/>
      <c r="B63" s="1179" t="s">
        <v>743</v>
      </c>
      <c r="C63" s="1186">
        <v>157.31</v>
      </c>
      <c r="D63" s="1186">
        <v>167.2</v>
      </c>
      <c r="E63" s="1179" t="s">
        <v>725</v>
      </c>
      <c r="F63" s="1185" t="s">
        <v>2095</v>
      </c>
      <c r="G63" s="13" t="str">
        <f t="shared" si="2"/>
        <v>CHAMPS</v>
      </c>
      <c r="H63" s="1187">
        <f t="shared" ref="H63:I63" si="48">IF(OR(C63=0,C63="SCORE"),"",C63)</f>
        <v>157.31</v>
      </c>
      <c r="I63" s="1188">
        <f t="shared" si="48"/>
        <v>167.2</v>
      </c>
      <c r="J63" s="13" t="str">
        <f t="shared" si="4"/>
        <v>YARDIES</v>
      </c>
      <c r="K63" s="13" t="str">
        <f t="shared" si="5"/>
        <v>Game</v>
      </c>
    </row>
    <row r="64" ht="15.75" hidden="1" customHeight="1">
      <c r="A64" s="1185" t="s">
        <v>2096</v>
      </c>
      <c r="B64" s="1179"/>
      <c r="C64" s="1186"/>
      <c r="D64" s="1186"/>
      <c r="E64" s="1179"/>
      <c r="F64" s="1185"/>
      <c r="G64" s="13">
        <f t="shared" si="2"/>
        <v>1</v>
      </c>
      <c r="H64" s="224" t="str">
        <f t="shared" ref="H64:I64" si="49">IF(OR(C64=0,C64="SCORE"),"",C64)</f>
        <v/>
      </c>
      <c r="I64" s="13" t="str">
        <f t="shared" si="49"/>
        <v/>
      </c>
      <c r="J64" s="13" t="str">
        <f t="shared" si="4"/>
        <v/>
      </c>
      <c r="K64" s="13" t="str">
        <f t="shared" si="5"/>
        <v>N/A</v>
      </c>
    </row>
    <row r="65" ht="15.75" customHeight="1">
      <c r="A65" s="1185" t="s">
        <v>2097</v>
      </c>
      <c r="B65" s="1179" t="s">
        <v>726</v>
      </c>
      <c r="C65" s="1186">
        <v>154.65</v>
      </c>
      <c r="D65" s="1186">
        <v>178.87</v>
      </c>
      <c r="E65" s="1179" t="s">
        <v>723</v>
      </c>
      <c r="F65" s="1185" t="s">
        <v>2098</v>
      </c>
      <c r="G65" s="13" t="str">
        <f t="shared" si="2"/>
        <v>POPEYES</v>
      </c>
      <c r="H65" s="1187">
        <f t="shared" ref="H65:I65" si="50">IF(OR(C65=0,C65="SCORE"),"",C65)</f>
        <v>154.65</v>
      </c>
      <c r="I65" s="1188">
        <f t="shared" si="50"/>
        <v>178.87</v>
      </c>
      <c r="J65" s="13" t="str">
        <f t="shared" si="4"/>
        <v>SAVAGES</v>
      </c>
      <c r="K65" s="13" t="str">
        <f t="shared" si="5"/>
        <v>Game</v>
      </c>
    </row>
    <row r="66" ht="15.75" customHeight="1">
      <c r="A66" s="1185" t="s">
        <v>2099</v>
      </c>
      <c r="B66" s="1179" t="s">
        <v>724</v>
      </c>
      <c r="C66" s="1186">
        <v>201.27</v>
      </c>
      <c r="D66" s="1186">
        <v>234.03</v>
      </c>
      <c r="E66" s="1179" t="s">
        <v>721</v>
      </c>
      <c r="F66" s="1185" t="s">
        <v>2100</v>
      </c>
      <c r="G66" s="13" t="str">
        <f t="shared" si="2"/>
        <v>METAMOOKDAWGS</v>
      </c>
      <c r="H66" s="1187">
        <f t="shared" ref="H66:I66" si="51">IF(OR(C66=0,C66="SCORE"),"",C66)</f>
        <v>201.27</v>
      </c>
      <c r="I66" s="1188">
        <f t="shared" si="51"/>
        <v>234.03</v>
      </c>
      <c r="J66" s="13" t="str">
        <f t="shared" si="4"/>
        <v>MUTTS</v>
      </c>
      <c r="K66" s="13" t="str">
        <f t="shared" si="5"/>
        <v>Game</v>
      </c>
    </row>
    <row r="67" ht="19.5" hidden="1" customHeight="1">
      <c r="A67" s="1181" t="s">
        <v>848</v>
      </c>
      <c r="G67" s="13">
        <f t="shared" si="2"/>
        <v>1</v>
      </c>
      <c r="H67" s="224" t="str">
        <f t="shared" ref="H67:I67" si="52">IF(OR(C67=0,C67="SCORE"),"",C67)</f>
        <v/>
      </c>
      <c r="I67" s="13" t="str">
        <f t="shared" si="52"/>
        <v/>
      </c>
      <c r="J67" s="13" t="str">
        <f t="shared" si="4"/>
        <v/>
      </c>
      <c r="K67" s="13" t="str">
        <f t="shared" si="5"/>
        <v>N/A</v>
      </c>
    </row>
    <row r="68" ht="15.75" hidden="1" customHeight="1">
      <c r="A68" s="1182" t="s">
        <v>731</v>
      </c>
      <c r="B68" s="1183"/>
      <c r="C68" s="1182" t="s">
        <v>510</v>
      </c>
      <c r="D68" s="1182" t="s">
        <v>510</v>
      </c>
      <c r="E68" s="1183"/>
      <c r="F68" s="1182" t="s">
        <v>732</v>
      </c>
      <c r="G68" s="13">
        <f t="shared" si="2"/>
        <v>1</v>
      </c>
      <c r="H68" s="224" t="str">
        <f t="shared" ref="H68:I68" si="53">IF(OR(C68=0,C68="SCORE"),"",C68)</f>
        <v/>
      </c>
      <c r="I68" s="13" t="str">
        <f t="shared" si="53"/>
        <v/>
      </c>
      <c r="J68" s="13" t="str">
        <f t="shared" si="4"/>
        <v/>
      </c>
      <c r="K68" s="13" t="str">
        <f t="shared" si="5"/>
        <v>N/A</v>
      </c>
    </row>
    <row r="69" ht="15.75" customHeight="1">
      <c r="A69" s="1189" t="s">
        <v>2101</v>
      </c>
      <c r="B69" s="1180" t="s">
        <v>722</v>
      </c>
      <c r="C69" s="1186">
        <v>224.54</v>
      </c>
      <c r="D69" s="1186">
        <v>159.42</v>
      </c>
      <c r="E69" s="1179" t="s">
        <v>723</v>
      </c>
      <c r="F69" s="1185" t="s">
        <v>2102</v>
      </c>
      <c r="G69" s="13" t="str">
        <f t="shared" si="2"/>
        <v>DECOUPES</v>
      </c>
      <c r="H69" s="1187">
        <f t="shared" ref="H69:I69" si="54">IF(OR(C69=0,C69="SCORE"),"",C69)</f>
        <v>224.54</v>
      </c>
      <c r="I69" s="1188">
        <f t="shared" si="54"/>
        <v>159.42</v>
      </c>
      <c r="J69" s="13" t="str">
        <f t="shared" si="4"/>
        <v>SAVAGES</v>
      </c>
      <c r="K69" s="13" t="str">
        <f t="shared" si="5"/>
        <v>Game</v>
      </c>
    </row>
    <row r="70" ht="15.75" customHeight="1">
      <c r="A70" s="1185"/>
      <c r="B70" s="1179" t="s">
        <v>743</v>
      </c>
      <c r="C70" s="1186">
        <v>205.36</v>
      </c>
      <c r="D70" s="1186">
        <v>238.07</v>
      </c>
      <c r="E70" s="1179" t="s">
        <v>721</v>
      </c>
      <c r="F70" s="1185" t="s">
        <v>2104</v>
      </c>
      <c r="G70" s="13" t="str">
        <f t="shared" si="2"/>
        <v>CHAMPS</v>
      </c>
      <c r="H70" s="1187">
        <f t="shared" ref="H70:I70" si="55">IF(OR(C70=0,C70="SCORE"),"",C70)</f>
        <v>205.36</v>
      </c>
      <c r="I70" s="1188">
        <f t="shared" si="55"/>
        <v>238.07</v>
      </c>
      <c r="J70" s="13" t="str">
        <f t="shared" si="4"/>
        <v>MUTTS</v>
      </c>
      <c r="K70" s="13" t="str">
        <f t="shared" si="5"/>
        <v>Game</v>
      </c>
    </row>
    <row r="71" ht="15.75" hidden="1" customHeight="1">
      <c r="A71" s="1185" t="s">
        <v>2105</v>
      </c>
      <c r="B71" s="1179"/>
      <c r="C71" s="1186"/>
      <c r="D71" s="1186"/>
      <c r="E71" s="1179"/>
      <c r="F71" s="1185"/>
      <c r="G71" s="13">
        <f t="shared" si="2"/>
        <v>1</v>
      </c>
      <c r="H71" s="224" t="str">
        <f t="shared" ref="H71:I71" si="56">IF(OR(C71=0,C71="SCORE"),"",C71)</f>
        <v/>
      </c>
      <c r="I71" s="13" t="str">
        <f t="shared" si="56"/>
        <v/>
      </c>
      <c r="J71" s="13" t="str">
        <f t="shared" si="4"/>
        <v/>
      </c>
      <c r="K71" s="13" t="str">
        <f t="shared" si="5"/>
        <v>N/A</v>
      </c>
    </row>
    <row r="72" ht="15.75" customHeight="1">
      <c r="A72" s="1185" t="s">
        <v>2106</v>
      </c>
      <c r="B72" s="1179" t="s">
        <v>726</v>
      </c>
      <c r="C72" s="1186">
        <v>189.82</v>
      </c>
      <c r="D72" s="1186">
        <v>280.22</v>
      </c>
      <c r="E72" s="1179" t="s">
        <v>727</v>
      </c>
      <c r="F72" s="1185" t="s">
        <v>2107</v>
      </c>
      <c r="G72" s="13" t="str">
        <f t="shared" si="2"/>
        <v>POPEYES</v>
      </c>
      <c r="H72" s="1187">
        <f t="shared" ref="H72:I72" si="57">IF(OR(C72=0,C72="SCORE"),"",C72)</f>
        <v>189.82</v>
      </c>
      <c r="I72" s="1188">
        <f t="shared" si="57"/>
        <v>280.22</v>
      </c>
      <c r="J72" s="13" t="str">
        <f t="shared" si="4"/>
        <v>GREEN</v>
      </c>
      <c r="K72" s="13" t="str">
        <f t="shared" si="5"/>
        <v>Game</v>
      </c>
    </row>
    <row r="73" ht="15.75" customHeight="1">
      <c r="A73" s="1185" t="s">
        <v>2108</v>
      </c>
      <c r="B73" s="1179" t="s">
        <v>724</v>
      </c>
      <c r="C73" s="1186">
        <v>98.7</v>
      </c>
      <c r="D73" s="1186">
        <v>199.09</v>
      </c>
      <c r="E73" s="1179" t="s">
        <v>725</v>
      </c>
      <c r="F73" s="1185" t="s">
        <v>2109</v>
      </c>
      <c r="G73" s="13" t="str">
        <f t="shared" si="2"/>
        <v>METAMOOKDAWGS</v>
      </c>
      <c r="H73" s="1187">
        <f t="shared" ref="H73:I73" si="58">IF(OR(C73=0,C73="SCORE"),"",C73)</f>
        <v>98.7</v>
      </c>
      <c r="I73" s="1188">
        <f t="shared" si="58"/>
        <v>199.09</v>
      </c>
      <c r="J73" s="13" t="str">
        <f t="shared" si="4"/>
        <v>YARDIES</v>
      </c>
      <c r="K73" s="13" t="str">
        <f t="shared" si="5"/>
        <v>Game</v>
      </c>
    </row>
    <row r="74" ht="19.5" hidden="1" customHeight="1">
      <c r="A74" s="1181" t="s">
        <v>865</v>
      </c>
      <c r="G74" s="13">
        <f t="shared" si="2"/>
        <v>1</v>
      </c>
      <c r="H74" s="224" t="str">
        <f t="shared" ref="H74:I74" si="59">IF(OR(C74=0,C74="SCORE"),"",C74)</f>
        <v/>
      </c>
      <c r="I74" s="13" t="str">
        <f t="shared" si="59"/>
        <v/>
      </c>
      <c r="J74" s="13" t="str">
        <f t="shared" si="4"/>
        <v/>
      </c>
      <c r="K74" s="13" t="str">
        <f t="shared" si="5"/>
        <v>N/A</v>
      </c>
    </row>
    <row r="75" ht="15.75" hidden="1" customHeight="1">
      <c r="A75" s="1182" t="s">
        <v>731</v>
      </c>
      <c r="B75" s="1183"/>
      <c r="C75" s="1182" t="s">
        <v>510</v>
      </c>
      <c r="D75" s="1182" t="s">
        <v>510</v>
      </c>
      <c r="E75" s="1183"/>
      <c r="F75" s="1182" t="s">
        <v>732</v>
      </c>
      <c r="G75" s="13">
        <f t="shared" si="2"/>
        <v>1</v>
      </c>
      <c r="H75" s="224" t="str">
        <f t="shared" ref="H75:I75" si="60">IF(OR(C75=0,C75="SCORE"),"",C75)</f>
        <v/>
      </c>
      <c r="I75" s="13" t="str">
        <f t="shared" si="60"/>
        <v/>
      </c>
      <c r="J75" s="13" t="str">
        <f t="shared" si="4"/>
        <v/>
      </c>
      <c r="K75" s="13" t="str">
        <f t="shared" si="5"/>
        <v>N/A</v>
      </c>
    </row>
    <row r="76" ht="15.75" customHeight="1">
      <c r="A76" s="1189" t="s">
        <v>2110</v>
      </c>
      <c r="B76" s="1180" t="s">
        <v>722</v>
      </c>
      <c r="C76" s="1186">
        <v>203.49</v>
      </c>
      <c r="D76" s="1186">
        <v>212.37</v>
      </c>
      <c r="E76" s="1179" t="s">
        <v>724</v>
      </c>
      <c r="F76" s="1185" t="s">
        <v>2111</v>
      </c>
      <c r="G76" s="13" t="str">
        <f t="shared" si="2"/>
        <v>DECOUPES</v>
      </c>
      <c r="H76" s="1187">
        <f t="shared" ref="H76:I76" si="61">IF(OR(C76=0,C76="SCORE"),"",C76)</f>
        <v>203.49</v>
      </c>
      <c r="I76" s="1188">
        <f t="shared" si="61"/>
        <v>212.37</v>
      </c>
      <c r="J76" s="13" t="str">
        <f t="shared" si="4"/>
        <v>METAMOOKDAWGS</v>
      </c>
      <c r="K76" s="13" t="str">
        <f t="shared" si="5"/>
        <v>Game</v>
      </c>
    </row>
    <row r="77" ht="15.75" customHeight="1">
      <c r="A77" s="1185" t="s">
        <v>2112</v>
      </c>
      <c r="B77" s="1179" t="s">
        <v>726</v>
      </c>
      <c r="C77" s="1186">
        <v>150.9</v>
      </c>
      <c r="D77" s="1186">
        <v>195.2</v>
      </c>
      <c r="E77" s="1179" t="s">
        <v>725</v>
      </c>
      <c r="F77" s="1185" t="s">
        <v>2113</v>
      </c>
      <c r="G77" s="13" t="str">
        <f t="shared" si="2"/>
        <v>POPEYES</v>
      </c>
      <c r="H77" s="1187">
        <f t="shared" ref="H77:I77" si="62">IF(OR(C77=0,C77="SCORE"),"",C77)</f>
        <v>150.9</v>
      </c>
      <c r="I77" s="1188">
        <f t="shared" si="62"/>
        <v>195.2</v>
      </c>
      <c r="J77" s="13" t="str">
        <f t="shared" si="4"/>
        <v>YARDIES</v>
      </c>
      <c r="K77" s="13" t="str">
        <f t="shared" si="5"/>
        <v>Game</v>
      </c>
    </row>
    <row r="78" ht="15.75" customHeight="1">
      <c r="A78" s="1185" t="s">
        <v>2114</v>
      </c>
      <c r="B78" s="1179" t="s">
        <v>727</v>
      </c>
      <c r="C78" s="1186">
        <v>161.2</v>
      </c>
      <c r="D78" s="1186">
        <v>208.29</v>
      </c>
      <c r="E78" s="1179" t="s">
        <v>721</v>
      </c>
      <c r="F78" s="1185" t="s">
        <v>2115</v>
      </c>
      <c r="G78" s="13" t="str">
        <f t="shared" si="2"/>
        <v>GREEN</v>
      </c>
      <c r="H78" s="1187">
        <f t="shared" ref="H78:I78" si="63">IF(OR(C78=0,C78="SCORE"),"",C78)</f>
        <v>161.2</v>
      </c>
      <c r="I78" s="1188">
        <f t="shared" si="63"/>
        <v>208.29</v>
      </c>
      <c r="J78" s="13" t="str">
        <f t="shared" si="4"/>
        <v>MUTTS</v>
      </c>
      <c r="K78" s="13" t="str">
        <f t="shared" si="5"/>
        <v>Game</v>
      </c>
    </row>
    <row r="79" ht="15.75" customHeight="1">
      <c r="A79" s="1185" t="s">
        <v>2116</v>
      </c>
      <c r="B79" s="1179" t="s">
        <v>723</v>
      </c>
      <c r="C79" s="1186">
        <v>215.36</v>
      </c>
      <c r="D79" s="1186">
        <v>131.89</v>
      </c>
      <c r="E79" s="1179" t="s">
        <v>743</v>
      </c>
      <c r="F79" s="1185"/>
      <c r="G79" s="13" t="str">
        <f t="shared" si="2"/>
        <v>SAVAGES</v>
      </c>
      <c r="H79" s="1187">
        <f t="shared" ref="H79:I79" si="64">IF(OR(C79=0,C79="SCORE"),"",C79)</f>
        <v>215.36</v>
      </c>
      <c r="I79" s="1188">
        <f t="shared" si="64"/>
        <v>131.89</v>
      </c>
      <c r="J79" s="13" t="str">
        <f t="shared" si="4"/>
        <v>CHAMPS</v>
      </c>
      <c r="K79" s="13" t="str">
        <f t="shared" si="5"/>
        <v>Game</v>
      </c>
    </row>
    <row r="80" ht="15.75" hidden="1" customHeight="1">
      <c r="A80" s="1185"/>
      <c r="B80" s="1179"/>
      <c r="C80" s="1186"/>
      <c r="D80" s="1186"/>
      <c r="E80" s="1179"/>
      <c r="F80" s="1185" t="s">
        <v>2118</v>
      </c>
      <c r="G80" s="13">
        <f t="shared" si="2"/>
        <v>1</v>
      </c>
      <c r="H80" s="224" t="str">
        <f t="shared" ref="H80:I80" si="65">IF(OR(C80=0,C80="SCORE"),"",C80)</f>
        <v/>
      </c>
      <c r="I80" s="13" t="str">
        <f t="shared" si="65"/>
        <v/>
      </c>
      <c r="J80" s="13" t="str">
        <f t="shared" si="4"/>
        <v/>
      </c>
      <c r="K80" s="13" t="str">
        <f t="shared" si="5"/>
        <v>N/A</v>
      </c>
    </row>
    <row r="81" ht="19.5" hidden="1" customHeight="1">
      <c r="A81" s="1181" t="s">
        <v>882</v>
      </c>
      <c r="G81" s="13">
        <f t="shared" si="2"/>
        <v>1</v>
      </c>
      <c r="H81" s="224" t="str">
        <f t="shared" ref="H81:I81" si="66">IF(OR(C81=0,C81="SCORE"),"",C81)</f>
        <v/>
      </c>
      <c r="I81" s="13" t="str">
        <f t="shared" si="66"/>
        <v/>
      </c>
      <c r="J81" s="13" t="str">
        <f t="shared" si="4"/>
        <v/>
      </c>
      <c r="K81" s="13" t="str">
        <f t="shared" si="5"/>
        <v>N/A</v>
      </c>
    </row>
    <row r="82" ht="15.75" hidden="1" customHeight="1">
      <c r="A82" s="1182" t="s">
        <v>731</v>
      </c>
      <c r="B82" s="1183"/>
      <c r="C82" s="1182" t="s">
        <v>510</v>
      </c>
      <c r="D82" s="1182" t="s">
        <v>510</v>
      </c>
      <c r="E82" s="1183"/>
      <c r="F82" s="1182" t="s">
        <v>732</v>
      </c>
      <c r="G82" s="13">
        <f t="shared" si="2"/>
        <v>1</v>
      </c>
      <c r="H82" s="224" t="str">
        <f t="shared" ref="H82:I82" si="67">IF(OR(C82=0,C82="SCORE"),"",C82)</f>
        <v/>
      </c>
      <c r="I82" s="13" t="str">
        <f t="shared" si="67"/>
        <v/>
      </c>
      <c r="J82" s="13" t="str">
        <f t="shared" si="4"/>
        <v/>
      </c>
      <c r="K82" s="13" t="str">
        <f t="shared" si="5"/>
        <v>N/A</v>
      </c>
    </row>
    <row r="83" ht="15.75" customHeight="1">
      <c r="A83" s="1189" t="s">
        <v>2119</v>
      </c>
      <c r="B83" s="1180" t="s">
        <v>722</v>
      </c>
      <c r="C83" s="1186">
        <v>186.65</v>
      </c>
      <c r="D83" s="1186">
        <v>141.13</v>
      </c>
      <c r="E83" s="1179" t="s">
        <v>726</v>
      </c>
      <c r="F83" s="1185" t="s">
        <v>2120</v>
      </c>
      <c r="G83" s="13" t="str">
        <f t="shared" si="2"/>
        <v>DECOUPES</v>
      </c>
      <c r="H83" s="1187">
        <f t="shared" ref="H83:I83" si="68">IF(OR(C83=0,C83="SCORE"),"",C83)</f>
        <v>186.65</v>
      </c>
      <c r="I83" s="1188">
        <f t="shared" si="68"/>
        <v>141.13</v>
      </c>
      <c r="J83" s="13" t="str">
        <f t="shared" si="4"/>
        <v>POPEYES</v>
      </c>
      <c r="K83" s="13" t="str">
        <f t="shared" si="5"/>
        <v>Game</v>
      </c>
    </row>
    <row r="84" ht="15.75" customHeight="1">
      <c r="A84" s="1185"/>
      <c r="B84" s="1179" t="s">
        <v>743</v>
      </c>
      <c r="C84" s="1186">
        <v>140.76</v>
      </c>
      <c r="D84" s="1186">
        <v>205.17</v>
      </c>
      <c r="E84" s="1179" t="s">
        <v>724</v>
      </c>
      <c r="F84" s="1185" t="s">
        <v>2121</v>
      </c>
      <c r="G84" s="13" t="str">
        <f t="shared" si="2"/>
        <v>CHAMPS</v>
      </c>
      <c r="H84" s="1187">
        <f t="shared" ref="H84:I84" si="69">IF(OR(C84=0,C84="SCORE"),"",C84)</f>
        <v>140.76</v>
      </c>
      <c r="I84" s="1188">
        <f t="shared" si="69"/>
        <v>205.17</v>
      </c>
      <c r="J84" s="13" t="str">
        <f t="shared" si="4"/>
        <v>METAMOOKDAWGS</v>
      </c>
      <c r="K84" s="13" t="str">
        <f t="shared" si="5"/>
        <v>Game</v>
      </c>
    </row>
    <row r="85" ht="15.75" hidden="1" customHeight="1">
      <c r="A85" s="1185" t="s">
        <v>2122</v>
      </c>
      <c r="B85" s="1179"/>
      <c r="C85" s="1186"/>
      <c r="D85" s="1186"/>
      <c r="E85" s="1179"/>
      <c r="F85" s="1185"/>
      <c r="G85" s="13">
        <f t="shared" si="2"/>
        <v>1</v>
      </c>
      <c r="H85" s="224" t="str">
        <f t="shared" ref="H85:I85" si="70">IF(OR(C85=0,C85="SCORE"),"",C85)</f>
        <v/>
      </c>
      <c r="I85" s="13" t="str">
        <f t="shared" si="70"/>
        <v/>
      </c>
      <c r="J85" s="13" t="str">
        <f t="shared" si="4"/>
        <v/>
      </c>
      <c r="K85" s="13" t="str">
        <f t="shared" si="5"/>
        <v>N/A</v>
      </c>
    </row>
    <row r="86" ht="15.75" customHeight="1">
      <c r="A86" s="1185" t="s">
        <v>2123</v>
      </c>
      <c r="B86" s="1179" t="s">
        <v>727</v>
      </c>
      <c r="C86" s="1186">
        <v>188.93</v>
      </c>
      <c r="D86" s="1186">
        <v>156.88</v>
      </c>
      <c r="E86" s="1179" t="s">
        <v>723</v>
      </c>
      <c r="F86" s="1185" t="s">
        <v>2124</v>
      </c>
      <c r="G86" s="13" t="str">
        <f t="shared" si="2"/>
        <v>GREEN</v>
      </c>
      <c r="H86" s="1187">
        <f t="shared" ref="H86:I86" si="71">IF(OR(C86=0,C86="SCORE"),"",C86)</f>
        <v>188.93</v>
      </c>
      <c r="I86" s="1188">
        <f t="shared" si="71"/>
        <v>156.88</v>
      </c>
      <c r="J86" s="13" t="str">
        <f t="shared" si="4"/>
        <v>SAVAGES</v>
      </c>
      <c r="K86" s="13" t="str">
        <f t="shared" si="5"/>
        <v>Game</v>
      </c>
    </row>
    <row r="87" ht="15.75" customHeight="1">
      <c r="A87" s="1185" t="s">
        <v>2125</v>
      </c>
      <c r="B87" s="1179" t="s">
        <v>725</v>
      </c>
      <c r="C87" s="1186">
        <v>178.13</v>
      </c>
      <c r="D87" s="1186">
        <v>168.76</v>
      </c>
      <c r="E87" s="1179" t="s">
        <v>721</v>
      </c>
      <c r="F87" s="1185" t="s">
        <v>2126</v>
      </c>
      <c r="G87" s="13" t="str">
        <f t="shared" si="2"/>
        <v>YARDIES</v>
      </c>
      <c r="H87" s="1187">
        <f t="shared" ref="H87:I87" si="72">IF(OR(C87=0,C87="SCORE"),"",C87)</f>
        <v>178.13</v>
      </c>
      <c r="I87" s="1188">
        <f t="shared" si="72"/>
        <v>168.76</v>
      </c>
      <c r="J87" s="13" t="str">
        <f t="shared" si="4"/>
        <v>MUTTS</v>
      </c>
      <c r="K87" s="13" t="str">
        <f t="shared" si="5"/>
        <v>Game</v>
      </c>
    </row>
    <row r="88" ht="19.5" hidden="1" customHeight="1">
      <c r="A88" s="1181" t="s">
        <v>900</v>
      </c>
      <c r="G88" s="13">
        <f t="shared" si="2"/>
        <v>1</v>
      </c>
      <c r="H88" s="224" t="str">
        <f t="shared" ref="H88:I88" si="73">IF(OR(C88=0,C88="SCORE"),"",C88)</f>
        <v/>
      </c>
      <c r="I88" s="13" t="str">
        <f t="shared" si="73"/>
        <v/>
      </c>
      <c r="J88" s="13" t="str">
        <f t="shared" si="4"/>
        <v/>
      </c>
      <c r="K88" s="13" t="str">
        <f t="shared" si="5"/>
        <v>N/A</v>
      </c>
    </row>
    <row r="89" ht="15.75" hidden="1" customHeight="1">
      <c r="A89" s="1182" t="s">
        <v>731</v>
      </c>
      <c r="B89" s="1183"/>
      <c r="C89" s="1182" t="s">
        <v>510</v>
      </c>
      <c r="D89" s="1182" t="s">
        <v>510</v>
      </c>
      <c r="E89" s="1183"/>
      <c r="F89" s="1182" t="s">
        <v>732</v>
      </c>
      <c r="G89" s="13">
        <f t="shared" si="2"/>
        <v>1</v>
      </c>
      <c r="H89" s="224" t="str">
        <f t="shared" ref="H89:I89" si="74">IF(OR(C89=0,C89="SCORE"),"",C89)</f>
        <v/>
      </c>
      <c r="I89" s="13" t="str">
        <f t="shared" si="74"/>
        <v/>
      </c>
      <c r="J89" s="13" t="str">
        <f t="shared" si="4"/>
        <v/>
      </c>
      <c r="K89" s="13" t="str">
        <f t="shared" si="5"/>
        <v>N/A</v>
      </c>
    </row>
    <row r="90" ht="15.75" customHeight="1">
      <c r="A90" s="1189" t="s">
        <v>2127</v>
      </c>
      <c r="B90" s="1180" t="s">
        <v>722</v>
      </c>
      <c r="C90" s="1186">
        <v>170.12</v>
      </c>
      <c r="D90" s="1186">
        <v>167.81</v>
      </c>
      <c r="E90" s="1179" t="s">
        <v>743</v>
      </c>
      <c r="F90" s="1185"/>
      <c r="G90" s="13" t="str">
        <f t="shared" si="2"/>
        <v>DECOUPES</v>
      </c>
      <c r="H90" s="1187">
        <f t="shared" ref="H90:I90" si="75">IF(OR(C90=0,C90="SCORE"),"",C90)</f>
        <v>170.12</v>
      </c>
      <c r="I90" s="1188">
        <f t="shared" si="75"/>
        <v>167.81</v>
      </c>
      <c r="J90" s="13" t="str">
        <f t="shared" si="4"/>
        <v>CHAMPS</v>
      </c>
      <c r="K90" s="13" t="str">
        <f t="shared" si="5"/>
        <v>Game</v>
      </c>
    </row>
    <row r="91" ht="15.75" hidden="1" customHeight="1">
      <c r="A91" s="1189"/>
      <c r="B91" s="1180"/>
      <c r="C91" s="1186"/>
      <c r="D91" s="1186"/>
      <c r="E91" s="1179"/>
      <c r="F91" s="1185" t="s">
        <v>2128</v>
      </c>
      <c r="G91" s="13">
        <f t="shared" si="2"/>
        <v>1</v>
      </c>
      <c r="H91" s="224" t="str">
        <f t="shared" ref="H91:I91" si="76">IF(OR(C91=0,C91="SCORE"),"",C91)</f>
        <v/>
      </c>
      <c r="I91" s="13" t="str">
        <f t="shared" si="76"/>
        <v/>
      </c>
      <c r="J91" s="13" t="str">
        <f t="shared" si="4"/>
        <v/>
      </c>
      <c r="K91" s="13" t="str">
        <f t="shared" si="5"/>
        <v>N/A</v>
      </c>
    </row>
    <row r="92" ht="15.75" customHeight="1">
      <c r="A92" s="1185" t="s">
        <v>2129</v>
      </c>
      <c r="B92" s="1179" t="s">
        <v>726</v>
      </c>
      <c r="C92" s="1186">
        <v>205.02</v>
      </c>
      <c r="D92" s="1186">
        <v>190.33</v>
      </c>
      <c r="E92" s="1179" t="s">
        <v>724</v>
      </c>
      <c r="F92" s="1185" t="s">
        <v>2130</v>
      </c>
      <c r="G92" s="13" t="str">
        <f t="shared" si="2"/>
        <v>POPEYES</v>
      </c>
      <c r="H92" s="1187">
        <f t="shared" ref="H92:I92" si="77">IF(OR(C92=0,C92="SCORE"),"",C92)</f>
        <v>205.02</v>
      </c>
      <c r="I92" s="1188">
        <f t="shared" si="77"/>
        <v>190.33</v>
      </c>
      <c r="J92" s="13" t="str">
        <f t="shared" si="4"/>
        <v>METAMOOKDAWGS</v>
      </c>
      <c r="K92" s="13" t="str">
        <f t="shared" si="5"/>
        <v>Game</v>
      </c>
    </row>
    <row r="93" ht="15.75" customHeight="1">
      <c r="A93" s="1185" t="s">
        <v>2131</v>
      </c>
      <c r="B93" s="1179" t="s">
        <v>727</v>
      </c>
      <c r="C93" s="1186">
        <v>147.58</v>
      </c>
      <c r="D93" s="1186">
        <v>227.53</v>
      </c>
      <c r="E93" s="1179" t="s">
        <v>725</v>
      </c>
      <c r="F93" s="1185" t="s">
        <v>2132</v>
      </c>
      <c r="G93" s="13" t="str">
        <f t="shared" si="2"/>
        <v>GREEN</v>
      </c>
      <c r="H93" s="1187">
        <f t="shared" ref="H93:I93" si="78">IF(OR(C93=0,C93="SCORE"),"",C93)</f>
        <v>147.58</v>
      </c>
      <c r="I93" s="1188">
        <f t="shared" si="78"/>
        <v>227.53</v>
      </c>
      <c r="J93" s="13" t="str">
        <f t="shared" si="4"/>
        <v>YARDIES</v>
      </c>
      <c r="K93" s="13" t="str">
        <f t="shared" si="5"/>
        <v>Game</v>
      </c>
    </row>
    <row r="94" ht="15.75" customHeight="1">
      <c r="A94" s="1185" t="s">
        <v>2133</v>
      </c>
      <c r="B94" s="1179" t="s">
        <v>723</v>
      </c>
      <c r="C94" s="1186">
        <v>149.3</v>
      </c>
      <c r="D94" s="1186">
        <v>201.55</v>
      </c>
      <c r="E94" s="1179" t="s">
        <v>721</v>
      </c>
      <c r="F94" s="1185" t="s">
        <v>2134</v>
      </c>
      <c r="G94" s="13" t="str">
        <f t="shared" si="2"/>
        <v>SAVAGES</v>
      </c>
      <c r="H94" s="1187">
        <f t="shared" ref="H94:I94" si="79">IF(OR(C94=0,C94="SCORE"),"",C94)</f>
        <v>149.3</v>
      </c>
      <c r="I94" s="1188">
        <f t="shared" si="79"/>
        <v>201.55</v>
      </c>
      <c r="J94" s="13" t="str">
        <f t="shared" si="4"/>
        <v>MUTTS</v>
      </c>
      <c r="K94" s="13" t="str">
        <f t="shared" si="5"/>
        <v>Game</v>
      </c>
    </row>
    <row r="95" ht="19.5" hidden="1" customHeight="1">
      <c r="A95" s="1181" t="s">
        <v>917</v>
      </c>
      <c r="G95" s="13">
        <f t="shared" si="2"/>
        <v>1</v>
      </c>
      <c r="H95" s="224" t="str">
        <f t="shared" ref="H95:I95" si="80">IF(OR(C95=0,C95="SCORE"),"",C95)</f>
        <v/>
      </c>
      <c r="I95" s="13" t="str">
        <f t="shared" si="80"/>
        <v/>
      </c>
      <c r="J95" s="13" t="str">
        <f t="shared" si="4"/>
        <v/>
      </c>
      <c r="K95" s="13" t="str">
        <f t="shared" si="5"/>
        <v>N/A</v>
      </c>
    </row>
    <row r="96" ht="15.75" hidden="1" customHeight="1">
      <c r="A96" s="1182" t="s">
        <v>731</v>
      </c>
      <c r="B96" s="1183"/>
      <c r="C96" s="1182" t="s">
        <v>510</v>
      </c>
      <c r="D96" s="1182" t="s">
        <v>510</v>
      </c>
      <c r="E96" s="1183"/>
      <c r="F96" s="1182" t="s">
        <v>732</v>
      </c>
      <c r="G96" s="13">
        <f t="shared" si="2"/>
        <v>1</v>
      </c>
      <c r="H96" s="224" t="str">
        <f t="shared" ref="H96:I96" si="81">IF(OR(C96=0,C96="SCORE"),"",C96)</f>
        <v/>
      </c>
      <c r="I96" s="13" t="str">
        <f t="shared" si="81"/>
        <v/>
      </c>
      <c r="J96" s="13" t="str">
        <f t="shared" si="4"/>
        <v/>
      </c>
      <c r="K96" s="13" t="str">
        <f t="shared" si="5"/>
        <v>N/A</v>
      </c>
    </row>
    <row r="97" ht="15.75" customHeight="1">
      <c r="A97" s="1189" t="s">
        <v>2135</v>
      </c>
      <c r="B97" s="1180" t="s">
        <v>722</v>
      </c>
      <c r="C97" s="1186">
        <v>192.21</v>
      </c>
      <c r="D97" s="1186">
        <v>215.62</v>
      </c>
      <c r="E97" s="1179" t="s">
        <v>723</v>
      </c>
      <c r="F97" s="1185" t="s">
        <v>2136</v>
      </c>
      <c r="G97" s="13" t="str">
        <f t="shared" si="2"/>
        <v>DECOUPES</v>
      </c>
      <c r="H97" s="1187">
        <f t="shared" ref="H97:I97" si="82">IF(OR(C97=0,C97="SCORE"),"",C97)</f>
        <v>192.21</v>
      </c>
      <c r="I97" s="1188">
        <f t="shared" si="82"/>
        <v>215.62</v>
      </c>
      <c r="J97" s="13" t="str">
        <f t="shared" si="4"/>
        <v>SAVAGES</v>
      </c>
      <c r="K97" s="13" t="str">
        <f t="shared" si="5"/>
        <v>Game</v>
      </c>
    </row>
    <row r="98" ht="15.75" customHeight="1">
      <c r="A98" s="1185"/>
      <c r="B98" s="1179" t="s">
        <v>743</v>
      </c>
      <c r="C98" s="1186">
        <v>169.84</v>
      </c>
      <c r="D98" s="1186">
        <v>213.11</v>
      </c>
      <c r="E98" s="1179" t="s">
        <v>721</v>
      </c>
      <c r="F98" s="1185" t="s">
        <v>2137</v>
      </c>
      <c r="G98" s="13" t="str">
        <f t="shared" si="2"/>
        <v>CHAMPS</v>
      </c>
      <c r="H98" s="1187">
        <f t="shared" ref="H98:I98" si="83">IF(OR(C98=0,C98="SCORE"),"",C98)</f>
        <v>169.84</v>
      </c>
      <c r="I98" s="1188">
        <f t="shared" si="83"/>
        <v>213.11</v>
      </c>
      <c r="J98" s="13" t="str">
        <f t="shared" si="4"/>
        <v>MUTTS</v>
      </c>
      <c r="K98" s="13" t="str">
        <f t="shared" si="5"/>
        <v>Game</v>
      </c>
    </row>
    <row r="99" ht="15.75" hidden="1" customHeight="1">
      <c r="A99" s="1185" t="s">
        <v>2138</v>
      </c>
      <c r="B99" s="1179"/>
      <c r="C99" s="1186"/>
      <c r="D99" s="1186"/>
      <c r="E99" s="1179"/>
      <c r="F99" s="1185"/>
      <c r="G99" s="13">
        <f t="shared" si="2"/>
        <v>1</v>
      </c>
      <c r="H99" s="224" t="str">
        <f t="shared" ref="H99:I99" si="84">IF(OR(C99=0,C99="SCORE"),"",C99)</f>
        <v/>
      </c>
      <c r="I99" s="13" t="str">
        <f t="shared" si="84"/>
        <v/>
      </c>
      <c r="J99" s="13" t="str">
        <f t="shared" si="4"/>
        <v/>
      </c>
      <c r="K99" s="13" t="str">
        <f t="shared" si="5"/>
        <v>N/A</v>
      </c>
    </row>
    <row r="100" ht="15.75" customHeight="1">
      <c r="A100" s="1185" t="s">
        <v>2140</v>
      </c>
      <c r="B100" s="1179" t="s">
        <v>726</v>
      </c>
      <c r="C100" s="1186">
        <v>180.07</v>
      </c>
      <c r="D100" s="1186">
        <v>193.87</v>
      </c>
      <c r="E100" s="1179" t="s">
        <v>727</v>
      </c>
      <c r="F100" s="1185" t="s">
        <v>2141</v>
      </c>
      <c r="G100" s="13" t="str">
        <f t="shared" si="2"/>
        <v>POPEYES</v>
      </c>
      <c r="H100" s="1187">
        <f t="shared" ref="H100:I100" si="85">IF(OR(C100=0,C100="SCORE"),"",C100)</f>
        <v>180.07</v>
      </c>
      <c r="I100" s="1188">
        <f t="shared" si="85"/>
        <v>193.87</v>
      </c>
      <c r="J100" s="13" t="str">
        <f t="shared" si="4"/>
        <v>GREEN</v>
      </c>
      <c r="K100" s="13" t="str">
        <f t="shared" si="5"/>
        <v>Game</v>
      </c>
    </row>
    <row r="101" ht="15.75" customHeight="1">
      <c r="A101" s="1185" t="s">
        <v>2142</v>
      </c>
      <c r="B101" s="1179" t="s">
        <v>724</v>
      </c>
      <c r="C101" s="1186">
        <v>171.11</v>
      </c>
      <c r="D101" s="1186">
        <v>182.89</v>
      </c>
      <c r="E101" s="1179" t="s">
        <v>725</v>
      </c>
      <c r="F101" s="1185" t="s">
        <v>2143</v>
      </c>
      <c r="G101" s="13" t="str">
        <f t="shared" si="2"/>
        <v>METAMOOKDAWGS</v>
      </c>
      <c r="H101" s="1187">
        <f t="shared" ref="H101:I101" si="86">IF(OR(C101=0,C101="SCORE"),"",C101)</f>
        <v>171.11</v>
      </c>
      <c r="I101" s="1188">
        <f t="shared" si="86"/>
        <v>182.89</v>
      </c>
      <c r="J101" s="13" t="str">
        <f t="shared" si="4"/>
        <v>YARDIES</v>
      </c>
      <c r="K101" s="13" t="str">
        <f t="shared" si="5"/>
        <v>Game</v>
      </c>
    </row>
    <row r="102" ht="19.5" hidden="1" customHeight="1">
      <c r="A102" s="1181" t="s">
        <v>930</v>
      </c>
      <c r="G102" s="13">
        <f t="shared" si="2"/>
        <v>1</v>
      </c>
      <c r="H102" s="224" t="str">
        <f t="shared" ref="H102:I102" si="87">IF(OR(C102=0,C102="SCORE"),"",C102)</f>
        <v/>
      </c>
      <c r="I102" s="13" t="str">
        <f t="shared" si="87"/>
        <v/>
      </c>
      <c r="J102" s="13" t="str">
        <f t="shared" si="4"/>
        <v/>
      </c>
      <c r="K102" s="13" t="str">
        <f t="shared" si="5"/>
        <v>N/A</v>
      </c>
    </row>
    <row r="103" ht="15.75" hidden="1" customHeight="1">
      <c r="A103" s="1182" t="s">
        <v>731</v>
      </c>
      <c r="B103" s="1183"/>
      <c r="C103" s="1182" t="s">
        <v>510</v>
      </c>
      <c r="D103" s="1182" t="s">
        <v>510</v>
      </c>
      <c r="E103" s="1183"/>
      <c r="F103" s="1182" t="s">
        <v>732</v>
      </c>
      <c r="G103" s="13">
        <f t="shared" si="2"/>
        <v>1</v>
      </c>
      <c r="H103" s="224" t="str">
        <f t="shared" ref="H103:I103" si="88">IF(OR(C103=0,C103="SCORE"),"",C103)</f>
        <v/>
      </c>
      <c r="I103" s="13" t="str">
        <f t="shared" si="88"/>
        <v/>
      </c>
      <c r="J103" s="13" t="str">
        <f t="shared" si="4"/>
        <v/>
      </c>
      <c r="K103" s="13" t="str">
        <f t="shared" si="5"/>
        <v>N/A</v>
      </c>
    </row>
    <row r="104" ht="15.75" customHeight="1">
      <c r="A104" s="1189" t="s">
        <v>2144</v>
      </c>
      <c r="B104" s="1180" t="s">
        <v>722</v>
      </c>
      <c r="C104" s="1186">
        <v>180.68</v>
      </c>
      <c r="D104" s="1186">
        <v>228.85</v>
      </c>
      <c r="E104" s="1179" t="s">
        <v>727</v>
      </c>
      <c r="F104" s="1185" t="s">
        <v>2145</v>
      </c>
      <c r="G104" s="13" t="str">
        <f t="shared" si="2"/>
        <v>DECOUPES</v>
      </c>
      <c r="H104" s="1187">
        <f t="shared" ref="H104:I104" si="89">IF(OR(C104=0,C104="SCORE"),"",C104)</f>
        <v>180.68</v>
      </c>
      <c r="I104" s="1188">
        <f t="shared" si="89"/>
        <v>228.85</v>
      </c>
      <c r="J104" s="13" t="str">
        <f t="shared" si="4"/>
        <v>GREEN</v>
      </c>
      <c r="K104" s="13" t="str">
        <f t="shared" si="5"/>
        <v>Game</v>
      </c>
    </row>
    <row r="105" ht="15.75" customHeight="1">
      <c r="A105" s="1185"/>
      <c r="B105" s="1179" t="s">
        <v>743</v>
      </c>
      <c r="C105" s="1186">
        <v>187.29</v>
      </c>
      <c r="D105" s="1186">
        <v>203.79</v>
      </c>
      <c r="E105" s="1179" t="s">
        <v>725</v>
      </c>
      <c r="F105" s="1185" t="s">
        <v>2147</v>
      </c>
      <c r="G105" s="13" t="str">
        <f t="shared" si="2"/>
        <v>CHAMPS</v>
      </c>
      <c r="H105" s="1187">
        <f t="shared" ref="H105:I105" si="90">IF(OR(C105=0,C105="SCORE"),"",C105)</f>
        <v>187.29</v>
      </c>
      <c r="I105" s="1188">
        <f t="shared" si="90"/>
        <v>203.79</v>
      </c>
      <c r="J105" s="13" t="str">
        <f t="shared" si="4"/>
        <v>YARDIES</v>
      </c>
      <c r="K105" s="13" t="str">
        <f t="shared" si="5"/>
        <v>Game</v>
      </c>
    </row>
    <row r="106" ht="15.75" hidden="1" customHeight="1">
      <c r="A106" s="1185" t="s">
        <v>2148</v>
      </c>
      <c r="B106" s="1179"/>
      <c r="C106" s="1186"/>
      <c r="D106" s="1186"/>
      <c r="E106" s="1179"/>
      <c r="F106" s="1185"/>
      <c r="G106" s="13">
        <f t="shared" si="2"/>
        <v>1</v>
      </c>
      <c r="H106" s="224" t="str">
        <f t="shared" ref="H106:I106" si="91">IF(OR(C106=0,C106="SCORE"),"",C106)</f>
        <v/>
      </c>
      <c r="I106" s="13" t="str">
        <f t="shared" si="91"/>
        <v/>
      </c>
      <c r="J106" s="13" t="str">
        <f t="shared" si="4"/>
        <v/>
      </c>
      <c r="K106" s="13" t="str">
        <f t="shared" si="5"/>
        <v>N/A</v>
      </c>
    </row>
    <row r="107" ht="15.75" customHeight="1">
      <c r="A107" s="1185" t="s">
        <v>2149</v>
      </c>
      <c r="B107" s="1179" t="s">
        <v>726</v>
      </c>
      <c r="C107" s="1186">
        <v>194.52</v>
      </c>
      <c r="D107" s="1186">
        <v>166.9</v>
      </c>
      <c r="E107" s="1179" t="s">
        <v>723</v>
      </c>
      <c r="F107" s="1185" t="s">
        <v>2150</v>
      </c>
      <c r="G107" s="13" t="str">
        <f t="shared" si="2"/>
        <v>POPEYES</v>
      </c>
      <c r="H107" s="1187">
        <f t="shared" ref="H107:I107" si="92">IF(OR(C107=0,C107="SCORE"),"",C107)</f>
        <v>194.52</v>
      </c>
      <c r="I107" s="1188">
        <f t="shared" si="92"/>
        <v>166.9</v>
      </c>
      <c r="J107" s="13" t="str">
        <f t="shared" si="4"/>
        <v>SAVAGES</v>
      </c>
      <c r="K107" s="13" t="str">
        <f t="shared" si="5"/>
        <v>Game</v>
      </c>
    </row>
    <row r="108" ht="15.75" customHeight="1">
      <c r="A108" s="1185" t="s">
        <v>2151</v>
      </c>
      <c r="B108" s="1179" t="s">
        <v>724</v>
      </c>
      <c r="C108" s="1186">
        <v>211.52</v>
      </c>
      <c r="D108" s="1186">
        <v>129.48</v>
      </c>
      <c r="E108" s="1179" t="s">
        <v>721</v>
      </c>
      <c r="F108" s="1185" t="s">
        <v>2152</v>
      </c>
      <c r="G108" s="13" t="str">
        <f t="shared" si="2"/>
        <v>METAMOOKDAWGS</v>
      </c>
      <c r="H108" s="1187">
        <f t="shared" ref="H108:I108" si="93">IF(OR(C108=0,C108="SCORE"),"",C108)</f>
        <v>211.52</v>
      </c>
      <c r="I108" s="1188">
        <f t="shared" si="93"/>
        <v>129.48</v>
      </c>
      <c r="J108" s="13" t="str">
        <f t="shared" si="4"/>
        <v>MUTTS</v>
      </c>
      <c r="K108" s="13" t="str">
        <f t="shared" si="5"/>
        <v>Game</v>
      </c>
    </row>
    <row r="109" ht="19.5" hidden="1" customHeight="1">
      <c r="A109" s="1181" t="s">
        <v>1029</v>
      </c>
      <c r="G109" s="13">
        <f t="shared" si="2"/>
        <v>1</v>
      </c>
      <c r="H109" s="224" t="str">
        <f t="shared" ref="H109:I109" si="94">IF(OR(C109=0,C109="SCORE"),"",C109)</f>
        <v/>
      </c>
      <c r="I109" s="13" t="str">
        <f t="shared" si="94"/>
        <v/>
      </c>
      <c r="J109" s="13" t="str">
        <f t="shared" si="4"/>
        <v/>
      </c>
      <c r="K109" s="13" t="str">
        <f t="shared" si="5"/>
        <v>N/A</v>
      </c>
    </row>
    <row r="110" ht="15.75" hidden="1" customHeight="1">
      <c r="A110" s="1182" t="s">
        <v>731</v>
      </c>
      <c r="B110" s="1183"/>
      <c r="C110" s="1182" t="s">
        <v>510</v>
      </c>
      <c r="D110" s="1182" t="s">
        <v>510</v>
      </c>
      <c r="E110" s="1183"/>
      <c r="F110" s="1182" t="s">
        <v>732</v>
      </c>
      <c r="G110" s="13">
        <f t="shared" si="2"/>
        <v>1</v>
      </c>
      <c r="H110" s="224" t="str">
        <f t="shared" ref="H110:I110" si="95">IF(OR(C110=0,C110="SCORE"),"",C110)</f>
        <v/>
      </c>
      <c r="I110" s="13" t="str">
        <f t="shared" si="95"/>
        <v/>
      </c>
      <c r="J110" s="13" t="str">
        <f t="shared" si="4"/>
        <v/>
      </c>
      <c r="K110" s="13" t="str">
        <f t="shared" si="5"/>
        <v>N/A</v>
      </c>
    </row>
    <row r="111" ht="15.75" customHeight="1">
      <c r="A111" s="1189" t="s">
        <v>2153</v>
      </c>
      <c r="B111" s="1180" t="s">
        <v>722</v>
      </c>
      <c r="C111" s="1186">
        <v>147.35</v>
      </c>
      <c r="D111" s="1186">
        <v>127.86</v>
      </c>
      <c r="E111" s="1179" t="s">
        <v>726</v>
      </c>
      <c r="F111" s="1185" t="s">
        <v>2154</v>
      </c>
      <c r="G111" s="13" t="str">
        <f t="shared" si="2"/>
        <v>DECOUPES</v>
      </c>
      <c r="H111" s="1187">
        <f t="shared" ref="H111:I111" si="96">IF(OR(C111=0,C111="SCORE"),"",C111)</f>
        <v>147.35</v>
      </c>
      <c r="I111" s="1188">
        <f t="shared" si="96"/>
        <v>127.86</v>
      </c>
      <c r="J111" s="13" t="str">
        <f t="shared" si="4"/>
        <v>POPEYES</v>
      </c>
      <c r="K111" s="13" t="str">
        <f t="shared" si="5"/>
        <v>Game</v>
      </c>
    </row>
    <row r="112" ht="15.75" customHeight="1">
      <c r="A112" s="1185"/>
      <c r="B112" s="1179" t="s">
        <v>743</v>
      </c>
      <c r="C112" s="1186">
        <v>181.68</v>
      </c>
      <c r="D112" s="1186">
        <v>146.76</v>
      </c>
      <c r="E112" s="1179" t="s">
        <v>724</v>
      </c>
      <c r="F112" s="1185" t="s">
        <v>2155</v>
      </c>
      <c r="G112" s="13" t="str">
        <f t="shared" si="2"/>
        <v>CHAMPS</v>
      </c>
      <c r="H112" s="1187">
        <f t="shared" ref="H112:I112" si="97">IF(OR(C112=0,C112="SCORE"),"",C112)</f>
        <v>181.68</v>
      </c>
      <c r="I112" s="1188">
        <f t="shared" si="97"/>
        <v>146.76</v>
      </c>
      <c r="J112" s="13" t="str">
        <f t="shared" si="4"/>
        <v>METAMOOKDAWGS</v>
      </c>
      <c r="K112" s="13" t="str">
        <f t="shared" si="5"/>
        <v>Game</v>
      </c>
    </row>
    <row r="113" ht="15.75" hidden="1" customHeight="1">
      <c r="A113" s="1185" t="s">
        <v>2156</v>
      </c>
      <c r="B113" s="1179"/>
      <c r="C113" s="1186"/>
      <c r="D113" s="1186"/>
      <c r="E113" s="1179"/>
      <c r="F113" s="1185"/>
      <c r="G113" s="13">
        <f t="shared" si="2"/>
        <v>1</v>
      </c>
      <c r="H113" s="224" t="str">
        <f t="shared" ref="H113:I113" si="98">IF(OR(C113=0,C113="SCORE"),"",C113)</f>
        <v/>
      </c>
      <c r="I113" s="13" t="str">
        <f t="shared" si="98"/>
        <v/>
      </c>
      <c r="J113" s="13" t="str">
        <f t="shared" si="4"/>
        <v/>
      </c>
      <c r="K113" s="13" t="str">
        <f t="shared" si="5"/>
        <v>N/A</v>
      </c>
    </row>
    <row r="114" ht="15.75" customHeight="1">
      <c r="A114" s="1185" t="s">
        <v>2157</v>
      </c>
      <c r="B114" s="1179" t="s">
        <v>727</v>
      </c>
      <c r="C114" s="1186">
        <v>199.57</v>
      </c>
      <c r="D114" s="1186">
        <v>126.19</v>
      </c>
      <c r="E114" s="1179" t="s">
        <v>723</v>
      </c>
      <c r="F114" s="1185" t="s">
        <v>2158</v>
      </c>
      <c r="G114" s="13" t="str">
        <f t="shared" si="2"/>
        <v>GREEN</v>
      </c>
      <c r="H114" s="1187">
        <f t="shared" ref="H114:I114" si="99">IF(OR(C114=0,C114="SCORE"),"",C114)</f>
        <v>199.57</v>
      </c>
      <c r="I114" s="1188">
        <f t="shared" si="99"/>
        <v>126.19</v>
      </c>
      <c r="J114" s="13" t="str">
        <f t="shared" si="4"/>
        <v>SAVAGES</v>
      </c>
      <c r="K114" s="13" t="str">
        <f t="shared" si="5"/>
        <v>Game</v>
      </c>
    </row>
    <row r="115" ht="15.75" customHeight="1">
      <c r="A115" s="1216" t="s">
        <v>2159</v>
      </c>
      <c r="B115" s="1217" t="s">
        <v>725</v>
      </c>
      <c r="C115" s="1218">
        <v>151.68</v>
      </c>
      <c r="D115" s="1218">
        <v>279.74</v>
      </c>
      <c r="E115" s="1217" t="s">
        <v>721</v>
      </c>
      <c r="F115" s="1216" t="s">
        <v>2160</v>
      </c>
      <c r="G115" s="288" t="str">
        <f t="shared" si="2"/>
        <v>YARDIES</v>
      </c>
      <c r="H115" s="1219">
        <f t="shared" ref="H115:I115" si="100">IF(OR(C115=0,C115="SCORE"),"",C115)</f>
        <v>151.68</v>
      </c>
      <c r="I115" s="1220">
        <f t="shared" si="100"/>
        <v>279.74</v>
      </c>
      <c r="J115" s="288" t="str">
        <f t="shared" si="4"/>
        <v>MUTTS</v>
      </c>
      <c r="K115" s="288" t="str">
        <f t="shared" si="5"/>
        <v>Game</v>
      </c>
      <c r="L115" s="288"/>
      <c r="M115" s="288"/>
      <c r="N115" s="288"/>
      <c r="O115" s="288"/>
      <c r="P115" s="288"/>
      <c r="Q115" s="288"/>
      <c r="R115" s="288"/>
      <c r="S115" s="288"/>
      <c r="T115" s="288"/>
      <c r="U115" s="288"/>
      <c r="V115" s="288"/>
      <c r="W115" s="288"/>
      <c r="X115" s="288"/>
      <c r="Y115" s="288"/>
      <c r="Z115" s="288"/>
    </row>
    <row r="116" ht="19.5" hidden="1" customHeight="1">
      <c r="A116" s="1181" t="s">
        <v>1056</v>
      </c>
      <c r="G116" s="13">
        <f t="shared" si="2"/>
        <v>1</v>
      </c>
      <c r="H116" s="224" t="str">
        <f t="shared" ref="H116:I116" si="101">IF(OR(C116=0,C116="SCORE"),"",C116)</f>
        <v/>
      </c>
      <c r="I116" s="13" t="str">
        <f t="shared" si="101"/>
        <v/>
      </c>
      <c r="J116" s="13" t="str">
        <f t="shared" si="4"/>
        <v/>
      </c>
      <c r="K116" s="13" t="str">
        <f t="shared" si="5"/>
        <v>N/A</v>
      </c>
    </row>
    <row r="117" ht="15.75" hidden="1" customHeight="1">
      <c r="A117" s="1182" t="s">
        <v>731</v>
      </c>
      <c r="B117" s="1183"/>
      <c r="C117" s="1182" t="s">
        <v>510</v>
      </c>
      <c r="D117" s="1182" t="s">
        <v>510</v>
      </c>
      <c r="E117" s="1183"/>
      <c r="F117" s="1182" t="s">
        <v>732</v>
      </c>
      <c r="G117" s="13">
        <f t="shared" si="2"/>
        <v>1</v>
      </c>
      <c r="H117" s="224" t="str">
        <f t="shared" ref="H117:I117" si="102">IF(OR(C117=0,C117="SCORE"),"",C117)</f>
        <v/>
      </c>
      <c r="I117" s="13" t="str">
        <f t="shared" si="102"/>
        <v/>
      </c>
      <c r="J117" s="13" t="str">
        <f t="shared" si="4"/>
        <v/>
      </c>
      <c r="K117" s="13" t="str">
        <f t="shared" si="5"/>
        <v>N/A</v>
      </c>
    </row>
    <row r="118" ht="15.75" customHeight="1">
      <c r="A118" s="1185"/>
      <c r="B118" s="1179" t="s">
        <v>743</v>
      </c>
      <c r="C118" s="1186">
        <v>149.36</v>
      </c>
      <c r="D118" s="1186">
        <v>198.83</v>
      </c>
      <c r="E118" s="1179" t="s">
        <v>721</v>
      </c>
      <c r="F118" s="1185" t="s">
        <v>2162</v>
      </c>
      <c r="G118" s="13" t="str">
        <f t="shared" si="2"/>
        <v>CHAMPS</v>
      </c>
      <c r="H118" s="1187">
        <f t="shared" ref="H118:I118" si="103">IF(OR(C118=0,C118="SCORE"),"",C118)</f>
        <v>149.36</v>
      </c>
      <c r="I118" s="1188">
        <f t="shared" si="103"/>
        <v>198.83</v>
      </c>
      <c r="J118" s="13" t="str">
        <f t="shared" si="4"/>
        <v>MUTTS</v>
      </c>
      <c r="K118" s="13" t="str">
        <f t="shared" si="5"/>
        <v>Game</v>
      </c>
    </row>
    <row r="119" ht="15.75" hidden="1" customHeight="1">
      <c r="A119" s="1185" t="s">
        <v>2163</v>
      </c>
      <c r="B119" s="1179"/>
      <c r="C119" s="1186"/>
      <c r="D119" s="1186"/>
      <c r="E119" s="1179"/>
      <c r="F119" s="1185"/>
      <c r="G119" s="13">
        <f t="shared" si="2"/>
        <v>1</v>
      </c>
      <c r="H119" s="224" t="str">
        <f t="shared" ref="H119:I119" si="104">IF(OR(C119=0,C119="SCORE"),"",C119)</f>
        <v/>
      </c>
      <c r="I119" s="13" t="str">
        <f t="shared" si="104"/>
        <v/>
      </c>
      <c r="J119" s="13" t="str">
        <f t="shared" si="4"/>
        <v/>
      </c>
      <c r="K119" s="13" t="str">
        <f t="shared" si="5"/>
        <v>N/A</v>
      </c>
    </row>
    <row r="120" ht="15.75" customHeight="1">
      <c r="A120" s="1185" t="s">
        <v>2164</v>
      </c>
      <c r="B120" s="1179" t="s">
        <v>726</v>
      </c>
      <c r="C120" s="1186">
        <v>214.97</v>
      </c>
      <c r="D120" s="1186">
        <v>184.95</v>
      </c>
      <c r="E120" s="1180" t="s">
        <v>722</v>
      </c>
      <c r="F120" s="1189" t="s">
        <v>2165</v>
      </c>
      <c r="G120" s="13" t="str">
        <f t="shared" si="2"/>
        <v>POPEYES</v>
      </c>
      <c r="H120" s="1187">
        <f t="shared" ref="H120:I120" si="105">IF(OR(C120=0,C120="SCORE"),"",C120)</f>
        <v>214.97</v>
      </c>
      <c r="I120" s="1188">
        <f t="shared" si="105"/>
        <v>184.95</v>
      </c>
      <c r="J120" s="13" t="str">
        <f t="shared" si="4"/>
        <v>DECOUPES</v>
      </c>
      <c r="K120" s="13" t="str">
        <f t="shared" si="5"/>
        <v>Game</v>
      </c>
    </row>
    <row r="121" ht="15.75" customHeight="1">
      <c r="A121" s="1185" t="s">
        <v>2166</v>
      </c>
      <c r="B121" s="1179" t="s">
        <v>724</v>
      </c>
      <c r="C121" s="1186">
        <v>205.58</v>
      </c>
      <c r="D121" s="1186">
        <v>156.21</v>
      </c>
      <c r="E121" s="1179" t="s">
        <v>723</v>
      </c>
      <c r="F121" s="1185" t="s">
        <v>2167</v>
      </c>
      <c r="G121" s="13" t="str">
        <f t="shared" si="2"/>
        <v>METAMOOKDAWGS</v>
      </c>
      <c r="H121" s="1187">
        <f t="shared" ref="H121:I121" si="106">IF(OR(C121=0,C121="SCORE"),"",C121)</f>
        <v>205.58</v>
      </c>
      <c r="I121" s="1188">
        <f t="shared" si="106"/>
        <v>156.21</v>
      </c>
      <c r="J121" s="13" t="str">
        <f t="shared" si="4"/>
        <v>SAVAGES</v>
      </c>
      <c r="K121" s="13" t="str">
        <f t="shared" si="5"/>
        <v>Game</v>
      </c>
    </row>
    <row r="122" ht="15.75" hidden="1" customHeight="1">
      <c r="A122" s="1208" t="s">
        <v>850</v>
      </c>
      <c r="G122" s="13">
        <f t="shared" si="2"/>
        <v>1</v>
      </c>
      <c r="H122" s="224" t="str">
        <f t="shared" ref="H122:I122" si="107">IF(OR(C122=0,C122="SCORE"),"",C122)</f>
        <v/>
      </c>
      <c r="I122" s="13" t="str">
        <f t="shared" si="107"/>
        <v/>
      </c>
      <c r="J122" s="13" t="str">
        <f t="shared" si="4"/>
        <v/>
      </c>
      <c r="K122" s="13" t="str">
        <f t="shared" si="5"/>
        <v>N/A</v>
      </c>
    </row>
    <row r="123" ht="15.75" hidden="1" customHeight="1">
      <c r="A123" s="1208" t="s">
        <v>2168</v>
      </c>
      <c r="G123" s="13">
        <f t="shared" si="2"/>
        <v>1</v>
      </c>
      <c r="H123" s="224" t="str">
        <f t="shared" ref="H123:I123" si="108">IF(OR(C123=0,C123="SCORE"),"",C123)</f>
        <v/>
      </c>
      <c r="I123" s="13" t="str">
        <f t="shared" si="108"/>
        <v/>
      </c>
      <c r="J123" s="13" t="str">
        <f t="shared" si="4"/>
        <v/>
      </c>
      <c r="K123" s="13" t="str">
        <f t="shared" si="5"/>
        <v>N/A</v>
      </c>
    </row>
    <row r="124" ht="15.75" hidden="1" customHeight="1">
      <c r="A124" s="1208" t="s">
        <v>2169</v>
      </c>
      <c r="G124" s="13">
        <f t="shared" si="2"/>
        <v>1</v>
      </c>
      <c r="H124" s="224" t="str">
        <f t="shared" ref="H124:I124" si="109">IF(OR(C124=0,C124="SCORE"),"",C124)</f>
        <v/>
      </c>
      <c r="I124" s="13" t="str">
        <f t="shared" si="109"/>
        <v/>
      </c>
      <c r="J124" s="13" t="str">
        <f t="shared" si="4"/>
        <v/>
      </c>
      <c r="K124" s="13" t="str">
        <f t="shared" si="5"/>
        <v>N/A</v>
      </c>
    </row>
    <row r="125" ht="19.5" hidden="1" customHeight="1">
      <c r="A125" s="1181" t="s">
        <v>1073</v>
      </c>
      <c r="G125" s="13">
        <f t="shared" si="2"/>
        <v>1</v>
      </c>
      <c r="H125" s="224" t="str">
        <f t="shared" ref="H125:I125" si="110">IF(OR(C125=0,C125="SCORE"),"",C125)</f>
        <v/>
      </c>
      <c r="I125" s="13" t="str">
        <f t="shared" si="110"/>
        <v/>
      </c>
      <c r="J125" s="13" t="str">
        <f t="shared" si="4"/>
        <v/>
      </c>
      <c r="K125" s="13" t="str">
        <f t="shared" si="5"/>
        <v>N/A</v>
      </c>
    </row>
    <row r="126" ht="15.75" hidden="1" customHeight="1">
      <c r="A126" s="1182" t="s">
        <v>731</v>
      </c>
      <c r="B126" s="1183"/>
      <c r="C126" s="1182" t="s">
        <v>510</v>
      </c>
      <c r="D126" s="1182" t="s">
        <v>510</v>
      </c>
      <c r="E126" s="1183"/>
      <c r="F126" s="1182" t="s">
        <v>732</v>
      </c>
      <c r="G126" s="13">
        <f t="shared" si="2"/>
        <v>1</v>
      </c>
      <c r="H126" s="224" t="str">
        <f t="shared" ref="H126:I126" si="111">IF(OR(C126=0,C126="SCORE"),"",C126)</f>
        <v/>
      </c>
      <c r="I126" s="13" t="str">
        <f t="shared" si="111"/>
        <v/>
      </c>
      <c r="J126" s="13" t="str">
        <f t="shared" si="4"/>
        <v/>
      </c>
      <c r="K126" s="13" t="str">
        <f t="shared" si="5"/>
        <v>N/A</v>
      </c>
    </row>
    <row r="127" ht="15.75" customHeight="1">
      <c r="A127" s="1185" t="s">
        <v>2170</v>
      </c>
      <c r="B127" s="1179" t="s">
        <v>721</v>
      </c>
      <c r="C127" s="1186">
        <v>216.44</v>
      </c>
      <c r="D127" s="1186">
        <v>142.21</v>
      </c>
      <c r="E127" s="1179" t="s">
        <v>725</v>
      </c>
      <c r="F127" s="1185" t="s">
        <v>2171</v>
      </c>
      <c r="G127" s="13" t="str">
        <f t="shared" si="2"/>
        <v>MUTTS</v>
      </c>
      <c r="H127" s="1187">
        <f t="shared" ref="H127:I127" si="112">IF(OR(C127=0,C127="SCORE"),"",C127)</f>
        <v>216.44</v>
      </c>
      <c r="I127" s="1188">
        <f t="shared" si="112"/>
        <v>142.21</v>
      </c>
      <c r="J127" s="13" t="str">
        <f t="shared" si="4"/>
        <v>YARDIES</v>
      </c>
      <c r="K127" s="13" t="str">
        <f t="shared" si="5"/>
        <v>Game</v>
      </c>
    </row>
    <row r="128" ht="15.75" customHeight="1">
      <c r="A128" s="1185" t="s">
        <v>2172</v>
      </c>
      <c r="B128" s="1179" t="s">
        <v>726</v>
      </c>
      <c r="C128" s="1186">
        <v>174.78</v>
      </c>
      <c r="D128" s="1186">
        <v>234.62</v>
      </c>
      <c r="E128" s="1179" t="s">
        <v>727</v>
      </c>
      <c r="F128" s="1185" t="s">
        <v>2173</v>
      </c>
      <c r="G128" s="13" t="str">
        <f t="shared" si="2"/>
        <v>POPEYES</v>
      </c>
      <c r="H128" s="1187">
        <f t="shared" ref="H128:I128" si="113">IF(OR(C128=0,C128="SCORE"),"",C128)</f>
        <v>174.78</v>
      </c>
      <c r="I128" s="1188">
        <f t="shared" si="113"/>
        <v>234.62</v>
      </c>
      <c r="J128" s="13" t="str">
        <f t="shared" si="4"/>
        <v>GREEN</v>
      </c>
      <c r="K128" s="13" t="str">
        <f t="shared" si="5"/>
        <v>Game</v>
      </c>
    </row>
    <row r="129" ht="15.75" customHeight="1">
      <c r="A129" s="1185"/>
      <c r="B129" s="1179" t="s">
        <v>743</v>
      </c>
      <c r="C129" s="1186">
        <v>176.39</v>
      </c>
      <c r="D129" s="1186">
        <v>125.08</v>
      </c>
      <c r="E129" s="1180" t="s">
        <v>722</v>
      </c>
      <c r="F129" s="1189" t="s">
        <v>2174</v>
      </c>
      <c r="G129" s="13" t="str">
        <f t="shared" si="2"/>
        <v>CHAMPS</v>
      </c>
      <c r="H129" s="1187">
        <f t="shared" ref="H129:I129" si="114">IF(OR(C129=0,C129="SCORE"),"",C129)</f>
        <v>176.39</v>
      </c>
      <c r="I129" s="1188">
        <f t="shared" si="114"/>
        <v>125.08</v>
      </c>
      <c r="J129" s="13" t="str">
        <f t="shared" si="4"/>
        <v>DECOUPES</v>
      </c>
      <c r="K129" s="13" t="str">
        <f t="shared" si="5"/>
        <v>Game</v>
      </c>
    </row>
    <row r="130" ht="15.75" hidden="1" customHeight="1">
      <c r="A130" s="1185" t="s">
        <v>2175</v>
      </c>
      <c r="B130" s="1179"/>
      <c r="C130" s="1186"/>
      <c r="D130" s="1186"/>
      <c r="E130" s="1180"/>
      <c r="F130" s="1189"/>
      <c r="G130" s="13">
        <f t="shared" si="2"/>
        <v>1</v>
      </c>
      <c r="H130" s="224" t="str">
        <f t="shared" ref="H130:I130" si="115">IF(OR(C130=0,C130="SCORE"),"",C130)</f>
        <v/>
      </c>
      <c r="I130" s="13" t="str">
        <f t="shared" si="115"/>
        <v/>
      </c>
      <c r="J130" s="13" t="str">
        <f t="shared" si="4"/>
        <v/>
      </c>
      <c r="K130" s="13" t="str">
        <f t="shared" si="5"/>
        <v>N/A</v>
      </c>
    </row>
    <row r="131" ht="15.75" customHeight="1">
      <c r="A131" s="1185" t="s">
        <v>2176</v>
      </c>
      <c r="B131" s="1179" t="s">
        <v>724</v>
      </c>
      <c r="C131" s="1186">
        <v>153.22</v>
      </c>
      <c r="D131" s="1186">
        <v>154.57</v>
      </c>
      <c r="E131" s="1179" t="s">
        <v>723</v>
      </c>
      <c r="F131" s="1185" t="s">
        <v>2177</v>
      </c>
      <c r="G131" s="13" t="str">
        <f t="shared" si="2"/>
        <v>METAMOOKDAWGS</v>
      </c>
      <c r="H131" s="1187">
        <f t="shared" ref="H131:I131" si="116">IF(OR(C131=0,C131="SCORE"),"",C131)</f>
        <v>153.22</v>
      </c>
      <c r="I131" s="1188">
        <f t="shared" si="116"/>
        <v>154.57</v>
      </c>
      <c r="J131" s="13" t="str">
        <f t="shared" si="4"/>
        <v>SAVAGES</v>
      </c>
      <c r="K131" s="13" t="str">
        <f t="shared" si="5"/>
        <v>Game</v>
      </c>
    </row>
    <row r="132" ht="19.5" hidden="1" customHeight="1">
      <c r="A132" s="1181" t="s">
        <v>1085</v>
      </c>
      <c r="G132" s="13">
        <f t="shared" si="2"/>
        <v>1</v>
      </c>
      <c r="H132" s="224" t="str">
        <f t="shared" ref="H132:I132" si="117">IF(OR(C132=0,C132="SCORE"),"",C132)</f>
        <v/>
      </c>
      <c r="I132" s="13" t="str">
        <f t="shared" si="117"/>
        <v/>
      </c>
      <c r="J132" s="13" t="str">
        <f t="shared" si="4"/>
        <v/>
      </c>
      <c r="K132" s="13" t="str">
        <f t="shared" si="5"/>
        <v>N/A</v>
      </c>
    </row>
    <row r="133" ht="15.75" hidden="1" customHeight="1">
      <c r="A133" s="1182" t="s">
        <v>731</v>
      </c>
      <c r="B133" s="1183"/>
      <c r="C133" s="1182" t="s">
        <v>510</v>
      </c>
      <c r="D133" s="1182" t="s">
        <v>510</v>
      </c>
      <c r="E133" s="1183"/>
      <c r="F133" s="1182" t="s">
        <v>732</v>
      </c>
      <c r="G133" s="13">
        <f t="shared" si="2"/>
        <v>1</v>
      </c>
      <c r="H133" s="224" t="str">
        <f t="shared" ref="H133:I133" si="118">IF(OR(C133=0,C133="SCORE"),"",C133)</f>
        <v/>
      </c>
      <c r="I133" s="13" t="str">
        <f t="shared" si="118"/>
        <v/>
      </c>
      <c r="J133" s="13" t="str">
        <f t="shared" si="4"/>
        <v/>
      </c>
      <c r="K133" s="13" t="str">
        <f t="shared" si="5"/>
        <v>N/A</v>
      </c>
    </row>
    <row r="134" ht="15.75" customHeight="1">
      <c r="A134" s="1185" t="s">
        <v>2178</v>
      </c>
      <c r="B134" s="1179" t="s">
        <v>721</v>
      </c>
      <c r="C134" s="1186">
        <v>135.08</v>
      </c>
      <c r="D134" s="1186">
        <v>190.07</v>
      </c>
      <c r="E134" s="1179" t="s">
        <v>727</v>
      </c>
      <c r="F134" s="1185" t="s">
        <v>2180</v>
      </c>
      <c r="G134" s="13" t="str">
        <f t="shared" si="2"/>
        <v>MUTTS</v>
      </c>
      <c r="H134" s="1187">
        <f t="shared" ref="H134:I134" si="119">IF(OR(C134=0,C134="SCORE"),"",C134)</f>
        <v>135.08</v>
      </c>
      <c r="I134" s="1188">
        <f t="shared" si="119"/>
        <v>190.07</v>
      </c>
      <c r="J134" s="13" t="str">
        <f t="shared" si="4"/>
        <v>GREEN</v>
      </c>
      <c r="K134" s="13" t="str">
        <f t="shared" si="5"/>
        <v>Game</v>
      </c>
    </row>
    <row r="135" ht="15.75" customHeight="1">
      <c r="A135" s="1185" t="s">
        <v>2181</v>
      </c>
      <c r="B135" s="1179" t="s">
        <v>726</v>
      </c>
      <c r="C135" s="1186">
        <v>129.85</v>
      </c>
      <c r="D135" s="1186">
        <v>158.52</v>
      </c>
      <c r="E135" s="1179" t="s">
        <v>725</v>
      </c>
      <c r="F135" s="1185" t="s">
        <v>2182</v>
      </c>
      <c r="G135" s="13" t="str">
        <f t="shared" si="2"/>
        <v>POPEYES</v>
      </c>
      <c r="H135" s="1187">
        <f t="shared" ref="H135:I135" si="120">IF(OR(C135=0,C135="SCORE"),"",C135)</f>
        <v>129.85</v>
      </c>
      <c r="I135" s="1188">
        <f t="shared" si="120"/>
        <v>158.52</v>
      </c>
      <c r="J135" s="13" t="str">
        <f t="shared" si="4"/>
        <v>YARDIES</v>
      </c>
      <c r="K135" s="13" t="str">
        <f t="shared" si="5"/>
        <v>Game</v>
      </c>
    </row>
    <row r="136" ht="15.75" customHeight="1">
      <c r="A136" s="1185"/>
      <c r="B136" s="1179" t="s">
        <v>743</v>
      </c>
      <c r="C136" s="1186">
        <v>153.82</v>
      </c>
      <c r="D136" s="1186">
        <v>142.58</v>
      </c>
      <c r="E136" s="1180" t="s">
        <v>722</v>
      </c>
      <c r="F136" s="1189" t="s">
        <v>2183</v>
      </c>
      <c r="G136" s="13" t="str">
        <f t="shared" si="2"/>
        <v>CHAMPS</v>
      </c>
      <c r="H136" s="1187">
        <f t="shared" ref="H136:I136" si="121">IF(OR(C136=0,C136="SCORE"),"",C136)</f>
        <v>153.82</v>
      </c>
      <c r="I136" s="1188">
        <f t="shared" si="121"/>
        <v>142.58</v>
      </c>
      <c r="J136" s="13" t="str">
        <f t="shared" si="4"/>
        <v>DECOUPES</v>
      </c>
      <c r="K136" s="13" t="str">
        <f t="shared" si="5"/>
        <v>Game</v>
      </c>
    </row>
    <row r="137" ht="15.75" hidden="1" customHeight="1">
      <c r="A137" s="1185" t="s">
        <v>2184</v>
      </c>
      <c r="B137" s="1179"/>
      <c r="C137" s="1186"/>
      <c r="D137" s="1186"/>
      <c r="E137" s="1180"/>
      <c r="F137" s="1189"/>
      <c r="G137" s="13">
        <f t="shared" si="2"/>
        <v>1</v>
      </c>
      <c r="H137" s="224" t="str">
        <f t="shared" ref="H137:I137" si="122">IF(OR(C137=0,C137="SCORE"),"",C137)</f>
        <v/>
      </c>
      <c r="I137" s="13" t="str">
        <f t="shared" si="122"/>
        <v/>
      </c>
      <c r="J137" s="13" t="str">
        <f t="shared" si="4"/>
        <v/>
      </c>
      <c r="K137" s="13" t="str">
        <f t="shared" si="5"/>
        <v>N/A</v>
      </c>
    </row>
    <row r="138" ht="15.75" customHeight="1">
      <c r="A138" s="1185" t="s">
        <v>2185</v>
      </c>
      <c r="B138" s="1179" t="s">
        <v>724</v>
      </c>
      <c r="C138" s="1186">
        <v>171.88</v>
      </c>
      <c r="D138" s="1186">
        <v>220.56</v>
      </c>
      <c r="E138" s="1179" t="s">
        <v>723</v>
      </c>
      <c r="F138" s="1185" t="s">
        <v>2186</v>
      </c>
      <c r="G138" s="13" t="str">
        <f t="shared" si="2"/>
        <v>METAMOOKDAWGS</v>
      </c>
      <c r="H138" s="1187">
        <f t="shared" ref="H138:I138" si="123">IF(OR(C138=0,C138="SCORE"),"",C138)</f>
        <v>171.88</v>
      </c>
      <c r="I138" s="1188">
        <f t="shared" si="123"/>
        <v>220.56</v>
      </c>
      <c r="J138" s="13" t="str">
        <f t="shared" si="4"/>
        <v>SAVAGES</v>
      </c>
      <c r="K138" s="13" t="str">
        <f t="shared" si="5"/>
        <v>Game</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19:$K$138">
    <filterColumn colId="4">
      <filters>
        <filter val="Game"/>
      </filters>
    </filterColumn>
  </autoFilter>
  <hyperlinks>
    <hyperlink r:id="rId1" ref="C20"/>
    <hyperlink r:id="rId2" ref="D20"/>
    <hyperlink r:id="rId3" ref="C22"/>
    <hyperlink r:id="rId4" ref="D22"/>
    <hyperlink r:id="rId5" ref="C23"/>
    <hyperlink r:id="rId6" ref="D23"/>
    <hyperlink r:id="rId7" ref="C24"/>
    <hyperlink r:id="rId8" ref="D24"/>
    <hyperlink r:id="rId9" ref="C27"/>
    <hyperlink r:id="rId10" ref="D27"/>
    <hyperlink r:id="rId11" ref="C28"/>
    <hyperlink r:id="rId12" ref="D28"/>
    <hyperlink r:id="rId13" ref="C30"/>
    <hyperlink r:id="rId14" ref="D30"/>
    <hyperlink r:id="rId15" ref="C31"/>
    <hyperlink r:id="rId16" ref="D31"/>
    <hyperlink r:id="rId17" ref="C34"/>
    <hyperlink r:id="rId18" ref="D34"/>
    <hyperlink r:id="rId19" ref="C35"/>
    <hyperlink r:id="rId20" ref="D35"/>
    <hyperlink r:id="rId21" ref="C36"/>
    <hyperlink r:id="rId22" ref="D36"/>
    <hyperlink r:id="rId23" ref="C38"/>
    <hyperlink r:id="rId24" ref="D38"/>
    <hyperlink r:id="rId25" ref="C41"/>
    <hyperlink r:id="rId26" ref="D41"/>
    <hyperlink r:id="rId27" ref="C42"/>
    <hyperlink r:id="rId28" ref="D42"/>
    <hyperlink r:id="rId29" ref="C44"/>
    <hyperlink r:id="rId30" ref="D44"/>
    <hyperlink r:id="rId31" ref="C45"/>
    <hyperlink r:id="rId32" ref="D45"/>
    <hyperlink r:id="rId33" ref="C48"/>
    <hyperlink r:id="rId34" ref="D48"/>
    <hyperlink r:id="rId35" ref="C49"/>
    <hyperlink r:id="rId36" ref="D49"/>
    <hyperlink r:id="rId37" ref="C51"/>
    <hyperlink r:id="rId38" ref="D51"/>
    <hyperlink r:id="rId39" ref="C52"/>
    <hyperlink r:id="rId40" ref="D52"/>
    <hyperlink r:id="rId41" ref="C55"/>
    <hyperlink r:id="rId42" ref="D55"/>
    <hyperlink r:id="rId43" ref="C56"/>
    <hyperlink r:id="rId44" ref="D56"/>
    <hyperlink r:id="rId45" ref="C58"/>
    <hyperlink r:id="rId46" ref="D58"/>
    <hyperlink r:id="rId47" ref="C59"/>
    <hyperlink r:id="rId48" ref="D59"/>
    <hyperlink r:id="rId49" ref="C62"/>
    <hyperlink r:id="rId50" ref="D62"/>
    <hyperlink r:id="rId51" ref="C63"/>
    <hyperlink r:id="rId52" ref="D63"/>
    <hyperlink r:id="rId53" ref="C65"/>
    <hyperlink r:id="rId54" ref="D65"/>
    <hyperlink r:id="rId55" ref="C66"/>
    <hyperlink r:id="rId56" ref="D66"/>
    <hyperlink r:id="rId57" ref="C69"/>
    <hyperlink r:id="rId58" ref="D69"/>
    <hyperlink r:id="rId59" ref="C70"/>
    <hyperlink r:id="rId60" ref="D70"/>
    <hyperlink r:id="rId61" ref="C72"/>
    <hyperlink r:id="rId62" ref="D72"/>
    <hyperlink r:id="rId63" ref="C73"/>
    <hyperlink r:id="rId64" ref="D73"/>
    <hyperlink r:id="rId65" ref="C76"/>
    <hyperlink r:id="rId66" ref="D76"/>
    <hyperlink r:id="rId67" ref="C77"/>
    <hyperlink r:id="rId68" ref="D77"/>
    <hyperlink r:id="rId69" ref="C78"/>
    <hyperlink r:id="rId70" ref="D78"/>
    <hyperlink r:id="rId71" ref="C79"/>
    <hyperlink r:id="rId72" ref="D79"/>
    <hyperlink r:id="rId73" ref="C83"/>
    <hyperlink r:id="rId74" ref="D83"/>
    <hyperlink r:id="rId75" ref="C84"/>
    <hyperlink r:id="rId76" ref="D84"/>
    <hyperlink r:id="rId77" ref="C86"/>
    <hyperlink r:id="rId78" ref="D86"/>
    <hyperlink r:id="rId79" ref="C87"/>
    <hyperlink r:id="rId80" ref="D87"/>
    <hyperlink r:id="rId81" ref="C90"/>
    <hyperlink r:id="rId82" ref="D90"/>
    <hyperlink r:id="rId83" ref="C92"/>
    <hyperlink r:id="rId84" ref="D92"/>
    <hyperlink r:id="rId85" ref="C93"/>
    <hyperlink r:id="rId86" ref="D93"/>
    <hyperlink r:id="rId87" ref="C94"/>
    <hyperlink r:id="rId88" ref="D94"/>
    <hyperlink r:id="rId89" ref="C97"/>
    <hyperlink r:id="rId90" ref="D97"/>
    <hyperlink r:id="rId91" ref="C98"/>
    <hyperlink r:id="rId92" ref="D98"/>
    <hyperlink r:id="rId93" ref="C100"/>
    <hyperlink r:id="rId94" ref="D100"/>
    <hyperlink r:id="rId95" ref="C101"/>
    <hyperlink r:id="rId96" ref="D101"/>
    <hyperlink r:id="rId97" ref="C104"/>
    <hyperlink r:id="rId98" ref="D104"/>
    <hyperlink r:id="rId99" ref="C105"/>
    <hyperlink r:id="rId100" ref="D105"/>
    <hyperlink r:id="rId101" ref="C107"/>
    <hyperlink r:id="rId102" ref="D107"/>
    <hyperlink r:id="rId103" ref="C108"/>
    <hyperlink r:id="rId104" ref="D108"/>
    <hyperlink r:id="rId105" ref="C111"/>
    <hyperlink r:id="rId106" ref="D111"/>
    <hyperlink r:id="rId107" ref="C112"/>
    <hyperlink r:id="rId108" ref="D112"/>
    <hyperlink r:id="rId109" ref="C114"/>
    <hyperlink r:id="rId110" ref="D114"/>
    <hyperlink r:id="rId111" ref="C115"/>
    <hyperlink r:id="rId112" ref="D115"/>
    <hyperlink r:id="rId113" ref="C118"/>
    <hyperlink r:id="rId114" ref="D118"/>
    <hyperlink r:id="rId115" ref="C120"/>
    <hyperlink r:id="rId116" ref="D120"/>
    <hyperlink r:id="rId117" ref="C121"/>
    <hyperlink r:id="rId118" ref="D121"/>
    <hyperlink r:id="rId119" ref="C127"/>
    <hyperlink r:id="rId120" ref="D127"/>
    <hyperlink r:id="rId121" ref="C128"/>
    <hyperlink r:id="rId122" ref="D128"/>
    <hyperlink r:id="rId123" ref="C129"/>
    <hyperlink r:id="rId124" ref="D129"/>
    <hyperlink r:id="rId125" ref="C131"/>
    <hyperlink r:id="rId126" ref="D131"/>
    <hyperlink r:id="rId127" ref="C134"/>
    <hyperlink r:id="rId128" ref="D134"/>
    <hyperlink r:id="rId129" ref="C135"/>
    <hyperlink r:id="rId130" ref="D135"/>
    <hyperlink r:id="rId131" ref="C136"/>
    <hyperlink r:id="rId132" ref="D136"/>
    <hyperlink r:id="rId133" ref="C138"/>
    <hyperlink r:id="rId134" ref="D138"/>
  </hyperlinks>
  <printOptions/>
  <pageMargins bottom="0.75" footer="0.0" header="0.0" left="0.7" right="0.7" top="0.75"/>
  <pageSetup orientation="landscape"/>
  <drawing r:id="rId13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3.0"/>
    <col customWidth="1" min="3" max="3" width="18.0"/>
    <col customWidth="1" min="4" max="114" width="10.56"/>
  </cols>
  <sheetData>
    <row r="1" ht="15.75" customHeight="1"/>
    <row r="2" ht="15.75" customHeight="1">
      <c r="A2" s="1678"/>
      <c r="B2" s="1678" t="s">
        <v>298</v>
      </c>
      <c r="C2" s="1678"/>
      <c r="D2" s="586" t="str">
        <f>Settings!$A$3</f>
        <v>DECOUPES</v>
      </c>
      <c r="E2" s="586" t="str">
        <f>Settings!$A$3</f>
        <v>DECOUPES</v>
      </c>
      <c r="F2" s="586" t="str">
        <f>Settings!$A$3</f>
        <v>DECOUPES</v>
      </c>
      <c r="G2" s="586" t="str">
        <f>Settings!$A$3</f>
        <v>DECOUPES</v>
      </c>
      <c r="H2" s="586" t="str">
        <f>Settings!$A$3</f>
        <v>DECOUPES</v>
      </c>
      <c r="I2" s="586" t="str">
        <f>Settings!$A$3</f>
        <v>DECOUPES</v>
      </c>
      <c r="J2" s="586" t="str">
        <f>Settings!$A$3</f>
        <v>DECOUPES</v>
      </c>
      <c r="K2" s="586" t="str">
        <f>Settings!$A$3</f>
        <v>DECOUPES</v>
      </c>
      <c r="L2" s="586" t="str">
        <f>Settings!$A$3</f>
        <v>DECOUPES</v>
      </c>
      <c r="M2" s="586" t="str">
        <f>Settings!$A$3</f>
        <v>DECOUPES</v>
      </c>
      <c r="N2" s="586" t="str">
        <f>Settings!$A$3</f>
        <v>DECOUPES</v>
      </c>
      <c r="O2" s="586" t="str">
        <f>Settings!$A$3</f>
        <v>DECOUPES</v>
      </c>
      <c r="P2" s="586" t="str">
        <f>Settings!$A$3</f>
        <v>DECOUPES</v>
      </c>
      <c r="Q2" s="857" t="str">
        <f>Settings!$A$4</f>
        <v>POPEYES</v>
      </c>
      <c r="R2" s="857" t="str">
        <f>Settings!$A$4</f>
        <v>POPEYES</v>
      </c>
      <c r="S2" s="857" t="str">
        <f>Settings!$A$4</f>
        <v>POPEYES</v>
      </c>
      <c r="T2" s="857" t="str">
        <f>Settings!$A$4</f>
        <v>POPEYES</v>
      </c>
      <c r="U2" s="857" t="str">
        <f>Settings!$A$4</f>
        <v>POPEYES</v>
      </c>
      <c r="V2" s="857" t="str">
        <f>Settings!$A$4</f>
        <v>POPEYES</v>
      </c>
      <c r="W2" s="857" t="str">
        <f>Settings!$A$4</f>
        <v>POPEYES</v>
      </c>
      <c r="X2" s="857" t="str">
        <f>Settings!$A$4</f>
        <v>POPEYES</v>
      </c>
      <c r="Y2" s="857" t="str">
        <f>Settings!$A$4</f>
        <v>POPEYES</v>
      </c>
      <c r="Z2" s="857" t="str">
        <f>Settings!$A$4</f>
        <v>POPEYES</v>
      </c>
      <c r="AA2" s="857" t="str">
        <f>Settings!$A$4</f>
        <v>POPEYES</v>
      </c>
      <c r="AB2" s="857" t="str">
        <f>Settings!$A$4</f>
        <v>POPEYES</v>
      </c>
      <c r="AC2" s="857" t="str">
        <f>Settings!$A$4</f>
        <v>POPEYES</v>
      </c>
      <c r="AD2" s="857" t="str">
        <f>Settings!$A$4</f>
        <v>POPEYES</v>
      </c>
      <c r="AE2" s="859" t="str">
        <f>Settings!$A$5</f>
        <v>GREEN</v>
      </c>
      <c r="AF2" s="859" t="str">
        <f>Settings!$A$5</f>
        <v>GREEN</v>
      </c>
      <c r="AG2" s="859" t="str">
        <f>Settings!$A$5</f>
        <v>GREEN</v>
      </c>
      <c r="AH2" s="859" t="str">
        <f>Settings!$A$5</f>
        <v>GREEN</v>
      </c>
      <c r="AI2" s="859" t="str">
        <f>Settings!$A$5</f>
        <v>GREEN</v>
      </c>
      <c r="AJ2" s="859" t="str">
        <f>Settings!$A$5</f>
        <v>GREEN</v>
      </c>
      <c r="AK2" s="859" t="str">
        <f>Settings!$A$5</f>
        <v>GREEN</v>
      </c>
      <c r="AL2" s="859" t="str">
        <f>Settings!$A$5</f>
        <v>GREEN</v>
      </c>
      <c r="AM2" s="859" t="str">
        <f>Settings!$A$5</f>
        <v>GREEN</v>
      </c>
      <c r="AN2" s="859" t="str">
        <f>Settings!$A$5</f>
        <v>GREEN</v>
      </c>
      <c r="AO2" s="859" t="str">
        <f>Settings!$A$5</f>
        <v>GREEN</v>
      </c>
      <c r="AP2" s="859" t="str">
        <f>Settings!$A$5</f>
        <v>GREEN</v>
      </c>
      <c r="AQ2" s="859" t="str">
        <f>Settings!$A$5</f>
        <v>GREEN</v>
      </c>
      <c r="AR2" s="859" t="str">
        <f>Settings!$A$5</f>
        <v>GREEN</v>
      </c>
      <c r="AS2" s="1678"/>
      <c r="AT2" s="885" t="str">
        <f>Settings!$A$6</f>
        <v>SAVAGES</v>
      </c>
      <c r="AU2" s="885" t="str">
        <f>Settings!$A$6</f>
        <v>SAVAGES</v>
      </c>
      <c r="AV2" s="885" t="str">
        <f>Settings!$A$6</f>
        <v>SAVAGES</v>
      </c>
      <c r="AW2" s="885" t="str">
        <f>Settings!$A$6</f>
        <v>SAVAGES</v>
      </c>
      <c r="AX2" s="885" t="str">
        <f>Settings!$A$6</f>
        <v>SAVAGES</v>
      </c>
      <c r="AY2" s="885" t="str">
        <f>Settings!$A$6</f>
        <v>SAVAGES</v>
      </c>
      <c r="AZ2" s="885" t="str">
        <f>Settings!$A$6</f>
        <v>SAVAGES</v>
      </c>
      <c r="BA2" s="885" t="str">
        <f>Settings!$A$6</f>
        <v>SAVAGES</v>
      </c>
      <c r="BB2" s="885" t="str">
        <f>Settings!$A$6</f>
        <v>SAVAGES</v>
      </c>
      <c r="BC2" s="885" t="str">
        <f>Settings!$A$6</f>
        <v>SAVAGES</v>
      </c>
      <c r="BD2" s="885" t="str">
        <f>Settings!$A$6</f>
        <v>SAVAGES</v>
      </c>
      <c r="BE2" s="885" t="str">
        <f>Settings!$A$6</f>
        <v>SAVAGES</v>
      </c>
      <c r="BF2" s="885" t="str">
        <f>Settings!$A$6</f>
        <v>SAVAGES</v>
      </c>
      <c r="BG2" s="903" t="str">
        <f>Settings!$A$7</f>
        <v>CHAMPS</v>
      </c>
      <c r="BH2" s="903" t="str">
        <f>Settings!$A$7</f>
        <v>CHAMPS</v>
      </c>
      <c r="BI2" s="903" t="str">
        <f>Settings!$A$7</f>
        <v>CHAMPS</v>
      </c>
      <c r="BJ2" s="903" t="str">
        <f>Settings!$A$7</f>
        <v>CHAMPS</v>
      </c>
      <c r="BK2" s="903" t="str">
        <f>Settings!$A$7</f>
        <v>CHAMPS</v>
      </c>
      <c r="BL2" s="903" t="str">
        <f>Settings!$A$7</f>
        <v>CHAMPS</v>
      </c>
      <c r="BM2" s="903" t="str">
        <f>Settings!$A$7</f>
        <v>CHAMPS</v>
      </c>
      <c r="BN2" s="903" t="str">
        <f>Settings!$A$7</f>
        <v>CHAMPS</v>
      </c>
      <c r="BO2" s="903" t="str">
        <f>Settings!$A$7</f>
        <v>CHAMPS</v>
      </c>
      <c r="BP2" s="903" t="str">
        <f>Settings!$A$7</f>
        <v>CHAMPS</v>
      </c>
      <c r="BQ2" s="903" t="str">
        <f>Settings!$A$7</f>
        <v>CHAMPS</v>
      </c>
      <c r="BR2" s="903" t="str">
        <f>Settings!$A$7</f>
        <v>CHAMPS</v>
      </c>
      <c r="BS2" s="903" t="str">
        <f>Settings!$A$7</f>
        <v>CHAMPS</v>
      </c>
      <c r="BT2" s="903" t="str">
        <f>Settings!$A$7</f>
        <v>CHAMPS</v>
      </c>
      <c r="BU2" s="937" t="str">
        <f>Settings!$A$8</f>
        <v>METAMOOKDAWGS</v>
      </c>
      <c r="BV2" s="937" t="str">
        <f>Settings!$A$8</f>
        <v>METAMOOKDAWGS</v>
      </c>
      <c r="BW2" s="937" t="str">
        <f>Settings!$A$8</f>
        <v>METAMOOKDAWGS</v>
      </c>
      <c r="BX2" s="937" t="str">
        <f>Settings!$A$8</f>
        <v>METAMOOKDAWGS</v>
      </c>
      <c r="BY2" s="937" t="str">
        <f>Settings!$A$8</f>
        <v>METAMOOKDAWGS</v>
      </c>
      <c r="BZ2" s="937" t="str">
        <f>Settings!$A$8</f>
        <v>METAMOOKDAWGS</v>
      </c>
      <c r="CA2" s="937" t="str">
        <f>Settings!$A$8</f>
        <v>METAMOOKDAWGS</v>
      </c>
      <c r="CB2" s="937" t="str">
        <f>Settings!$A$8</f>
        <v>METAMOOKDAWGS</v>
      </c>
      <c r="CC2" s="937" t="str">
        <f>Settings!$A$8</f>
        <v>METAMOOKDAWGS</v>
      </c>
      <c r="CD2" s="937" t="str">
        <f>Settings!$A$8</f>
        <v>METAMOOKDAWGS</v>
      </c>
      <c r="CE2" s="937" t="str">
        <f>Settings!$A$8</f>
        <v>METAMOOKDAWGS</v>
      </c>
      <c r="CF2" s="937" t="str">
        <f>Settings!$A$8</f>
        <v>METAMOOKDAWGS</v>
      </c>
      <c r="CG2" s="937" t="str">
        <f>Settings!$A$8</f>
        <v>METAMOOKDAWGS</v>
      </c>
      <c r="CH2" s="937" t="str">
        <f>Settings!$A$8</f>
        <v>METAMOOKDAWGS</v>
      </c>
      <c r="CI2" s="1004" t="str">
        <f>Settings!$A$9</f>
        <v>YARDIES</v>
      </c>
      <c r="CJ2" s="1004" t="str">
        <f>Settings!$A$9</f>
        <v>YARDIES</v>
      </c>
      <c r="CK2" s="1004" t="str">
        <f>Settings!$A$9</f>
        <v>YARDIES</v>
      </c>
      <c r="CL2" s="1004" t="str">
        <f>Settings!$A$9</f>
        <v>YARDIES</v>
      </c>
      <c r="CM2" s="1004" t="str">
        <f>Settings!$A$9</f>
        <v>YARDIES</v>
      </c>
      <c r="CN2" s="1004" t="str">
        <f>Settings!$A$9</f>
        <v>YARDIES</v>
      </c>
      <c r="CO2" s="1004" t="str">
        <f>Settings!$A$9</f>
        <v>YARDIES</v>
      </c>
      <c r="CP2" s="1004" t="str">
        <f>Settings!$A$9</f>
        <v>YARDIES</v>
      </c>
      <c r="CQ2" s="1004" t="str">
        <f>Settings!$A$9</f>
        <v>YARDIES</v>
      </c>
      <c r="CR2" s="1004" t="str">
        <f>Settings!$A$9</f>
        <v>YARDIES</v>
      </c>
      <c r="CS2" s="1004" t="str">
        <f>Settings!$A$9</f>
        <v>YARDIES</v>
      </c>
      <c r="CT2" s="1004" t="str">
        <f>Settings!$A$9</f>
        <v>YARDIES</v>
      </c>
      <c r="CU2" s="1004" t="str">
        <f>Settings!$A$9</f>
        <v>YARDIES</v>
      </c>
      <c r="CV2" s="1004" t="str">
        <f>Settings!$A$9</f>
        <v>YARDIES</v>
      </c>
      <c r="CW2" s="1017" t="str">
        <f>Settings!$A$10</f>
        <v>MUTTS</v>
      </c>
      <c r="CX2" s="1017" t="str">
        <f>Settings!$A$10</f>
        <v>MUTTS</v>
      </c>
      <c r="CY2" s="1017" t="str">
        <f>Settings!$A$10</f>
        <v>MUTTS</v>
      </c>
      <c r="CZ2" s="1017" t="str">
        <f>Settings!$A$10</f>
        <v>MUTTS</v>
      </c>
      <c r="DA2" s="1017" t="str">
        <f>Settings!$A$10</f>
        <v>MUTTS</v>
      </c>
      <c r="DB2" s="1017" t="str">
        <f>Settings!$A$10</f>
        <v>MUTTS</v>
      </c>
      <c r="DC2" s="1017" t="str">
        <f>Settings!$A$10</f>
        <v>MUTTS</v>
      </c>
      <c r="DD2" s="1017" t="str">
        <f>Settings!$A$10</f>
        <v>MUTTS</v>
      </c>
      <c r="DE2" s="1017" t="str">
        <f>Settings!$A$10</f>
        <v>MUTTS</v>
      </c>
      <c r="DF2" s="1017" t="str">
        <f>Settings!$A$10</f>
        <v>MUTTS</v>
      </c>
      <c r="DG2" s="1017" t="str">
        <f>Settings!$A$10</f>
        <v>MUTTS</v>
      </c>
      <c r="DH2" s="1017" t="str">
        <f>Settings!$A$10</f>
        <v>MUTTS</v>
      </c>
      <c r="DI2" s="1017" t="str">
        <f>Settings!$A$10</f>
        <v>MUTTS</v>
      </c>
      <c r="DJ2" s="1017" t="str">
        <f>Settings!$A$10</f>
        <v>MUTTS</v>
      </c>
    </row>
    <row r="3" ht="15.75" customHeight="1">
      <c r="B3" s="13" t="s">
        <v>510</v>
      </c>
      <c r="C3" s="230">
        <f>'Entry Sheet'!C19</f>
        <v>24.82</v>
      </c>
      <c r="D3" s="13">
        <f>'Entry Sheet'!E19</f>
        <v>25.6</v>
      </c>
      <c r="E3" s="13">
        <f>'Entry Sheet'!G19</f>
        <v>20.42</v>
      </c>
      <c r="F3" s="13">
        <f>'Entry Sheet'!I19</f>
        <v>32.44</v>
      </c>
      <c r="G3" s="13">
        <f>'Entry Sheet'!K19</f>
        <v>34.22</v>
      </c>
      <c r="H3" s="13">
        <f>'Entry Sheet'!M19</f>
        <v>31.74</v>
      </c>
      <c r="I3" s="13">
        <f>'Entry Sheet'!O19</f>
        <v>39.5</v>
      </c>
      <c r="J3" s="13">
        <f>'Entry Sheet'!Q19</f>
        <v>34.3</v>
      </c>
      <c r="K3" s="13">
        <f>'Entry Sheet'!S19</f>
        <v>18.8</v>
      </c>
      <c r="L3" s="13">
        <f>'Entry Sheet'!U19</f>
        <v>40.7</v>
      </c>
      <c r="M3" s="13">
        <f>'Entry Sheet'!W19</f>
        <v>36.12</v>
      </c>
      <c r="N3" s="13">
        <f>'Entry Sheet'!Y19</f>
        <v>58.9</v>
      </c>
      <c r="O3" s="13">
        <f>'Entry Sheet'!AA19</f>
        <v>29.5</v>
      </c>
      <c r="P3" s="13">
        <f>'Entry Sheet'!AC19</f>
        <v>38.2</v>
      </c>
      <c r="Q3" s="13">
        <f>'Entry Sheet'!C40</f>
        <v>29.48</v>
      </c>
      <c r="R3" s="13">
        <f>'Entry Sheet'!E40</f>
        <v>27.7</v>
      </c>
      <c r="S3" s="13">
        <f>'Entry Sheet'!G40</f>
        <v>27.2</v>
      </c>
      <c r="T3" s="13">
        <f>'Entry Sheet'!I40</f>
        <v>38.2</v>
      </c>
      <c r="U3" s="13">
        <f>'Entry Sheet'!K40</f>
        <v>35.26</v>
      </c>
      <c r="V3" s="13">
        <f>'Entry Sheet'!M40</f>
        <v>33.6</v>
      </c>
      <c r="W3" s="13">
        <f>'Entry Sheet'!O40</f>
        <v>34.3</v>
      </c>
      <c r="X3" s="13">
        <f>'Entry Sheet'!Q40</f>
        <v>21.9</v>
      </c>
      <c r="Y3" s="13">
        <f>'Entry Sheet'!S40</f>
        <v>39</v>
      </c>
      <c r="Z3" s="13">
        <f>'Entry Sheet'!U40</f>
        <v>43.7</v>
      </c>
      <c r="AA3" s="13">
        <f>'Entry Sheet'!W40</f>
        <v>34.2</v>
      </c>
      <c r="AB3" s="13">
        <f>'Entry Sheet'!Y40</f>
        <v>39.18</v>
      </c>
      <c r="AC3" s="13">
        <f>'Entry Sheet'!AA40</f>
        <v>22.6</v>
      </c>
      <c r="AD3" s="13">
        <f>'Entry Sheet'!AC40</f>
        <v>36.7</v>
      </c>
      <c r="AE3" s="13">
        <f>'Entry Sheet'!C61</f>
        <v>26.6</v>
      </c>
      <c r="AF3" s="13">
        <f>'Entry Sheet'!E61</f>
        <v>33</v>
      </c>
      <c r="AG3" s="13">
        <f>'Entry Sheet'!G61</f>
        <v>35.5</v>
      </c>
      <c r="AH3" s="13">
        <f>'Entry Sheet'!I61</f>
        <v>33.74</v>
      </c>
      <c r="AI3" s="13">
        <f>'Entry Sheet'!K61</f>
        <v>33.3</v>
      </c>
      <c r="AJ3" s="13">
        <f>'Entry Sheet'!M61</f>
        <v>38.7</v>
      </c>
      <c r="AK3" s="13">
        <f>'Entry Sheet'!O61</f>
        <v>45.26</v>
      </c>
      <c r="AL3" s="13">
        <f>'Entry Sheet'!Q61</f>
        <v>39.6</v>
      </c>
      <c r="AM3" s="13">
        <f>'Entry Sheet'!S61</f>
        <v>38.44</v>
      </c>
      <c r="AN3" s="13">
        <f>'Entry Sheet'!U61</f>
        <v>54.8</v>
      </c>
      <c r="AO3" s="13">
        <f>'Entry Sheet'!W61</f>
        <v>34</v>
      </c>
      <c r="AP3" s="13">
        <f>'Entry Sheet'!Y61</f>
        <v>31.92</v>
      </c>
      <c r="AQ3" s="13">
        <f>'Entry Sheet'!AA61</f>
        <v>36.2</v>
      </c>
      <c r="AR3" s="13">
        <f>'Entry Sheet'!AC61</f>
        <v>31.84</v>
      </c>
      <c r="AS3" s="13">
        <f>'Entry Sheet'!C82</f>
        <v>25.62</v>
      </c>
      <c r="AT3" s="13">
        <f>'Entry Sheet'!E82</f>
        <v>37.5</v>
      </c>
      <c r="AU3" s="13">
        <f>'Entry Sheet'!G82</f>
        <v>21.5</v>
      </c>
      <c r="AV3" s="13">
        <f>'Entry Sheet'!I82</f>
        <v>36.13</v>
      </c>
      <c r="AW3" s="13">
        <f>'Entry Sheet'!K82</f>
        <v>30</v>
      </c>
      <c r="AX3" s="13">
        <f>'Entry Sheet'!M82</f>
        <v>32.8</v>
      </c>
      <c r="AY3" s="13">
        <f>'Entry Sheet'!O82</f>
        <v>39.1</v>
      </c>
      <c r="AZ3" s="13">
        <f>'Entry Sheet'!Q82</f>
        <v>23.16</v>
      </c>
      <c r="BA3" s="13">
        <f>'Entry Sheet'!S82</f>
        <v>39.8</v>
      </c>
      <c r="BB3" s="13">
        <f>'Entry Sheet'!U82</f>
        <v>35.2</v>
      </c>
      <c r="BC3" s="13">
        <f>'Entry Sheet'!W82</f>
        <v>28.5</v>
      </c>
      <c r="BD3" s="13">
        <f>'Entry Sheet'!Y82</f>
        <v>26.5</v>
      </c>
      <c r="BE3" s="13">
        <f>'Entry Sheet'!AA82</f>
        <v>27.54</v>
      </c>
      <c r="BF3" s="13">
        <f>'Entry Sheet'!AC82</f>
        <v>27.2</v>
      </c>
      <c r="BG3" s="13">
        <f>'Entry Sheet'!C103</f>
        <v>38.82</v>
      </c>
      <c r="BH3" s="13">
        <f>'Entry Sheet'!E103</f>
        <v>25.88</v>
      </c>
      <c r="BI3" s="13">
        <f>'Entry Sheet'!G103</f>
        <v>54.64</v>
      </c>
      <c r="BJ3" s="13">
        <f>'Entry Sheet'!I103</f>
        <v>33.9</v>
      </c>
      <c r="BK3" s="13">
        <f>'Entry Sheet'!K103</f>
        <v>32.5</v>
      </c>
      <c r="BL3" s="13">
        <f>'Entry Sheet'!M103</f>
        <v>33.8</v>
      </c>
      <c r="BM3" s="13">
        <f>'Entry Sheet'!O103</f>
        <v>29.05</v>
      </c>
      <c r="BN3" s="13">
        <f>'Entry Sheet'!Q103</f>
        <v>33.38</v>
      </c>
      <c r="BO3" s="13">
        <f>'Entry Sheet'!S103</f>
        <v>33.6</v>
      </c>
      <c r="BP3" s="13">
        <f>'Entry Sheet'!U103</f>
        <v>23.8</v>
      </c>
      <c r="BQ3" s="13">
        <f>'Entry Sheet'!W103</f>
        <v>25.1</v>
      </c>
      <c r="BR3" s="13">
        <f>'Entry Sheet'!Y103</f>
        <v>23.35</v>
      </c>
      <c r="BS3" s="13">
        <f>'Entry Sheet'!AA103</f>
        <v>35.46</v>
      </c>
      <c r="BT3" s="13">
        <f>'Entry Sheet'!AC103</f>
        <v>26.36</v>
      </c>
      <c r="BU3" s="13">
        <f>'Entry Sheet'!C124</f>
        <v>28.68</v>
      </c>
      <c r="BV3" s="13">
        <f>'Entry Sheet'!E124</f>
        <v>30.05</v>
      </c>
      <c r="BW3" s="13">
        <f>'Entry Sheet'!G124</f>
        <v>37.94</v>
      </c>
      <c r="BX3" s="13">
        <f>'Entry Sheet'!I124</f>
        <v>29.7</v>
      </c>
      <c r="BY3" s="13">
        <f>'Entry Sheet'!K124</f>
        <v>28.2</v>
      </c>
      <c r="BZ3" s="13">
        <f>'Entry Sheet'!M124</f>
        <v>31.2</v>
      </c>
      <c r="CA3" s="13">
        <f>'Entry Sheet'!O124</f>
        <v>34.44</v>
      </c>
      <c r="CB3" s="13">
        <f>'Entry Sheet'!Q124</f>
        <v>35.8</v>
      </c>
      <c r="CC3" s="13">
        <f>'Entry Sheet'!S124</f>
        <v>23.1</v>
      </c>
      <c r="CD3" s="13">
        <f>'Entry Sheet'!U124</f>
        <v>30.35</v>
      </c>
      <c r="CE3" s="13">
        <f>'Entry Sheet'!W124</f>
        <v>24.2</v>
      </c>
      <c r="CF3" s="13">
        <f>'Entry Sheet'!Y124</f>
        <v>38.2</v>
      </c>
      <c r="CG3" s="13">
        <f>'Entry Sheet'!AA124</f>
        <v>22.5</v>
      </c>
      <c r="CH3" s="13">
        <f>'Entry Sheet'!AC124</f>
        <v>32.4</v>
      </c>
      <c r="CI3" s="13">
        <f>'Entry Sheet'!C145</f>
        <v>32</v>
      </c>
      <c r="CJ3" s="13">
        <f>'Entry Sheet'!E145</f>
        <v>32.8</v>
      </c>
      <c r="CK3" s="13">
        <f>'Entry Sheet'!G145</f>
        <v>15.2</v>
      </c>
      <c r="CL3" s="13">
        <f>'Entry Sheet'!I145</f>
        <v>37.38</v>
      </c>
      <c r="CM3" s="13">
        <f>'Entry Sheet'!K145</f>
        <v>40.66</v>
      </c>
      <c r="CN3" s="13">
        <f>'Entry Sheet'!M145</f>
        <v>37.9</v>
      </c>
      <c r="CO3" s="13">
        <f>'Entry Sheet'!O145</f>
        <v>28.9</v>
      </c>
      <c r="CP3" s="13">
        <f>'Entry Sheet'!Q145</f>
        <v>39.6</v>
      </c>
      <c r="CQ3" s="13">
        <f>'Entry Sheet'!S145</f>
        <v>44.4</v>
      </c>
      <c r="CR3" s="13">
        <f>'Entry Sheet'!U145</f>
        <v>28.7</v>
      </c>
      <c r="CS3" s="13">
        <f>'Entry Sheet'!W145</f>
        <v>23</v>
      </c>
      <c r="CT3" s="13">
        <f>'Entry Sheet'!Y145</f>
        <v>30.8</v>
      </c>
      <c r="CU3" s="13">
        <f>'Entry Sheet'!AA145</f>
        <v>23.94</v>
      </c>
      <c r="CV3" s="13">
        <f>'Entry Sheet'!AC145</f>
        <v>32.56</v>
      </c>
      <c r="CW3" s="13">
        <f>'Entry Sheet'!C166</f>
        <v>35.76</v>
      </c>
      <c r="CX3" s="13">
        <f>'Entry Sheet'!E166</f>
        <v>40.4</v>
      </c>
      <c r="CY3" s="13">
        <f>'Entry Sheet'!G166</f>
        <v>36.72</v>
      </c>
      <c r="CZ3" s="13">
        <f>'Entry Sheet'!I166</f>
        <v>26</v>
      </c>
      <c r="DA3" s="13">
        <f>'Entry Sheet'!K166</f>
        <v>23.9</v>
      </c>
      <c r="DB3" s="13">
        <f>'Entry Sheet'!M166</f>
        <v>32.9</v>
      </c>
      <c r="DC3" s="13">
        <f>'Entry Sheet'!O166</f>
        <v>26.8</v>
      </c>
      <c r="DD3" s="13">
        <f>'Entry Sheet'!Q166</f>
        <v>37.86</v>
      </c>
      <c r="DE3" s="13">
        <f>'Entry Sheet'!S166</f>
        <v>36.66</v>
      </c>
      <c r="DF3" s="13">
        <f>'Entry Sheet'!U166</f>
        <v>27.2</v>
      </c>
      <c r="DG3" s="13">
        <f>'Entry Sheet'!W166</f>
        <v>22</v>
      </c>
      <c r="DH3" s="13">
        <f>'Entry Sheet'!Y166</f>
        <v>30.9</v>
      </c>
      <c r="DI3" s="13">
        <f>'Entry Sheet'!AA166</f>
        <v>24.84</v>
      </c>
      <c r="DJ3" s="13">
        <f>'Entry Sheet'!AC166</f>
        <v>29</v>
      </c>
    </row>
    <row r="4" ht="15.75" customHeight="1">
      <c r="B4" s="13" t="s">
        <v>2117</v>
      </c>
      <c r="C4" s="13" t="str">
        <f>'Entry Sheet'!B19</f>
        <v>J. DANIELS</v>
      </c>
      <c r="D4" s="13" t="str">
        <f>'Entry Sheet'!D19</f>
        <v>J. DANIELS</v>
      </c>
      <c r="E4" s="13" t="str">
        <f>'Entry Sheet'!F19</f>
        <v>D. JONES</v>
      </c>
      <c r="F4" s="13" t="str">
        <f>'Entry Sheet'!H19</f>
        <v>J. FIELDS</v>
      </c>
      <c r="G4" s="13" t="str">
        <f>'Entry Sheet'!J19</f>
        <v>J. FIELDS</v>
      </c>
      <c r="H4" s="13" t="str">
        <f>'Entry Sheet'!L19</f>
        <v>D. PRESCOTT</v>
      </c>
      <c r="I4" s="13" t="str">
        <f>'Entry Sheet'!N19</f>
        <v>J. GIBBS</v>
      </c>
      <c r="J4" s="13" t="str">
        <f>'Entry Sheet'!P19</f>
        <v>T. KRAFT</v>
      </c>
      <c r="K4" s="13" t="str">
        <f>'Entry Sheet'!R19</f>
        <v>D. PRESCOTT</v>
      </c>
      <c r="L4" s="13" t="str">
        <f>'Entry Sheet'!T19</f>
        <v>J. GIBBS</v>
      </c>
      <c r="M4" s="13" t="str">
        <f>'Entry Sheet'!V19</f>
        <v>D. PRESCOTT</v>
      </c>
      <c r="N4" s="13" t="str">
        <f>'Entry Sheet'!X19</f>
        <v>J. GIBBS</v>
      </c>
      <c r="O4" s="13" t="str">
        <f>'Entry Sheet'!Z19</f>
        <v>R. RICE</v>
      </c>
      <c r="P4" s="13" t="str">
        <f>'Entry Sheet'!AB19</f>
        <v>J. GIBBS</v>
      </c>
      <c r="Q4" s="13" t="str">
        <f>'Entry Sheet'!B40</f>
        <v>B. MAYFIELD</v>
      </c>
      <c r="R4" s="13" t="str">
        <f>'Entry Sheet'!D40</f>
        <v>P. NACUA</v>
      </c>
      <c r="S4" s="13" t="str">
        <f>'Entry Sheet'!F40</f>
        <v>IND D/ST</v>
      </c>
      <c r="T4" s="13" t="str">
        <f>'Entry Sheet'!H40</f>
        <v>M. STAFFORD</v>
      </c>
      <c r="U4" s="13" t="str">
        <f>'Entry Sheet'!J40</f>
        <v>M. STAFFORD</v>
      </c>
      <c r="V4" s="13" t="str">
        <f>'Entry Sheet'!L40</f>
        <v>D. ACHANE</v>
      </c>
      <c r="W4" s="13" t="str">
        <f>'Entry Sheet'!N40</f>
        <v>D. SMITH</v>
      </c>
      <c r="X4" s="13" t="str">
        <f>'Entry Sheet'!P40</f>
        <v>D. ACHANE</v>
      </c>
      <c r="Y4" s="13" t="str">
        <f>'Entry Sheet'!R40</f>
        <v>S. DARNOLD</v>
      </c>
      <c r="Z4" s="13" t="str">
        <f>'Entry Sheet'!T40</f>
        <v>D. ACHANE</v>
      </c>
      <c r="AA4" s="13" t="str">
        <f>'Entry Sheet'!V40</f>
        <v>T. HENDERSON</v>
      </c>
      <c r="AB4" s="13" t="str">
        <f>'Entry Sheet'!X40</f>
        <v>CLE D/ST</v>
      </c>
      <c r="AC4" s="13" t="str">
        <f>'Entry Sheet'!Z40</f>
        <v>D. ACHANE</v>
      </c>
      <c r="AD4" s="13" t="str">
        <f>'Entry Sheet'!AB40</f>
        <v>P. NACUA</v>
      </c>
      <c r="AE4" s="13" t="str">
        <f>'Entry Sheet'!B61</f>
        <v>B. ROBINSON</v>
      </c>
      <c r="AF4" s="13" t="str">
        <f>'Entry Sheet'!D61</f>
        <v>J. TAYLOR</v>
      </c>
      <c r="AG4" s="13" t="str">
        <f>'Entry Sheet'!F61</f>
        <v>J. TAYLOR</v>
      </c>
      <c r="AH4" s="13" t="str">
        <f>'Entry Sheet'!H61</f>
        <v>B. NIX</v>
      </c>
      <c r="AI4" s="13" t="str">
        <f>'Entry Sheet'!J61</f>
        <v>J. TAYLOR</v>
      </c>
      <c r="AJ4" s="13" t="str">
        <f>'Entry Sheet'!L61</f>
        <v>B. ROBINSON</v>
      </c>
      <c r="AK4" s="13" t="str">
        <f>'Entry Sheet'!N61</f>
        <v>B. NIX</v>
      </c>
      <c r="AL4" s="13" t="str">
        <f>'Entry Sheet'!P61</f>
        <v>J. TAYLOR</v>
      </c>
      <c r="AM4" s="13" t="str">
        <f>'Entry Sheet'!R61</f>
        <v>M. STAFFORD</v>
      </c>
      <c r="AN4" s="13" t="str">
        <f>'Entry Sheet'!T61</f>
        <v>J. TAYLOR</v>
      </c>
      <c r="AO4" s="13" t="str">
        <f>'Entry Sheet'!V61</f>
        <v>T. MCMILLAN</v>
      </c>
      <c r="AP4" s="13" t="str">
        <f>'Entry Sheet'!X61</f>
        <v>M. STAFFORD</v>
      </c>
      <c r="AQ4" s="13" t="str">
        <f>'Entry Sheet'!Z61</f>
        <v>A. BROWN</v>
      </c>
      <c r="AR4" s="13" t="str">
        <f>'Entry Sheet'!AB61</f>
        <v>M. STAFFORD</v>
      </c>
      <c r="AS4" s="13" t="str">
        <f>'Entry Sheet'!B82</f>
        <v>K. MURRAY</v>
      </c>
      <c r="AT4" s="13" t="str">
        <f>'Entry Sheet'!D82</f>
        <v>J. CHASE</v>
      </c>
      <c r="AU4" s="13" t="str">
        <f>'Entry Sheet'!F82</f>
        <v>DET D/ST</v>
      </c>
      <c r="AV4" s="13" t="str">
        <f>'Entry Sheet'!H82</f>
        <v>DET D/ST</v>
      </c>
      <c r="AW4" s="13" t="str">
        <f>'Entry Sheet'!J82</f>
        <v>J. CHASE</v>
      </c>
      <c r="AX4" s="13" t="str">
        <f>'Entry Sheet'!L82</f>
        <v>D. LONDON</v>
      </c>
      <c r="AY4" s="13" t="str">
        <f>'Entry Sheet'!N82</f>
        <v>J. CHASE</v>
      </c>
      <c r="AZ4" s="13" t="str">
        <f>'Entry Sheet'!P82</f>
        <v>A. RODGERS</v>
      </c>
      <c r="BA4" s="13" t="str">
        <f>'Entry Sheet'!R82</f>
        <v>D. LONDON</v>
      </c>
      <c r="BB4" s="13" t="str">
        <f>'Entry Sheet'!T82</f>
        <v>J. GOFF</v>
      </c>
      <c r="BC4" s="13" t="str">
        <f>'Entry Sheet'!V82</f>
        <v>T. MCBRIDE</v>
      </c>
      <c r="BD4" s="13" t="str">
        <f>'Entry Sheet'!X82</f>
        <v>A. JEANTY</v>
      </c>
      <c r="BE4" s="13" t="str">
        <f>'Entry Sheet'!Z82</f>
        <v>J. GOFF</v>
      </c>
      <c r="BF4" s="13" t="str">
        <f>'Entry Sheet'!AB82</f>
        <v>T. HIGGINS</v>
      </c>
      <c r="BG4" s="13" t="str">
        <f>'Entry Sheet'!B103</f>
        <v>J. HERBERT</v>
      </c>
      <c r="BH4" s="13" t="str">
        <f>'Entry Sheet'!D103</f>
        <v>J. HERBERT</v>
      </c>
      <c r="BI4" s="13" t="str">
        <f>'Entry Sheet'!F103</f>
        <v>MIN D/ST</v>
      </c>
      <c r="BJ4" s="13" t="str">
        <f>'Entry Sheet'!H103</f>
        <v>J. JACOBS</v>
      </c>
      <c r="BK4" s="13" t="str">
        <f>'Entry Sheet'!J103</f>
        <v>K. WILLIAMS</v>
      </c>
      <c r="BL4" s="13" t="str">
        <f>'Entry Sheet'!L103</f>
        <v>J. JACOBS</v>
      </c>
      <c r="BM4" s="13" t="str">
        <f>'Entry Sheet'!N103</f>
        <v>CAR D/ST</v>
      </c>
      <c r="BN4" s="13" t="str">
        <f>'Entry Sheet'!P103</f>
        <v>J. HERBERT</v>
      </c>
      <c r="BO4" s="13" t="str">
        <f>'Entry Sheet'!R103</f>
        <v>J. HERBERT</v>
      </c>
      <c r="BP4" s="13" t="str">
        <f>'Entry Sheet'!T103</f>
        <v>K. WILLIAMS</v>
      </c>
      <c r="BQ4" s="13" t="str">
        <f>'Entry Sheet'!V103</f>
        <v>G. DORTCH</v>
      </c>
      <c r="BR4" s="13" t="str">
        <f>'Entry Sheet'!X103</f>
        <v>G. DORTCH</v>
      </c>
      <c r="BS4" s="13" t="str">
        <f>'Entry Sheet'!Z103</f>
        <v>J. LOVE</v>
      </c>
      <c r="BT4" s="13" t="str">
        <f>'Entry Sheet'!AB103</f>
        <v>J. LOVE</v>
      </c>
      <c r="BU4" s="13" t="str">
        <f>'Entry Sheet'!B124</f>
        <v>J. HURTS</v>
      </c>
      <c r="BV4" s="13" t="str">
        <f>'Entry Sheet'!D124</f>
        <v>SEA D/ST</v>
      </c>
      <c r="BW4" s="13" t="str">
        <f>'Entry Sheet'!F124</f>
        <v>J. HURTS</v>
      </c>
      <c r="BX4" s="13" t="str">
        <f>'Entry Sheet'!H124</f>
        <v>O. HAMPTON</v>
      </c>
      <c r="BY4" s="13" t="str">
        <f>'Entry Sheet'!J124</f>
        <v>J. SMITH-NJIGBA</v>
      </c>
      <c r="BZ4" s="13" t="str">
        <f>'Entry Sheet'!L124</f>
        <v>J. SMITH-NJIGBA</v>
      </c>
      <c r="CA4" s="13" t="str">
        <f>'Entry Sheet'!N124</f>
        <v>J. HURTS</v>
      </c>
      <c r="CB4" s="13" t="str">
        <f>'Entry Sheet'!P124</f>
        <v>S. BARKLEY</v>
      </c>
      <c r="CC4" s="13" t="str">
        <f>'Entry Sheet'!R124</f>
        <v>J. SMITH-NJIGBA</v>
      </c>
      <c r="CD4" s="13" t="str">
        <f>'Entry Sheet'!T124</f>
        <v>SEA D/ST</v>
      </c>
      <c r="CE4" s="13" t="str">
        <f>'Entry Sheet'!V124</f>
        <v>N. COLLINS</v>
      </c>
      <c r="CF4" s="13" t="str">
        <f>'Entry Sheet'!X124</f>
        <v>J. SMITH-NJIGBA</v>
      </c>
      <c r="CG4" s="13" t="str">
        <f>'Entry Sheet'!Z124</f>
        <v>R. HARVEY</v>
      </c>
      <c r="CH4" s="13" t="str">
        <f>'Entry Sheet'!AB124</f>
        <v>SEA D/ST</v>
      </c>
      <c r="CI4" s="13" t="str">
        <f>'Entry Sheet'!B145</f>
        <v>D. HENRY</v>
      </c>
      <c r="CJ4" s="13" t="str">
        <f>'Entry Sheet'!D145</f>
        <v>R. ODUNZE</v>
      </c>
      <c r="CK4" s="13" t="str">
        <f>'Entry Sheet'!F145</f>
        <v>R. ODUNZE</v>
      </c>
      <c r="CL4" s="13" t="str">
        <f>'Entry Sheet'!H145</f>
        <v>J. LOVE</v>
      </c>
      <c r="CM4" s="13" t="str">
        <f>'Entry Sheet'!J145</f>
        <v>C. STROUD</v>
      </c>
      <c r="CN4" s="13" t="str">
        <f>'Entry Sheet'!L145</f>
        <v>R. DOWDLE</v>
      </c>
      <c r="CO4" s="13" t="str">
        <f>'Entry Sheet'!N145</f>
        <v>Q. JUDKINS</v>
      </c>
      <c r="CP4" s="13" t="str">
        <f>'Entry Sheet'!P145</f>
        <v>J. LOVE</v>
      </c>
      <c r="CQ4" s="13" t="str">
        <f>'Entry Sheet'!R145</f>
        <v>B. BOWERS</v>
      </c>
      <c r="CR4" s="13" t="str">
        <f>'Entry Sheet'!T145</f>
        <v>C. WILLIAMS</v>
      </c>
      <c r="CS4" s="13" t="str">
        <f>'Entry Sheet'!V145</f>
        <v>D. HENRY</v>
      </c>
      <c r="CT4" s="13" t="str">
        <f>'Entry Sheet'!X145</f>
        <v>C. DIKE</v>
      </c>
      <c r="CU4" s="13" t="str">
        <f>'Entry Sheet'!Z145</f>
        <v>J. BURROW</v>
      </c>
      <c r="CV4" s="13" t="str">
        <f>'Entry Sheet'!AB145</f>
        <v>J. BURROW</v>
      </c>
      <c r="CW4" s="13" t="str">
        <f>'Entry Sheet'!B166</f>
        <v>L. JACKSON</v>
      </c>
      <c r="CX4" s="13" t="str">
        <f>'Entry Sheet'!D166</f>
        <v>A. ST. BROWN</v>
      </c>
      <c r="CY4" s="13" t="str">
        <f>'Entry Sheet'!F166</f>
        <v>L. JACKSON</v>
      </c>
      <c r="CZ4" s="13" t="str">
        <f>'Entry Sheet'!H166</f>
        <v>A. ST. BROWN</v>
      </c>
      <c r="DA4" s="13" t="str">
        <f>'Entry Sheet'!J166</f>
        <v>J. FERGUSON</v>
      </c>
      <c r="DB4" s="13" t="str">
        <f>'Entry Sheet'!L166</f>
        <v>C. SKATTEBO</v>
      </c>
      <c r="DC4" s="13" t="str">
        <f>'Entry Sheet'!N166</f>
        <v>C. OLAVE</v>
      </c>
      <c r="DD4" s="13" t="str">
        <f>'Entry Sheet'!P166</f>
        <v>B. HALL</v>
      </c>
      <c r="DE4" s="13" t="str">
        <f>'Entry Sheet'!R166</f>
        <v>L. JACKSON</v>
      </c>
      <c r="DF4" s="13" t="str">
        <f>'Entry Sheet'!T166</f>
        <v>LAC D/ST</v>
      </c>
      <c r="DG4" s="13" t="str">
        <f>'Entry Sheet'!V166</f>
        <v>J. COOK</v>
      </c>
      <c r="DH4" s="13" t="str">
        <f>'Entry Sheet'!X166</f>
        <v>A. ST. BROWN</v>
      </c>
      <c r="DI4" s="13" t="str">
        <f>'Entry Sheet'!Z166</f>
        <v>LAC D/ST</v>
      </c>
      <c r="DJ4" s="13" t="str">
        <f>'Entry Sheet'!AB166</f>
        <v>B. AUBREY</v>
      </c>
    </row>
    <row r="5" ht="15.75" customHeight="1">
      <c r="B5" s="13" t="s">
        <v>7</v>
      </c>
      <c r="C5" s="13" t="s">
        <v>512</v>
      </c>
      <c r="D5" s="13" t="s">
        <v>513</v>
      </c>
      <c r="E5" s="13" t="s">
        <v>514</v>
      </c>
      <c r="F5" s="13" t="s">
        <v>515</v>
      </c>
      <c r="G5" s="13" t="s">
        <v>516</v>
      </c>
      <c r="H5" s="13" t="s">
        <v>517</v>
      </c>
      <c r="I5" s="13" t="s">
        <v>518</v>
      </c>
      <c r="J5" s="13" t="s">
        <v>519</v>
      </c>
      <c r="K5" s="13" t="s">
        <v>520</v>
      </c>
      <c r="L5" s="13" t="s">
        <v>521</v>
      </c>
      <c r="M5" s="13" t="s">
        <v>522</v>
      </c>
      <c r="N5" s="13" t="s">
        <v>523</v>
      </c>
      <c r="O5" s="13" t="s">
        <v>524</v>
      </c>
      <c r="P5" s="13" t="s">
        <v>525</v>
      </c>
      <c r="Q5" s="13" t="s">
        <v>512</v>
      </c>
      <c r="R5" s="13" t="s">
        <v>513</v>
      </c>
      <c r="S5" s="13" t="s">
        <v>514</v>
      </c>
      <c r="T5" s="13" t="s">
        <v>515</v>
      </c>
      <c r="U5" s="13" t="s">
        <v>516</v>
      </c>
      <c r="V5" s="13" t="s">
        <v>517</v>
      </c>
      <c r="W5" s="13" t="s">
        <v>518</v>
      </c>
      <c r="X5" s="13" t="s">
        <v>519</v>
      </c>
      <c r="Y5" s="13" t="s">
        <v>520</v>
      </c>
      <c r="Z5" s="13" t="s">
        <v>521</v>
      </c>
      <c r="AA5" s="13" t="s">
        <v>522</v>
      </c>
      <c r="AB5" s="13" t="s">
        <v>523</v>
      </c>
      <c r="AC5" s="13" t="s">
        <v>524</v>
      </c>
      <c r="AD5" s="13" t="s">
        <v>525</v>
      </c>
      <c r="AE5" s="13" t="s">
        <v>512</v>
      </c>
      <c r="AF5" s="13" t="s">
        <v>513</v>
      </c>
      <c r="AG5" s="13" t="s">
        <v>514</v>
      </c>
      <c r="AH5" s="13" t="s">
        <v>515</v>
      </c>
      <c r="AI5" s="13" t="s">
        <v>516</v>
      </c>
      <c r="AJ5" s="13" t="s">
        <v>517</v>
      </c>
      <c r="AK5" s="13" t="s">
        <v>518</v>
      </c>
      <c r="AL5" s="13" t="s">
        <v>519</v>
      </c>
      <c r="AM5" s="13" t="s">
        <v>520</v>
      </c>
      <c r="AN5" s="13" t="s">
        <v>521</v>
      </c>
      <c r="AO5" s="13" t="s">
        <v>522</v>
      </c>
      <c r="AP5" s="13" t="s">
        <v>523</v>
      </c>
      <c r="AQ5" s="13" t="s">
        <v>524</v>
      </c>
      <c r="AR5" s="13" t="s">
        <v>525</v>
      </c>
      <c r="AS5" s="13" t="s">
        <v>512</v>
      </c>
      <c r="AT5" s="13" t="s">
        <v>513</v>
      </c>
      <c r="AU5" s="13" t="s">
        <v>514</v>
      </c>
      <c r="AV5" s="13" t="s">
        <v>515</v>
      </c>
      <c r="AW5" s="13" t="s">
        <v>516</v>
      </c>
      <c r="AX5" s="13" t="s">
        <v>517</v>
      </c>
      <c r="AY5" s="13" t="s">
        <v>518</v>
      </c>
      <c r="AZ5" s="13" t="s">
        <v>519</v>
      </c>
      <c r="BA5" s="13" t="s">
        <v>520</v>
      </c>
      <c r="BB5" s="13" t="s">
        <v>521</v>
      </c>
      <c r="BC5" s="13" t="s">
        <v>522</v>
      </c>
      <c r="BD5" s="13" t="s">
        <v>523</v>
      </c>
      <c r="BE5" s="13" t="s">
        <v>524</v>
      </c>
      <c r="BF5" s="13" t="s">
        <v>525</v>
      </c>
      <c r="BG5" s="13" t="s">
        <v>512</v>
      </c>
      <c r="BH5" s="13" t="s">
        <v>513</v>
      </c>
      <c r="BI5" s="13" t="s">
        <v>514</v>
      </c>
      <c r="BJ5" s="13" t="s">
        <v>515</v>
      </c>
      <c r="BK5" s="13" t="s">
        <v>516</v>
      </c>
      <c r="BL5" s="13" t="s">
        <v>517</v>
      </c>
      <c r="BM5" s="13" t="s">
        <v>518</v>
      </c>
      <c r="BN5" s="13" t="s">
        <v>519</v>
      </c>
      <c r="BO5" s="13" t="s">
        <v>520</v>
      </c>
      <c r="BP5" s="13" t="s">
        <v>521</v>
      </c>
      <c r="BQ5" s="13" t="s">
        <v>522</v>
      </c>
      <c r="BR5" s="13" t="s">
        <v>523</v>
      </c>
      <c r="BS5" s="13" t="s">
        <v>524</v>
      </c>
      <c r="BT5" s="13" t="s">
        <v>525</v>
      </c>
      <c r="BU5" s="13" t="s">
        <v>512</v>
      </c>
      <c r="BV5" s="13" t="s">
        <v>513</v>
      </c>
      <c r="BW5" s="13" t="s">
        <v>514</v>
      </c>
      <c r="BX5" s="13" t="s">
        <v>515</v>
      </c>
      <c r="BY5" s="13" t="s">
        <v>516</v>
      </c>
      <c r="BZ5" s="13" t="s">
        <v>517</v>
      </c>
      <c r="CA5" s="13" t="s">
        <v>518</v>
      </c>
      <c r="CB5" s="13" t="s">
        <v>519</v>
      </c>
      <c r="CC5" s="13" t="s">
        <v>520</v>
      </c>
      <c r="CD5" s="13" t="s">
        <v>521</v>
      </c>
      <c r="CE5" s="13" t="s">
        <v>522</v>
      </c>
      <c r="CF5" s="13" t="s">
        <v>523</v>
      </c>
      <c r="CG5" s="13" t="s">
        <v>524</v>
      </c>
      <c r="CH5" s="13" t="s">
        <v>525</v>
      </c>
      <c r="CI5" s="13" t="s">
        <v>512</v>
      </c>
      <c r="CJ5" s="13" t="s">
        <v>513</v>
      </c>
      <c r="CK5" s="13" t="s">
        <v>514</v>
      </c>
      <c r="CL5" s="13" t="s">
        <v>515</v>
      </c>
      <c r="CM5" s="13" t="s">
        <v>516</v>
      </c>
      <c r="CN5" s="13" t="s">
        <v>517</v>
      </c>
      <c r="CO5" s="13" t="s">
        <v>518</v>
      </c>
      <c r="CP5" s="13" t="s">
        <v>519</v>
      </c>
      <c r="CQ5" s="13" t="s">
        <v>520</v>
      </c>
      <c r="CR5" s="13" t="s">
        <v>521</v>
      </c>
      <c r="CS5" s="13" t="s">
        <v>522</v>
      </c>
      <c r="CT5" s="13" t="s">
        <v>523</v>
      </c>
      <c r="CU5" s="13" t="s">
        <v>524</v>
      </c>
      <c r="CV5" s="13" t="s">
        <v>525</v>
      </c>
      <c r="CW5" s="13" t="s">
        <v>512</v>
      </c>
      <c r="CX5" s="13" t="s">
        <v>513</v>
      </c>
      <c r="CY5" s="13" t="s">
        <v>514</v>
      </c>
      <c r="CZ5" s="13" t="s">
        <v>515</v>
      </c>
      <c r="DA5" s="13" t="s">
        <v>516</v>
      </c>
      <c r="DB5" s="13" t="s">
        <v>517</v>
      </c>
      <c r="DC5" s="13" t="s">
        <v>518</v>
      </c>
      <c r="DD5" s="13" t="s">
        <v>519</v>
      </c>
      <c r="DE5" s="13" t="s">
        <v>520</v>
      </c>
      <c r="DF5" s="13" t="s">
        <v>521</v>
      </c>
      <c r="DG5" s="13" t="s">
        <v>522</v>
      </c>
      <c r="DH5" s="13" t="s">
        <v>523</v>
      </c>
      <c r="DI5" s="13" t="s">
        <v>524</v>
      </c>
      <c r="DJ5" s="13" t="s">
        <v>525</v>
      </c>
    </row>
    <row r="6" ht="15.75" customHeight="1"/>
    <row r="7" ht="15.75" customHeight="1"/>
    <row r="8" ht="15.75" customHeight="1">
      <c r="A8" s="13" t="s">
        <v>298</v>
      </c>
      <c r="B8" s="13" t="s">
        <v>300</v>
      </c>
      <c r="C8" s="13" t="s">
        <v>509</v>
      </c>
      <c r="D8" s="13" t="s">
        <v>510</v>
      </c>
      <c r="E8" s="13" t="s">
        <v>7</v>
      </c>
    </row>
    <row r="9" ht="15.75" customHeight="1">
      <c r="A9" s="586" t="str">
        <f>Settings!$A$3</f>
        <v>DECOUPES</v>
      </c>
      <c r="B9" s="587" t="s">
        <v>100</v>
      </c>
      <c r="C9" s="13" t="str">
        <f>'Entry Sheet'!B5</f>
        <v>J. DANIELS</v>
      </c>
      <c r="D9" s="230">
        <f>'Entry Sheet'!C5</f>
        <v>24.82</v>
      </c>
      <c r="E9" s="589" t="s">
        <v>512</v>
      </c>
    </row>
    <row r="10" ht="15.75" customHeight="1">
      <c r="A10" s="586" t="str">
        <f>Settings!$A$3</f>
        <v>DECOUPES</v>
      </c>
      <c r="B10" s="596" t="s">
        <v>106</v>
      </c>
      <c r="C10" s="13" t="str">
        <f>'Entry Sheet'!B6</f>
        <v>C. BROWN</v>
      </c>
      <c r="D10" s="230">
        <f>'Entry Sheet'!C6</f>
        <v>15.2</v>
      </c>
      <c r="E10" s="589" t="s">
        <v>512</v>
      </c>
    </row>
    <row r="11" ht="15.75" customHeight="1">
      <c r="A11" s="586" t="str">
        <f>Settings!$A$3</f>
        <v>DECOUPES</v>
      </c>
      <c r="B11" s="596" t="s">
        <v>106</v>
      </c>
      <c r="C11" s="13" t="str">
        <f>'Entry Sheet'!B7</f>
        <v>B. IRVING</v>
      </c>
      <c r="D11" s="230">
        <f>'Entry Sheet'!C7</f>
        <v>15.9</v>
      </c>
      <c r="E11" s="589" t="s">
        <v>512</v>
      </c>
    </row>
    <row r="12" ht="15.75" customHeight="1">
      <c r="A12" s="586" t="str">
        <f>Settings!$A$3</f>
        <v>DECOUPES</v>
      </c>
      <c r="B12" s="596" t="s">
        <v>106</v>
      </c>
      <c r="C12" s="13" t="str">
        <f>'Entry Sheet'!B8</f>
        <v/>
      </c>
      <c r="D12" s="230" t="str">
        <f>'Entry Sheet'!C8</f>
        <v/>
      </c>
      <c r="E12" s="589" t="s">
        <v>512</v>
      </c>
    </row>
    <row r="13" ht="15.75" customHeight="1">
      <c r="A13" s="586" t="str">
        <f>Settings!$A$3</f>
        <v>DECOUPES</v>
      </c>
      <c r="B13" s="712" t="s">
        <v>117</v>
      </c>
      <c r="C13" s="13" t="str">
        <f>'Entry Sheet'!B9</f>
        <v>C. LAMB</v>
      </c>
      <c r="D13" s="230">
        <f>'Entry Sheet'!C9</f>
        <v>19</v>
      </c>
      <c r="E13" s="589" t="s">
        <v>512</v>
      </c>
    </row>
    <row r="14" ht="15.75" customHeight="1">
      <c r="A14" s="586" t="str">
        <f>Settings!$A$3</f>
        <v>DECOUPES</v>
      </c>
      <c r="B14" s="712" t="s">
        <v>117</v>
      </c>
      <c r="C14" s="13" t="str">
        <f>'Entry Sheet'!B10</f>
        <v>J. MEYERS</v>
      </c>
      <c r="D14" s="230">
        <f>'Entry Sheet'!C10</f>
        <v>17.7</v>
      </c>
      <c r="E14" s="589" t="s">
        <v>512</v>
      </c>
    </row>
    <row r="15" ht="15.75" customHeight="1">
      <c r="A15" s="586" t="str">
        <f>Settings!$A$3</f>
        <v>DECOUPES</v>
      </c>
      <c r="B15" s="712" t="s">
        <v>117</v>
      </c>
      <c r="C15" s="13" t="str">
        <f>'Entry Sheet'!B11</f>
        <v>T. MCLAURIN</v>
      </c>
      <c r="D15" s="230">
        <f>'Entry Sheet'!C11</f>
        <v>4.7</v>
      </c>
      <c r="E15" s="589" t="s">
        <v>512</v>
      </c>
    </row>
    <row r="16" ht="15.75" customHeight="1">
      <c r="A16" s="586" t="str">
        <f>Settings!$A$3</f>
        <v>DECOUPES</v>
      </c>
      <c r="B16" s="712" t="s">
        <v>117</v>
      </c>
      <c r="C16" s="13" t="str">
        <f>'Entry Sheet'!B12</f>
        <v/>
      </c>
      <c r="D16" s="230" t="str">
        <f>'Entry Sheet'!C12</f>
        <v/>
      </c>
      <c r="E16" s="589" t="s">
        <v>512</v>
      </c>
    </row>
    <row r="17" ht="15.75" customHeight="1">
      <c r="A17" s="586" t="str">
        <f>Settings!$A$3</f>
        <v>DECOUPES</v>
      </c>
      <c r="B17" s="764" t="s">
        <v>132</v>
      </c>
      <c r="C17" s="13" t="str">
        <f>'Entry Sheet'!B13</f>
        <v>T. KELCE</v>
      </c>
      <c r="D17" s="230">
        <f>'Entry Sheet'!C13</f>
        <v>12.7</v>
      </c>
      <c r="E17" s="589" t="s">
        <v>512</v>
      </c>
    </row>
    <row r="18" ht="15.75" customHeight="1">
      <c r="A18" s="586" t="str">
        <f>Settings!$A$3</f>
        <v>DECOUPES</v>
      </c>
      <c r="B18" s="795" t="s">
        <v>136</v>
      </c>
      <c r="C18" s="13" t="str">
        <f>'Entry Sheet'!B14</f>
        <v>S. DIGGS</v>
      </c>
      <c r="D18" s="230">
        <f>'Entry Sheet'!C14</f>
        <v>11.7</v>
      </c>
      <c r="E18" s="589" t="s">
        <v>512</v>
      </c>
    </row>
    <row r="19" ht="15.75" customHeight="1">
      <c r="A19" s="586" t="str">
        <f>Settings!$A$3</f>
        <v>DECOUPES</v>
      </c>
      <c r="B19" s="818" t="s">
        <v>139</v>
      </c>
      <c r="C19" s="13" t="str">
        <f>'Entry Sheet'!B15</f>
        <v>LAR D/ST</v>
      </c>
      <c r="D19" s="230">
        <f>'Entry Sheet'!C15</f>
        <v>21.68</v>
      </c>
      <c r="E19" s="589" t="s">
        <v>512</v>
      </c>
    </row>
    <row r="20" ht="15.75" customHeight="1">
      <c r="A20" s="586" t="str">
        <f>Settings!$A$3</f>
        <v>DECOUPES</v>
      </c>
      <c r="B20" s="833" t="s">
        <v>146</v>
      </c>
      <c r="C20" s="13" t="str">
        <f>'Entry Sheet'!B16</f>
        <v>J. ELLIOTT</v>
      </c>
      <c r="D20" s="230">
        <f>'Entry Sheet'!C16</f>
        <v>9</v>
      </c>
      <c r="E20" s="589" t="s">
        <v>512</v>
      </c>
    </row>
    <row r="21" ht="15.75" customHeight="1">
      <c r="A21" s="586" t="str">
        <f>Settings!$A$3</f>
        <v>DECOUPES</v>
      </c>
      <c r="B21" s="842" t="s">
        <v>162</v>
      </c>
      <c r="C21" s="13" t="str">
        <f>'Entry Sheet'!B17</f>
        <v>PHI HC</v>
      </c>
      <c r="D21" s="230">
        <f>'Entry Sheet'!C17</f>
        <v>9.2</v>
      </c>
      <c r="E21" s="589" t="s">
        <v>512</v>
      </c>
    </row>
    <row r="22" ht="15.75" customHeight="1">
      <c r="A22" s="586" t="str">
        <f>Settings!$A$3</f>
        <v>DECOUPES</v>
      </c>
      <c r="B22" s="587" t="s">
        <v>100</v>
      </c>
      <c r="C22" s="13" t="str">
        <f>'Entry Sheet'!D5</f>
        <v>J. DANIELS</v>
      </c>
      <c r="D22" s="230">
        <f>'Entry Sheet'!E5</f>
        <v>25.6</v>
      </c>
      <c r="E22" s="846" t="s">
        <v>513</v>
      </c>
    </row>
    <row r="23" ht="15.75" customHeight="1">
      <c r="A23" s="586" t="str">
        <f>Settings!$A$3</f>
        <v>DECOUPES</v>
      </c>
      <c r="B23" s="596" t="s">
        <v>106</v>
      </c>
      <c r="C23" s="13" t="str">
        <f>'Entry Sheet'!D6</f>
        <v>C. BROWN</v>
      </c>
      <c r="D23" s="230">
        <f>'Entry Sheet'!E6</f>
        <v>10.1</v>
      </c>
      <c r="E23" s="846" t="s">
        <v>513</v>
      </c>
    </row>
    <row r="24" ht="15.75" customHeight="1">
      <c r="A24" s="586" t="str">
        <f>Settings!$A$3</f>
        <v>DECOUPES</v>
      </c>
      <c r="B24" s="596" t="s">
        <v>106</v>
      </c>
      <c r="C24" s="13" t="str">
        <f>'Entry Sheet'!D7</f>
        <v>B. IRVING</v>
      </c>
      <c r="D24" s="230">
        <f>'Entry Sheet'!E7</f>
        <v>19.8</v>
      </c>
      <c r="E24" s="846" t="s">
        <v>513</v>
      </c>
    </row>
    <row r="25" ht="15.75" customHeight="1">
      <c r="A25" s="586" t="str">
        <f>Settings!$A$3</f>
        <v>DECOUPES</v>
      </c>
      <c r="B25" s="596" t="s">
        <v>106</v>
      </c>
      <c r="C25" s="13" t="str">
        <f>'Entry Sheet'!D8</f>
        <v/>
      </c>
      <c r="D25" s="230" t="str">
        <f>'Entry Sheet'!E8</f>
        <v/>
      </c>
      <c r="E25" s="846" t="s">
        <v>513</v>
      </c>
    </row>
    <row r="26" ht="15.75" customHeight="1">
      <c r="A26" s="586" t="str">
        <f>Settings!$A$3</f>
        <v>DECOUPES</v>
      </c>
      <c r="B26" s="712" t="s">
        <v>117</v>
      </c>
      <c r="C26" s="13" t="str">
        <f>'Entry Sheet'!D9</f>
        <v>C. LAMB</v>
      </c>
      <c r="D26" s="230">
        <f>'Entry Sheet'!E9</f>
        <v>21.2</v>
      </c>
      <c r="E26" s="846" t="s">
        <v>513</v>
      </c>
    </row>
    <row r="27" ht="15.75" customHeight="1">
      <c r="A27" s="586" t="str">
        <f>Settings!$A$3</f>
        <v>DECOUPES</v>
      </c>
      <c r="B27" s="712" t="s">
        <v>117</v>
      </c>
      <c r="C27" s="13" t="str">
        <f>'Entry Sheet'!D10</f>
        <v>J. MEYERS</v>
      </c>
      <c r="D27" s="230">
        <f>'Entry Sheet'!E10</f>
        <v>12.8</v>
      </c>
      <c r="E27" s="846" t="s">
        <v>513</v>
      </c>
    </row>
    <row r="28" ht="15.75" customHeight="1">
      <c r="A28" s="586" t="str">
        <f>Settings!$A$3</f>
        <v>DECOUPES</v>
      </c>
      <c r="B28" s="712" t="s">
        <v>117</v>
      </c>
      <c r="C28" s="13" t="str">
        <f>'Entry Sheet'!D11</f>
        <v>T. MCLAURIN</v>
      </c>
      <c r="D28" s="230">
        <f>'Entry Sheet'!E11</f>
        <v>9.8</v>
      </c>
      <c r="E28" s="846" t="s">
        <v>513</v>
      </c>
    </row>
    <row r="29" ht="15.75" customHeight="1">
      <c r="A29" s="586" t="str">
        <f>Settings!$A$3</f>
        <v>DECOUPES</v>
      </c>
      <c r="B29" s="712" t="s">
        <v>117</v>
      </c>
      <c r="C29" s="13" t="str">
        <f>'Entry Sheet'!D12</f>
        <v/>
      </c>
      <c r="D29" s="230" t="str">
        <f>'Entry Sheet'!E12</f>
        <v/>
      </c>
      <c r="E29" s="846" t="s">
        <v>513</v>
      </c>
    </row>
    <row r="30" ht="15.75" customHeight="1">
      <c r="A30" s="586" t="str">
        <f>Settings!$A$3</f>
        <v>DECOUPES</v>
      </c>
      <c r="B30" s="764" t="s">
        <v>132</v>
      </c>
      <c r="C30" s="13" t="str">
        <f>'Entry Sheet'!D13</f>
        <v>T. KELCE</v>
      </c>
      <c r="D30" s="230">
        <f>'Entry Sheet'!E13</f>
        <v>10.1</v>
      </c>
      <c r="E30" s="846" t="s">
        <v>513</v>
      </c>
    </row>
    <row r="31" ht="15.75" customHeight="1">
      <c r="A31" s="586" t="str">
        <f>Settings!$A$3</f>
        <v>DECOUPES</v>
      </c>
      <c r="B31" s="795" t="s">
        <v>136</v>
      </c>
      <c r="C31" s="13" t="str">
        <f>'Entry Sheet'!D14</f>
        <v>S. DIGGS</v>
      </c>
      <c r="D31" s="230">
        <f>'Entry Sheet'!E14</f>
        <v>7.2</v>
      </c>
      <c r="E31" s="846" t="s">
        <v>513</v>
      </c>
    </row>
    <row r="32" ht="15.75" customHeight="1">
      <c r="A32" s="586" t="str">
        <f>Settings!$A$3</f>
        <v>DECOUPES</v>
      </c>
      <c r="B32" s="818" t="s">
        <v>139</v>
      </c>
      <c r="C32" s="13" t="str">
        <f>'Entry Sheet'!D15</f>
        <v>BUF D/ST</v>
      </c>
      <c r="D32" s="230">
        <f>'Entry Sheet'!E15</f>
        <v>25.11</v>
      </c>
      <c r="E32" s="846" t="s">
        <v>513</v>
      </c>
    </row>
    <row r="33" ht="15.75" customHeight="1">
      <c r="A33" s="586" t="str">
        <f>Settings!$A$3</f>
        <v>DECOUPES</v>
      </c>
      <c r="B33" s="833" t="s">
        <v>146</v>
      </c>
      <c r="C33" s="13" t="str">
        <f>'Entry Sheet'!D16</f>
        <v>J. ELLIOTT</v>
      </c>
      <c r="D33" s="230">
        <f>'Entry Sheet'!E16</f>
        <v>14</v>
      </c>
      <c r="E33" s="846" t="s">
        <v>513</v>
      </c>
    </row>
    <row r="34" ht="15.75" customHeight="1">
      <c r="A34" s="586" t="str">
        <f>Settings!$A$3</f>
        <v>DECOUPES</v>
      </c>
      <c r="B34" s="842" t="s">
        <v>162</v>
      </c>
      <c r="C34" s="13" t="str">
        <f>'Entry Sheet'!D17</f>
        <v>LAC HC</v>
      </c>
      <c r="D34" s="230">
        <f>'Entry Sheet'!E17</f>
        <v>10</v>
      </c>
      <c r="E34" s="846" t="s">
        <v>513</v>
      </c>
    </row>
    <row r="35" ht="15.75" customHeight="1">
      <c r="A35" s="586" t="str">
        <f>Settings!$A$3</f>
        <v>DECOUPES</v>
      </c>
      <c r="B35" s="587" t="s">
        <v>100</v>
      </c>
      <c r="C35" s="13" t="str">
        <f>'Entry Sheet'!F5</f>
        <v>D. JONES</v>
      </c>
      <c r="D35" s="13">
        <f>'Entry Sheet'!G5</f>
        <v>20.42</v>
      </c>
      <c r="E35" s="589" t="s">
        <v>514</v>
      </c>
    </row>
    <row r="36" ht="15.75" customHeight="1">
      <c r="A36" s="586" t="str">
        <f>Settings!$A$3</f>
        <v>DECOUPES</v>
      </c>
      <c r="B36" s="596" t="s">
        <v>106</v>
      </c>
      <c r="C36" s="13" t="str">
        <f>'Entry Sheet'!F6</f>
        <v>C. BROWN</v>
      </c>
      <c r="D36" s="13">
        <f>'Entry Sheet'!G6</f>
        <v>7</v>
      </c>
      <c r="E36" s="589" t="s">
        <v>514</v>
      </c>
    </row>
    <row r="37" ht="15.75" customHeight="1">
      <c r="A37" s="586" t="str">
        <f>Settings!$A$3</f>
        <v>DECOUPES</v>
      </c>
      <c r="B37" s="596" t="s">
        <v>106</v>
      </c>
      <c r="C37" s="13" t="str">
        <f>'Entry Sheet'!F7</f>
        <v>B. IRVING</v>
      </c>
      <c r="D37" s="13">
        <f>'Entry Sheet'!G7</f>
        <v>16.4</v>
      </c>
      <c r="E37" s="589" t="s">
        <v>514</v>
      </c>
    </row>
    <row r="38" ht="15.75" customHeight="1">
      <c r="A38" s="586" t="str">
        <f>Settings!$A$3</f>
        <v>DECOUPES</v>
      </c>
      <c r="B38" s="596" t="s">
        <v>106</v>
      </c>
      <c r="C38" s="13" t="str">
        <f>'Entry Sheet'!F8</f>
        <v/>
      </c>
      <c r="D38" s="13" t="str">
        <f>'Entry Sheet'!G8</f>
        <v/>
      </c>
      <c r="E38" s="589" t="s">
        <v>514</v>
      </c>
    </row>
    <row r="39" ht="15.75" customHeight="1">
      <c r="A39" s="586" t="str">
        <f>Settings!$A$3</f>
        <v>DECOUPES</v>
      </c>
      <c r="B39" s="712" t="s">
        <v>117</v>
      </c>
      <c r="C39" s="13" t="str">
        <f>'Entry Sheet'!F9</f>
        <v>C. LAMB</v>
      </c>
      <c r="D39" s="13">
        <f>'Entry Sheet'!G9</f>
        <v>0</v>
      </c>
      <c r="E39" s="589" t="s">
        <v>514</v>
      </c>
    </row>
    <row r="40" ht="15.75" customHeight="1">
      <c r="A40" s="586" t="str">
        <f>Settings!$A$3</f>
        <v>DECOUPES</v>
      </c>
      <c r="B40" s="712" t="s">
        <v>117</v>
      </c>
      <c r="C40" s="13" t="str">
        <f>'Entry Sheet'!F10</f>
        <v>J. MEYERS</v>
      </c>
      <c r="D40" s="13">
        <f>'Entry Sheet'!G10</f>
        <v>9.3</v>
      </c>
      <c r="E40" s="589" t="s">
        <v>514</v>
      </c>
    </row>
    <row r="41" ht="15.75" customHeight="1">
      <c r="A41" s="586" t="str">
        <f>Settings!$A$3</f>
        <v>DECOUPES</v>
      </c>
      <c r="B41" s="712" t="s">
        <v>117</v>
      </c>
      <c r="C41" s="13" t="str">
        <f>'Entry Sheet'!F11</f>
        <v>W. ROBINSON</v>
      </c>
      <c r="D41" s="13">
        <f>'Entry Sheet'!G11</f>
        <v>3.6</v>
      </c>
      <c r="E41" s="589" t="s">
        <v>514</v>
      </c>
      <c r="R41" s="13" t="s">
        <v>2146</v>
      </c>
      <c r="T41" s="13">
        <v>11.0</v>
      </c>
    </row>
    <row r="42" ht="15.75" customHeight="1">
      <c r="A42" s="586" t="str">
        <f>Settings!$A$3</f>
        <v>DECOUPES</v>
      </c>
      <c r="B42" s="712" t="s">
        <v>117</v>
      </c>
      <c r="C42" s="13" t="str">
        <f>'Entry Sheet'!F12</f>
        <v/>
      </c>
      <c r="D42" s="13" t="str">
        <f>'Entry Sheet'!G12</f>
        <v/>
      </c>
      <c r="E42" s="589" t="s">
        <v>514</v>
      </c>
    </row>
    <row r="43" ht="15.75" customHeight="1">
      <c r="A43" s="586" t="str">
        <f>Settings!$A$3</f>
        <v>DECOUPES</v>
      </c>
      <c r="B43" s="764" t="s">
        <v>132</v>
      </c>
      <c r="C43" s="13" t="str">
        <f>'Entry Sheet'!F13</f>
        <v>T. KELCE</v>
      </c>
      <c r="D43" s="13">
        <f>'Entry Sheet'!G13</f>
        <v>6.6</v>
      </c>
      <c r="E43" s="589" t="s">
        <v>514</v>
      </c>
    </row>
    <row r="44" ht="15.75" customHeight="1">
      <c r="A44" s="586" t="str">
        <f>Settings!$A$3</f>
        <v>DECOUPES</v>
      </c>
      <c r="B44" s="795" t="s">
        <v>136</v>
      </c>
      <c r="C44" s="13" t="str">
        <f>'Entry Sheet'!F14</f>
        <v>T. KRAFT</v>
      </c>
      <c r="D44" s="13">
        <f>'Entry Sheet'!G14</f>
        <v>5.9</v>
      </c>
      <c r="E44" s="589" t="s">
        <v>514</v>
      </c>
    </row>
    <row r="45" ht="15.75" customHeight="1">
      <c r="A45" s="586" t="str">
        <f>Settings!$A$3</f>
        <v>DECOUPES</v>
      </c>
      <c r="B45" s="818" t="s">
        <v>139</v>
      </c>
      <c r="C45" s="13" t="str">
        <f>'Entry Sheet'!F15</f>
        <v>BUF D/ST</v>
      </c>
      <c r="D45" s="13">
        <f>'Entry Sheet'!G15</f>
        <v>10.95</v>
      </c>
      <c r="E45" s="589" t="s">
        <v>514</v>
      </c>
    </row>
    <row r="46" ht="15.75" customHeight="1">
      <c r="A46" s="586" t="str">
        <f>Settings!$A$3</f>
        <v>DECOUPES</v>
      </c>
      <c r="B46" s="833" t="s">
        <v>146</v>
      </c>
      <c r="C46" s="13" t="str">
        <f>'Entry Sheet'!F16</f>
        <v>J. ELLIOTT</v>
      </c>
      <c r="D46" s="13">
        <f>'Entry Sheet'!G16</f>
        <v>3</v>
      </c>
      <c r="E46" s="589" t="s">
        <v>514</v>
      </c>
    </row>
    <row r="47" ht="15.75" customHeight="1">
      <c r="A47" s="586" t="str">
        <f>Settings!$A$3</f>
        <v>DECOUPES</v>
      </c>
      <c r="B47" s="842" t="s">
        <v>162</v>
      </c>
      <c r="C47" s="13" t="str">
        <f>'Entry Sheet'!F17</f>
        <v>PHI HC</v>
      </c>
      <c r="D47" s="13">
        <f>'Entry Sheet'!G17</f>
        <v>12.9</v>
      </c>
      <c r="E47" s="589" t="s">
        <v>514</v>
      </c>
    </row>
    <row r="48" ht="15.75" customHeight="1">
      <c r="A48" s="586" t="str">
        <f>Settings!$A$3</f>
        <v>DECOUPES</v>
      </c>
      <c r="B48" s="587" t="s">
        <v>100</v>
      </c>
      <c r="C48" s="13" t="str">
        <f>'Entry Sheet'!H5</f>
        <v>J. FIELDS</v>
      </c>
      <c r="D48" s="13">
        <f>'Entry Sheet'!I5</f>
        <v>32.44</v>
      </c>
      <c r="E48" s="846" t="s">
        <v>515</v>
      </c>
    </row>
    <row r="49" ht="15.75" customHeight="1">
      <c r="A49" s="586" t="str">
        <f>Settings!$A$3</f>
        <v>DECOUPES</v>
      </c>
      <c r="B49" s="596" t="s">
        <v>106</v>
      </c>
      <c r="C49" s="13" t="str">
        <f>'Entry Sheet'!H6</f>
        <v>B. IRVING</v>
      </c>
      <c r="D49" s="13">
        <f>'Entry Sheet'!I6</f>
        <v>28</v>
      </c>
      <c r="E49" s="846" t="s">
        <v>515</v>
      </c>
    </row>
    <row r="50" ht="15.75" customHeight="1">
      <c r="A50" s="586" t="str">
        <f>Settings!$A$3</f>
        <v>DECOUPES</v>
      </c>
      <c r="B50" s="596" t="s">
        <v>106</v>
      </c>
      <c r="C50" s="13" t="str">
        <f>'Entry Sheet'!H7</f>
        <v>T. BENSON</v>
      </c>
      <c r="D50" s="13">
        <f>'Entry Sheet'!I7</f>
        <v>11.2</v>
      </c>
      <c r="E50" s="846" t="s">
        <v>515</v>
      </c>
    </row>
    <row r="51" ht="15.75" customHeight="1">
      <c r="A51" s="586" t="str">
        <f>Settings!$A$3</f>
        <v>DECOUPES</v>
      </c>
      <c r="B51" s="596" t="s">
        <v>106</v>
      </c>
      <c r="C51" s="13" t="str">
        <f>'Entry Sheet'!H8</f>
        <v/>
      </c>
      <c r="D51" s="13" t="str">
        <f>'Entry Sheet'!I8</f>
        <v/>
      </c>
      <c r="E51" s="846" t="s">
        <v>515</v>
      </c>
    </row>
    <row r="52" ht="15.75" customHeight="1">
      <c r="A52" s="586" t="str">
        <f>Settings!$A$3</f>
        <v>DECOUPES</v>
      </c>
      <c r="B52" s="712" t="s">
        <v>117</v>
      </c>
      <c r="C52" s="13" t="str">
        <f>'Entry Sheet'!H9</f>
        <v>J. MEYERS</v>
      </c>
      <c r="D52" s="13">
        <f>'Entry Sheet'!I9</f>
        <v>7</v>
      </c>
      <c r="E52" s="846" t="s">
        <v>515</v>
      </c>
    </row>
    <row r="53" ht="15.75" customHeight="1">
      <c r="A53" s="586" t="str">
        <f>Settings!$A$3</f>
        <v>DECOUPES</v>
      </c>
      <c r="B53" s="712" t="s">
        <v>117</v>
      </c>
      <c r="C53" s="13" t="str">
        <f>'Entry Sheet'!H10</f>
        <v>C. GODWIN JR.</v>
      </c>
      <c r="D53" s="13">
        <f>'Entry Sheet'!I10</f>
        <v>5.6</v>
      </c>
      <c r="E53" s="846" t="s">
        <v>515</v>
      </c>
    </row>
    <row r="54" ht="15.75" customHeight="1">
      <c r="A54" s="586" t="str">
        <f>Settings!$A$3</f>
        <v>DECOUPES</v>
      </c>
      <c r="B54" s="712" t="s">
        <v>117</v>
      </c>
      <c r="C54" s="13" t="str">
        <f>'Entry Sheet'!H11</f>
        <v>D. MOONEY</v>
      </c>
      <c r="D54" s="13">
        <f>'Entry Sheet'!I11</f>
        <v>2.5</v>
      </c>
      <c r="E54" s="846" t="s">
        <v>515</v>
      </c>
    </row>
    <row r="55" ht="18.0" customHeight="1">
      <c r="A55" s="586" t="str">
        <f>Settings!$A$3</f>
        <v>DECOUPES</v>
      </c>
      <c r="B55" s="712" t="s">
        <v>117</v>
      </c>
      <c r="C55" s="13" t="str">
        <f>'Entry Sheet'!H12</f>
        <v/>
      </c>
      <c r="D55" s="13" t="str">
        <f>'Entry Sheet'!I12</f>
        <v/>
      </c>
      <c r="E55" s="846" t="s">
        <v>515</v>
      </c>
    </row>
    <row r="56" ht="15.75" customHeight="1">
      <c r="A56" s="586" t="str">
        <f>Settings!$A$3</f>
        <v>DECOUPES</v>
      </c>
      <c r="B56" s="764" t="s">
        <v>132</v>
      </c>
      <c r="C56" s="13" t="str">
        <f>'Entry Sheet'!H13</f>
        <v>T. KRAFT</v>
      </c>
      <c r="D56" s="13">
        <f>'Entry Sheet'!I13</f>
        <v>10.6</v>
      </c>
      <c r="E56" s="846" t="s">
        <v>515</v>
      </c>
    </row>
    <row r="57" ht="15.75" customHeight="1">
      <c r="A57" s="586" t="str">
        <f>Settings!$A$3</f>
        <v>DECOUPES</v>
      </c>
      <c r="B57" s="795" t="s">
        <v>136</v>
      </c>
      <c r="C57" s="13" t="str">
        <f>'Entry Sheet'!H14</f>
        <v>C. BROWN</v>
      </c>
      <c r="D57" s="13">
        <f>'Entry Sheet'!I14</f>
        <v>11.1</v>
      </c>
      <c r="E57" s="846" t="s">
        <v>515</v>
      </c>
    </row>
    <row r="58" ht="15.75" customHeight="1">
      <c r="A58" s="586" t="str">
        <f>Settings!$A$3</f>
        <v>DECOUPES</v>
      </c>
      <c r="B58" s="818" t="s">
        <v>139</v>
      </c>
      <c r="C58" s="13" t="str">
        <f>'Entry Sheet'!H15</f>
        <v>BUF D/ST</v>
      </c>
      <c r="D58" s="13">
        <f>'Entry Sheet'!I15</f>
        <v>18.23</v>
      </c>
      <c r="E58" s="846" t="s">
        <v>515</v>
      </c>
    </row>
    <row r="59" ht="15.75" customHeight="1">
      <c r="A59" s="586" t="str">
        <f>Settings!$A$3</f>
        <v>DECOUPES</v>
      </c>
      <c r="B59" s="833" t="s">
        <v>146</v>
      </c>
      <c r="C59" s="13" t="str">
        <f>'Entry Sheet'!H16</f>
        <v>J. ELLIOTT</v>
      </c>
      <c r="D59" s="13">
        <f>'Entry Sheet'!I16</f>
        <v>7</v>
      </c>
      <c r="E59" s="846" t="s">
        <v>515</v>
      </c>
    </row>
    <row r="60" ht="15.75" customHeight="1">
      <c r="A60" s="586" t="str">
        <f>Settings!$A$3</f>
        <v>DECOUPES</v>
      </c>
      <c r="B60" s="842" t="s">
        <v>162</v>
      </c>
      <c r="C60" s="13" t="str">
        <f>'Entry Sheet'!H17</f>
        <v>LAC HC</v>
      </c>
      <c r="D60" s="13">
        <f>'Entry Sheet'!I17</f>
        <v>3.4</v>
      </c>
      <c r="E60" s="846" t="s">
        <v>515</v>
      </c>
    </row>
    <row r="61" ht="15.75" customHeight="1">
      <c r="A61" s="586" t="str">
        <f>Settings!$A$3</f>
        <v>DECOUPES</v>
      </c>
      <c r="B61" s="587" t="s">
        <v>100</v>
      </c>
      <c r="C61" s="13" t="str">
        <f>'Entry Sheet'!J5</f>
        <v>J. FIELDS</v>
      </c>
      <c r="D61" s="13">
        <f>'Entry Sheet'!K5</f>
        <v>34.22</v>
      </c>
      <c r="E61" s="589" t="s">
        <v>516</v>
      </c>
    </row>
    <row r="62" ht="15.75" customHeight="1">
      <c r="A62" s="586" t="str">
        <f>Settings!$A$3</f>
        <v>DECOUPES</v>
      </c>
      <c r="B62" s="596" t="s">
        <v>106</v>
      </c>
      <c r="C62" s="13" t="str">
        <f>'Entry Sheet'!J6</f>
        <v>W. MARKS</v>
      </c>
      <c r="D62" s="13">
        <f>'Entry Sheet'!K6</f>
        <v>3.1</v>
      </c>
      <c r="E62" s="589" t="s">
        <v>516</v>
      </c>
    </row>
    <row r="63" ht="15.75" customHeight="1">
      <c r="A63" s="586" t="str">
        <f>Settings!$A$3</f>
        <v>DECOUPES</v>
      </c>
      <c r="B63" s="596" t="s">
        <v>106</v>
      </c>
      <c r="C63" s="13" t="str">
        <f>'Entry Sheet'!J7</f>
        <v>R. WHITE</v>
      </c>
      <c r="D63" s="13">
        <f>'Entry Sheet'!K7</f>
        <v>24.5</v>
      </c>
      <c r="E63" s="589" t="s">
        <v>516</v>
      </c>
    </row>
    <row r="64" ht="15.75" customHeight="1">
      <c r="A64" s="586" t="str">
        <f>Settings!$A$3</f>
        <v>DECOUPES</v>
      </c>
      <c r="B64" s="596" t="s">
        <v>106</v>
      </c>
      <c r="C64" s="13" t="str">
        <f>'Entry Sheet'!J8</f>
        <v/>
      </c>
      <c r="D64" s="13" t="str">
        <f>'Entry Sheet'!K8</f>
        <v/>
      </c>
      <c r="E64" s="589" t="s">
        <v>516</v>
      </c>
    </row>
    <row r="65" ht="15.75" customHeight="1">
      <c r="A65" s="586" t="str">
        <f>Settings!$A$3</f>
        <v>DECOUPES</v>
      </c>
      <c r="B65" s="712" t="s">
        <v>117</v>
      </c>
      <c r="C65" s="13" t="str">
        <f>'Entry Sheet'!J9</f>
        <v>J. MEYERS</v>
      </c>
      <c r="D65" s="13">
        <f>'Entry Sheet'!K9</f>
        <v>7.2</v>
      </c>
      <c r="E65" s="589" t="s">
        <v>516</v>
      </c>
      <c r="L65" s="13" t="str">
        <f>'Entry Sheet'!A86</f>
        <v>CHAMPS</v>
      </c>
      <c r="M65" s="13" t="str">
        <f>'Entry Sheet'!B86</f>
        <v/>
      </c>
      <c r="N65" s="13" t="str">
        <f>'Entry Sheet'!C86</f>
        <v/>
      </c>
      <c r="O65" s="13" t="str">
        <f>'Entry Sheet'!D86</f>
        <v/>
      </c>
      <c r="P65" s="13" t="str">
        <f>'Entry Sheet'!E86</f>
        <v/>
      </c>
      <c r="Q65" s="13" t="str">
        <f>'Entry Sheet'!F86</f>
        <v/>
      </c>
      <c r="R65" s="13" t="str">
        <f>'Entry Sheet'!G86</f>
        <v/>
      </c>
      <c r="S65" s="13" t="str">
        <f>'Entry Sheet'!H86</f>
        <v/>
      </c>
      <c r="T65" s="13" t="str">
        <f>'Entry Sheet'!I86</f>
        <v/>
      </c>
      <c r="U65" s="13" t="str">
        <f>'Entry Sheet'!J86</f>
        <v/>
      </c>
      <c r="V65" s="13" t="str">
        <f>'Entry Sheet'!K86</f>
        <v/>
      </c>
      <c r="W65" s="13" t="str">
        <f>'Entry Sheet'!L86</f>
        <v/>
      </c>
      <c r="X65" s="13" t="str">
        <f>'Entry Sheet'!M86</f>
        <v/>
      </c>
      <c r="Y65" s="13" t="str">
        <f>'Entry Sheet'!N86</f>
        <v/>
      </c>
      <c r="Z65" s="13" t="str">
        <f>'Entry Sheet'!O86</f>
        <v/>
      </c>
      <c r="AA65" s="13" t="str">
        <f>'Entry Sheet'!P86</f>
        <v/>
      </c>
      <c r="AB65" s="13" t="str">
        <f>'Entry Sheet'!Q86</f>
        <v/>
      </c>
      <c r="AC65" s="13" t="str">
        <f>'Entry Sheet'!R86</f>
        <v/>
      </c>
      <c r="AD65" s="13" t="str">
        <f>'Entry Sheet'!S86</f>
        <v/>
      </c>
      <c r="AE65" s="13" t="str">
        <f>'Entry Sheet'!T86</f>
        <v/>
      </c>
      <c r="AF65" s="13" t="str">
        <f>'Entry Sheet'!U86</f>
        <v/>
      </c>
      <c r="AG65" s="13" t="str">
        <f>'Entry Sheet'!V86</f>
        <v/>
      </c>
      <c r="AH65" s="13" t="str">
        <f>'Entry Sheet'!W86</f>
        <v/>
      </c>
      <c r="AI65" s="13" t="str">
        <f>'Entry Sheet'!X86</f>
        <v/>
      </c>
      <c r="AJ65" s="13" t="str">
        <f>'Entry Sheet'!Y86</f>
        <v/>
      </c>
      <c r="AK65" s="13" t="str">
        <f>'Entry Sheet'!Z86</f>
        <v/>
      </c>
      <c r="AL65" s="13" t="str">
        <f>'Entry Sheet'!AA86</f>
        <v/>
      </c>
      <c r="AM65" s="13" t="str">
        <f>'Entry Sheet'!AB86</f>
        <v/>
      </c>
      <c r="AN65" s="13" t="str">
        <f>'Entry Sheet'!AC86</f>
        <v/>
      </c>
      <c r="AO65" s="13" t="str">
        <f>'Entry Sheet'!AD86</f>
        <v/>
      </c>
      <c r="AP65" s="13" t="str">
        <f>'Entry Sheet'!AE86</f>
        <v/>
      </c>
    </row>
    <row r="66" ht="15.75" customHeight="1">
      <c r="A66" s="586" t="str">
        <f>Settings!$A$3</f>
        <v>DECOUPES</v>
      </c>
      <c r="B66" s="712" t="s">
        <v>117</v>
      </c>
      <c r="C66" s="13" t="str">
        <f>'Entry Sheet'!J10</f>
        <v>C. GODWIN JR.</v>
      </c>
      <c r="D66" s="13">
        <f>'Entry Sheet'!K10</f>
        <v>5.6</v>
      </c>
      <c r="E66" s="589" t="s">
        <v>516</v>
      </c>
      <c r="L66" s="13" t="str">
        <f>'Entry Sheet'!A87</f>
        <v/>
      </c>
      <c r="M66" s="13" t="str">
        <f>'Entry Sheet'!B87</f>
        <v>Week 1</v>
      </c>
      <c r="N66" s="13" t="str">
        <f>'Entry Sheet'!C87</f>
        <v/>
      </c>
      <c r="O66" s="13" t="str">
        <f>'Entry Sheet'!D87</f>
        <v>Week 2</v>
      </c>
      <c r="P66" s="13" t="str">
        <f>'Entry Sheet'!E87</f>
        <v/>
      </c>
      <c r="Q66" s="13" t="str">
        <f>'Entry Sheet'!F87</f>
        <v>Week 3</v>
      </c>
      <c r="R66" s="13" t="str">
        <f>'Entry Sheet'!G87</f>
        <v/>
      </c>
      <c r="S66" s="13" t="str">
        <f>'Entry Sheet'!H87</f>
        <v>Week 4</v>
      </c>
      <c r="T66" s="13" t="str">
        <f>'Entry Sheet'!I87</f>
        <v/>
      </c>
      <c r="U66" s="13" t="str">
        <f>'Entry Sheet'!J87</f>
        <v>Week 5</v>
      </c>
      <c r="V66" s="13" t="str">
        <f>'Entry Sheet'!K87</f>
        <v/>
      </c>
      <c r="W66" s="13" t="str">
        <f>'Entry Sheet'!L87</f>
        <v>Week 6</v>
      </c>
      <c r="X66" s="13" t="str">
        <f>'Entry Sheet'!M87</f>
        <v/>
      </c>
      <c r="Y66" s="13" t="str">
        <f>'Entry Sheet'!N87</f>
        <v>Week 7</v>
      </c>
      <c r="Z66" s="13" t="str">
        <f>'Entry Sheet'!O87</f>
        <v/>
      </c>
      <c r="AA66" s="13" t="str">
        <f>'Entry Sheet'!P87</f>
        <v>Week 8</v>
      </c>
      <c r="AB66" s="13" t="str">
        <f>'Entry Sheet'!Q87</f>
        <v/>
      </c>
      <c r="AC66" s="13" t="str">
        <f>'Entry Sheet'!R87</f>
        <v>Week 9</v>
      </c>
      <c r="AD66" s="13" t="str">
        <f>'Entry Sheet'!S87</f>
        <v/>
      </c>
      <c r="AE66" s="13" t="str">
        <f>'Entry Sheet'!T87</f>
        <v>Week 10</v>
      </c>
      <c r="AF66" s="13" t="str">
        <f>'Entry Sheet'!U87</f>
        <v/>
      </c>
      <c r="AG66" s="13" t="str">
        <f>'Entry Sheet'!V87</f>
        <v>Week 11</v>
      </c>
      <c r="AH66" s="13" t="str">
        <f>'Entry Sheet'!W87</f>
        <v/>
      </c>
      <c r="AI66" s="13" t="str">
        <f>'Entry Sheet'!X87</f>
        <v>Week 12</v>
      </c>
      <c r="AJ66" s="13" t="str">
        <f>'Entry Sheet'!Y87</f>
        <v/>
      </c>
      <c r="AK66" s="13" t="str">
        <f>'Entry Sheet'!Z87</f>
        <v>Week 13</v>
      </c>
      <c r="AL66" s="13" t="str">
        <f>'Entry Sheet'!AA87</f>
        <v/>
      </c>
      <c r="AM66" s="13" t="str">
        <f>'Entry Sheet'!AB87</f>
        <v>Week 14</v>
      </c>
      <c r="AN66" s="13" t="str">
        <f>'Entry Sheet'!AC87</f>
        <v/>
      </c>
      <c r="AO66" s="13" t="str">
        <f>'Entry Sheet'!AD87</f>
        <v>Finale</v>
      </c>
      <c r="AP66" s="13" t="str">
        <f>'Entry Sheet'!AE87</f>
        <v/>
      </c>
    </row>
    <row r="67" ht="15.75" customHeight="1">
      <c r="A67" s="586" t="str">
        <f>Settings!$A$3</f>
        <v>DECOUPES</v>
      </c>
      <c r="B67" s="712" t="s">
        <v>117</v>
      </c>
      <c r="C67" s="13" t="str">
        <f>'Entry Sheet'!J11</f>
        <v>J. TOLBERT</v>
      </c>
      <c r="D67" s="13">
        <f>'Entry Sheet'!K11</f>
        <v>0</v>
      </c>
      <c r="E67" s="589" t="s">
        <v>516</v>
      </c>
      <c r="L67" s="13" t="str">
        <f>'Entry Sheet'!A88</f>
        <v>Team Rank</v>
      </c>
      <c r="M67" s="13">
        <f>'Entry Sheet'!B88</f>
        <v>6</v>
      </c>
      <c r="N67" s="13" t="str">
        <f>'Entry Sheet'!C88</f>
        <v/>
      </c>
      <c r="O67" s="13">
        <f>'Entry Sheet'!D88</f>
        <v>1</v>
      </c>
      <c r="P67" s="13" t="str">
        <f>'Entry Sheet'!E88</f>
        <v/>
      </c>
      <c r="Q67" s="13">
        <f>'Entry Sheet'!F88</f>
        <v>5</v>
      </c>
      <c r="R67" s="13" t="str">
        <f>'Entry Sheet'!G88</f>
        <v/>
      </c>
      <c r="S67" s="13">
        <f>'Entry Sheet'!H88</f>
        <v>5</v>
      </c>
      <c r="T67" s="13" t="str">
        <f>'Entry Sheet'!I88</f>
        <v/>
      </c>
      <c r="U67" s="13">
        <f>'Entry Sheet'!J88</f>
        <v>5</v>
      </c>
      <c r="V67" s="13" t="str">
        <f>'Entry Sheet'!K88</f>
        <v/>
      </c>
      <c r="W67" s="13">
        <f>'Entry Sheet'!L88</f>
        <v>6</v>
      </c>
      <c r="X67" s="13" t="str">
        <f>'Entry Sheet'!M88</f>
        <v/>
      </c>
      <c r="Y67" s="13">
        <f>'Entry Sheet'!N88</f>
        <v>7</v>
      </c>
      <c r="Z67" s="13" t="str">
        <f>'Entry Sheet'!O88</f>
        <v/>
      </c>
      <c r="AA67" s="13">
        <f>'Entry Sheet'!P88</f>
        <v>6</v>
      </c>
      <c r="AB67" s="13" t="str">
        <f>'Entry Sheet'!Q88</f>
        <v/>
      </c>
      <c r="AC67" s="13">
        <f>'Entry Sheet'!R88</f>
        <v>8</v>
      </c>
      <c r="AD67" s="13" t="str">
        <f>'Entry Sheet'!S88</f>
        <v/>
      </c>
      <c r="AE67" s="13">
        <f>'Entry Sheet'!T88</f>
        <v>5</v>
      </c>
      <c r="AF67" s="13" t="str">
        <f>'Entry Sheet'!U88</f>
        <v/>
      </c>
      <c r="AG67" s="13">
        <f>'Entry Sheet'!V88</f>
        <v>5</v>
      </c>
      <c r="AH67" s="13" t="str">
        <f>'Entry Sheet'!W88</f>
        <v/>
      </c>
      <c r="AI67" s="13">
        <f>'Entry Sheet'!X88</f>
        <v>6</v>
      </c>
      <c r="AJ67" s="13" t="str">
        <f>'Entry Sheet'!Y88</f>
        <v/>
      </c>
      <c r="AK67" s="13">
        <f>'Entry Sheet'!Z88</f>
        <v>6</v>
      </c>
      <c r="AL67" s="13" t="str">
        <f>'Entry Sheet'!AA88</f>
        <v/>
      </c>
      <c r="AM67" s="13">
        <f>'Entry Sheet'!AB88</f>
        <v>6</v>
      </c>
      <c r="AN67" s="13" t="str">
        <f>'Entry Sheet'!AC88</f>
        <v/>
      </c>
      <c r="AO67" s="13" t="str">
        <f>'Entry Sheet'!AD88</f>
        <v/>
      </c>
      <c r="AP67" s="13" t="str">
        <f>'Entry Sheet'!AE88</f>
        <v/>
      </c>
    </row>
    <row r="68" ht="15.75" customHeight="1">
      <c r="A68" s="586" t="str">
        <f>Settings!$A$3</f>
        <v>DECOUPES</v>
      </c>
      <c r="B68" s="712" t="s">
        <v>117</v>
      </c>
      <c r="C68" s="13" t="str">
        <f>'Entry Sheet'!J12</f>
        <v/>
      </c>
      <c r="D68" s="13" t="str">
        <f>'Entry Sheet'!K12</f>
        <v/>
      </c>
      <c r="E68" s="589" t="s">
        <v>516</v>
      </c>
      <c r="L68" s="13" t="str">
        <f>'Entry Sheet'!A89</f>
        <v>QB</v>
      </c>
      <c r="M68" s="13" t="str">
        <f>'Entry Sheet'!B89</f>
        <v>J. HERBERT</v>
      </c>
      <c r="N68" s="13">
        <f>'Entry Sheet'!C89</f>
        <v>38.82</v>
      </c>
      <c r="O68" s="13" t="str">
        <f>'Entry Sheet'!D89</f>
        <v>J. HERBERT</v>
      </c>
      <c r="P68" s="13">
        <f>'Entry Sheet'!E89</f>
        <v>25.88</v>
      </c>
      <c r="Q68" s="13" t="str">
        <f>'Entry Sheet'!F89</f>
        <v>J. HERBERT</v>
      </c>
      <c r="R68" s="13">
        <f>'Entry Sheet'!G89</f>
        <v>18.8</v>
      </c>
      <c r="S68" s="13" t="str">
        <f>'Entry Sheet'!H89</f>
        <v>J. HERBERT</v>
      </c>
      <c r="T68" s="13">
        <f>'Entry Sheet'!I89</f>
        <v>14.02</v>
      </c>
      <c r="U68" s="13" t="str">
        <f>'Entry Sheet'!J89</f>
        <v>J. HERBERT</v>
      </c>
      <c r="V68" s="13">
        <f>'Entry Sheet'!K89</f>
        <v>19.24</v>
      </c>
      <c r="W68" s="13" t="str">
        <f>'Entry Sheet'!L89</f>
        <v>J. DANIELS</v>
      </c>
      <c r="X68" s="13">
        <f>'Entry Sheet'!M89</f>
        <v>30.24</v>
      </c>
      <c r="Y68" s="13" t="str">
        <f>'Entry Sheet'!N89</f>
        <v>J. DANIELS</v>
      </c>
      <c r="Z68" s="13">
        <f>'Entry Sheet'!O89</f>
        <v>20.94</v>
      </c>
      <c r="AA68" s="13" t="str">
        <f>'Entry Sheet'!P89</f>
        <v>J. HERBERT</v>
      </c>
      <c r="AB68" s="13">
        <f>'Entry Sheet'!Q89</f>
        <v>33.38</v>
      </c>
      <c r="AC68" s="13" t="str">
        <f>'Entry Sheet'!R89</f>
        <v>J. HERBERT</v>
      </c>
      <c r="AD68" s="13">
        <f>'Entry Sheet'!S89</f>
        <v>33.6</v>
      </c>
      <c r="AE68" s="13" t="str">
        <f>'Entry Sheet'!T89</f>
        <v>J. HERBERT</v>
      </c>
      <c r="AF68" s="13">
        <f>'Entry Sheet'!U89</f>
        <v>18.6</v>
      </c>
      <c r="AG68" s="13" t="str">
        <f>'Entry Sheet'!V89</f>
        <v>J. HERBERT</v>
      </c>
      <c r="AH68" s="13">
        <f>'Entry Sheet'!W89</f>
        <v>3.24</v>
      </c>
      <c r="AI68" s="13" t="str">
        <f>'Entry Sheet'!X89</f>
        <v>J. LOVE</v>
      </c>
      <c r="AJ68" s="13">
        <f>'Entry Sheet'!Y89</f>
        <v>8.76</v>
      </c>
      <c r="AK68" s="13" t="str">
        <f>'Entry Sheet'!Z89</f>
        <v>J. LOVE</v>
      </c>
      <c r="AL68" s="13">
        <f>'Entry Sheet'!AA89</f>
        <v>35.46</v>
      </c>
      <c r="AM68" s="13" t="str">
        <f>'Entry Sheet'!AB89</f>
        <v>J. LOVE</v>
      </c>
      <c r="AN68" s="13">
        <f>'Entry Sheet'!AC89</f>
        <v>26.36</v>
      </c>
      <c r="AO68" s="13" t="str">
        <f>'Entry Sheet'!AD89</f>
        <v/>
      </c>
      <c r="AP68" s="13" t="str">
        <f>'Entry Sheet'!AE89</f>
        <v/>
      </c>
    </row>
    <row r="69" ht="15.75" customHeight="1">
      <c r="A69" s="586" t="str">
        <f>Settings!$A$3</f>
        <v>DECOUPES</v>
      </c>
      <c r="B69" s="764" t="s">
        <v>132</v>
      </c>
      <c r="C69" s="13" t="str">
        <f>'Entry Sheet'!J13</f>
        <v>T. KELCE</v>
      </c>
      <c r="D69" s="13">
        <f>'Entry Sheet'!K13</f>
        <v>19.1</v>
      </c>
      <c r="E69" s="589" t="s">
        <v>516</v>
      </c>
      <c r="L69" s="13" t="str">
        <f>'Entry Sheet'!A90</f>
        <v>RB</v>
      </c>
      <c r="M69" s="13" t="str">
        <f>'Entry Sheet'!B90</f>
        <v>J. GIBBS</v>
      </c>
      <c r="N69" s="13">
        <f>'Entry Sheet'!C90</f>
        <v>15.9</v>
      </c>
      <c r="O69" s="13" t="str">
        <f>'Entry Sheet'!D90</f>
        <v>J. GIBBS</v>
      </c>
      <c r="P69" s="13">
        <f>'Entry Sheet'!E90</f>
        <v>20.6</v>
      </c>
      <c r="Q69" s="13" t="str">
        <f>'Entry Sheet'!F90</f>
        <v>J. GIBBS</v>
      </c>
      <c r="R69" s="13">
        <f>'Entry Sheet'!G90</f>
        <v>29.1</v>
      </c>
      <c r="S69" s="13" t="str">
        <f>'Entry Sheet'!H90</f>
        <v>J. GIBBS</v>
      </c>
      <c r="T69" s="13">
        <f>'Entry Sheet'!I90</f>
        <v>19.2</v>
      </c>
      <c r="U69" s="13" t="str">
        <f>'Entry Sheet'!J90</f>
        <v>J. GIBBS</v>
      </c>
      <c r="V69" s="13">
        <f>'Entry Sheet'!K90</f>
        <v>17.9</v>
      </c>
      <c r="W69" s="13" t="str">
        <f>'Entry Sheet'!L90</f>
        <v>J. JACOBS</v>
      </c>
      <c r="X69" s="13">
        <f>'Entry Sheet'!M90</f>
        <v>33.8</v>
      </c>
      <c r="Y69" s="13" t="str">
        <f>'Entry Sheet'!N90</f>
        <v>J. JACOBS</v>
      </c>
      <c r="Z69" s="13">
        <f>'Entry Sheet'!O90</f>
        <v>20.1</v>
      </c>
      <c r="AA69" s="13" t="str">
        <f>'Entry Sheet'!P90</f>
        <v>J. JACOBS</v>
      </c>
      <c r="AB69" s="13">
        <f>'Entry Sheet'!Q90</f>
        <v>14.8</v>
      </c>
      <c r="AC69" s="13" t="str">
        <f>'Entry Sheet'!R90</f>
        <v>K. WILLIAMS</v>
      </c>
      <c r="AD69" s="13">
        <f>'Entry Sheet'!S90</f>
        <v>20.9</v>
      </c>
      <c r="AE69" s="13" t="str">
        <f>'Entry Sheet'!T90</f>
        <v>J. JACOBS</v>
      </c>
      <c r="AF69" s="13">
        <f>'Entry Sheet'!U90</f>
        <v>21.8</v>
      </c>
      <c r="AG69" s="13" t="str">
        <f>'Entry Sheet'!V90</f>
        <v>J. JACOBS</v>
      </c>
      <c r="AH69" s="13">
        <f>'Entry Sheet'!W90</f>
        <v>4.7</v>
      </c>
      <c r="AI69" s="13" t="str">
        <f>'Entry Sheet'!X90</f>
        <v>K. WILLIAMS</v>
      </c>
      <c r="AJ69" s="13">
        <f>'Entry Sheet'!Y90</f>
        <v>7.4</v>
      </c>
      <c r="AK69" s="13" t="str">
        <f>'Entry Sheet'!Z90</f>
        <v>K. WILLIAMS</v>
      </c>
      <c r="AL69" s="13">
        <f>'Entry Sheet'!AA90</f>
        <v>14.5</v>
      </c>
      <c r="AM69" s="13" t="str">
        <f>'Entry Sheet'!AB90</f>
        <v>K. WILLIAMS</v>
      </c>
      <c r="AN69" s="13">
        <f>'Entry Sheet'!AC90</f>
        <v>19</v>
      </c>
      <c r="AO69" s="13" t="str">
        <f>'Entry Sheet'!AD90</f>
        <v/>
      </c>
      <c r="AP69" s="13" t="str">
        <f>'Entry Sheet'!AE90</f>
        <v/>
      </c>
    </row>
    <row r="70" ht="15.75" customHeight="1">
      <c r="A70" s="586" t="str">
        <f>Settings!$A$3</f>
        <v>DECOUPES</v>
      </c>
      <c r="B70" s="795" t="s">
        <v>136</v>
      </c>
      <c r="C70" s="13" t="str">
        <f>'Entry Sheet'!J14</f>
        <v>C. BROWN</v>
      </c>
      <c r="D70" s="13">
        <f>'Entry Sheet'!K14</f>
        <v>12.6</v>
      </c>
      <c r="E70" s="589" t="s">
        <v>516</v>
      </c>
      <c r="L70" s="13" t="str">
        <f>'Entry Sheet'!A91</f>
        <v>RB</v>
      </c>
      <c r="M70" s="13" t="str">
        <f>'Entry Sheet'!B91</f>
        <v>J. JACOBS</v>
      </c>
      <c r="N70" s="13">
        <f>'Entry Sheet'!C91</f>
        <v>15.9</v>
      </c>
      <c r="O70" s="13" t="str">
        <f>'Entry Sheet'!D91</f>
        <v>J. JACOBS</v>
      </c>
      <c r="P70" s="13">
        <f>'Entry Sheet'!E91</f>
        <v>16.7</v>
      </c>
      <c r="Q70" s="13" t="str">
        <f>'Entry Sheet'!F91</f>
        <v>J. JACOBS</v>
      </c>
      <c r="R70" s="13">
        <f>'Entry Sheet'!G91</f>
        <v>14</v>
      </c>
      <c r="S70" s="13" t="str">
        <f>'Entry Sheet'!H91</f>
        <v>J. JACOBS</v>
      </c>
      <c r="T70" s="13">
        <f>'Entry Sheet'!I91</f>
        <v>33.9</v>
      </c>
      <c r="U70" s="13" t="str">
        <f>'Entry Sheet'!J91</f>
        <v>K. WILLIAMS</v>
      </c>
      <c r="V70" s="13">
        <f>'Entry Sheet'!K91</f>
        <v>32.5</v>
      </c>
      <c r="W70" s="13" t="str">
        <f>'Entry Sheet'!L91</f>
        <v>K. WILLIAMS</v>
      </c>
      <c r="X70" s="13">
        <f>'Entry Sheet'!M91</f>
        <v>18</v>
      </c>
      <c r="Y70" s="13" t="str">
        <f>'Entry Sheet'!N91</f>
        <v>K. WILLIAMS</v>
      </c>
      <c r="Z70" s="13">
        <f>'Entry Sheet'!O91</f>
        <v>9.7</v>
      </c>
      <c r="AA70" s="13" t="str">
        <f>'Entry Sheet'!P91</f>
        <v>C. BROWN</v>
      </c>
      <c r="AB70" s="13">
        <f>'Entry Sheet'!Q91</f>
        <v>26.7</v>
      </c>
      <c r="AC70" s="13" t="str">
        <f>'Entry Sheet'!R91</f>
        <v>C. BROWN</v>
      </c>
      <c r="AD70" s="13">
        <f>'Entry Sheet'!S91</f>
        <v>20.3</v>
      </c>
      <c r="AE70" s="13" t="str">
        <f>'Entry Sheet'!T91</f>
        <v>K. WILLIAMS</v>
      </c>
      <c r="AF70" s="13">
        <f>'Entry Sheet'!U91</f>
        <v>23.8</v>
      </c>
      <c r="AG70" s="13" t="str">
        <f>'Entry Sheet'!V91</f>
        <v>K. WILLIAMS</v>
      </c>
      <c r="AH70" s="13">
        <f>'Entry Sheet'!W91</f>
        <v>17.8</v>
      </c>
      <c r="AI70" s="13" t="str">
        <f>'Entry Sheet'!X91</f>
        <v>D. MONTGOMERY</v>
      </c>
      <c r="AJ70" s="13">
        <f>'Entry Sheet'!Y91</f>
        <v>7.2</v>
      </c>
      <c r="AK70" s="13" t="str">
        <f>'Entry Sheet'!Z91</f>
        <v>D. MONTGOMERY</v>
      </c>
      <c r="AL70" s="13">
        <f>'Entry Sheet'!AA91</f>
        <v>13.4</v>
      </c>
      <c r="AM70" s="13" t="str">
        <f>'Entry Sheet'!AB91</f>
        <v>D. MONTGOMERY</v>
      </c>
      <c r="AN70" s="13">
        <f>'Entry Sheet'!AC91</f>
        <v>14.9</v>
      </c>
      <c r="AO70" s="13" t="str">
        <f>'Entry Sheet'!AD91</f>
        <v/>
      </c>
      <c r="AP70" s="13" t="str">
        <f>'Entry Sheet'!AE91</f>
        <v/>
      </c>
    </row>
    <row r="71" ht="15.75" customHeight="1">
      <c r="A71" s="586" t="str">
        <f>Settings!$A$3</f>
        <v>DECOUPES</v>
      </c>
      <c r="B71" s="818" t="s">
        <v>139</v>
      </c>
      <c r="C71" s="13" t="str">
        <f>'Entry Sheet'!J15</f>
        <v>LAR D/ST</v>
      </c>
      <c r="D71" s="13">
        <f>'Entry Sheet'!K15</f>
        <v>4.78</v>
      </c>
      <c r="E71" s="589" t="s">
        <v>516</v>
      </c>
      <c r="L71" s="13" t="str">
        <f>'Entry Sheet'!A92</f>
        <v>RB</v>
      </c>
      <c r="M71" s="13" t="str">
        <f>'Entry Sheet'!B92</f>
        <v/>
      </c>
      <c r="N71" s="13" t="str">
        <f>'Entry Sheet'!C92</f>
        <v/>
      </c>
      <c r="O71" s="13" t="str">
        <f>'Entry Sheet'!D92</f>
        <v/>
      </c>
      <c r="P71" s="13" t="str">
        <f>'Entry Sheet'!E92</f>
        <v/>
      </c>
      <c r="Q71" s="13" t="str">
        <f>'Entry Sheet'!F92</f>
        <v/>
      </c>
      <c r="R71" s="13" t="str">
        <f>'Entry Sheet'!G92</f>
        <v/>
      </c>
      <c r="S71" s="13" t="str">
        <f>'Entry Sheet'!H92</f>
        <v/>
      </c>
      <c r="T71" s="13" t="str">
        <f>'Entry Sheet'!I92</f>
        <v/>
      </c>
      <c r="U71" s="13" t="str">
        <f>'Entry Sheet'!J92</f>
        <v/>
      </c>
      <c r="V71" s="13" t="str">
        <f>'Entry Sheet'!K92</f>
        <v/>
      </c>
      <c r="W71" s="13" t="str">
        <f>'Entry Sheet'!L92</f>
        <v/>
      </c>
      <c r="X71" s="13" t="str">
        <f>'Entry Sheet'!M92</f>
        <v/>
      </c>
      <c r="Y71" s="13" t="str">
        <f>'Entry Sheet'!N92</f>
        <v/>
      </c>
      <c r="Z71" s="13" t="str">
        <f>'Entry Sheet'!O92</f>
        <v/>
      </c>
      <c r="AA71" s="13" t="str">
        <f>'Entry Sheet'!P92</f>
        <v/>
      </c>
      <c r="AB71" s="13" t="str">
        <f>'Entry Sheet'!Q92</f>
        <v/>
      </c>
      <c r="AC71" s="13" t="str">
        <f>'Entry Sheet'!R92</f>
        <v/>
      </c>
      <c r="AD71" s="13" t="str">
        <f>'Entry Sheet'!S92</f>
        <v/>
      </c>
      <c r="AE71" s="13" t="str">
        <f>'Entry Sheet'!T92</f>
        <v/>
      </c>
      <c r="AF71" s="13" t="str">
        <f>'Entry Sheet'!U92</f>
        <v/>
      </c>
      <c r="AG71" s="13" t="str">
        <f>'Entry Sheet'!V92</f>
        <v/>
      </c>
      <c r="AH71" s="13" t="str">
        <f>'Entry Sheet'!W92</f>
        <v/>
      </c>
      <c r="AI71" s="13" t="str">
        <f>'Entry Sheet'!X92</f>
        <v/>
      </c>
      <c r="AJ71" s="13" t="str">
        <f>'Entry Sheet'!Y92</f>
        <v/>
      </c>
      <c r="AK71" s="13" t="str">
        <f>'Entry Sheet'!Z92</f>
        <v/>
      </c>
      <c r="AL71" s="13" t="str">
        <f>'Entry Sheet'!AA92</f>
        <v/>
      </c>
      <c r="AM71" s="13" t="str">
        <f>'Entry Sheet'!AB92</f>
        <v/>
      </c>
      <c r="AN71" s="13" t="str">
        <f>'Entry Sheet'!AC92</f>
        <v/>
      </c>
      <c r="AO71" s="13" t="str">
        <f>'Entry Sheet'!AD92</f>
        <v/>
      </c>
      <c r="AP71" s="13" t="str">
        <f>'Entry Sheet'!AE92</f>
        <v/>
      </c>
    </row>
    <row r="72" ht="15.75" customHeight="1">
      <c r="A72" s="586" t="str">
        <f>Settings!$A$3</f>
        <v>DECOUPES</v>
      </c>
      <c r="B72" s="833" t="s">
        <v>146</v>
      </c>
      <c r="C72" s="13" t="str">
        <f>'Entry Sheet'!J16</f>
        <v>S. SHRADER</v>
      </c>
      <c r="D72" s="13">
        <f>'Entry Sheet'!K16</f>
        <v>2</v>
      </c>
      <c r="E72" s="589" t="s">
        <v>516</v>
      </c>
      <c r="L72" s="13" t="str">
        <f>'Entry Sheet'!A93</f>
        <v>WR</v>
      </c>
      <c r="M72" s="13" t="str">
        <f>'Entry Sheet'!B93</f>
        <v>D. ADAMS</v>
      </c>
      <c r="N72" s="13">
        <f>'Entry Sheet'!C93</f>
        <v>9.1</v>
      </c>
      <c r="O72" s="13" t="str">
        <f>'Entry Sheet'!D93</f>
        <v>D. ADAMS</v>
      </c>
      <c r="P72" s="13">
        <f>'Entry Sheet'!E93</f>
        <v>23.6</v>
      </c>
      <c r="Q72" s="13" t="str">
        <f>'Entry Sheet'!F93</f>
        <v>D. ADAMS</v>
      </c>
      <c r="R72" s="13">
        <f>'Entry Sheet'!G93</f>
        <v>14.6</v>
      </c>
      <c r="S72" s="13" t="str">
        <f>'Entry Sheet'!H93</f>
        <v>D. ADAMS</v>
      </c>
      <c r="T72" s="13">
        <f>'Entry Sheet'!I93</f>
        <v>15.6</v>
      </c>
      <c r="U72" s="13" t="str">
        <f>'Entry Sheet'!J93</f>
        <v>D. ADAMS</v>
      </c>
      <c r="V72" s="13">
        <f>'Entry Sheet'!K93</f>
        <v>13.8</v>
      </c>
      <c r="W72" s="13" t="str">
        <f>'Entry Sheet'!L93</f>
        <v>D. ADAMS</v>
      </c>
      <c r="X72" s="13">
        <f>'Entry Sheet'!M93</f>
        <v>7.9</v>
      </c>
      <c r="Y72" s="13" t="str">
        <f>'Entry Sheet'!N93</f>
        <v>D. ADAMS</v>
      </c>
      <c r="Z72" s="13">
        <f>'Entry Sheet'!O93</f>
        <v>26.5</v>
      </c>
      <c r="AA72" s="13" t="str">
        <f>'Entry Sheet'!P93</f>
        <v>M. PITTMAN JR.</v>
      </c>
      <c r="AB72" s="13">
        <f>'Entry Sheet'!Q93</f>
        <v>23.5</v>
      </c>
      <c r="AC72" s="13" t="str">
        <f>'Entry Sheet'!R93</f>
        <v>D. ADAMS</v>
      </c>
      <c r="AD72" s="13">
        <f>'Entry Sheet'!S93</f>
        <v>23</v>
      </c>
      <c r="AE72" s="13" t="str">
        <f>'Entry Sheet'!T93</f>
        <v>D. ADAMS</v>
      </c>
      <c r="AF72" s="13">
        <f>'Entry Sheet'!U93</f>
        <v>19.7</v>
      </c>
      <c r="AG72" s="13" t="str">
        <f>'Entry Sheet'!V93</f>
        <v>D. ADAMS</v>
      </c>
      <c r="AH72" s="13">
        <f>'Entry Sheet'!W93</f>
        <v>7.1</v>
      </c>
      <c r="AI72" s="13" t="str">
        <f>'Entry Sheet'!X93</f>
        <v>D. ADAMS</v>
      </c>
      <c r="AJ72" s="13">
        <f>'Entry Sheet'!Y93</f>
        <v>23.2</v>
      </c>
      <c r="AK72" s="13" t="str">
        <f>'Entry Sheet'!Z93</f>
        <v>D. ADAMS</v>
      </c>
      <c r="AL72" s="13">
        <f>'Entry Sheet'!AA93</f>
        <v>21.8</v>
      </c>
      <c r="AM72" s="13" t="str">
        <f>'Entry Sheet'!AB93</f>
        <v>D. ADAMS</v>
      </c>
      <c r="AN72" s="13">
        <f>'Entry Sheet'!AC93</f>
        <v>6.9</v>
      </c>
      <c r="AO72" s="13" t="str">
        <f>'Entry Sheet'!AD93</f>
        <v/>
      </c>
      <c r="AP72" s="13" t="str">
        <f>'Entry Sheet'!AE93</f>
        <v/>
      </c>
    </row>
    <row r="73" ht="15.75" customHeight="1">
      <c r="A73" s="586" t="str">
        <f>Settings!$A$3</f>
        <v>DECOUPES</v>
      </c>
      <c r="B73" s="842" t="s">
        <v>162</v>
      </c>
      <c r="C73" s="13" t="str">
        <f>'Entry Sheet'!J17</f>
        <v>PHI HC</v>
      </c>
      <c r="D73" s="13">
        <f>'Entry Sheet'!K17</f>
        <v>3.1</v>
      </c>
      <c r="E73" s="589" t="s">
        <v>516</v>
      </c>
      <c r="L73" s="13" t="str">
        <f>'Entry Sheet'!A94</f>
        <v>WR</v>
      </c>
      <c r="M73" s="13" t="str">
        <f>'Entry Sheet'!B94</f>
        <v>M. HARRISON JR</v>
      </c>
      <c r="N73" s="13">
        <f>'Entry Sheet'!C94</f>
        <v>18.1</v>
      </c>
      <c r="O73" s="13" t="str">
        <f>'Entry Sheet'!D94</f>
        <v>M. HARRISON JR</v>
      </c>
      <c r="P73" s="13">
        <f>'Entry Sheet'!E94</f>
        <v>4.7</v>
      </c>
      <c r="Q73" s="13" t="str">
        <f>'Entry Sheet'!F94</f>
        <v>M. HARRISON JR</v>
      </c>
      <c r="R73" s="13">
        <f>'Entry Sheet'!G94</f>
        <v>7.4</v>
      </c>
      <c r="S73" s="13" t="str">
        <f>'Entry Sheet'!H94</f>
        <v>M. HARRISON JR</v>
      </c>
      <c r="T73" s="13">
        <f>'Entry Sheet'!I94</f>
        <v>18.6</v>
      </c>
      <c r="U73" s="13" t="str">
        <f>'Entry Sheet'!J94</f>
        <v>M. HARRISON JR</v>
      </c>
      <c r="V73" s="13">
        <f>'Entry Sheet'!K94</f>
        <v>13.8</v>
      </c>
      <c r="W73" s="13" t="str">
        <f>'Entry Sheet'!L94</f>
        <v>M. HARRISON JR.</v>
      </c>
      <c r="X73" s="13">
        <f>'Entry Sheet'!M94</f>
        <v>5.2</v>
      </c>
      <c r="Y73" s="13" t="str">
        <f>'Entry Sheet'!N94</f>
        <v>M. HARRISON JR.</v>
      </c>
      <c r="Z73" s="13">
        <f>'Entry Sheet'!O94</f>
        <v>7.8</v>
      </c>
      <c r="AA73" s="13" t="str">
        <f>'Entry Sheet'!P94</f>
        <v>T. MCLAURIN</v>
      </c>
      <c r="AB73" s="13">
        <f>'Entry Sheet'!Q94</f>
        <v>14.4</v>
      </c>
      <c r="AC73" s="13" t="str">
        <f>'Entry Sheet'!R94</f>
        <v>M. HARRISON</v>
      </c>
      <c r="AD73" s="13">
        <f>'Entry Sheet'!S94</f>
        <v>22.6</v>
      </c>
      <c r="AE73" s="13" t="str">
        <f>'Entry Sheet'!T94</f>
        <v>M. HARRISON</v>
      </c>
      <c r="AF73" s="13">
        <f>'Entry Sheet'!U94</f>
        <v>14.3</v>
      </c>
      <c r="AG73" s="13" t="str">
        <f>'Entry Sheet'!V94</f>
        <v>G. DORTCH</v>
      </c>
      <c r="AH73" s="13">
        <f>'Entry Sheet'!W94</f>
        <v>25.1</v>
      </c>
      <c r="AI73" s="13" t="str">
        <f>'Entry Sheet'!X94</f>
        <v>M. PITTMAN</v>
      </c>
      <c r="AJ73" s="13">
        <f>'Entry Sheet'!Y94</f>
        <v>13.7</v>
      </c>
      <c r="AK73" s="13" t="str">
        <f>'Entry Sheet'!Z94</f>
        <v>M. PITTMAN</v>
      </c>
      <c r="AL73" s="13">
        <f>'Entry Sheet'!AA94</f>
        <v>2.3</v>
      </c>
      <c r="AM73" s="13" t="str">
        <f>'Entry Sheet'!AB94</f>
        <v>M. PITTMAN</v>
      </c>
      <c r="AN73" s="13">
        <f>'Entry Sheet'!AC94</f>
        <v>16.9</v>
      </c>
      <c r="AO73" s="13" t="str">
        <f>'Entry Sheet'!AD94</f>
        <v/>
      </c>
      <c r="AP73" s="13" t="str">
        <f>'Entry Sheet'!AE94</f>
        <v/>
      </c>
    </row>
    <row r="74" ht="15.75" customHeight="1">
      <c r="A74" s="586" t="str">
        <f>Settings!$A$3</f>
        <v>DECOUPES</v>
      </c>
      <c r="B74" s="587" t="s">
        <v>100</v>
      </c>
      <c r="C74" s="13" t="str">
        <f>'Entry Sheet'!L5</f>
        <v>D. PRESCOTT</v>
      </c>
      <c r="D74" s="13">
        <f>'Entry Sheet'!M5</f>
        <v>31.74</v>
      </c>
      <c r="E74" s="846" t="s">
        <v>517</v>
      </c>
      <c r="L74" s="13" t="str">
        <f>'Entry Sheet'!A95</f>
        <v>WR</v>
      </c>
      <c r="M74" s="13" t="str">
        <f>'Entry Sheet'!B95</f>
        <v>G. WILSON</v>
      </c>
      <c r="N74" s="13">
        <f>'Entry Sheet'!C95</f>
        <v>22.5</v>
      </c>
      <c r="O74" s="13" t="str">
        <f>'Entry Sheet'!D95</f>
        <v>G. WILSON</v>
      </c>
      <c r="P74" s="13">
        <f>'Entry Sheet'!E95</f>
        <v>9</v>
      </c>
      <c r="Q74" s="13" t="str">
        <f>'Entry Sheet'!F95</f>
        <v>G. WILSON</v>
      </c>
      <c r="R74" s="13">
        <f>'Entry Sheet'!G95</f>
        <v>24.4</v>
      </c>
      <c r="S74" s="13" t="str">
        <f>'Entry Sheet'!H95</f>
        <v>G. WILSON</v>
      </c>
      <c r="T74" s="13">
        <f>'Entry Sheet'!I95</f>
        <v>20.2</v>
      </c>
      <c r="U74" s="13" t="str">
        <f>'Entry Sheet'!J95</f>
        <v>G. WILSON</v>
      </c>
      <c r="V74" s="13">
        <f>'Entry Sheet'!K95</f>
        <v>19.1</v>
      </c>
      <c r="W74" s="13" t="str">
        <f>'Entry Sheet'!L95</f>
        <v>M. PITTMAN JR</v>
      </c>
      <c r="X74" s="13">
        <f>'Entry Sheet'!M95</f>
        <v>4</v>
      </c>
      <c r="Y74" s="13" t="str">
        <f>'Entry Sheet'!N95</f>
        <v>M. PITTMAN JR.</v>
      </c>
      <c r="Z74" s="13">
        <f>'Entry Sheet'!O95</f>
        <v>20.8</v>
      </c>
      <c r="AA74" s="13" t="str">
        <f>'Entry Sheet'!P95</f>
        <v>J. NOEL</v>
      </c>
      <c r="AB74" s="13">
        <f>'Entry Sheet'!Q95</f>
        <v>11.85</v>
      </c>
      <c r="AC74" s="13" t="str">
        <f>'Entry Sheet'!R95</f>
        <v>M. PITTMAN</v>
      </c>
      <c r="AD74" s="13">
        <f>'Entry Sheet'!S95</f>
        <v>21.5</v>
      </c>
      <c r="AE74" s="13" t="str">
        <f>'Entry Sheet'!T95</f>
        <v>M. PITTMAN</v>
      </c>
      <c r="AF74" s="13">
        <f>'Entry Sheet'!U95</f>
        <v>3.9</v>
      </c>
      <c r="AG74" s="13" t="str">
        <f>'Entry Sheet'!V95</f>
        <v>C. AUSTIN</v>
      </c>
      <c r="AH74" s="13">
        <f>'Entry Sheet'!W95</f>
        <v>2.25</v>
      </c>
      <c r="AI74" s="13" t="str">
        <f>'Entry Sheet'!X95</f>
        <v>G. DORTCH</v>
      </c>
      <c r="AJ74" s="13">
        <f>'Entry Sheet'!Y95</f>
        <v>23.35</v>
      </c>
      <c r="AK74" s="13" t="str">
        <f>'Entry Sheet'!Z95</f>
        <v>G. DORTCH</v>
      </c>
      <c r="AL74" s="13">
        <f>'Entry Sheet'!AA95</f>
        <v>5.2</v>
      </c>
      <c r="AM74" s="13" t="str">
        <f>'Entry Sheet'!AB95</f>
        <v>C. AUSTIN</v>
      </c>
      <c r="AN74" s="13">
        <f>'Entry Sheet'!AC95</f>
        <v>4.7</v>
      </c>
      <c r="AO74" s="13" t="str">
        <f>'Entry Sheet'!AD95</f>
        <v/>
      </c>
      <c r="AP74" s="13" t="str">
        <f>'Entry Sheet'!AE95</f>
        <v/>
      </c>
    </row>
    <row r="75" ht="15.75" customHeight="1">
      <c r="A75" s="586" t="str">
        <f>Settings!$A$3</f>
        <v>DECOUPES</v>
      </c>
      <c r="B75" s="596" t="s">
        <v>106</v>
      </c>
      <c r="C75" s="13" t="str">
        <f>'Entry Sheet'!L6</f>
        <v>R. WHITE</v>
      </c>
      <c r="D75" s="13">
        <f>'Entry Sheet'!M6</f>
        <v>19.3</v>
      </c>
      <c r="E75" s="846" t="s">
        <v>517</v>
      </c>
      <c r="L75" s="13" t="str">
        <f>'Entry Sheet'!A96</f>
        <v>WR</v>
      </c>
      <c r="M75" s="13" t="str">
        <f>'Entry Sheet'!B96</f>
        <v/>
      </c>
      <c r="N75" s="13" t="str">
        <f>'Entry Sheet'!C96</f>
        <v/>
      </c>
      <c r="O75" s="13" t="str">
        <f>'Entry Sheet'!D96</f>
        <v/>
      </c>
      <c r="P75" s="13" t="str">
        <f>'Entry Sheet'!E96</f>
        <v/>
      </c>
      <c r="Q75" s="13" t="str">
        <f>'Entry Sheet'!F96</f>
        <v/>
      </c>
      <c r="R75" s="13" t="str">
        <f>'Entry Sheet'!G96</f>
        <v/>
      </c>
      <c r="S75" s="13" t="str">
        <f>'Entry Sheet'!H96</f>
        <v/>
      </c>
      <c r="T75" s="13" t="str">
        <f>'Entry Sheet'!I96</f>
        <v/>
      </c>
      <c r="U75" s="13" t="str">
        <f>'Entry Sheet'!J96</f>
        <v/>
      </c>
      <c r="V75" s="13" t="str">
        <f>'Entry Sheet'!K96</f>
        <v/>
      </c>
      <c r="W75" s="13" t="str">
        <f>'Entry Sheet'!L96</f>
        <v/>
      </c>
      <c r="X75" s="13" t="str">
        <f>'Entry Sheet'!M96</f>
        <v/>
      </c>
      <c r="Y75" s="13" t="str">
        <f>'Entry Sheet'!N96</f>
        <v/>
      </c>
      <c r="Z75" s="13" t="str">
        <f>'Entry Sheet'!O96</f>
        <v/>
      </c>
      <c r="AA75" s="13" t="str">
        <f>'Entry Sheet'!P96</f>
        <v/>
      </c>
      <c r="AB75" s="13" t="str">
        <f>'Entry Sheet'!Q96</f>
        <v/>
      </c>
      <c r="AC75" s="13" t="str">
        <f>'Entry Sheet'!R96</f>
        <v/>
      </c>
      <c r="AD75" s="13" t="str">
        <f>'Entry Sheet'!S96</f>
        <v/>
      </c>
      <c r="AE75" s="13" t="str">
        <f>'Entry Sheet'!T96</f>
        <v/>
      </c>
      <c r="AF75" s="13" t="str">
        <f>'Entry Sheet'!U96</f>
        <v/>
      </c>
      <c r="AG75" s="13" t="str">
        <f>'Entry Sheet'!V96</f>
        <v/>
      </c>
      <c r="AH75" s="13" t="str">
        <f>'Entry Sheet'!W96</f>
        <v/>
      </c>
      <c r="AI75" s="13" t="str">
        <f>'Entry Sheet'!X96</f>
        <v/>
      </c>
      <c r="AJ75" s="13" t="str">
        <f>'Entry Sheet'!Y96</f>
        <v/>
      </c>
      <c r="AK75" s="13" t="str">
        <f>'Entry Sheet'!Z96</f>
        <v/>
      </c>
      <c r="AL75" s="13" t="str">
        <f>'Entry Sheet'!AA96</f>
        <v/>
      </c>
      <c r="AM75" s="13" t="str">
        <f>'Entry Sheet'!AB96</f>
        <v/>
      </c>
      <c r="AN75" s="13" t="str">
        <f>'Entry Sheet'!AC96</f>
        <v/>
      </c>
      <c r="AO75" s="13" t="str">
        <f>'Entry Sheet'!AD96</f>
        <v/>
      </c>
      <c r="AP75" s="13" t="str">
        <f>'Entry Sheet'!AE96</f>
        <v/>
      </c>
    </row>
    <row r="76" ht="15.75" customHeight="1">
      <c r="A76" s="586" t="str">
        <f>Settings!$A$3</f>
        <v>DECOUPES</v>
      </c>
      <c r="B76" s="596" t="s">
        <v>106</v>
      </c>
      <c r="C76" s="13" t="str">
        <f>'Entry Sheet'!L7</f>
        <v>J. WARREN</v>
      </c>
      <c r="D76" s="13">
        <f>'Entry Sheet'!M7</f>
        <v>9.4</v>
      </c>
      <c r="E76" s="846" t="s">
        <v>517</v>
      </c>
      <c r="L76" s="13" t="str">
        <f>'Entry Sheet'!A97</f>
        <v>TE</v>
      </c>
      <c r="M76" s="13" t="str">
        <f>'Entry Sheet'!B97</f>
        <v>D. NJOKU</v>
      </c>
      <c r="N76" s="13">
        <f>'Entry Sheet'!C97</f>
        <v>6.7</v>
      </c>
      <c r="O76" s="13" t="str">
        <f>'Entry Sheet'!D97</f>
        <v>D. NJOKU</v>
      </c>
      <c r="P76" s="13">
        <f>'Entry Sheet'!E97</f>
        <v>8</v>
      </c>
      <c r="Q76" s="13" t="str">
        <f>'Entry Sheet'!F97</f>
        <v>J. JOHNSON</v>
      </c>
      <c r="R76" s="13">
        <f>'Entry Sheet'!G97</f>
        <v>11.1</v>
      </c>
      <c r="S76" s="13" t="str">
        <f>'Entry Sheet'!H97</f>
        <v>J.JOHNSON</v>
      </c>
      <c r="T76" s="13">
        <f>'Entry Sheet'!I97</f>
        <v>5.8</v>
      </c>
      <c r="U76" s="13" t="str">
        <f>'Entry Sheet'!J97</f>
        <v>J. JOHNSON</v>
      </c>
      <c r="V76" s="13">
        <f>'Entry Sheet'!K97</f>
        <v>3.7</v>
      </c>
      <c r="W76" s="13" t="str">
        <f>'Entry Sheet'!L97</f>
        <v>D. NJOKU</v>
      </c>
      <c r="X76" s="13">
        <f>'Entry Sheet'!M97</f>
        <v>5.8</v>
      </c>
      <c r="Y76" s="13" t="str">
        <f>'Entry Sheet'!N97</f>
        <v>J. JOHNSON</v>
      </c>
      <c r="Z76" s="13">
        <f>'Entry Sheet'!O97</f>
        <v>12.9</v>
      </c>
      <c r="AA76" s="13" t="str">
        <f>'Entry Sheet'!P97</f>
        <v>D. NJOKU</v>
      </c>
      <c r="AB76" s="13">
        <f>'Entry Sheet'!Q97</f>
        <v>13.7</v>
      </c>
      <c r="AC76" s="13" t="str">
        <f>'Entry Sheet'!R97</f>
        <v>J. JOHNSON</v>
      </c>
      <c r="AD76" s="13">
        <f>'Entry Sheet'!S97</f>
        <v>12.1</v>
      </c>
      <c r="AE76" s="13" t="str">
        <f>'Entry Sheet'!T97</f>
        <v>D. NJOKU</v>
      </c>
      <c r="AF76" s="13">
        <f>'Entry Sheet'!U97</f>
        <v>10.1</v>
      </c>
      <c r="AG76" s="13" t="str">
        <f>'Entry Sheet'!V97</f>
        <v>D. NJOKU</v>
      </c>
      <c r="AH76" s="13">
        <f>'Entry Sheet'!W97</f>
        <v>1.7</v>
      </c>
      <c r="AI76" s="13" t="str">
        <f>'Entry Sheet'!X97</f>
        <v>J. JOHNSON</v>
      </c>
      <c r="AJ76" s="13">
        <f>'Entry Sheet'!Y97</f>
        <v>10.6</v>
      </c>
      <c r="AK76" s="13" t="str">
        <f>'Entry Sheet'!Z97</f>
        <v>J. JOHNSON</v>
      </c>
      <c r="AL76" s="13">
        <f>'Entry Sheet'!AA97</f>
        <v>8.9</v>
      </c>
      <c r="AM76" s="13" t="str">
        <f>'Entry Sheet'!AB97</f>
        <v>J. JOHNSON</v>
      </c>
      <c r="AN76" s="13">
        <f>'Entry Sheet'!AC97</f>
        <v>7.8</v>
      </c>
      <c r="AO76" s="13" t="str">
        <f>'Entry Sheet'!AD97</f>
        <v/>
      </c>
      <c r="AP76" s="13" t="str">
        <f>'Entry Sheet'!AE97</f>
        <v/>
      </c>
    </row>
    <row r="77" ht="15.75" customHeight="1">
      <c r="A77" s="586" t="str">
        <f>Settings!$A$3</f>
        <v>DECOUPES</v>
      </c>
      <c r="B77" s="596" t="s">
        <v>106</v>
      </c>
      <c r="C77" s="13" t="str">
        <f>'Entry Sheet'!L8</f>
        <v/>
      </c>
      <c r="D77" s="13" t="str">
        <f>'Entry Sheet'!M8</f>
        <v/>
      </c>
      <c r="E77" s="846" t="s">
        <v>517</v>
      </c>
      <c r="L77" s="13" t="str">
        <f>'Entry Sheet'!A98</f>
        <v>FLEX</v>
      </c>
      <c r="M77" s="13" t="str">
        <f>'Entry Sheet'!B98</f>
        <v>K. WILLIAMS</v>
      </c>
      <c r="N77" s="13">
        <f>'Entry Sheet'!C98</f>
        <v>15.7</v>
      </c>
      <c r="O77" s="13" t="str">
        <f>'Entry Sheet'!D98</f>
        <v>K. WILLIAMS</v>
      </c>
      <c r="P77" s="13">
        <f>'Entry Sheet'!E98</f>
        <v>11.7</v>
      </c>
      <c r="Q77" s="13" t="str">
        <f>'Entry Sheet'!F98</f>
        <v>D. MONTGOMERY</v>
      </c>
      <c r="R77" s="13">
        <f>'Entry Sheet'!G98</f>
        <v>31.6</v>
      </c>
      <c r="S77" s="13" t="str">
        <f>'Entry Sheet'!H98</f>
        <v>D. MONTGOMERY</v>
      </c>
      <c r="T77" s="13">
        <f>'Entry Sheet'!I98</f>
        <v>2.1</v>
      </c>
      <c r="U77" s="13" t="str">
        <f>'Entry Sheet'!J98</f>
        <v>D. MONTGOMERY</v>
      </c>
      <c r="V77" s="13">
        <f>'Entry Sheet'!K98</f>
        <v>22.22</v>
      </c>
      <c r="W77" s="13" t="str">
        <f>'Entry Sheet'!L98</f>
        <v>G. WILSON</v>
      </c>
      <c r="X77" s="13">
        <f>'Entry Sheet'!M98</f>
        <v>4.3</v>
      </c>
      <c r="Y77" s="13" t="str">
        <f>'Entry Sheet'!N98</f>
        <v>D. MONTGOMERY</v>
      </c>
      <c r="Z77" s="13">
        <f>'Entry Sheet'!O98</f>
        <v>7.2</v>
      </c>
      <c r="AA77" s="13" t="str">
        <f>'Entry Sheet'!P98</f>
        <v>J. JOHNSON</v>
      </c>
      <c r="AB77" s="13">
        <f>'Entry Sheet'!Q98</f>
        <v>10.3</v>
      </c>
      <c r="AC77" s="13" t="str">
        <f>'Entry Sheet'!R98</f>
        <v>D. MONTGOMERY</v>
      </c>
      <c r="AD77" s="13">
        <f>'Entry Sheet'!S98</f>
        <v>12.1</v>
      </c>
      <c r="AE77" s="13" t="str">
        <f>'Entry Sheet'!T98</f>
        <v>D. MONTGOMERY</v>
      </c>
      <c r="AF77" s="13">
        <f>'Entry Sheet'!U98</f>
        <v>11.6</v>
      </c>
      <c r="AG77" s="13" t="str">
        <f>'Entry Sheet'!V98</f>
        <v>D. MONTGOMERY</v>
      </c>
      <c r="AH77" s="13">
        <f>'Entry Sheet'!W98</f>
        <v>5.3</v>
      </c>
      <c r="AI77" s="13" t="str">
        <f>'Entry Sheet'!X98</f>
        <v>C. BROWN</v>
      </c>
      <c r="AJ77" s="13">
        <f>'Entry Sheet'!Y98</f>
        <v>17.9</v>
      </c>
      <c r="AK77" s="13" t="str">
        <f>'Entry Sheet'!Z98</f>
        <v>C. BROWN</v>
      </c>
      <c r="AL77" s="13">
        <f>'Entry Sheet'!AA98</f>
        <v>19.8</v>
      </c>
      <c r="AM77" s="13" t="str">
        <f>'Entry Sheet'!AB98</f>
        <v>J. JACOBS</v>
      </c>
      <c r="AN77" s="13">
        <f>'Entry Sheet'!AC98</f>
        <v>19.2</v>
      </c>
      <c r="AO77" s="13" t="str">
        <f>'Entry Sheet'!AD98</f>
        <v/>
      </c>
      <c r="AP77" s="13" t="str">
        <f>'Entry Sheet'!AE98</f>
        <v/>
      </c>
    </row>
    <row r="78" ht="15.75" customHeight="1">
      <c r="A78" s="586" t="str">
        <f>Settings!$A$3</f>
        <v>DECOUPES</v>
      </c>
      <c r="B78" s="712" t="s">
        <v>117</v>
      </c>
      <c r="C78" s="13" t="str">
        <f>'Entry Sheet'!L9</f>
        <v>J. MEYERS</v>
      </c>
      <c r="D78" s="13">
        <f>'Entry Sheet'!M9</f>
        <v>7.9</v>
      </c>
      <c r="E78" s="846" t="s">
        <v>517</v>
      </c>
      <c r="L78" s="13" t="str">
        <f>'Entry Sheet'!A99</f>
        <v>D/ST</v>
      </c>
      <c r="M78" s="13" t="str">
        <f>'Entry Sheet'!B99</f>
        <v>MIN D/DT</v>
      </c>
      <c r="N78" s="13">
        <f>'Entry Sheet'!C99</f>
        <v>19.09</v>
      </c>
      <c r="O78" s="13" t="str">
        <f>'Entry Sheet'!D99</f>
        <v>MIN D/ST</v>
      </c>
      <c r="P78" s="13">
        <f>'Entry Sheet'!E99</f>
        <v>15.23</v>
      </c>
      <c r="Q78" s="13" t="str">
        <f>'Entry Sheet'!F99</f>
        <v>MIN D/ST</v>
      </c>
      <c r="R78" s="13">
        <f>'Entry Sheet'!G99</f>
        <v>54.64</v>
      </c>
      <c r="S78" s="13" t="str">
        <f>'Entry Sheet'!H99</f>
        <v>MIN D/ST</v>
      </c>
      <c r="T78" s="13">
        <f>'Entry Sheet'!I99</f>
        <v>15.24</v>
      </c>
      <c r="U78" s="13" t="str">
        <f>'Entry Sheet'!J99</f>
        <v>MIN D/ST</v>
      </c>
      <c r="V78" s="13">
        <f>'Entry Sheet'!K99</f>
        <v>11.3</v>
      </c>
      <c r="W78" s="13" t="str">
        <f>'Entry Sheet'!L99</f>
        <v>TEN D/ST</v>
      </c>
      <c r="X78" s="13">
        <f>'Entry Sheet'!M99</f>
        <v>12.3</v>
      </c>
      <c r="Y78" s="13" t="str">
        <f>'Entry Sheet'!N99</f>
        <v>CAR D/ST</v>
      </c>
      <c r="Z78" s="13">
        <f>'Entry Sheet'!O99</f>
        <v>29.05</v>
      </c>
      <c r="AA78" s="13" t="str">
        <f>'Entry Sheet'!P99</f>
        <v>NYJ D/ST</v>
      </c>
      <c r="AB78" s="13">
        <f>'Entry Sheet'!Q99</f>
        <v>5.54</v>
      </c>
      <c r="AC78" s="13" t="str">
        <f>'Entry Sheet'!R99</f>
        <v>LV D/ST</v>
      </c>
      <c r="AD78" s="13">
        <f>'Entry Sheet'!S99</f>
        <v>11.6</v>
      </c>
      <c r="AE78" s="13" t="str">
        <f>'Entry Sheet'!T99</f>
        <v>BAL D/ST</v>
      </c>
      <c r="AF78" s="13">
        <f>'Entry Sheet'!U99</f>
        <v>19.07</v>
      </c>
      <c r="AG78" s="13" t="str">
        <f>'Entry Sheet'!V99</f>
        <v>BAL D/ST</v>
      </c>
      <c r="AH78" s="13">
        <f>'Entry Sheet'!W99</f>
        <v>24.83</v>
      </c>
      <c r="AI78" s="13" t="str">
        <f>'Entry Sheet'!X99</f>
        <v>BAL D/ST</v>
      </c>
      <c r="AJ78" s="13">
        <f>'Entry Sheet'!Y99</f>
        <v>21.3</v>
      </c>
      <c r="AK78" s="13" t="str">
        <f>'Entry Sheet'!Z99</f>
        <v>BAL D/ST</v>
      </c>
      <c r="AL78" s="13">
        <f>'Entry Sheet'!AA99</f>
        <v>8.1</v>
      </c>
      <c r="AM78" s="13" t="str">
        <f>'Entry Sheet'!AB99</f>
        <v>BAL D/ST</v>
      </c>
      <c r="AN78" s="13">
        <f>'Entry Sheet'!AC99</f>
        <v>5.97</v>
      </c>
      <c r="AO78" s="13" t="str">
        <f>'Entry Sheet'!AD99</f>
        <v/>
      </c>
      <c r="AP78" s="13" t="str">
        <f>'Entry Sheet'!AE99</f>
        <v/>
      </c>
    </row>
    <row r="79" ht="15.75" customHeight="1">
      <c r="A79" s="586" t="str">
        <f>Settings!$A$3</f>
        <v>DECOUPES</v>
      </c>
      <c r="B79" s="712" t="s">
        <v>117</v>
      </c>
      <c r="C79" s="13" t="str">
        <f>'Entry Sheet'!L10</f>
        <v>R. SHAHEED</v>
      </c>
      <c r="D79" s="13">
        <f>'Entry Sheet'!M10</f>
        <v>7.85</v>
      </c>
      <c r="E79" s="846" t="s">
        <v>517</v>
      </c>
      <c r="L79" s="13" t="str">
        <f>'Entry Sheet'!A100</f>
        <v>K</v>
      </c>
      <c r="M79" s="13" t="str">
        <f>'Entry Sheet'!B100</f>
        <v>C. DICKER</v>
      </c>
      <c r="N79" s="13">
        <f>'Entry Sheet'!C100</f>
        <v>9</v>
      </c>
      <c r="O79" s="13" t="str">
        <f>'Entry Sheet'!D100</f>
        <v>C. DICKER</v>
      </c>
      <c r="P79" s="13">
        <f>'Entry Sheet'!E100</f>
        <v>8</v>
      </c>
      <c r="Q79" s="13" t="str">
        <f>'Entry Sheet'!F100</f>
        <v>C. SANTOS</v>
      </c>
      <c r="R79" s="13">
        <f>'Entry Sheet'!G100</f>
        <v>7</v>
      </c>
      <c r="S79" s="13" t="str">
        <f>'Entry Sheet'!H100</f>
        <v>C. DICKER</v>
      </c>
      <c r="T79" s="13">
        <f>'Entry Sheet'!I100</f>
        <v>5</v>
      </c>
      <c r="U79" s="13" t="str">
        <f>'Entry Sheet'!J100</f>
        <v>C. DICKER</v>
      </c>
      <c r="V79" s="13">
        <f>'Entry Sheet'!K100</f>
        <v>7</v>
      </c>
      <c r="W79" s="13" t="str">
        <f>'Entry Sheet'!L100</f>
        <v>C. DICKER</v>
      </c>
      <c r="X79" s="13">
        <f>'Entry Sheet'!M100</f>
        <v>17</v>
      </c>
      <c r="Y79" s="13" t="str">
        <f>'Entry Sheet'!N100</f>
        <v>C. DICKER</v>
      </c>
      <c r="Z79" s="13">
        <f>'Entry Sheet'!O100</f>
        <v>7</v>
      </c>
      <c r="AA79" s="13" t="str">
        <f>'Entry Sheet'!P100</f>
        <v>C. SANTOS</v>
      </c>
      <c r="AB79" s="13">
        <f>'Entry Sheet'!Q100</f>
        <v>10</v>
      </c>
      <c r="AC79" s="13" t="str">
        <f>'Entry Sheet'!R100</f>
        <v>C. SANTOS</v>
      </c>
      <c r="AD79" s="13">
        <f>'Entry Sheet'!S100</f>
        <v>9.5</v>
      </c>
      <c r="AE79" s="13" t="str">
        <f>'Entry Sheet'!T100</f>
        <v>C. DICKER</v>
      </c>
      <c r="AF79" s="13">
        <f>'Entry Sheet'!U100</f>
        <v>14</v>
      </c>
      <c r="AG79" s="13" t="str">
        <f>'Entry Sheet'!V100</f>
        <v>C. DICKER</v>
      </c>
      <c r="AH79" s="13">
        <f>'Entry Sheet'!W100</f>
        <v>8</v>
      </c>
      <c r="AI79" s="13" t="str">
        <f>'Entry Sheet'!X100</f>
        <v>C. SANTOS</v>
      </c>
      <c r="AJ79" s="13">
        <f>'Entry Sheet'!Y100</f>
        <v>8</v>
      </c>
      <c r="AK79" s="13" t="str">
        <f>'Entry Sheet'!Z100</f>
        <v>C. DICKER</v>
      </c>
      <c r="AL79" s="13">
        <f>'Entry Sheet'!AA100</f>
        <v>10</v>
      </c>
      <c r="AM79" s="13" t="str">
        <f>'Entry Sheet'!AB100</f>
        <v>C. DICKER</v>
      </c>
      <c r="AN79" s="13">
        <f>'Entry Sheet'!AC100</f>
        <v>21</v>
      </c>
      <c r="AO79" s="13" t="str">
        <f>'Entry Sheet'!AD100</f>
        <v/>
      </c>
      <c r="AP79" s="13" t="str">
        <f>'Entry Sheet'!AE100</f>
        <v/>
      </c>
    </row>
    <row r="80" ht="15.75" customHeight="1">
      <c r="A80" s="586" t="str">
        <f>Settings!$A$3</f>
        <v>DECOUPES</v>
      </c>
      <c r="B80" s="712" t="s">
        <v>117</v>
      </c>
      <c r="C80" s="13" t="str">
        <f>'Entry Sheet'!L11</f>
        <v>L. MCCAFFREY</v>
      </c>
      <c r="D80" s="13">
        <f>'Entry Sheet'!M11</f>
        <v>16.65</v>
      </c>
      <c r="E80" s="846" t="s">
        <v>517</v>
      </c>
      <c r="L80" s="13" t="str">
        <f>'Entry Sheet'!A101</f>
        <v>HC</v>
      </c>
      <c r="M80" s="13" t="str">
        <f>'Entry Sheet'!B101</f>
        <v>CIN HC</v>
      </c>
      <c r="N80" s="13">
        <f>'Entry Sheet'!C101</f>
        <v>7.1</v>
      </c>
      <c r="O80" s="13" t="str">
        <f>'Entry Sheet'!D101</f>
        <v>CIN HC</v>
      </c>
      <c r="P80" s="13">
        <f>'Entry Sheet'!E101</f>
        <v>11.3</v>
      </c>
      <c r="Q80" s="13" t="str">
        <f>'Entry Sheet'!F101</f>
        <v>IND HC</v>
      </c>
      <c r="R80" s="13">
        <f>'Entry Sheet'!G101</f>
        <v>20.3</v>
      </c>
      <c r="S80" s="13" t="str">
        <f>'Entry Sheet'!H101</f>
        <v>CHI HC</v>
      </c>
      <c r="T80" s="13">
        <f>'Entry Sheet'!I101</f>
        <v>9.5</v>
      </c>
      <c r="U80" s="13" t="str">
        <f>'Entry Sheet'!J101</f>
        <v>ARI HC</v>
      </c>
      <c r="V80" s="13">
        <f>'Entry Sheet'!K101</f>
        <v>4.3</v>
      </c>
      <c r="W80" s="13" t="str">
        <f>'Entry Sheet'!L101</f>
        <v>PIT HC</v>
      </c>
      <c r="X80" s="13">
        <f>'Entry Sheet'!M101</f>
        <v>10.9</v>
      </c>
      <c r="Y80" s="13" t="str">
        <f>'Entry Sheet'!N101</f>
        <v>PIT HC</v>
      </c>
      <c r="Z80" s="13">
        <f>'Entry Sheet'!O101</f>
        <v>7.3</v>
      </c>
      <c r="AA80" s="13" t="str">
        <f>'Entry Sheet'!P101</f>
        <v>HOU HC</v>
      </c>
      <c r="AB80" s="13">
        <f>'Entry Sheet'!Q101</f>
        <v>11.8</v>
      </c>
      <c r="AC80" s="13" t="str">
        <f>'Entry Sheet'!R101</f>
        <v>BAL HC</v>
      </c>
      <c r="AD80" s="13">
        <f>'Entry Sheet'!S101</f>
        <v>16.4</v>
      </c>
      <c r="AE80" s="13" t="str">
        <f>'Entry Sheet'!T101</f>
        <v>BAL HC</v>
      </c>
      <c r="AF80" s="13">
        <f>'Entry Sheet'!U101</f>
        <v>11.1</v>
      </c>
      <c r="AG80" s="13" t="str">
        <f>'Entry Sheet'!V101</f>
        <v>PIT HC</v>
      </c>
      <c r="AH80" s="13">
        <f>'Entry Sheet'!W101</f>
        <v>18.2</v>
      </c>
      <c r="AI80" s="13" t="str">
        <f>'Entry Sheet'!X101</f>
        <v>BAL HC</v>
      </c>
      <c r="AJ80" s="13">
        <f>'Entry Sheet'!Y101</f>
        <v>10.9</v>
      </c>
      <c r="AK80" s="13" t="str">
        <f>'Entry Sheet'!Z101</f>
        <v>BAL HC</v>
      </c>
      <c r="AL80" s="13">
        <f>'Entry Sheet'!AA101</f>
        <v>-1.8</v>
      </c>
      <c r="AM80" s="13" t="str">
        <f>'Entry Sheet'!AB101</f>
        <v>BAL HC</v>
      </c>
      <c r="AN80" s="13">
        <f>'Entry Sheet'!AC101</f>
        <v>3.6</v>
      </c>
      <c r="AO80" s="13" t="str">
        <f>'Entry Sheet'!AD101</f>
        <v/>
      </c>
      <c r="AP80" s="13" t="str">
        <f>'Entry Sheet'!AE101</f>
        <v/>
      </c>
    </row>
    <row r="81" ht="15.75" customHeight="1">
      <c r="A81" s="586" t="str">
        <f>Settings!$A$3</f>
        <v>DECOUPES</v>
      </c>
      <c r="B81" s="712" t="s">
        <v>117</v>
      </c>
      <c r="C81" s="13" t="str">
        <f>'Entry Sheet'!L12</f>
        <v/>
      </c>
      <c r="D81" s="13" t="str">
        <f>'Entry Sheet'!M12</f>
        <v/>
      </c>
      <c r="E81" s="846" t="s">
        <v>517</v>
      </c>
      <c r="L81" s="13" t="str">
        <f>'Entry Sheet'!A102</f>
        <v>Total Score</v>
      </c>
      <c r="M81" s="13">
        <f>'Entry Sheet'!B102</f>
        <v>177.91</v>
      </c>
      <c r="N81" s="13" t="str">
        <f>'Entry Sheet'!C102</f>
        <v/>
      </c>
      <c r="O81" s="13">
        <f>'Entry Sheet'!D102</f>
        <v>154.71</v>
      </c>
      <c r="P81" s="13" t="str">
        <f>'Entry Sheet'!E102</f>
        <v/>
      </c>
      <c r="Q81" s="13">
        <f>'Entry Sheet'!F102</f>
        <v>232.94</v>
      </c>
      <c r="R81" s="13" t="str">
        <f>'Entry Sheet'!G102</f>
        <v/>
      </c>
      <c r="S81" s="13">
        <f>'Entry Sheet'!H102</f>
        <v>159.16</v>
      </c>
      <c r="T81" s="13" t="str">
        <f>'Entry Sheet'!I102</f>
        <v/>
      </c>
      <c r="U81" s="13">
        <f>'Entry Sheet'!J102</f>
        <v>164.86</v>
      </c>
      <c r="V81" s="13" t="str">
        <f>'Entry Sheet'!K102</f>
        <v/>
      </c>
      <c r="W81" s="13">
        <f>'Entry Sheet'!L102</f>
        <v>149.44</v>
      </c>
      <c r="X81" s="13" t="str">
        <f>'Entry Sheet'!M102</f>
        <v/>
      </c>
      <c r="Y81" s="13">
        <f>'Entry Sheet'!N102</f>
        <v>169.29</v>
      </c>
      <c r="Z81" s="13" t="str">
        <f>'Entry Sheet'!O102</f>
        <v/>
      </c>
      <c r="AA81" s="13">
        <f>'Entry Sheet'!P102</f>
        <v>175.97</v>
      </c>
      <c r="AB81" s="13" t="str">
        <f>'Entry Sheet'!Q102</f>
        <v/>
      </c>
      <c r="AC81" s="13">
        <f>'Entry Sheet'!R102</f>
        <v>203.6</v>
      </c>
      <c r="AD81" s="13" t="str">
        <f>'Entry Sheet'!S102</f>
        <v/>
      </c>
      <c r="AE81" s="13">
        <f>'Entry Sheet'!T102</f>
        <v>167.97</v>
      </c>
      <c r="AF81" s="13" t="str">
        <f>'Entry Sheet'!U102</f>
        <v/>
      </c>
      <c r="AG81" s="13">
        <f>'Entry Sheet'!V102</f>
        <v>118.22</v>
      </c>
      <c r="AH81" s="13" t="str">
        <f>'Entry Sheet'!W102</f>
        <v/>
      </c>
      <c r="AI81" s="13">
        <f>'Entry Sheet'!X102</f>
        <v>152.31</v>
      </c>
      <c r="AJ81" s="13" t="str">
        <f>'Entry Sheet'!Y102</f>
        <v/>
      </c>
      <c r="AK81" s="13">
        <f>'Entry Sheet'!Z102</f>
        <v>137.66</v>
      </c>
      <c r="AL81" s="13" t="str">
        <f>'Entry Sheet'!AA102</f>
        <v/>
      </c>
      <c r="AM81" s="13">
        <f>'Entry Sheet'!AB102</f>
        <v>146.33</v>
      </c>
      <c r="AN81" s="13" t="str">
        <f>'Entry Sheet'!AC102</f>
        <v/>
      </c>
      <c r="AO81" s="13">
        <f>'Entry Sheet'!AD102</f>
        <v>0</v>
      </c>
      <c r="AP81" s="13" t="str">
        <f>'Entry Sheet'!AE102</f>
        <v/>
      </c>
    </row>
    <row r="82" ht="15.75" customHeight="1">
      <c r="A82" s="586" t="str">
        <f>Settings!$A$3</f>
        <v>DECOUPES</v>
      </c>
      <c r="B82" s="764" t="s">
        <v>132</v>
      </c>
      <c r="C82" s="13" t="str">
        <f>'Entry Sheet'!L13</f>
        <v>T. KELCE</v>
      </c>
      <c r="D82" s="13">
        <f>'Entry Sheet'!M13</f>
        <v>13.8</v>
      </c>
      <c r="E82" s="846" t="s">
        <v>517</v>
      </c>
      <c r="L82" s="13" t="str">
        <f>'Entry Sheet'!A103</f>
        <v>MVP</v>
      </c>
      <c r="M82" s="13" t="str">
        <f>'Entry Sheet'!B103</f>
        <v>J. HERBERT</v>
      </c>
      <c r="N82" s="13">
        <f>'Entry Sheet'!C103</f>
        <v>38.82</v>
      </c>
      <c r="O82" s="13" t="str">
        <f>'Entry Sheet'!D103</f>
        <v>J. HERBERT</v>
      </c>
      <c r="P82" s="13">
        <f>'Entry Sheet'!E103</f>
        <v>25.88</v>
      </c>
      <c r="Q82" s="13" t="str">
        <f>'Entry Sheet'!F103</f>
        <v>MIN D/ST</v>
      </c>
      <c r="R82" s="13">
        <f>'Entry Sheet'!G103</f>
        <v>54.64</v>
      </c>
      <c r="S82" s="13" t="str">
        <f>'Entry Sheet'!H103</f>
        <v>J. JACOBS</v>
      </c>
      <c r="T82" s="13">
        <f>'Entry Sheet'!I103</f>
        <v>33.9</v>
      </c>
      <c r="U82" s="13" t="str">
        <f>'Entry Sheet'!J103</f>
        <v>K. WILLIAMS</v>
      </c>
      <c r="V82" s="13">
        <f>'Entry Sheet'!K103</f>
        <v>32.5</v>
      </c>
      <c r="W82" s="13" t="str">
        <f>'Entry Sheet'!L103</f>
        <v>J. JACOBS</v>
      </c>
      <c r="X82" s="13">
        <f>'Entry Sheet'!M103</f>
        <v>33.8</v>
      </c>
      <c r="Y82" s="13" t="str">
        <f>'Entry Sheet'!N103</f>
        <v>CAR D/ST</v>
      </c>
      <c r="Z82" s="13">
        <f>'Entry Sheet'!O103</f>
        <v>29.05</v>
      </c>
      <c r="AA82" s="13" t="str">
        <f>'Entry Sheet'!P103</f>
        <v>J. HERBERT</v>
      </c>
      <c r="AB82" s="13">
        <f>'Entry Sheet'!Q103</f>
        <v>33.38</v>
      </c>
      <c r="AC82" s="13" t="str">
        <f>'Entry Sheet'!R103</f>
        <v>J. HERBERT</v>
      </c>
      <c r="AD82" s="13">
        <f>'Entry Sheet'!S103</f>
        <v>33.6</v>
      </c>
      <c r="AE82" s="13" t="str">
        <f>'Entry Sheet'!T103</f>
        <v>K. WILLIAMS</v>
      </c>
      <c r="AF82" s="13">
        <f>'Entry Sheet'!U103</f>
        <v>23.8</v>
      </c>
      <c r="AG82" s="13" t="str">
        <f>'Entry Sheet'!V103</f>
        <v>G. DORTCH</v>
      </c>
      <c r="AH82" s="13">
        <f>'Entry Sheet'!W103</f>
        <v>25.1</v>
      </c>
      <c r="AI82" s="13" t="str">
        <f>'Entry Sheet'!X103</f>
        <v>G. DORTCH</v>
      </c>
      <c r="AJ82" s="13">
        <f>'Entry Sheet'!Y103</f>
        <v>23.35</v>
      </c>
      <c r="AK82" s="13" t="str">
        <f>'Entry Sheet'!Z103</f>
        <v>J. LOVE</v>
      </c>
      <c r="AL82" s="13">
        <f>'Entry Sheet'!AA103</f>
        <v>35.46</v>
      </c>
      <c r="AM82" s="13" t="str">
        <f>'Entry Sheet'!AB103</f>
        <v>J. LOVE</v>
      </c>
      <c r="AN82" s="13">
        <f>'Entry Sheet'!AC103</f>
        <v>26.36</v>
      </c>
      <c r="AO82" s="13" t="str">
        <f>'Entry Sheet'!AD103</f>
        <v>#NUM!</v>
      </c>
      <c r="AP82" s="13" t="str">
        <f>'Entry Sheet'!AE103</f>
        <v>#NUM!</v>
      </c>
    </row>
    <row r="83" ht="15.75" customHeight="1">
      <c r="A83" s="586" t="str">
        <f>Settings!$A$3</f>
        <v>DECOUPES</v>
      </c>
      <c r="B83" s="795" t="s">
        <v>136</v>
      </c>
      <c r="C83" s="13" t="str">
        <f>'Entry Sheet'!L14</f>
        <v>J. GIBBS</v>
      </c>
      <c r="D83" s="13">
        <f>'Entry Sheet'!M14</f>
        <v>9.2</v>
      </c>
      <c r="E83" s="846" t="s">
        <v>517</v>
      </c>
      <c r="L83" s="13" t="str">
        <f>'Entry Sheet'!A106</f>
        <v/>
      </c>
      <c r="M83" s="13" t="str">
        <f>'Entry Sheet'!B106</f>
        <v/>
      </c>
      <c r="N83" s="13" t="str">
        <f>'Entry Sheet'!C106</f>
        <v/>
      </c>
      <c r="O83" s="13" t="str">
        <f>'Entry Sheet'!D106</f>
        <v/>
      </c>
      <c r="P83" s="13" t="str">
        <f>'Entry Sheet'!E106</f>
        <v/>
      </c>
      <c r="Q83" s="13" t="str">
        <f>'Entry Sheet'!F106</f>
        <v/>
      </c>
      <c r="R83" s="13" t="str">
        <f>'Entry Sheet'!G106</f>
        <v/>
      </c>
      <c r="S83" s="13" t="str">
        <f>'Entry Sheet'!H106</f>
        <v/>
      </c>
      <c r="T83" s="13" t="str">
        <f>'Entry Sheet'!I106</f>
        <v/>
      </c>
      <c r="U83" s="13" t="str">
        <f>'Entry Sheet'!J106</f>
        <v/>
      </c>
      <c r="V83" s="13" t="str">
        <f>'Entry Sheet'!K106</f>
        <v/>
      </c>
      <c r="W83" s="13" t="str">
        <f>'Entry Sheet'!L106</f>
        <v/>
      </c>
      <c r="X83" s="13" t="str">
        <f>'Entry Sheet'!M106</f>
        <v/>
      </c>
      <c r="Y83" s="13" t="str">
        <f>'Entry Sheet'!N106</f>
        <v/>
      </c>
      <c r="Z83" s="13" t="str">
        <f>'Entry Sheet'!O106</f>
        <v/>
      </c>
      <c r="AA83" s="13" t="str">
        <f>'Entry Sheet'!P106</f>
        <v/>
      </c>
      <c r="AB83" s="13" t="str">
        <f>'Entry Sheet'!Q106</f>
        <v/>
      </c>
      <c r="AC83" s="13" t="str">
        <f>'Entry Sheet'!R106</f>
        <v/>
      </c>
      <c r="AD83" s="13" t="str">
        <f>'Entry Sheet'!S106</f>
        <v/>
      </c>
      <c r="AE83" s="13" t="str">
        <f>'Entry Sheet'!T106</f>
        <v/>
      </c>
      <c r="AF83" s="13" t="str">
        <f>'Entry Sheet'!U106</f>
        <v/>
      </c>
      <c r="AG83" s="13" t="str">
        <f>'Entry Sheet'!V106</f>
        <v/>
      </c>
      <c r="AH83" s="13" t="str">
        <f>'Entry Sheet'!W106</f>
        <v/>
      </c>
      <c r="AI83" s="13" t="str">
        <f>'Entry Sheet'!X106</f>
        <v/>
      </c>
      <c r="AJ83" s="13" t="str">
        <f>'Entry Sheet'!Y106</f>
        <v/>
      </c>
      <c r="AK83" s="13" t="str">
        <f>'Entry Sheet'!Z106</f>
        <v/>
      </c>
      <c r="AL83" s="13" t="str">
        <f>'Entry Sheet'!AA106</f>
        <v/>
      </c>
      <c r="AM83" s="13" t="str">
        <f>'Entry Sheet'!AB106</f>
        <v/>
      </c>
      <c r="AN83" s="13" t="str">
        <f>'Entry Sheet'!AC106</f>
        <v/>
      </c>
      <c r="AO83" s="13" t="str">
        <f>'Entry Sheet'!AD106</f>
        <v/>
      </c>
      <c r="AP83" s="13" t="str">
        <f>'Entry Sheet'!AE106</f>
        <v/>
      </c>
    </row>
    <row r="84" ht="15.75" customHeight="1">
      <c r="A84" s="586" t="str">
        <f>Settings!$A$3</f>
        <v>DECOUPES</v>
      </c>
      <c r="B84" s="818" t="s">
        <v>139</v>
      </c>
      <c r="C84" s="13" t="str">
        <f>'Entry Sheet'!L15</f>
        <v>LAR D/ST</v>
      </c>
      <c r="D84" s="13">
        <f>'Entry Sheet'!M15</f>
        <v>24.25</v>
      </c>
      <c r="E84" s="846" t="s">
        <v>517</v>
      </c>
      <c r="L84" s="13" t="str">
        <f>'Entry Sheet'!A107</f>
        <v>METAMOOKDAWGS</v>
      </c>
      <c r="M84" s="13" t="str">
        <f>'Entry Sheet'!B107</f>
        <v/>
      </c>
      <c r="N84" s="13" t="str">
        <f>'Entry Sheet'!C107</f>
        <v/>
      </c>
      <c r="O84" s="13" t="str">
        <f>'Entry Sheet'!D107</f>
        <v/>
      </c>
      <c r="P84" s="13" t="str">
        <f>'Entry Sheet'!E107</f>
        <v/>
      </c>
      <c r="Q84" s="13" t="str">
        <f>'Entry Sheet'!F107</f>
        <v/>
      </c>
      <c r="R84" s="13" t="str">
        <f>'Entry Sheet'!G107</f>
        <v/>
      </c>
      <c r="S84" s="13" t="str">
        <f>'Entry Sheet'!H107</f>
        <v/>
      </c>
      <c r="T84" s="13" t="str">
        <f>'Entry Sheet'!I107</f>
        <v/>
      </c>
      <c r="U84" s="13" t="str">
        <f>'Entry Sheet'!J107</f>
        <v/>
      </c>
      <c r="V84" s="13" t="str">
        <f>'Entry Sheet'!K107</f>
        <v/>
      </c>
      <c r="W84" s="13" t="str">
        <f>'Entry Sheet'!L107</f>
        <v/>
      </c>
      <c r="X84" s="13" t="str">
        <f>'Entry Sheet'!M107</f>
        <v/>
      </c>
      <c r="Y84" s="13" t="str">
        <f>'Entry Sheet'!N107</f>
        <v/>
      </c>
      <c r="Z84" s="13" t="str">
        <f>'Entry Sheet'!O107</f>
        <v/>
      </c>
      <c r="AA84" s="13" t="str">
        <f>'Entry Sheet'!P107</f>
        <v/>
      </c>
      <c r="AB84" s="13" t="str">
        <f>'Entry Sheet'!Q107</f>
        <v/>
      </c>
      <c r="AC84" s="13" t="str">
        <f>'Entry Sheet'!R107</f>
        <v/>
      </c>
      <c r="AD84" s="13" t="str">
        <f>'Entry Sheet'!S107</f>
        <v/>
      </c>
      <c r="AE84" s="13" t="str">
        <f>'Entry Sheet'!T107</f>
        <v/>
      </c>
      <c r="AF84" s="13" t="str">
        <f>'Entry Sheet'!U107</f>
        <v/>
      </c>
      <c r="AG84" s="13" t="str">
        <f>'Entry Sheet'!V107</f>
        <v/>
      </c>
      <c r="AH84" s="13" t="str">
        <f>'Entry Sheet'!W107</f>
        <v/>
      </c>
      <c r="AI84" s="13" t="str">
        <f>'Entry Sheet'!X107</f>
        <v/>
      </c>
      <c r="AJ84" s="13" t="str">
        <f>'Entry Sheet'!Y107</f>
        <v/>
      </c>
      <c r="AK84" s="13" t="str">
        <f>'Entry Sheet'!Z107</f>
        <v/>
      </c>
      <c r="AL84" s="13" t="str">
        <f>'Entry Sheet'!AA107</f>
        <v/>
      </c>
      <c r="AM84" s="13" t="str">
        <f>'Entry Sheet'!AB107</f>
        <v/>
      </c>
      <c r="AN84" s="13" t="str">
        <f>'Entry Sheet'!AC107</f>
        <v/>
      </c>
      <c r="AO84" s="13" t="str">
        <f>'Entry Sheet'!AD107</f>
        <v/>
      </c>
      <c r="AP84" s="13" t="str">
        <f>'Entry Sheet'!AE107</f>
        <v/>
      </c>
    </row>
    <row r="85" ht="15.75" customHeight="1">
      <c r="A85" s="586" t="str">
        <f>Settings!$A$3</f>
        <v>DECOUPES</v>
      </c>
      <c r="B85" s="833" t="s">
        <v>146</v>
      </c>
      <c r="C85" s="13" t="str">
        <f>'Entry Sheet'!L16</f>
        <v>M. PRATER</v>
      </c>
      <c r="D85" s="13">
        <f>'Entry Sheet'!M16</f>
        <v>2</v>
      </c>
      <c r="E85" s="846" t="s">
        <v>517</v>
      </c>
      <c r="L85" s="13" t="str">
        <f>'Entry Sheet'!A108</f>
        <v/>
      </c>
      <c r="M85" s="13" t="str">
        <f>'Entry Sheet'!B108</f>
        <v>Week 1</v>
      </c>
      <c r="N85" s="13" t="str">
        <f>'Entry Sheet'!C108</f>
        <v/>
      </c>
      <c r="O85" s="13" t="str">
        <f>'Entry Sheet'!D108</f>
        <v>Week 2</v>
      </c>
      <c r="P85" s="13" t="str">
        <f>'Entry Sheet'!E108</f>
        <v/>
      </c>
      <c r="Q85" s="13" t="str">
        <f>'Entry Sheet'!F108</f>
        <v>Week 3</v>
      </c>
      <c r="R85" s="13" t="str">
        <f>'Entry Sheet'!G108</f>
        <v/>
      </c>
      <c r="S85" s="13" t="str">
        <f>'Entry Sheet'!H108</f>
        <v>Week 4</v>
      </c>
      <c r="T85" s="13" t="str">
        <f>'Entry Sheet'!I108</f>
        <v/>
      </c>
      <c r="U85" s="13" t="str">
        <f>'Entry Sheet'!J108</f>
        <v>Week 5</v>
      </c>
      <c r="V85" s="13" t="str">
        <f>'Entry Sheet'!K108</f>
        <v/>
      </c>
      <c r="W85" s="13" t="str">
        <f>'Entry Sheet'!L108</f>
        <v>Week 6</v>
      </c>
      <c r="X85" s="13" t="str">
        <f>'Entry Sheet'!M108</f>
        <v/>
      </c>
      <c r="Y85" s="13" t="str">
        <f>'Entry Sheet'!N108</f>
        <v>Week 7</v>
      </c>
      <c r="Z85" s="13" t="str">
        <f>'Entry Sheet'!O108</f>
        <v/>
      </c>
      <c r="AA85" s="13" t="str">
        <f>'Entry Sheet'!P108</f>
        <v>Week 8</v>
      </c>
      <c r="AB85" s="13" t="str">
        <f>'Entry Sheet'!Q108</f>
        <v/>
      </c>
      <c r="AC85" s="13" t="str">
        <f>'Entry Sheet'!R108</f>
        <v>Week 9</v>
      </c>
      <c r="AD85" s="13" t="str">
        <f>'Entry Sheet'!S108</f>
        <v/>
      </c>
      <c r="AE85" s="13" t="str">
        <f>'Entry Sheet'!T108</f>
        <v>Week 10</v>
      </c>
      <c r="AF85" s="13" t="str">
        <f>'Entry Sheet'!U108</f>
        <v/>
      </c>
      <c r="AG85" s="13" t="str">
        <f>'Entry Sheet'!V108</f>
        <v>Week 11</v>
      </c>
      <c r="AH85" s="13" t="str">
        <f>'Entry Sheet'!W108</f>
        <v/>
      </c>
      <c r="AI85" s="13" t="str">
        <f>'Entry Sheet'!X108</f>
        <v>Week 12</v>
      </c>
      <c r="AJ85" s="13" t="str">
        <f>'Entry Sheet'!Y108</f>
        <v/>
      </c>
      <c r="AK85" s="13" t="str">
        <f>'Entry Sheet'!Z108</f>
        <v>Week 13</v>
      </c>
      <c r="AL85" s="13" t="str">
        <f>'Entry Sheet'!AA108</f>
        <v/>
      </c>
      <c r="AM85" s="13" t="str">
        <f>'Entry Sheet'!AB108</f>
        <v>Week 14</v>
      </c>
      <c r="AN85" s="13" t="str">
        <f>'Entry Sheet'!AC108</f>
        <v/>
      </c>
      <c r="AO85" s="13" t="str">
        <f>'Entry Sheet'!AD108</f>
        <v>Finale</v>
      </c>
      <c r="AP85" s="13" t="str">
        <f>'Entry Sheet'!AE108</f>
        <v/>
      </c>
    </row>
    <row r="86" ht="15.75" customHeight="1">
      <c r="A86" s="586" t="str">
        <f>Settings!$A$3</f>
        <v>DECOUPES</v>
      </c>
      <c r="B86" s="842" t="s">
        <v>162</v>
      </c>
      <c r="C86" s="13" t="str">
        <f>'Entry Sheet'!L17</f>
        <v>PHI HC</v>
      </c>
      <c r="D86" s="13">
        <f>'Entry Sheet'!M17</f>
        <v>-0.9</v>
      </c>
      <c r="E86" s="846" t="s">
        <v>517</v>
      </c>
      <c r="L86" s="13" t="str">
        <f>'Entry Sheet'!A109</f>
        <v>Team Rank</v>
      </c>
      <c r="M86" s="13">
        <f>'Entry Sheet'!B109</f>
        <v>3</v>
      </c>
      <c r="N86" s="13" t="str">
        <f>'Entry Sheet'!C109</f>
        <v/>
      </c>
      <c r="O86" s="13">
        <f>'Entry Sheet'!D109</f>
        <v>7</v>
      </c>
      <c r="P86" s="13" t="str">
        <f>'Entry Sheet'!E109</f>
        <v/>
      </c>
      <c r="Q86" s="13">
        <f>'Entry Sheet'!F109</f>
        <v>9</v>
      </c>
      <c r="R86" s="13" t="str">
        <f>'Entry Sheet'!G109</f>
        <v/>
      </c>
      <c r="S86" s="13">
        <f>'Entry Sheet'!H109</f>
        <v>7</v>
      </c>
      <c r="T86" s="13" t="str">
        <f>'Entry Sheet'!I109</f>
        <v/>
      </c>
      <c r="U86" s="13">
        <f>'Entry Sheet'!J109</f>
        <v>7</v>
      </c>
      <c r="V86" s="13" t="str">
        <f>'Entry Sheet'!K109</f>
        <v/>
      </c>
      <c r="W86" s="13">
        <f>'Entry Sheet'!L109</f>
        <v>8</v>
      </c>
      <c r="X86" s="13" t="str">
        <f>'Entry Sheet'!M109</f>
        <v/>
      </c>
      <c r="Y86" s="13">
        <f>'Entry Sheet'!N109</f>
        <v>8</v>
      </c>
      <c r="Z86" s="13" t="str">
        <f>'Entry Sheet'!O109</f>
        <v/>
      </c>
      <c r="AA86" s="13">
        <f>'Entry Sheet'!P109</f>
        <v>10</v>
      </c>
      <c r="AB86" s="13" t="str">
        <f>'Entry Sheet'!Q109</f>
        <v/>
      </c>
      <c r="AC86" s="13">
        <f>'Entry Sheet'!R109</f>
        <v>9</v>
      </c>
      <c r="AD86" s="13" t="str">
        <f>'Entry Sheet'!S109</f>
        <v/>
      </c>
      <c r="AE86" s="13">
        <f>'Entry Sheet'!T109</f>
        <v>7</v>
      </c>
      <c r="AF86" s="13" t="str">
        <f>'Entry Sheet'!U109</f>
        <v/>
      </c>
      <c r="AG86" s="13">
        <f>'Entry Sheet'!V109</f>
        <v>7</v>
      </c>
      <c r="AH86" s="13" t="str">
        <f>'Entry Sheet'!W109</f>
        <v/>
      </c>
      <c r="AI86" s="13">
        <f>'Entry Sheet'!X109</f>
        <v>8</v>
      </c>
      <c r="AJ86" s="13" t="str">
        <f>'Entry Sheet'!Y109</f>
        <v/>
      </c>
      <c r="AK86" s="13">
        <f>'Entry Sheet'!Z109</f>
        <v>8</v>
      </c>
      <c r="AL86" s="13" t="str">
        <f>'Entry Sheet'!AA109</f>
        <v/>
      </c>
      <c r="AM86" s="13">
        <f>'Entry Sheet'!AB109</f>
        <v>9</v>
      </c>
      <c r="AN86" s="13" t="str">
        <f>'Entry Sheet'!AC109</f>
        <v/>
      </c>
      <c r="AO86" s="13" t="str">
        <f>'Entry Sheet'!AD109</f>
        <v/>
      </c>
      <c r="AP86" s="13" t="str">
        <f>'Entry Sheet'!AE109</f>
        <v/>
      </c>
    </row>
    <row r="87" ht="15.75" customHeight="1">
      <c r="A87" s="586" t="str">
        <f>Settings!$A$3</f>
        <v>DECOUPES</v>
      </c>
      <c r="B87" s="587" t="s">
        <v>100</v>
      </c>
      <c r="C87" s="13" t="str">
        <f>'Entry Sheet'!N5</f>
        <v>D. PRESCOTT</v>
      </c>
      <c r="D87" s="13">
        <f>'Entry Sheet'!O5</f>
        <v>32.16</v>
      </c>
      <c r="E87" s="589" t="s">
        <v>518</v>
      </c>
      <c r="L87" s="13" t="str">
        <f>'Entry Sheet'!A110</f>
        <v>QB</v>
      </c>
      <c r="M87" s="13" t="str">
        <f>'Entry Sheet'!B110</f>
        <v>J. HURTS</v>
      </c>
      <c r="N87" s="13">
        <f>'Entry Sheet'!C110</f>
        <v>28.68</v>
      </c>
      <c r="O87" s="13" t="str">
        <f>'Entry Sheet'!D110</f>
        <v>J. HURTS</v>
      </c>
      <c r="P87" s="13">
        <f>'Entry Sheet'!E110</f>
        <v>14.04</v>
      </c>
      <c r="Q87" s="13" t="str">
        <f>'Entry Sheet'!F110</f>
        <v>J. HURTS</v>
      </c>
      <c r="R87" s="13">
        <f>'Entry Sheet'!G110</f>
        <v>37.94</v>
      </c>
      <c r="S87" s="13" t="str">
        <f>'Entry Sheet'!H110</f>
        <v>J. HURTS</v>
      </c>
      <c r="T87" s="13">
        <f>'Entry Sheet'!I110</f>
        <v>25.5</v>
      </c>
      <c r="U87" s="13" t="str">
        <f>'Entry Sheet'!J110</f>
        <v>J. HURTS</v>
      </c>
      <c r="V87" s="13">
        <f>'Entry Sheet'!K110</f>
        <v>25.3</v>
      </c>
      <c r="W87" s="13" t="str">
        <f>'Entry Sheet'!L110</f>
        <v>J. HURTS</v>
      </c>
      <c r="X87" s="13">
        <f>'Entry Sheet'!M110</f>
        <v>25.52</v>
      </c>
      <c r="Y87" s="13" t="str">
        <f>'Entry Sheet'!N110</f>
        <v>J. HURTS</v>
      </c>
      <c r="Z87" s="13">
        <f>'Entry Sheet'!O110</f>
        <v>34.44</v>
      </c>
      <c r="AA87" s="13" t="str">
        <f>'Entry Sheet'!P110</f>
        <v>J. HURTS</v>
      </c>
      <c r="AB87" s="13">
        <f>'Entry Sheet'!Q110</f>
        <v>35.76</v>
      </c>
      <c r="AC87" s="13" t="str">
        <f>'Entry Sheet'!R110</f>
        <v>D. MAYE</v>
      </c>
      <c r="AD87" s="13">
        <f>'Entry Sheet'!S110</f>
        <v>22.16</v>
      </c>
      <c r="AE87" s="13" t="str">
        <f>'Entry Sheet'!T110</f>
        <v>J. HURTS</v>
      </c>
      <c r="AF87" s="13">
        <f>'Entry Sheet'!U110</f>
        <v>15.32</v>
      </c>
      <c r="AG87" s="13" t="str">
        <f>'Entry Sheet'!V110</f>
        <v>J. HURTS</v>
      </c>
      <c r="AH87" s="13">
        <f>'Entry Sheet'!W110</f>
        <v>15.5</v>
      </c>
      <c r="AI87" s="13" t="str">
        <f>'Entry Sheet'!X110</f>
        <v>J. HURTS</v>
      </c>
      <c r="AJ87" s="13">
        <f>'Entry Sheet'!Y110</f>
        <v>36.56</v>
      </c>
      <c r="AK87" s="13" t="str">
        <f>'Entry Sheet'!Z110</f>
        <v>J. HURTS</v>
      </c>
      <c r="AL87" s="13">
        <f>'Entry Sheet'!AA110</f>
        <v>20.7</v>
      </c>
      <c r="AM87" s="13" t="str">
        <f>'Entry Sheet'!AB110</f>
        <v>J. HURTS</v>
      </c>
      <c r="AN87" s="13">
        <f>'Entry Sheet'!AC110</f>
        <v>-2</v>
      </c>
      <c r="AO87" s="13" t="str">
        <f>'Entry Sheet'!AD110</f>
        <v/>
      </c>
      <c r="AP87" s="13" t="str">
        <f>'Entry Sheet'!AE110</f>
        <v/>
      </c>
    </row>
    <row r="88" ht="15.75" customHeight="1">
      <c r="A88" s="586" t="str">
        <f>Settings!$A$3</f>
        <v>DECOUPES</v>
      </c>
      <c r="B88" s="596" t="s">
        <v>106</v>
      </c>
      <c r="C88" s="13" t="str">
        <f>'Entry Sheet'!N6</f>
        <v>J. GIBBS</v>
      </c>
      <c r="D88" s="13">
        <f>'Entry Sheet'!O6</f>
        <v>39.5</v>
      </c>
      <c r="E88" s="589" t="s">
        <v>518</v>
      </c>
      <c r="L88" s="13" t="str">
        <f>'Entry Sheet'!A111</f>
        <v>RB</v>
      </c>
      <c r="M88" s="13" t="str">
        <f>'Entry Sheet'!B111</f>
        <v>S. BARKLEY</v>
      </c>
      <c r="N88" s="13">
        <f>'Entry Sheet'!C111</f>
        <v>20.2</v>
      </c>
      <c r="O88" s="13" t="str">
        <f>'Entry Sheet'!D111</f>
        <v>S. BARKLEY</v>
      </c>
      <c r="P88" s="13">
        <f>'Entry Sheet'!E111</f>
        <v>19.6</v>
      </c>
      <c r="Q88" s="13" t="str">
        <f>'Entry Sheet'!F111</f>
        <v>S. BARKLEY</v>
      </c>
      <c r="R88" s="13">
        <f>'Entry Sheet'!G111</f>
        <v>11.3</v>
      </c>
      <c r="S88" s="13" t="str">
        <f>'Entry Sheet'!H111</f>
        <v>S. BARKLEY</v>
      </c>
      <c r="T88" s="13">
        <f>'Entry Sheet'!I111</f>
        <v>19.3</v>
      </c>
      <c r="U88" s="13" t="str">
        <f>'Entry Sheet'!J111</f>
        <v>S. BARKLEY</v>
      </c>
      <c r="V88" s="13">
        <f>'Entry Sheet'!K111</f>
        <v>18.4</v>
      </c>
      <c r="W88" s="13" t="str">
        <f>'Entry Sheet'!L111</f>
        <v>S. BARKLEY</v>
      </c>
      <c r="X88" s="13">
        <f>'Entry Sheet'!M111</f>
        <v>9.9</v>
      </c>
      <c r="Y88" s="13" t="str">
        <f>'Entry Sheet'!N111</f>
        <v>S. BARKLEY</v>
      </c>
      <c r="Z88" s="13">
        <f>'Entry Sheet'!O111</f>
        <v>7</v>
      </c>
      <c r="AA88" s="13" t="str">
        <f>'Entry Sheet'!P111</f>
        <v>S. BARKLEY</v>
      </c>
      <c r="AB88" s="13">
        <f>'Entry Sheet'!Q111</f>
        <v>35.8</v>
      </c>
      <c r="AC88" s="13" t="str">
        <f>'Entry Sheet'!R111</f>
        <v>R.J. HARVEY</v>
      </c>
      <c r="AD88" s="13">
        <f>'Entry Sheet'!S111</f>
        <v>19.5</v>
      </c>
      <c r="AE88" s="13" t="str">
        <f>'Entry Sheet'!T111</f>
        <v>S. BARKLEY</v>
      </c>
      <c r="AF88" s="13">
        <f>'Entry Sheet'!U111</f>
        <v>15.3</v>
      </c>
      <c r="AG88" s="13" t="str">
        <f>'Entry Sheet'!V111</f>
        <v>R. HARVEY</v>
      </c>
      <c r="AH88" s="13">
        <f>'Entry Sheet'!W111</f>
        <v>8.9</v>
      </c>
      <c r="AI88" s="13" t="str">
        <f>'Entry Sheet'!X111</f>
        <v>K. HUNT</v>
      </c>
      <c r="AJ88" s="13">
        <f>'Entry Sheet'!Y111</f>
        <v>24</v>
      </c>
      <c r="AK88" s="13" t="str">
        <f>'Entry Sheet'!Z111</f>
        <v>R. HARVEY</v>
      </c>
      <c r="AL88" s="13">
        <f>'Entry Sheet'!AA111</f>
        <v>22.5</v>
      </c>
      <c r="AM88" s="13" t="str">
        <f>'Entry Sheet'!AB111</f>
        <v>R. HARVEY</v>
      </c>
      <c r="AN88" s="13">
        <f>'Entry Sheet'!AC111</f>
        <v>23.7</v>
      </c>
      <c r="AO88" s="13" t="str">
        <f>'Entry Sheet'!AD111</f>
        <v/>
      </c>
      <c r="AP88" s="13" t="str">
        <f>'Entry Sheet'!AE111</f>
        <v/>
      </c>
    </row>
    <row r="89" ht="15.75" customHeight="1">
      <c r="A89" s="586" t="str">
        <f>Settings!$A$3</f>
        <v>DECOUPES</v>
      </c>
      <c r="B89" s="596" t="s">
        <v>106</v>
      </c>
      <c r="C89" s="13" t="str">
        <f>'Entry Sheet'!N7</f>
        <v>J. WARREN</v>
      </c>
      <c r="D89" s="13">
        <f>'Entry Sheet'!O7</f>
        <v>22.4</v>
      </c>
      <c r="E89" s="589" t="s">
        <v>518</v>
      </c>
      <c r="L89" s="13" t="str">
        <f>'Entry Sheet'!A112</f>
        <v>RB</v>
      </c>
      <c r="M89" s="13" t="str">
        <f>'Entry Sheet'!B112</f>
        <v>O. HAMPTON</v>
      </c>
      <c r="N89" s="13">
        <f>'Entry Sheet'!C112</f>
        <v>9.6</v>
      </c>
      <c r="O89" s="13" t="str">
        <f>'Entry Sheet'!D112</f>
        <v>J. CONNER</v>
      </c>
      <c r="P89" s="13">
        <f>'Entry Sheet'!E112</f>
        <v>13.3</v>
      </c>
      <c r="Q89" s="13" t="str">
        <f>'Entry Sheet'!F112</f>
        <v>O. HAMPTON</v>
      </c>
      <c r="R89" s="13">
        <f>'Entry Sheet'!G112</f>
        <v>28.3</v>
      </c>
      <c r="S89" s="13" t="str">
        <f>'Entry Sheet'!H112</f>
        <v>O. HAMPTON</v>
      </c>
      <c r="T89" s="13">
        <f>'Entry Sheet'!I112</f>
        <v>29.7</v>
      </c>
      <c r="U89" s="13" t="str">
        <f>'Entry Sheet'!J112</f>
        <v>O. HAMPTON</v>
      </c>
      <c r="V89" s="13">
        <f>'Entry Sheet'!K112</f>
        <v>14.2</v>
      </c>
      <c r="W89" s="13" t="str">
        <f>'Entry Sheet'!L112</f>
        <v>R. HARVEY</v>
      </c>
      <c r="X89" s="13">
        <f>'Entry Sheet'!M112</f>
        <v>6.7</v>
      </c>
      <c r="Y89" s="13" t="str">
        <f>'Entry Sheet'!N112</f>
        <v>R. HARVEY</v>
      </c>
      <c r="Z89" s="13">
        <f>'Entry Sheet'!O112</f>
        <v>7.6</v>
      </c>
      <c r="AA89" s="13" t="str">
        <f>'Entry Sheet'!P112</f>
        <v>R.J. HARVEY</v>
      </c>
      <c r="AB89" s="13">
        <f>'Entry Sheet'!Q112</f>
        <v>26.1</v>
      </c>
      <c r="AC89" s="13" t="str">
        <f>'Entry Sheet'!R112</f>
        <v>K. HUNT</v>
      </c>
      <c r="AD89" s="13">
        <f>'Entry Sheet'!S112</f>
        <v>13.6</v>
      </c>
      <c r="AE89" s="13" t="str">
        <f>'Entry Sheet'!T112</f>
        <v>R. HARVEY</v>
      </c>
      <c r="AF89" s="13">
        <f>'Entry Sheet'!U112</f>
        <v>5.95</v>
      </c>
      <c r="AG89" s="13" t="str">
        <f>'Entry Sheet'!V112</f>
        <v>K. HUNT</v>
      </c>
      <c r="AH89" s="13">
        <f>'Entry Sheet'!W112</f>
        <v>14.5</v>
      </c>
      <c r="AI89" s="13" t="str">
        <f>'Entry Sheet'!X112</f>
        <v>S. TUCKER</v>
      </c>
      <c r="AJ89" s="13">
        <f>'Entry Sheet'!Y112</f>
        <v>6.8</v>
      </c>
      <c r="AK89" s="13" t="str">
        <f>'Entry Sheet'!Z112</f>
        <v>K. HUNT</v>
      </c>
      <c r="AL89" s="13">
        <f>'Entry Sheet'!AA112</f>
        <v>10.4</v>
      </c>
      <c r="AM89" s="13" t="str">
        <f>'Entry Sheet'!AB112</f>
        <v>K. HUNT</v>
      </c>
      <c r="AN89" s="13">
        <f>'Entry Sheet'!AC112</f>
        <v>10.2</v>
      </c>
      <c r="AO89" s="13" t="str">
        <f>'Entry Sheet'!AD112</f>
        <v/>
      </c>
      <c r="AP89" s="13" t="str">
        <f>'Entry Sheet'!AE112</f>
        <v/>
      </c>
    </row>
    <row r="90" ht="15.75" customHeight="1">
      <c r="A90" s="586" t="str">
        <f>Settings!$A$3</f>
        <v>DECOUPES</v>
      </c>
      <c r="B90" s="596" t="s">
        <v>106</v>
      </c>
      <c r="C90" s="13" t="str">
        <f>'Entry Sheet'!N8</f>
        <v/>
      </c>
      <c r="D90" s="13" t="str">
        <f>'Entry Sheet'!O8</f>
        <v/>
      </c>
      <c r="E90" s="589" t="s">
        <v>518</v>
      </c>
      <c r="L90" s="13" t="str">
        <f>'Entry Sheet'!A113</f>
        <v>RB</v>
      </c>
      <c r="M90" s="13" t="str">
        <f>'Entry Sheet'!B113</f>
        <v/>
      </c>
      <c r="N90" s="13" t="str">
        <f>'Entry Sheet'!C113</f>
        <v/>
      </c>
      <c r="O90" s="13" t="str">
        <f>'Entry Sheet'!D113</f>
        <v/>
      </c>
      <c r="P90" s="13" t="str">
        <f>'Entry Sheet'!E113</f>
        <v/>
      </c>
      <c r="Q90" s="13" t="str">
        <f>'Entry Sheet'!F113</f>
        <v/>
      </c>
      <c r="R90" s="13" t="str">
        <f>'Entry Sheet'!G113</f>
        <v/>
      </c>
      <c r="S90" s="13" t="str">
        <f>'Entry Sheet'!H113</f>
        <v/>
      </c>
      <c r="T90" s="13" t="str">
        <f>'Entry Sheet'!I113</f>
        <v/>
      </c>
      <c r="U90" s="13" t="str">
        <f>'Entry Sheet'!J113</f>
        <v/>
      </c>
      <c r="V90" s="13" t="str">
        <f>'Entry Sheet'!K113</f>
        <v/>
      </c>
      <c r="W90" s="13" t="str">
        <f>'Entry Sheet'!L113</f>
        <v/>
      </c>
      <c r="X90" s="13" t="str">
        <f>'Entry Sheet'!M113</f>
        <v/>
      </c>
      <c r="Y90" s="13" t="str">
        <f>'Entry Sheet'!N113</f>
        <v/>
      </c>
      <c r="Z90" s="13" t="str">
        <f>'Entry Sheet'!O113</f>
        <v/>
      </c>
      <c r="AA90" s="13" t="str">
        <f>'Entry Sheet'!P113</f>
        <v/>
      </c>
      <c r="AB90" s="13" t="str">
        <f>'Entry Sheet'!Q113</f>
        <v/>
      </c>
      <c r="AC90" s="13" t="str">
        <f>'Entry Sheet'!R113</f>
        <v/>
      </c>
      <c r="AD90" s="13" t="str">
        <f>'Entry Sheet'!S113</f>
        <v/>
      </c>
      <c r="AE90" s="13" t="str">
        <f>'Entry Sheet'!T113</f>
        <v/>
      </c>
      <c r="AF90" s="13" t="str">
        <f>'Entry Sheet'!U113</f>
        <v/>
      </c>
      <c r="AG90" s="13" t="str">
        <f>'Entry Sheet'!V113</f>
        <v/>
      </c>
      <c r="AH90" s="13" t="str">
        <f>'Entry Sheet'!W113</f>
        <v/>
      </c>
      <c r="AI90" s="13" t="str">
        <f>'Entry Sheet'!X113</f>
        <v/>
      </c>
      <c r="AJ90" s="13" t="str">
        <f>'Entry Sheet'!Y113</f>
        <v/>
      </c>
      <c r="AK90" s="13" t="str">
        <f>'Entry Sheet'!Z113</f>
        <v/>
      </c>
      <c r="AL90" s="13" t="str">
        <f>'Entry Sheet'!AA113</f>
        <v/>
      </c>
      <c r="AM90" s="13" t="str">
        <f>'Entry Sheet'!AB113</f>
        <v/>
      </c>
      <c r="AN90" s="13" t="str">
        <f>'Entry Sheet'!AC113</f>
        <v/>
      </c>
      <c r="AO90" s="13" t="str">
        <f>'Entry Sheet'!AD113</f>
        <v/>
      </c>
      <c r="AP90" s="13" t="str">
        <f>'Entry Sheet'!AE113</f>
        <v/>
      </c>
    </row>
    <row r="91" ht="15.75" customHeight="1">
      <c r="A91" s="586" t="str">
        <f>Settings!$A$3</f>
        <v>DECOUPES</v>
      </c>
      <c r="B91" s="712" t="s">
        <v>117</v>
      </c>
      <c r="C91" s="13" t="str">
        <f>'Entry Sheet'!N9</f>
        <v>C. LAMB</v>
      </c>
      <c r="D91" s="13">
        <f>'Entry Sheet'!O9</f>
        <v>23</v>
      </c>
      <c r="E91" s="589" t="s">
        <v>518</v>
      </c>
      <c r="L91" s="13" t="str">
        <f>'Entry Sheet'!A114</f>
        <v>WR</v>
      </c>
      <c r="M91" s="13" t="str">
        <f>'Entry Sheet'!B114</f>
        <v>N. COLLINS</v>
      </c>
      <c r="N91" s="13">
        <f>'Entry Sheet'!C114</f>
        <v>5.5</v>
      </c>
      <c r="O91" s="13" t="str">
        <f>'Entry Sheet'!D114</f>
        <v>N. COLLINS</v>
      </c>
      <c r="P91" s="13">
        <f>'Entry Sheet'!E114</f>
        <v>14.2</v>
      </c>
      <c r="Q91" s="13" t="str">
        <f>'Entry Sheet'!F114</f>
        <v>N. COLLINS</v>
      </c>
      <c r="R91" s="13">
        <f>'Entry Sheet'!G114</f>
        <v>23.4</v>
      </c>
      <c r="S91" s="13" t="str">
        <f>'Entry Sheet'!H114</f>
        <v>N. COLLINS</v>
      </c>
      <c r="T91" s="13">
        <f>'Entry Sheet'!I114</f>
        <v>11.9</v>
      </c>
      <c r="U91" s="13" t="str">
        <f>'Entry Sheet'!J114</f>
        <v>N. COLLINS</v>
      </c>
      <c r="V91" s="13">
        <f>'Entry Sheet'!K114</f>
        <v>16.1</v>
      </c>
      <c r="W91" s="13" t="str">
        <f>'Entry Sheet'!L114</f>
        <v>J. SMITH-NJIGBA</v>
      </c>
      <c r="X91" s="13">
        <f>'Entry Sheet'!M114</f>
        <v>31.2</v>
      </c>
      <c r="Y91" s="13" t="str">
        <f>'Entry Sheet'!N114</f>
        <v>N. COLLINS</v>
      </c>
      <c r="Z91" s="13">
        <f>'Entry Sheet'!O114</f>
        <v>6.7</v>
      </c>
      <c r="AA91" s="13" t="str">
        <f>'Entry Sheet'!P114</f>
        <v>D.K. METCALF</v>
      </c>
      <c r="AB91" s="13">
        <f>'Entry Sheet'!Q114</f>
        <v>16.5</v>
      </c>
      <c r="AC91" s="13" t="str">
        <f>'Entry Sheet'!R114</f>
        <v>N. COLLINS</v>
      </c>
      <c r="AD91" s="13">
        <f>'Entry Sheet'!S114</f>
        <v>14.5</v>
      </c>
      <c r="AE91" s="13" t="str">
        <f>'Entry Sheet'!T114</f>
        <v>N. COLLINS</v>
      </c>
      <c r="AF91" s="13">
        <f>'Entry Sheet'!U114</f>
        <v>23.6</v>
      </c>
      <c r="AG91" s="13" t="str">
        <f>'Entry Sheet'!V114</f>
        <v>N. COLLINS</v>
      </c>
      <c r="AH91" s="13">
        <f>'Entry Sheet'!W114</f>
        <v>24.2</v>
      </c>
      <c r="AI91" s="13" t="str">
        <f>'Entry Sheet'!X114</f>
        <v>N. COLLINS</v>
      </c>
      <c r="AJ91" s="13">
        <f>'Entry Sheet'!Y114</f>
        <v>8.5</v>
      </c>
      <c r="AK91" s="13" t="str">
        <f>'Entry Sheet'!Z114</f>
        <v>N. COLLINS</v>
      </c>
      <c r="AL91" s="13">
        <f>'Entry Sheet'!AA114</f>
        <v>21.6</v>
      </c>
      <c r="AM91" s="13" t="str">
        <f>'Entry Sheet'!AB114</f>
        <v>N. COLLINS</v>
      </c>
      <c r="AN91" s="13">
        <f>'Entry Sheet'!AC114</f>
        <v>17.1</v>
      </c>
      <c r="AO91" s="13" t="str">
        <f>'Entry Sheet'!AD114</f>
        <v/>
      </c>
      <c r="AP91" s="13" t="str">
        <f>'Entry Sheet'!AE114</f>
        <v/>
      </c>
    </row>
    <row r="92" ht="15.75" customHeight="1">
      <c r="A92" s="586" t="str">
        <f>Settings!$A$3</f>
        <v>DECOUPES</v>
      </c>
      <c r="B92" s="712" t="s">
        <v>117</v>
      </c>
      <c r="C92" s="13" t="str">
        <f>'Entry Sheet'!N10</f>
        <v>R. RICE</v>
      </c>
      <c r="D92" s="13">
        <f>'Entry Sheet'!O10</f>
        <v>23.2</v>
      </c>
      <c r="E92" s="589" t="s">
        <v>518</v>
      </c>
      <c r="L92" s="13" t="str">
        <f>'Entry Sheet'!A115</f>
        <v>WR</v>
      </c>
      <c r="M92" s="13" t="str">
        <f>'Entry Sheet'!B115</f>
        <v>J. SMITH-NJIBA</v>
      </c>
      <c r="N92" s="13">
        <f>'Entry Sheet'!C115</f>
        <v>20.4</v>
      </c>
      <c r="O92" s="13" t="str">
        <f>'Entry Sheet'!D115</f>
        <v>J. SMITH-NJIBA</v>
      </c>
      <c r="P92" s="13">
        <f>'Entry Sheet'!E115</f>
        <v>19.3</v>
      </c>
      <c r="Q92" s="13" t="str">
        <f>'Entry Sheet'!F115</f>
        <v>J. SMITH-NJIGBA</v>
      </c>
      <c r="R92" s="13">
        <f>'Entry Sheet'!G115</f>
        <v>20.6</v>
      </c>
      <c r="S92" s="13" t="str">
        <f>'Entry Sheet'!H115</f>
        <v>J. SMITH-NJIGBA</v>
      </c>
      <c r="T92" s="13">
        <f>'Entry Sheet'!I115</f>
        <v>13.3</v>
      </c>
      <c r="U92" s="13" t="str">
        <f>'Entry Sheet'!J115</f>
        <v>J. JEUDY</v>
      </c>
      <c r="V92" s="13">
        <f>'Entry Sheet'!K115</f>
        <v>3.5</v>
      </c>
      <c r="W92" s="13" t="str">
        <f>'Entry Sheet'!L115</f>
        <v>D. METCALF</v>
      </c>
      <c r="X92" s="13">
        <f>'Entry Sheet'!M115</f>
        <v>19.5</v>
      </c>
      <c r="Y92" s="13" t="str">
        <f>'Entry Sheet'!N115</f>
        <v>D. METCALF</v>
      </c>
      <c r="Z92" s="13">
        <f>'Entry Sheet'!O115</f>
        <v>8</v>
      </c>
      <c r="AA92" s="13" t="str">
        <f>'Entry Sheet'!P115</f>
        <v>J. JEUDY</v>
      </c>
      <c r="AB92" s="13">
        <f>'Entry Sheet'!Q115</f>
        <v>0</v>
      </c>
      <c r="AC92" s="13" t="str">
        <f>'Entry Sheet'!R115</f>
        <v>J. SMITH-NJIGBA</v>
      </c>
      <c r="AD92" s="13">
        <f>'Entry Sheet'!S115</f>
        <v>23.1</v>
      </c>
      <c r="AE92" s="13" t="str">
        <f>'Entry Sheet'!T115</f>
        <v>J. SMITH-NJIGBA</v>
      </c>
      <c r="AF92" s="13">
        <f>'Entry Sheet'!U115</f>
        <v>20.3</v>
      </c>
      <c r="AG92" s="13" t="str">
        <f>'Entry Sheet'!V115</f>
        <v>J. SMITH-NJIGBA</v>
      </c>
      <c r="AH92" s="13">
        <f>'Entry Sheet'!W115</f>
        <v>21.7</v>
      </c>
      <c r="AI92" s="13" t="str">
        <f>'Entry Sheet'!X115</f>
        <v>J. SMITH-NJIGBA</v>
      </c>
      <c r="AJ92" s="13">
        <f>'Entry Sheet'!Y115</f>
        <v>38.2</v>
      </c>
      <c r="AK92" s="13" t="str">
        <f>'Entry Sheet'!Z115</f>
        <v>J. SMITH-NJIGBA</v>
      </c>
      <c r="AL92" s="13">
        <f>'Entry Sheet'!AA115</f>
        <v>4.3</v>
      </c>
      <c r="AM92" s="13" t="str">
        <f>'Entry Sheet'!AB115</f>
        <v>J. SMITH-NJIGBA</v>
      </c>
      <c r="AN92" s="13">
        <f>'Entry Sheet'!AC115</f>
        <v>28.2</v>
      </c>
      <c r="AO92" s="13" t="str">
        <f>'Entry Sheet'!AD115</f>
        <v/>
      </c>
      <c r="AP92" s="13" t="str">
        <f>'Entry Sheet'!AE115</f>
        <v/>
      </c>
    </row>
    <row r="93" ht="15.75" customHeight="1">
      <c r="A93" s="586" t="str">
        <f>Settings!$A$3</f>
        <v>DECOUPES</v>
      </c>
      <c r="B93" s="712" t="s">
        <v>117</v>
      </c>
      <c r="C93" s="13" t="str">
        <f>'Entry Sheet'!N11</f>
        <v>L. MCCAFFREY</v>
      </c>
      <c r="D93" s="13">
        <f>'Entry Sheet'!O11</f>
        <v>10.45</v>
      </c>
      <c r="E93" s="589" t="s">
        <v>518</v>
      </c>
      <c r="L93" s="13" t="str">
        <f>'Entry Sheet'!A116</f>
        <v>WR</v>
      </c>
      <c r="M93" s="13" t="str">
        <f>'Entry Sheet'!B116</f>
        <v>J. JEUDY</v>
      </c>
      <c r="N93" s="13">
        <f>'Entry Sheet'!C116</f>
        <v>11.6</v>
      </c>
      <c r="O93" s="13" t="str">
        <f>'Entry Sheet'!D116</f>
        <v>D. METCALF</v>
      </c>
      <c r="P93" s="13">
        <f>'Entry Sheet'!E116</f>
        <v>11</v>
      </c>
      <c r="Q93" s="13" t="str">
        <f>'Entry Sheet'!F116</f>
        <v>D. METCALF</v>
      </c>
      <c r="R93" s="13">
        <f>'Entry Sheet'!G116</f>
        <v>12.2</v>
      </c>
      <c r="S93" s="13" t="str">
        <f>'Entry Sheet'!H116</f>
        <v>D. METCALF</v>
      </c>
      <c r="T93" s="13">
        <f>'Entry Sheet'!I116</f>
        <v>24.6</v>
      </c>
      <c r="U93" s="13" t="str">
        <f>'Entry Sheet'!J116</f>
        <v>C. KUPP</v>
      </c>
      <c r="V93" s="13">
        <f>'Entry Sheet'!K116</f>
        <v>11.9</v>
      </c>
      <c r="W93" s="13" t="str">
        <f>'Entry Sheet'!L116</f>
        <v>C. KUPP</v>
      </c>
      <c r="X93" s="13">
        <f>'Entry Sheet'!M116</f>
        <v>12</v>
      </c>
      <c r="Y93" s="13" t="str">
        <f>'Entry Sheet'!N116</f>
        <v>J. JEUDY</v>
      </c>
      <c r="Z93" s="13">
        <f>'Entry Sheet'!O116</f>
        <v>3.7</v>
      </c>
      <c r="AA93" s="13" t="str">
        <f>'Entry Sheet'!P116</f>
        <v>EMPTY</v>
      </c>
      <c r="AB93" s="13">
        <f>'Entry Sheet'!Q116</f>
        <v>0</v>
      </c>
      <c r="AC93" s="13" t="str">
        <f>'Entry Sheet'!R116</f>
        <v>D.K. METCALF</v>
      </c>
      <c r="AD93" s="13">
        <f>'Entry Sheet'!S116</f>
        <v>2.6</v>
      </c>
      <c r="AE93" s="13" t="str">
        <f>'Entry Sheet'!T116</f>
        <v>J. JEUDY</v>
      </c>
      <c r="AF93" s="13">
        <f>'Entry Sheet'!U116</f>
        <v>19.8</v>
      </c>
      <c r="AG93" s="13" t="str">
        <f>'Entry Sheet'!V116</f>
        <v>D. METCALF</v>
      </c>
      <c r="AH93" s="13">
        <f>'Entry Sheet'!W116</f>
        <v>9.9</v>
      </c>
      <c r="AI93" s="13" t="str">
        <f>'Entry Sheet'!X116</f>
        <v>D. METCALF</v>
      </c>
      <c r="AJ93" s="13">
        <f>'Entry Sheet'!Y116</f>
        <v>14.6</v>
      </c>
      <c r="AK93" s="13" t="str">
        <f>'Entry Sheet'!Z116</f>
        <v>D. METCALF</v>
      </c>
      <c r="AL93" s="13">
        <f>'Entry Sheet'!AA116</f>
        <v>6.2</v>
      </c>
      <c r="AM93" s="13" t="str">
        <f>'Entry Sheet'!AB116</f>
        <v>D. METCALF</v>
      </c>
      <c r="AN93" s="13">
        <f>'Entry Sheet'!AC116</f>
        <v>22.8</v>
      </c>
      <c r="AO93" s="13" t="str">
        <f>'Entry Sheet'!AD116</f>
        <v/>
      </c>
      <c r="AP93" s="13" t="str">
        <f>'Entry Sheet'!AE116</f>
        <v/>
      </c>
    </row>
    <row r="94" ht="15.75" customHeight="1">
      <c r="A94" s="586" t="str">
        <f>Settings!$A$3</f>
        <v>DECOUPES</v>
      </c>
      <c r="B94" s="712" t="s">
        <v>117</v>
      </c>
      <c r="C94" s="13" t="str">
        <f>'Entry Sheet'!N12</f>
        <v/>
      </c>
      <c r="D94" s="13" t="str">
        <f>'Entry Sheet'!O12</f>
        <v/>
      </c>
      <c r="E94" s="589" t="s">
        <v>518</v>
      </c>
      <c r="L94" s="13" t="str">
        <f>'Entry Sheet'!A117</f>
        <v>WR</v>
      </c>
      <c r="M94" s="13" t="str">
        <f>'Entry Sheet'!B117</f>
        <v/>
      </c>
      <c r="N94" s="13" t="str">
        <f>'Entry Sheet'!C117</f>
        <v/>
      </c>
      <c r="O94" s="13" t="str">
        <f>'Entry Sheet'!D117</f>
        <v/>
      </c>
      <c r="P94" s="13" t="str">
        <f>'Entry Sheet'!E117</f>
        <v/>
      </c>
      <c r="Q94" s="13" t="str">
        <f>'Entry Sheet'!F117</f>
        <v/>
      </c>
      <c r="R94" s="13" t="str">
        <f>'Entry Sheet'!G117</f>
        <v/>
      </c>
      <c r="S94" s="13" t="str">
        <f>'Entry Sheet'!H117</f>
        <v/>
      </c>
      <c r="T94" s="13" t="str">
        <f>'Entry Sheet'!I117</f>
        <v/>
      </c>
      <c r="U94" s="13" t="str">
        <f>'Entry Sheet'!J117</f>
        <v/>
      </c>
      <c r="V94" s="13" t="str">
        <f>'Entry Sheet'!K117</f>
        <v/>
      </c>
      <c r="W94" s="13" t="str">
        <f>'Entry Sheet'!L117</f>
        <v/>
      </c>
      <c r="X94" s="13" t="str">
        <f>'Entry Sheet'!M117</f>
        <v/>
      </c>
      <c r="Y94" s="13" t="str">
        <f>'Entry Sheet'!N117</f>
        <v/>
      </c>
      <c r="Z94" s="13" t="str">
        <f>'Entry Sheet'!O117</f>
        <v/>
      </c>
      <c r="AA94" s="13" t="str">
        <f>'Entry Sheet'!P117</f>
        <v/>
      </c>
      <c r="AB94" s="13" t="str">
        <f>'Entry Sheet'!Q117</f>
        <v/>
      </c>
      <c r="AC94" s="13" t="str">
        <f>'Entry Sheet'!R117</f>
        <v/>
      </c>
      <c r="AD94" s="13" t="str">
        <f>'Entry Sheet'!S117</f>
        <v/>
      </c>
      <c r="AE94" s="13" t="str">
        <f>'Entry Sheet'!T117</f>
        <v/>
      </c>
      <c r="AF94" s="13" t="str">
        <f>'Entry Sheet'!U117</f>
        <v/>
      </c>
      <c r="AG94" s="13" t="str">
        <f>'Entry Sheet'!V117</f>
        <v/>
      </c>
      <c r="AH94" s="13" t="str">
        <f>'Entry Sheet'!W117</f>
        <v/>
      </c>
      <c r="AI94" s="13" t="str">
        <f>'Entry Sheet'!X117</f>
        <v/>
      </c>
      <c r="AJ94" s="13" t="str">
        <f>'Entry Sheet'!Y117</f>
        <v/>
      </c>
      <c r="AK94" s="13" t="str">
        <f>'Entry Sheet'!Z117</f>
        <v/>
      </c>
      <c r="AL94" s="13" t="str">
        <f>'Entry Sheet'!AA117</f>
        <v/>
      </c>
      <c r="AM94" s="13" t="str">
        <f>'Entry Sheet'!AB117</f>
        <v/>
      </c>
      <c r="AN94" s="13" t="str">
        <f>'Entry Sheet'!AC117</f>
        <v/>
      </c>
      <c r="AO94" s="13" t="str">
        <f>'Entry Sheet'!AD117</f>
        <v/>
      </c>
      <c r="AP94" s="13" t="str">
        <f>'Entry Sheet'!AE117</f>
        <v/>
      </c>
    </row>
    <row r="95" ht="15.75" customHeight="1">
      <c r="A95" s="586" t="str">
        <f>Settings!$A$3</f>
        <v>DECOUPES</v>
      </c>
      <c r="B95" s="764" t="s">
        <v>132</v>
      </c>
      <c r="C95" s="13" t="str">
        <f>'Entry Sheet'!N13</f>
        <v>T. KRAFT</v>
      </c>
      <c r="D95" s="13">
        <f>'Entry Sheet'!O13</f>
        <v>16.8</v>
      </c>
      <c r="E95" s="589" t="s">
        <v>518</v>
      </c>
      <c r="L95" s="13" t="str">
        <f>'Entry Sheet'!A118</f>
        <v>TE</v>
      </c>
      <c r="M95" s="13" t="str">
        <f>'Entry Sheet'!B118</f>
        <v>M. ANDREWS</v>
      </c>
      <c r="N95" s="13">
        <f>'Entry Sheet'!C118</f>
        <v>1.5</v>
      </c>
      <c r="O95" s="13" t="str">
        <f>'Entry Sheet'!D118</f>
        <v>M. ANDREWS</v>
      </c>
      <c r="P95" s="13">
        <f>'Entry Sheet'!E118</f>
        <v>1.5</v>
      </c>
      <c r="Q95" s="13" t="str">
        <f>'Entry Sheet'!F118</f>
        <v>M. ANDREWS</v>
      </c>
      <c r="R95" s="13">
        <f>'Entry Sheet'!G118</f>
        <v>27.1</v>
      </c>
      <c r="S95" s="13" t="str">
        <f>'Entry Sheet'!H118</f>
        <v>M. ANDREWS</v>
      </c>
      <c r="T95" s="13">
        <f>'Entry Sheet'!I118</f>
        <v>10</v>
      </c>
      <c r="U95" s="13" t="str">
        <f>'Entry Sheet'!J118</f>
        <v>B. STRANGE</v>
      </c>
      <c r="V95" s="13">
        <f>'Entry Sheet'!K118</f>
        <v>3.2</v>
      </c>
      <c r="W95" s="13" t="str">
        <f>'Entry Sheet'!L118</f>
        <v>M. ANDREWS</v>
      </c>
      <c r="X95" s="13">
        <f>'Entry Sheet'!M118</f>
        <v>6.9</v>
      </c>
      <c r="Y95" s="13" t="str">
        <f>'Entry Sheet'!N118</f>
        <v>M. MAYER</v>
      </c>
      <c r="Z95" s="13">
        <f>'Entry Sheet'!O118</f>
        <v>2</v>
      </c>
      <c r="AA95" s="13" t="str">
        <f>'Entry Sheet'!P118</f>
        <v>M. ANDREWS</v>
      </c>
      <c r="AB95" s="13">
        <f>'Entry Sheet'!Q118</f>
        <v>6.4</v>
      </c>
      <c r="AC95" s="13" t="str">
        <f>'Entry Sheet'!R118</f>
        <v>M. ANDREWS</v>
      </c>
      <c r="AD95" s="13">
        <f>'Entry Sheet'!S118</f>
        <v>16.8</v>
      </c>
      <c r="AE95" s="13" t="str">
        <f>'Entry Sheet'!T118</f>
        <v>M. ANDREWS</v>
      </c>
      <c r="AF95" s="13">
        <f>'Entry Sheet'!U118</f>
        <v>10.4</v>
      </c>
      <c r="AG95" s="13" t="str">
        <f>'Entry Sheet'!V118</f>
        <v>M. ANDREWS</v>
      </c>
      <c r="AH95" s="13">
        <f>'Entry Sheet'!W118</f>
        <v>15.8</v>
      </c>
      <c r="AI95" s="13" t="str">
        <f>'Entry Sheet'!X118</f>
        <v>M. ANDREWS</v>
      </c>
      <c r="AJ95" s="13">
        <f>'Entry Sheet'!Y118</f>
        <v>2.3</v>
      </c>
      <c r="AK95" s="13" t="str">
        <f>'Entry Sheet'!Z118</f>
        <v>M. ANDREWS</v>
      </c>
      <c r="AL95" s="13">
        <f>'Entry Sheet'!AA118</f>
        <v>8.7</v>
      </c>
      <c r="AM95" s="13" t="str">
        <f>'Entry Sheet'!AB118</f>
        <v>M. ANDREWS</v>
      </c>
      <c r="AN95" s="13">
        <f>'Entry Sheet'!AC118</f>
        <v>1.9</v>
      </c>
      <c r="AO95" s="13" t="str">
        <f>'Entry Sheet'!AD118</f>
        <v/>
      </c>
      <c r="AP95" s="13" t="str">
        <f>'Entry Sheet'!AE118</f>
        <v/>
      </c>
    </row>
    <row r="96" ht="15.75" customHeight="1">
      <c r="A96" s="586" t="str">
        <f>Settings!$A$3</f>
        <v>DECOUPES</v>
      </c>
      <c r="B96" s="795" t="s">
        <v>136</v>
      </c>
      <c r="C96" s="13" t="str">
        <f>'Entry Sheet'!N14</f>
        <v>R. WHITE</v>
      </c>
      <c r="D96" s="13">
        <f>'Entry Sheet'!O14</f>
        <v>9.4</v>
      </c>
      <c r="E96" s="589" t="s">
        <v>518</v>
      </c>
      <c r="L96" s="13" t="str">
        <f>'Entry Sheet'!A119</f>
        <v>FLEX</v>
      </c>
      <c r="M96" s="13" t="str">
        <f>'Entry Sheet'!B119</f>
        <v>J. CONNER</v>
      </c>
      <c r="N96" s="13">
        <f>'Entry Sheet'!C119</f>
        <v>15.6</v>
      </c>
      <c r="O96" s="13" t="str">
        <f>'Entry Sheet'!D119</f>
        <v>O. HAMPTON</v>
      </c>
      <c r="P96" s="13">
        <f>'Entry Sheet'!E119</f>
        <v>4.3</v>
      </c>
      <c r="Q96" s="13" t="str">
        <f>'Entry Sheet'!F119</f>
        <v>J. CONNER</v>
      </c>
      <c r="R96" s="13">
        <f>'Entry Sheet'!G119</f>
        <v>7.6</v>
      </c>
      <c r="S96" s="13" t="str">
        <f>'Entry Sheet'!H119</f>
        <v>J. CONNOR</v>
      </c>
      <c r="T96" s="13">
        <f>'Entry Sheet'!I119</f>
        <v>0</v>
      </c>
      <c r="U96" s="13" t="str">
        <f>'Entry Sheet'!J119</f>
        <v>J. SMITH-NJIGBA</v>
      </c>
      <c r="V96" s="13">
        <f>'Entry Sheet'!K119</f>
        <v>28.2</v>
      </c>
      <c r="W96" s="13" t="str">
        <f>'Entry Sheet'!L119</f>
        <v>J. JEUDY</v>
      </c>
      <c r="X96" s="13">
        <f>'Entry Sheet'!M119</f>
        <v>9.3</v>
      </c>
      <c r="Y96" s="13" t="str">
        <f>'Entry Sheet'!N119</f>
        <v>J. SMITH-NJIGBA</v>
      </c>
      <c r="Z96" s="13">
        <f>'Entry Sheet'!O119</f>
        <v>27.3</v>
      </c>
      <c r="AA96" s="13" t="str">
        <f>'Entry Sheet'!P119</f>
        <v>J. SMITH-NJIGBA</v>
      </c>
      <c r="AB96" s="13">
        <f>'Entry Sheet'!Q119</f>
        <v>0</v>
      </c>
      <c r="AC96" s="13" t="str">
        <f>'Entry Sheet'!R119</f>
        <v>M. MAYER</v>
      </c>
      <c r="AD96" s="13">
        <f>'Entry Sheet'!S119</f>
        <v>5.6</v>
      </c>
      <c r="AE96" s="13" t="str">
        <f>'Entry Sheet'!T119</f>
        <v>D. METCALF</v>
      </c>
      <c r="AF96" s="13">
        <f>'Entry Sheet'!U119</f>
        <v>6.5</v>
      </c>
      <c r="AG96" s="13" t="str">
        <f>'Entry Sheet'!V119</f>
        <v>S. BARKLEY</v>
      </c>
      <c r="AH96" s="13">
        <f>'Entry Sheet'!W119</f>
        <v>12.6</v>
      </c>
      <c r="AI96" s="13" t="str">
        <f>'Entry Sheet'!X119</f>
        <v>S. BARKLEY</v>
      </c>
      <c r="AJ96" s="13">
        <f>'Entry Sheet'!Y119</f>
        <v>13.4</v>
      </c>
      <c r="AK96" s="13" t="str">
        <f>'Entry Sheet'!Z119</f>
        <v>S. BARKLEY</v>
      </c>
      <c r="AL96" s="13">
        <f>'Entry Sheet'!AA119</f>
        <v>6.9</v>
      </c>
      <c r="AM96" s="13" t="str">
        <f>'Entry Sheet'!AB119</f>
        <v>S. BARKLEY</v>
      </c>
      <c r="AN96" s="13">
        <f>'Entry Sheet'!AC119</f>
        <v>21.2</v>
      </c>
      <c r="AO96" s="13" t="str">
        <f>'Entry Sheet'!AD119</f>
        <v/>
      </c>
      <c r="AP96" s="13" t="str">
        <f>'Entry Sheet'!AE119</f>
        <v/>
      </c>
    </row>
    <row r="97" ht="15.75" customHeight="1">
      <c r="A97" s="586" t="str">
        <f>Settings!$A$3</f>
        <v>DECOUPES</v>
      </c>
      <c r="B97" s="818" t="s">
        <v>139</v>
      </c>
      <c r="C97" s="13" t="str">
        <f>'Entry Sheet'!N15</f>
        <v>KC D/ST</v>
      </c>
      <c r="D97" s="13">
        <f>'Entry Sheet'!O15</f>
        <v>15.2</v>
      </c>
      <c r="E97" s="589" t="s">
        <v>518</v>
      </c>
      <c r="L97" s="13" t="str">
        <f>'Entry Sheet'!A120</f>
        <v>D/ST</v>
      </c>
      <c r="M97" s="13" t="str">
        <f>'Entry Sheet'!B120</f>
        <v>CHI D/ST</v>
      </c>
      <c r="N97" s="13">
        <f>'Entry Sheet'!C120</f>
        <v>25.21</v>
      </c>
      <c r="O97" s="13" t="str">
        <f>'Entry Sheet'!D120</f>
        <v>SEA D/ST</v>
      </c>
      <c r="P97" s="13">
        <f>'Entry Sheet'!E120</f>
        <v>30.05</v>
      </c>
      <c r="Q97" s="13" t="str">
        <f>'Entry Sheet'!F120</f>
        <v>SEA D/ST</v>
      </c>
      <c r="R97" s="13">
        <f>'Entry Sheet'!G120</f>
        <v>34.72</v>
      </c>
      <c r="S97" s="13" t="str">
        <f>'Entry Sheet'!H120</f>
        <v>SEA D/ST</v>
      </c>
      <c r="T97" s="13">
        <f>'Entry Sheet'!I120</f>
        <v>25.95</v>
      </c>
      <c r="U97" s="13" t="str">
        <f>'Entry Sheet'!J120</f>
        <v>SEA D/ST</v>
      </c>
      <c r="V97" s="13">
        <f>'Entry Sheet'!K120</f>
        <v>2.8</v>
      </c>
      <c r="W97" s="13" t="str">
        <f>'Entry Sheet'!L120</f>
        <v>SEA D/ST</v>
      </c>
      <c r="X97" s="13">
        <f>'Entry Sheet'!M120</f>
        <v>21.4</v>
      </c>
      <c r="Y97" s="13" t="str">
        <f>'Entry Sheet'!N120</f>
        <v>SEA D/ST</v>
      </c>
      <c r="Z97" s="13">
        <f>'Entry Sheet'!O120</f>
        <v>25.16</v>
      </c>
      <c r="AA97" s="13" t="str">
        <f>'Entry Sheet'!P120</f>
        <v>CHI D/ST</v>
      </c>
      <c r="AB97" s="13">
        <f>'Entry Sheet'!Q120</f>
        <v>9.49</v>
      </c>
      <c r="AC97" s="13" t="str">
        <f>'Entry Sheet'!R120</f>
        <v>SEA D/ST</v>
      </c>
      <c r="AD97" s="13">
        <f>'Entry Sheet'!S120</f>
        <v>19.9</v>
      </c>
      <c r="AE97" s="13">
        <f>'Entry Sheet'!U120</f>
        <v>30.35</v>
      </c>
      <c r="AF97" s="13" t="str">
        <f>'Entry Sheet'!#REF!</f>
        <v>#ERROR!</v>
      </c>
      <c r="AG97" s="13" t="str">
        <f>'Entry Sheet'!V120</f>
        <v>CHI D/ST</v>
      </c>
      <c r="AH97" s="13">
        <f>'Entry Sheet'!W120</f>
        <v>17.28</v>
      </c>
      <c r="AI97" s="13" t="str">
        <f>'Entry Sheet'!X120</f>
        <v>CHI D/ST</v>
      </c>
      <c r="AJ97" s="13">
        <f>'Entry Sheet'!Y120</f>
        <v>17.7</v>
      </c>
      <c r="AK97" s="13" t="str">
        <f>'Entry Sheet'!Z120</f>
        <v>CHI D/ST</v>
      </c>
      <c r="AL97" s="13">
        <f>'Entry Sheet'!AA120</f>
        <v>10.86</v>
      </c>
      <c r="AM97" s="13" t="str">
        <f>'Entry Sheet'!AB120</f>
        <v>SEA D/ST</v>
      </c>
      <c r="AN97" s="13">
        <f>'Entry Sheet'!AC120</f>
        <v>32.4</v>
      </c>
      <c r="AO97" s="13" t="str">
        <f>'Entry Sheet'!AD120</f>
        <v/>
      </c>
      <c r="AP97" s="13" t="str">
        <f>'Entry Sheet'!AE120</f>
        <v/>
      </c>
    </row>
    <row r="98" ht="15.75" customHeight="1">
      <c r="A98" s="586" t="str">
        <f>Settings!$A$3</f>
        <v>DECOUPES</v>
      </c>
      <c r="B98" s="833" t="s">
        <v>146</v>
      </c>
      <c r="C98" s="13" t="str">
        <f>'Entry Sheet'!N16</f>
        <v>K. FAIRBURN</v>
      </c>
      <c r="D98" s="13">
        <f>'Entry Sheet'!O16</f>
        <v>8</v>
      </c>
      <c r="E98" s="589" t="s">
        <v>518</v>
      </c>
      <c r="L98" s="13" t="str">
        <f>'Entry Sheet'!A121</f>
        <v>K</v>
      </c>
      <c r="M98" s="13" t="str">
        <f>'Entry Sheet'!B121</f>
        <v>C. MCLAUGHLIN</v>
      </c>
      <c r="N98" s="13">
        <f>'Entry Sheet'!C121</f>
        <v>4.5</v>
      </c>
      <c r="O98" s="13" t="str">
        <f>'Entry Sheet'!D121</f>
        <v>C. MCLAUGHLIN</v>
      </c>
      <c r="P98" s="13">
        <f>'Entry Sheet'!E121</f>
        <v>0</v>
      </c>
      <c r="Q98" s="13" t="str">
        <f>'Entry Sheet'!F121</f>
        <v>C. MCLAUGHLIN</v>
      </c>
      <c r="R98" s="13">
        <f>'Entry Sheet'!G121</f>
        <v>23</v>
      </c>
      <c r="S98" s="13" t="str">
        <f>'Entry Sheet'!H121</f>
        <v>C. MCLAUGHLIN</v>
      </c>
      <c r="T98" s="13">
        <f>'Entry Sheet'!I121</f>
        <v>21</v>
      </c>
      <c r="U98" s="13" t="str">
        <f>'Entry Sheet'!J121</f>
        <v>C. MCLAUGHLIN</v>
      </c>
      <c r="V98" s="13">
        <f>'Entry Sheet'!K121</f>
        <v>12</v>
      </c>
      <c r="W98" s="13" t="str">
        <f>'Entry Sheet'!L121</f>
        <v>C. MCLAUGHLIN</v>
      </c>
      <c r="X98" s="13">
        <f>'Entry Sheet'!M121</f>
        <v>5.5</v>
      </c>
      <c r="Y98" s="13" t="str">
        <f>'Entry Sheet'!N121</f>
        <v>C. MCLAUGHLIN</v>
      </c>
      <c r="Z98" s="13">
        <f>'Entry Sheet'!O121</f>
        <v>6</v>
      </c>
      <c r="AA98" s="13" t="str">
        <f>'Entry Sheet'!P121</f>
        <v>C. MCLAUGHLIN</v>
      </c>
      <c r="AB98" s="13">
        <f>'Entry Sheet'!Q121</f>
        <v>20</v>
      </c>
      <c r="AC98" s="13" t="str">
        <f>'Entry Sheet'!R121</f>
        <v>J. BATES</v>
      </c>
      <c r="AD98" s="13">
        <f>'Entry Sheet'!S121</f>
        <v>5.5</v>
      </c>
      <c r="AE98" s="13" t="str">
        <f>'Entry Sheet'!T121</f>
        <v>J. BATES</v>
      </c>
      <c r="AF98" s="13">
        <f>'Entry Sheet'!U121</f>
        <v>13</v>
      </c>
      <c r="AG98" s="13" t="str">
        <f>'Entry Sheet'!V121</f>
        <v>J. BATES</v>
      </c>
      <c r="AH98" s="13">
        <f>'Entry Sheet'!W121</f>
        <v>6</v>
      </c>
      <c r="AI98" s="13" t="str">
        <f>'Entry Sheet'!X121</f>
        <v>J. BATES</v>
      </c>
      <c r="AJ98" s="13">
        <f>'Entry Sheet'!Y121</f>
        <v>13</v>
      </c>
      <c r="AK98" s="13" t="str">
        <f>'Entry Sheet'!Z121</f>
        <v>J. BATES</v>
      </c>
      <c r="AL98" s="13">
        <f>'Entry Sheet'!AA121</f>
        <v>6</v>
      </c>
      <c r="AM98" s="13" t="str">
        <f>'Entry Sheet'!AB121</f>
        <v>J. BATES</v>
      </c>
      <c r="AN98" s="13">
        <f>'Entry Sheet'!AC121</f>
        <v>15</v>
      </c>
      <c r="AO98" s="13" t="str">
        <f>'Entry Sheet'!AD121</f>
        <v/>
      </c>
      <c r="AP98" s="13" t="str">
        <f>'Entry Sheet'!AE121</f>
        <v/>
      </c>
    </row>
    <row r="99" ht="15.75" customHeight="1">
      <c r="A99" s="586" t="str">
        <f>Settings!$A$3</f>
        <v>DECOUPES</v>
      </c>
      <c r="B99" s="842" t="s">
        <v>162</v>
      </c>
      <c r="C99" s="13" t="str">
        <f>'Entry Sheet'!N17</f>
        <v>NE HC</v>
      </c>
      <c r="D99" s="13">
        <f>'Entry Sheet'!O17</f>
        <v>15.3</v>
      </c>
      <c r="E99" s="589" t="s">
        <v>518</v>
      </c>
      <c r="L99" s="13" t="str">
        <f>'Entry Sheet'!A122</f>
        <v>HC</v>
      </c>
      <c r="M99" s="13" t="str">
        <f>'Entry Sheet'!B122</f>
        <v>DEN HC</v>
      </c>
      <c r="N99" s="13">
        <f>'Entry Sheet'!C122</f>
        <v>9</v>
      </c>
      <c r="O99" s="13" t="str">
        <f>'Entry Sheet'!D122</f>
        <v>DEN HC</v>
      </c>
      <c r="P99" s="13">
        <f>'Entry Sheet'!E122</f>
        <v>6.4</v>
      </c>
      <c r="Q99" s="13" t="str">
        <f>'Entry Sheet'!F122</f>
        <v>DEN HC</v>
      </c>
      <c r="R99" s="13">
        <f>'Entry Sheet'!G122</f>
        <v>4</v>
      </c>
      <c r="S99" s="13" t="str">
        <f>'Entry Sheet'!H122</f>
        <v>DEN HC</v>
      </c>
      <c r="T99" s="13">
        <f>'Entry Sheet'!I122</f>
        <v>20.4</v>
      </c>
      <c r="U99" s="13" t="str">
        <f>'Entry Sheet'!J122</f>
        <v>DEN HC</v>
      </c>
      <c r="V99" s="13">
        <f>'Entry Sheet'!K122</f>
        <v>8.3</v>
      </c>
      <c r="W99" s="13" t="str">
        <f>'Entry Sheet'!L122</f>
        <v>DEN HC</v>
      </c>
      <c r="X99" s="13">
        <f>'Entry Sheet'!M122</f>
        <v>5.9</v>
      </c>
      <c r="Y99" s="13" t="str">
        <f>'Entry Sheet'!N122</f>
        <v>DEN HC</v>
      </c>
      <c r="Z99" s="13">
        <f>'Entry Sheet'!O122</f>
        <v>11.9</v>
      </c>
      <c r="AA99" s="13" t="str">
        <f>'Entry Sheet'!P122</f>
        <v>DEN HC</v>
      </c>
      <c r="AB99" s="13">
        <f>'Entry Sheet'!Q122</f>
        <v>21.2</v>
      </c>
      <c r="AC99" s="13" t="str">
        <f>'Entry Sheet'!R122</f>
        <v>DEN HC</v>
      </c>
      <c r="AD99" s="13">
        <f>'Entry Sheet'!S122</f>
        <v>7.4</v>
      </c>
      <c r="AE99" s="13" t="str">
        <f>'Entry Sheet'!T122</f>
        <v>DEN HC</v>
      </c>
      <c r="AF99" s="13">
        <f>'Entry Sheet'!U122</f>
        <v>5</v>
      </c>
      <c r="AG99" s="13" t="str">
        <f>'Entry Sheet'!V122</f>
        <v>DEN HC</v>
      </c>
      <c r="AH99" s="13">
        <f>'Entry Sheet'!W122</f>
        <v>8.6</v>
      </c>
      <c r="AI99" s="13" t="str">
        <f>'Entry Sheet'!X122</f>
        <v>DEN HC</v>
      </c>
      <c r="AJ99" s="13">
        <f>'Entry Sheet'!Y122</f>
        <v>0</v>
      </c>
      <c r="AK99" s="13" t="str">
        <f>'Entry Sheet'!Z122</f>
        <v>CHI HC</v>
      </c>
      <c r="AL99" s="13">
        <f>'Entry Sheet'!AA122</f>
        <v>10.2</v>
      </c>
      <c r="AM99" s="13" t="str">
        <f>'Entry Sheet'!AB122</f>
        <v>CHI HC</v>
      </c>
      <c r="AN99" s="13">
        <f>'Entry Sheet'!AC122</f>
        <v>3.3</v>
      </c>
      <c r="AO99" s="13" t="str">
        <f>'Entry Sheet'!AD122</f>
        <v/>
      </c>
      <c r="AP99" s="13" t="str">
        <f>'Entry Sheet'!AE122</f>
        <v/>
      </c>
    </row>
    <row r="100" ht="15.75" customHeight="1">
      <c r="A100" s="586" t="str">
        <f>Settings!$A$3</f>
        <v>DECOUPES</v>
      </c>
      <c r="B100" s="587" t="s">
        <v>100</v>
      </c>
      <c r="C100" s="13" t="str">
        <f>'Entry Sheet'!P5</f>
        <v>D. PRESCOTT</v>
      </c>
      <c r="D100" s="13">
        <f>'Entry Sheet'!Q5</f>
        <v>7.02</v>
      </c>
      <c r="E100" s="846" t="s">
        <v>519</v>
      </c>
      <c r="L100" s="13" t="str">
        <f>'Entry Sheet'!A123</f>
        <v>Total Score</v>
      </c>
      <c r="M100" s="13">
        <f>'Entry Sheet'!B123</f>
        <v>151.79</v>
      </c>
      <c r="N100" s="13" t="str">
        <f>'Entry Sheet'!C123</f>
        <v/>
      </c>
      <c r="O100" s="13">
        <f>'Entry Sheet'!D123</f>
        <v>133.69</v>
      </c>
      <c r="P100" s="13" t="str">
        <f>'Entry Sheet'!E123</f>
        <v/>
      </c>
      <c r="Q100" s="13">
        <f>'Entry Sheet'!F123</f>
        <v>230.16</v>
      </c>
      <c r="R100" s="13" t="str">
        <f>'Entry Sheet'!G123</f>
        <v/>
      </c>
      <c r="S100" s="13">
        <f>'Entry Sheet'!H123</f>
        <v>201.65</v>
      </c>
      <c r="T100" s="13" t="str">
        <f>'Entry Sheet'!I123</f>
        <v/>
      </c>
      <c r="U100" s="13">
        <f>'Entry Sheet'!J123</f>
        <v>143.9</v>
      </c>
      <c r="V100" s="13" t="str">
        <f>'Entry Sheet'!K123</f>
        <v/>
      </c>
      <c r="W100" s="13">
        <f>'Entry Sheet'!L123</f>
        <v>153.82</v>
      </c>
      <c r="X100" s="13" t="str">
        <f>'Entry Sheet'!M123</f>
        <v/>
      </c>
      <c r="Y100" s="13">
        <f>'Entry Sheet'!N123</f>
        <v>139.8</v>
      </c>
      <c r="Z100" s="13" t="str">
        <f>'Entry Sheet'!O123</f>
        <v/>
      </c>
      <c r="AA100" s="13">
        <f>'Entry Sheet'!P123</f>
        <v>171.25</v>
      </c>
      <c r="AB100" s="13" t="str">
        <f>'Entry Sheet'!Q123</f>
        <v/>
      </c>
      <c r="AC100" s="13">
        <f>'Entry Sheet'!R123</f>
        <v>150.66</v>
      </c>
      <c r="AD100" s="13" t="str">
        <f>'Entry Sheet'!S123</f>
        <v/>
      </c>
      <c r="AE100" s="13">
        <f>'Entry Sheet'!T123</f>
        <v>165.52</v>
      </c>
      <c r="AF100" s="13" t="str">
        <f>'Entry Sheet'!U123</f>
        <v/>
      </c>
      <c r="AG100" s="13">
        <f>'Entry Sheet'!V123</f>
        <v>154.98</v>
      </c>
      <c r="AH100" s="13" t="str">
        <f>'Entry Sheet'!W123</f>
        <v/>
      </c>
      <c r="AI100" s="13">
        <f>'Entry Sheet'!X123</f>
        <v>175.06</v>
      </c>
      <c r="AJ100" s="13" t="str">
        <f>'Entry Sheet'!Y123</f>
        <v/>
      </c>
      <c r="AK100" s="13">
        <f>'Entry Sheet'!Z123</f>
        <v>128.36</v>
      </c>
      <c r="AL100" s="13" t="str">
        <f>'Entry Sheet'!AA123</f>
        <v/>
      </c>
      <c r="AM100" s="13">
        <f>'Entry Sheet'!AB123</f>
        <v>173.8</v>
      </c>
      <c r="AN100" s="13" t="str">
        <f>'Entry Sheet'!AC123</f>
        <v/>
      </c>
      <c r="AO100" s="13">
        <f>'Entry Sheet'!AD123</f>
        <v>0</v>
      </c>
      <c r="AP100" s="13" t="str">
        <f>'Entry Sheet'!AE123</f>
        <v/>
      </c>
    </row>
    <row r="101" ht="15.75" customHeight="1">
      <c r="A101" s="586" t="str">
        <f>Settings!$A$3</f>
        <v>DECOUPES</v>
      </c>
      <c r="B101" s="596" t="s">
        <v>106</v>
      </c>
      <c r="C101" s="13" t="str">
        <f>'Entry Sheet'!P6</f>
        <v>R. WHITE</v>
      </c>
      <c r="D101" s="13">
        <f>'Entry Sheet'!Q6</f>
        <v>9.4</v>
      </c>
      <c r="E101" s="846" t="s">
        <v>519</v>
      </c>
      <c r="L101" s="13" t="str">
        <f>'Entry Sheet'!A124</f>
        <v>MVP</v>
      </c>
      <c r="M101" s="13" t="str">
        <f>'Entry Sheet'!B124</f>
        <v>J. HURTS</v>
      </c>
      <c r="N101" s="13">
        <f>'Entry Sheet'!C124</f>
        <v>28.68</v>
      </c>
      <c r="O101" s="13" t="str">
        <f>'Entry Sheet'!D124</f>
        <v>SEA D/ST</v>
      </c>
      <c r="P101" s="13">
        <f>'Entry Sheet'!E124</f>
        <v>30.05</v>
      </c>
      <c r="Q101" s="13" t="str">
        <f>'Entry Sheet'!F124</f>
        <v>J. HURTS</v>
      </c>
      <c r="R101" s="13">
        <f>'Entry Sheet'!G124</f>
        <v>37.94</v>
      </c>
      <c r="S101" s="13" t="str">
        <f>'Entry Sheet'!H124</f>
        <v>O. HAMPTON</v>
      </c>
      <c r="T101" s="13">
        <f>'Entry Sheet'!I124</f>
        <v>29.7</v>
      </c>
      <c r="U101" s="13" t="str">
        <f>'Entry Sheet'!J124</f>
        <v>J. SMITH-NJIGBA</v>
      </c>
      <c r="V101" s="13">
        <f>'Entry Sheet'!K124</f>
        <v>28.2</v>
      </c>
      <c r="W101" s="13" t="str">
        <f>'Entry Sheet'!L124</f>
        <v>J. SMITH-NJIGBA</v>
      </c>
      <c r="X101" s="13">
        <f>'Entry Sheet'!M124</f>
        <v>31.2</v>
      </c>
      <c r="Y101" s="13" t="str">
        <f>'Entry Sheet'!N124</f>
        <v>J. HURTS</v>
      </c>
      <c r="Z101" s="13">
        <f>'Entry Sheet'!O124</f>
        <v>34.44</v>
      </c>
      <c r="AA101" s="13" t="str">
        <f>'Entry Sheet'!P124</f>
        <v>S. BARKLEY</v>
      </c>
      <c r="AB101" s="13">
        <f>'Entry Sheet'!Q124</f>
        <v>35.8</v>
      </c>
      <c r="AC101" s="13" t="str">
        <f>'Entry Sheet'!R124</f>
        <v>J. SMITH-NJIGBA</v>
      </c>
      <c r="AD101" s="13">
        <f>'Entry Sheet'!S124</f>
        <v>23.1</v>
      </c>
      <c r="AE101" s="13" t="str">
        <f>'Entry Sheet'!T124</f>
        <v>SEA D/ST</v>
      </c>
      <c r="AF101" s="13">
        <f>'Entry Sheet'!U124</f>
        <v>30.35</v>
      </c>
      <c r="AG101" s="13" t="str">
        <f>'Entry Sheet'!V124</f>
        <v>N. COLLINS</v>
      </c>
      <c r="AH101" s="13">
        <f>'Entry Sheet'!W124</f>
        <v>24.2</v>
      </c>
      <c r="AI101" s="13" t="str">
        <f>'Entry Sheet'!X124</f>
        <v>J. SMITH-NJIGBA</v>
      </c>
      <c r="AJ101" s="13">
        <f>'Entry Sheet'!Y124</f>
        <v>38.2</v>
      </c>
      <c r="AK101" s="13" t="str">
        <f>'Entry Sheet'!Z124</f>
        <v>R. HARVEY</v>
      </c>
      <c r="AL101" s="13">
        <f>'Entry Sheet'!AA124</f>
        <v>22.5</v>
      </c>
      <c r="AM101" s="13" t="str">
        <f>'Entry Sheet'!AB124</f>
        <v>SEA D/ST</v>
      </c>
      <c r="AN101" s="13">
        <f>'Entry Sheet'!AC124</f>
        <v>32.4</v>
      </c>
      <c r="AO101" s="13" t="str">
        <f>'Entry Sheet'!AD124</f>
        <v>#NUM!</v>
      </c>
      <c r="AP101" s="13" t="str">
        <f>'Entry Sheet'!AE124</f>
        <v>#NUM!</v>
      </c>
    </row>
    <row r="102" ht="15.75" customHeight="1">
      <c r="A102" s="586" t="str">
        <f>Settings!$A$3</f>
        <v>DECOUPES</v>
      </c>
      <c r="B102" s="596" t="s">
        <v>106</v>
      </c>
      <c r="C102" s="13" t="str">
        <f>'Entry Sheet'!P7</f>
        <v>J. WARREN</v>
      </c>
      <c r="D102" s="13">
        <f>'Entry Sheet'!Q7</f>
        <v>10.6</v>
      </c>
      <c r="E102" s="846" t="s">
        <v>519</v>
      </c>
      <c r="L102" s="13" t="str">
        <f>'Entry Sheet'!A127</f>
        <v/>
      </c>
      <c r="M102" s="13" t="str">
        <f>'Entry Sheet'!B127</f>
        <v/>
      </c>
      <c r="N102" s="13" t="str">
        <f>'Entry Sheet'!C127</f>
        <v/>
      </c>
      <c r="O102" s="13" t="str">
        <f>'Entry Sheet'!D127</f>
        <v/>
      </c>
      <c r="P102" s="13" t="str">
        <f>'Entry Sheet'!E127</f>
        <v/>
      </c>
      <c r="Q102" s="13" t="str">
        <f>'Entry Sheet'!F127</f>
        <v/>
      </c>
      <c r="R102" s="13" t="str">
        <f>'Entry Sheet'!G127</f>
        <v/>
      </c>
      <c r="S102" s="13" t="str">
        <f>'Entry Sheet'!H127</f>
        <v/>
      </c>
      <c r="T102" s="13" t="str">
        <f>'Entry Sheet'!I127</f>
        <v/>
      </c>
      <c r="U102" s="13" t="str">
        <f>'Entry Sheet'!J127</f>
        <v/>
      </c>
      <c r="V102" s="13" t="str">
        <f>'Entry Sheet'!K127</f>
        <v/>
      </c>
      <c r="W102" s="13" t="str">
        <f>'Entry Sheet'!L127</f>
        <v/>
      </c>
      <c r="X102" s="13" t="str">
        <f>'Entry Sheet'!M127</f>
        <v/>
      </c>
      <c r="Y102" s="13" t="str">
        <f>'Entry Sheet'!N127</f>
        <v/>
      </c>
      <c r="Z102" s="13" t="str">
        <f>'Entry Sheet'!O127</f>
        <v/>
      </c>
      <c r="AA102" s="13" t="str">
        <f>'Entry Sheet'!P127</f>
        <v/>
      </c>
      <c r="AB102" s="13" t="str">
        <f>'Entry Sheet'!Q127</f>
        <v/>
      </c>
      <c r="AC102" s="13" t="str">
        <f>'Entry Sheet'!R127</f>
        <v/>
      </c>
      <c r="AD102" s="13" t="str">
        <f>'Entry Sheet'!S127</f>
        <v/>
      </c>
      <c r="AE102" s="13" t="str">
        <f>'Entry Sheet'!T127</f>
        <v/>
      </c>
      <c r="AF102" s="13" t="str">
        <f>'Entry Sheet'!U127</f>
        <v/>
      </c>
      <c r="AG102" s="13" t="str">
        <f>'Entry Sheet'!V127</f>
        <v/>
      </c>
      <c r="AH102" s="13" t="str">
        <f>'Entry Sheet'!W127</f>
        <v/>
      </c>
      <c r="AI102" s="13" t="str">
        <f>'Entry Sheet'!X127</f>
        <v/>
      </c>
      <c r="AJ102" s="13" t="str">
        <f>'Entry Sheet'!Y127</f>
        <v/>
      </c>
      <c r="AK102" s="13" t="str">
        <f>'Entry Sheet'!Z127</f>
        <v/>
      </c>
      <c r="AL102" s="13" t="str">
        <f>'Entry Sheet'!AA127</f>
        <v/>
      </c>
      <c r="AM102" s="13" t="str">
        <f>'Entry Sheet'!AB127</f>
        <v/>
      </c>
      <c r="AN102" s="13" t="str">
        <f>'Entry Sheet'!AC127</f>
        <v/>
      </c>
      <c r="AO102" s="13" t="str">
        <f>'Entry Sheet'!AD127</f>
        <v/>
      </c>
      <c r="AP102" s="13" t="str">
        <f>'Entry Sheet'!AE127</f>
        <v/>
      </c>
    </row>
    <row r="103" ht="15.75" customHeight="1">
      <c r="A103" s="586" t="str">
        <f>Settings!$A$3</f>
        <v>DECOUPES</v>
      </c>
      <c r="B103" s="596" t="s">
        <v>106</v>
      </c>
      <c r="C103" s="13" t="str">
        <f>'Entry Sheet'!P8</f>
        <v/>
      </c>
      <c r="D103" s="13" t="str">
        <f>'Entry Sheet'!Q8</f>
        <v/>
      </c>
      <c r="E103" s="846" t="s">
        <v>519</v>
      </c>
      <c r="L103" s="13" t="str">
        <f>'Entry Sheet'!A128</f>
        <v>YARDIES</v>
      </c>
      <c r="M103" s="13" t="str">
        <f>'Entry Sheet'!B128</f>
        <v/>
      </c>
      <c r="N103" s="13" t="str">
        <f>'Entry Sheet'!C128</f>
        <v/>
      </c>
      <c r="O103" s="13" t="str">
        <f>'Entry Sheet'!D128</f>
        <v/>
      </c>
      <c r="P103" s="13" t="str">
        <f>'Entry Sheet'!E128</f>
        <v/>
      </c>
      <c r="Q103" s="13" t="str">
        <f>'Entry Sheet'!F128</f>
        <v/>
      </c>
      <c r="R103" s="13" t="str">
        <f>'Entry Sheet'!G128</f>
        <v/>
      </c>
      <c r="S103" s="13" t="str">
        <f>'Entry Sheet'!H128</f>
        <v/>
      </c>
      <c r="T103" s="13" t="str">
        <f>'Entry Sheet'!I128</f>
        <v/>
      </c>
      <c r="U103" s="13" t="str">
        <f>'Entry Sheet'!J128</f>
        <v/>
      </c>
      <c r="V103" s="13" t="str">
        <f>'Entry Sheet'!K128</f>
        <v/>
      </c>
      <c r="W103" s="13" t="str">
        <f>'Entry Sheet'!L128</f>
        <v/>
      </c>
      <c r="X103" s="13" t="str">
        <f>'Entry Sheet'!M128</f>
        <v/>
      </c>
      <c r="Y103" s="13" t="str">
        <f>'Entry Sheet'!N128</f>
        <v/>
      </c>
      <c r="Z103" s="13" t="str">
        <f>'Entry Sheet'!O128</f>
        <v/>
      </c>
      <c r="AA103" s="13" t="str">
        <f>'Entry Sheet'!P128</f>
        <v/>
      </c>
      <c r="AB103" s="13" t="str">
        <f>'Entry Sheet'!Q128</f>
        <v/>
      </c>
      <c r="AC103" s="13" t="str">
        <f>'Entry Sheet'!R128</f>
        <v/>
      </c>
      <c r="AD103" s="13" t="str">
        <f>'Entry Sheet'!S128</f>
        <v/>
      </c>
      <c r="AE103" s="13" t="str">
        <f>'Entry Sheet'!T128</f>
        <v/>
      </c>
      <c r="AF103" s="13" t="str">
        <f>'Entry Sheet'!U128</f>
        <v/>
      </c>
      <c r="AG103" s="13" t="str">
        <f>'Entry Sheet'!V128</f>
        <v/>
      </c>
      <c r="AH103" s="13" t="str">
        <f>'Entry Sheet'!W128</f>
        <v/>
      </c>
      <c r="AI103" s="13" t="str">
        <f>'Entry Sheet'!X128</f>
        <v/>
      </c>
      <c r="AJ103" s="13" t="str">
        <f>'Entry Sheet'!Y128</f>
        <v/>
      </c>
      <c r="AK103" s="13" t="str">
        <f>'Entry Sheet'!Z128</f>
        <v/>
      </c>
      <c r="AL103" s="13" t="str">
        <f>'Entry Sheet'!AA128</f>
        <v/>
      </c>
      <c r="AM103" s="13" t="str">
        <f>'Entry Sheet'!AB128</f>
        <v/>
      </c>
      <c r="AN103" s="13" t="str">
        <f>'Entry Sheet'!AC128</f>
        <v/>
      </c>
      <c r="AO103" s="13" t="str">
        <f>'Entry Sheet'!AD128</f>
        <v/>
      </c>
      <c r="AP103" s="13" t="str">
        <f>'Entry Sheet'!AE128</f>
        <v/>
      </c>
    </row>
    <row r="104" ht="15.75" customHeight="1">
      <c r="A104" s="586" t="str">
        <f>Settings!$A$3</f>
        <v>DECOUPES</v>
      </c>
      <c r="B104" s="712" t="s">
        <v>117</v>
      </c>
      <c r="C104" s="13" t="str">
        <f>'Entry Sheet'!P9</f>
        <v>C. LAMB</v>
      </c>
      <c r="D104" s="13">
        <f>'Entry Sheet'!Q9</f>
        <v>14.7</v>
      </c>
      <c r="E104" s="846" t="s">
        <v>519</v>
      </c>
      <c r="L104" s="13" t="str">
        <f>'Entry Sheet'!A129</f>
        <v/>
      </c>
      <c r="M104" s="13" t="str">
        <f>'Entry Sheet'!B129</f>
        <v>Week 1</v>
      </c>
      <c r="N104" s="13" t="str">
        <f>'Entry Sheet'!C129</f>
        <v/>
      </c>
      <c r="O104" s="13" t="str">
        <f>'Entry Sheet'!D129</f>
        <v>Week 2</v>
      </c>
      <c r="P104" s="13" t="str">
        <f>'Entry Sheet'!E129</f>
        <v/>
      </c>
      <c r="Q104" s="13" t="str">
        <f>'Entry Sheet'!F129</f>
        <v>Week 3</v>
      </c>
      <c r="R104" s="13" t="str">
        <f>'Entry Sheet'!G129</f>
        <v/>
      </c>
      <c r="S104" s="13" t="str">
        <f>'Entry Sheet'!H129</f>
        <v>Week 4</v>
      </c>
      <c r="T104" s="13" t="str">
        <f>'Entry Sheet'!I129</f>
        <v/>
      </c>
      <c r="U104" s="13" t="str">
        <f>'Entry Sheet'!J129</f>
        <v>Week 5</v>
      </c>
      <c r="V104" s="13" t="str">
        <f>'Entry Sheet'!K129</f>
        <v/>
      </c>
      <c r="W104" s="13" t="str">
        <f>'Entry Sheet'!L129</f>
        <v>Week 6</v>
      </c>
      <c r="X104" s="13" t="str">
        <f>'Entry Sheet'!M129</f>
        <v/>
      </c>
      <c r="Y104" s="13" t="str">
        <f>'Entry Sheet'!N129</f>
        <v>Week 7</v>
      </c>
      <c r="Z104" s="13" t="str">
        <f>'Entry Sheet'!O129</f>
        <v/>
      </c>
      <c r="AA104" s="13" t="str">
        <f>'Entry Sheet'!P129</f>
        <v>Week 8</v>
      </c>
      <c r="AB104" s="13" t="str">
        <f>'Entry Sheet'!Q129</f>
        <v/>
      </c>
      <c r="AC104" s="13" t="str">
        <f>'Entry Sheet'!R129</f>
        <v>Week 9</v>
      </c>
      <c r="AD104" s="13" t="str">
        <f>'Entry Sheet'!S129</f>
        <v/>
      </c>
      <c r="AE104" s="13" t="str">
        <f>'Entry Sheet'!T129</f>
        <v>Week 10</v>
      </c>
      <c r="AF104" s="13" t="str">
        <f>'Entry Sheet'!U129</f>
        <v/>
      </c>
      <c r="AG104" s="13" t="str">
        <f>'Entry Sheet'!V129</f>
        <v>Week 11</v>
      </c>
      <c r="AH104" s="13" t="str">
        <f>'Entry Sheet'!W129</f>
        <v/>
      </c>
      <c r="AI104" s="13" t="str">
        <f>'Entry Sheet'!X129</f>
        <v>Week 12</v>
      </c>
      <c r="AJ104" s="13" t="str">
        <f>'Entry Sheet'!Y129</f>
        <v/>
      </c>
      <c r="AK104" s="13" t="str">
        <f>'Entry Sheet'!Z129</f>
        <v>Week 13</v>
      </c>
      <c r="AL104" s="13" t="str">
        <f>'Entry Sheet'!AA129</f>
        <v/>
      </c>
      <c r="AM104" s="13" t="str">
        <f>'Entry Sheet'!AB129</f>
        <v>Week 14</v>
      </c>
      <c r="AN104" s="13" t="str">
        <f>'Entry Sheet'!AC129</f>
        <v/>
      </c>
      <c r="AO104" s="13" t="str">
        <f>'Entry Sheet'!AD129</f>
        <v>Finale</v>
      </c>
      <c r="AP104" s="13" t="str">
        <f>'Entry Sheet'!AE129</f>
        <v/>
      </c>
    </row>
    <row r="105" ht="15.75" customHeight="1">
      <c r="A105" s="586" t="str">
        <f>Settings!$A$3</f>
        <v>DECOUPES</v>
      </c>
      <c r="B105" s="712" t="s">
        <v>117</v>
      </c>
      <c r="C105" s="13" t="str">
        <f>'Entry Sheet'!P10</f>
        <v>R. RICE</v>
      </c>
      <c r="D105" s="13">
        <f>'Entry Sheet'!Q10</f>
        <v>25.7</v>
      </c>
      <c r="E105" s="846" t="s">
        <v>519</v>
      </c>
      <c r="L105" s="13" t="str">
        <f>'Entry Sheet'!A130</f>
        <v>Team Rank</v>
      </c>
      <c r="M105" s="13">
        <f>'Entry Sheet'!B130</f>
        <v>9</v>
      </c>
      <c r="N105" s="13" t="str">
        <f>'Entry Sheet'!C130</f>
        <v/>
      </c>
      <c r="O105" s="13">
        <f>'Entry Sheet'!D130</f>
        <v>5</v>
      </c>
      <c r="P105" s="13" t="str">
        <f>'Entry Sheet'!E130</f>
        <v/>
      </c>
      <c r="Q105" s="13">
        <f>'Entry Sheet'!F130</f>
        <v>3</v>
      </c>
      <c r="R105" s="13" t="str">
        <f>'Entry Sheet'!G130</f>
        <v/>
      </c>
      <c r="S105" s="13">
        <f>'Entry Sheet'!H130</f>
        <v>4</v>
      </c>
      <c r="T105" s="13" t="str">
        <f>'Entry Sheet'!I130</f>
        <v/>
      </c>
      <c r="U105" s="13">
        <f>'Entry Sheet'!J130</f>
        <v>3</v>
      </c>
      <c r="V105" s="13" t="str">
        <f>'Entry Sheet'!K130</f>
        <v/>
      </c>
      <c r="W105" s="13">
        <f>'Entry Sheet'!L130</f>
        <v>3</v>
      </c>
      <c r="X105" s="13" t="str">
        <f>'Entry Sheet'!M130</f>
        <v/>
      </c>
      <c r="Y105" s="13">
        <f>'Entry Sheet'!N130</f>
        <v>3</v>
      </c>
      <c r="Z105" s="13" t="str">
        <f>'Entry Sheet'!O130</f>
        <v/>
      </c>
      <c r="AA105" s="13">
        <f>'Entry Sheet'!P130</f>
        <v>5</v>
      </c>
      <c r="AB105" s="13" t="str">
        <f>'Entry Sheet'!Q130</f>
        <v/>
      </c>
      <c r="AC105" s="13">
        <f>'Entry Sheet'!R130</f>
        <v>3</v>
      </c>
      <c r="AD105" s="13" t="str">
        <f>'Entry Sheet'!S130</f>
        <v/>
      </c>
      <c r="AE105" s="13">
        <f>'Entry Sheet'!T130</f>
        <v>2</v>
      </c>
      <c r="AF105" s="13" t="str">
        <f>'Entry Sheet'!U130</f>
        <v/>
      </c>
      <c r="AG105" s="13">
        <f>'Entry Sheet'!V130</f>
        <v>3</v>
      </c>
      <c r="AH105" s="13" t="str">
        <f>'Entry Sheet'!W130</f>
        <v/>
      </c>
      <c r="AI105" s="13">
        <f>'Entry Sheet'!X130</f>
        <v>2</v>
      </c>
      <c r="AJ105" s="13" t="str">
        <f>'Entry Sheet'!Y130</f>
        <v/>
      </c>
      <c r="AK105" s="13">
        <f>'Entry Sheet'!Z130</f>
        <v>2</v>
      </c>
      <c r="AL105" s="13" t="str">
        <f>'Entry Sheet'!AA130</f>
        <v/>
      </c>
      <c r="AM105" s="13">
        <f>'Entry Sheet'!AB130</f>
        <v>2</v>
      </c>
      <c r="AN105" s="13" t="str">
        <f>'Entry Sheet'!AC130</f>
        <v/>
      </c>
      <c r="AO105" s="13" t="str">
        <f>'Entry Sheet'!AD130</f>
        <v/>
      </c>
      <c r="AP105" s="13" t="str">
        <f>'Entry Sheet'!AE130</f>
        <v/>
      </c>
    </row>
    <row r="106" ht="15.75" customHeight="1">
      <c r="A106" s="586" t="str">
        <f>Settings!$A$3</f>
        <v>DECOUPES</v>
      </c>
      <c r="B106" s="712" t="s">
        <v>117</v>
      </c>
      <c r="C106" s="13" t="str">
        <f>'Entry Sheet'!P11</f>
        <v>D. MOONEY</v>
      </c>
      <c r="D106" s="13">
        <f>'Entry Sheet'!Q11</f>
        <v>2.1</v>
      </c>
      <c r="E106" s="846" t="s">
        <v>519</v>
      </c>
      <c r="L106" s="13" t="str">
        <f>'Entry Sheet'!A131</f>
        <v>QB</v>
      </c>
      <c r="M106" s="13" t="str">
        <f>'Entry Sheet'!B131</f>
        <v>J. BURROW</v>
      </c>
      <c r="N106" s="13">
        <f>'Entry Sheet'!C131</f>
        <v>12.02</v>
      </c>
      <c r="O106" s="13" t="str">
        <f>'Entry Sheet'!D131</f>
        <v>J. BURROW</v>
      </c>
      <c r="P106" s="13">
        <f>'Entry Sheet'!E131</f>
        <v>9.24</v>
      </c>
      <c r="Q106" s="13" t="str">
        <f>'Entry Sheet'!F131</f>
        <v>J. LOVE</v>
      </c>
      <c r="R106" s="13">
        <f>'Entry Sheet'!G131</f>
        <v>14.92</v>
      </c>
      <c r="S106" s="13" t="str">
        <f>'Entry Sheet'!H131</f>
        <v>J. LOVE</v>
      </c>
      <c r="T106" s="13">
        <f>'Entry Sheet'!I131</f>
        <v>37.38</v>
      </c>
      <c r="U106" s="13" t="str">
        <f>'Entry Sheet'!J131</f>
        <v>C. STROUD</v>
      </c>
      <c r="V106" s="13">
        <f>'Entry Sheet'!K131</f>
        <v>40.66</v>
      </c>
      <c r="W106" s="13" t="str">
        <f>'Entry Sheet'!L131</f>
        <v>J. LOVE</v>
      </c>
      <c r="X106" s="13">
        <f>'Entry Sheet'!M131</f>
        <v>19.26</v>
      </c>
      <c r="Y106" s="13" t="str">
        <f>'Entry Sheet'!N131</f>
        <v>C. STROUD</v>
      </c>
      <c r="Z106" s="13">
        <f>'Entry Sheet'!O131</f>
        <v>14.46</v>
      </c>
      <c r="AA106" s="13" t="str">
        <f>'Entry Sheet'!P131</f>
        <v>J. LOVE</v>
      </c>
      <c r="AB106" s="13">
        <f>'Entry Sheet'!Q131</f>
        <v>39.6</v>
      </c>
      <c r="AC106" s="13" t="str">
        <f>'Entry Sheet'!R131</f>
        <v>J. LOVE</v>
      </c>
      <c r="AD106" s="13">
        <f>'Entry Sheet'!S131</f>
        <v>11.32</v>
      </c>
      <c r="AE106" s="13" t="str">
        <f>'Entry Sheet'!T131</f>
        <v>C. WILLIAMS</v>
      </c>
      <c r="AF106" s="13">
        <f>'Entry Sheet'!U131</f>
        <v>28.7</v>
      </c>
      <c r="AG106" s="13" t="str">
        <f>'Entry Sheet'!V131</f>
        <v>C. WILLIAMS</v>
      </c>
      <c r="AH106" s="13">
        <f>'Entry Sheet'!W131</f>
        <v>10.72</v>
      </c>
      <c r="AI106" s="13" t="str">
        <f>'Entry Sheet'!X131</f>
        <v>B. PURDY</v>
      </c>
      <c r="AJ106" s="13">
        <f>'Entry Sheet'!Y131</f>
        <v>10.32</v>
      </c>
      <c r="AK106" s="13" t="str">
        <f>'Entry Sheet'!Z131</f>
        <v>J. BURROW</v>
      </c>
      <c r="AL106" s="13">
        <f>'Entry Sheet'!AA131</f>
        <v>23.94</v>
      </c>
      <c r="AM106" s="13" t="str">
        <f>'Entry Sheet'!AB131</f>
        <v>J. BURROW</v>
      </c>
      <c r="AN106" s="13">
        <f>'Entry Sheet'!AC131</f>
        <v>32.56</v>
      </c>
      <c r="AO106" s="13" t="str">
        <f>'Entry Sheet'!AD131</f>
        <v/>
      </c>
      <c r="AP106" s="13" t="str">
        <f>'Entry Sheet'!AE131</f>
        <v/>
      </c>
    </row>
    <row r="107" ht="15.75" customHeight="1">
      <c r="A107" s="586" t="str">
        <f>Settings!$A$3</f>
        <v>DECOUPES</v>
      </c>
      <c r="B107" s="712" t="s">
        <v>117</v>
      </c>
      <c r="C107" s="13" t="str">
        <f>'Entry Sheet'!P12</f>
        <v/>
      </c>
      <c r="D107" s="13" t="str">
        <f>'Entry Sheet'!Q12</f>
        <v/>
      </c>
      <c r="E107" s="846" t="s">
        <v>519</v>
      </c>
      <c r="L107" s="13" t="str">
        <f>'Entry Sheet'!A132</f>
        <v>RB</v>
      </c>
      <c r="M107" s="13" t="str">
        <f>'Entry Sheet'!B132</f>
        <v>D. HENRY</v>
      </c>
      <c r="N107" s="13">
        <f>'Entry Sheet'!C132</f>
        <v>32</v>
      </c>
      <c r="O107" s="13" t="str">
        <f>'Entry Sheet'!D132</f>
        <v>D. HENRY</v>
      </c>
      <c r="P107" s="13">
        <f>'Entry Sheet'!E132</f>
        <v>3.4</v>
      </c>
      <c r="Q107" s="13" t="str">
        <f>'Entry Sheet'!F132</f>
        <v>D. HENRY</v>
      </c>
      <c r="R107" s="13">
        <f>'Entry Sheet'!G132</f>
        <v>11.7</v>
      </c>
      <c r="S107" s="13" t="str">
        <f>'Entry Sheet'!H132</f>
        <v>D. HENRY</v>
      </c>
      <c r="T107" s="13">
        <f>'Entry Sheet'!I132</f>
        <v>8.6</v>
      </c>
      <c r="U107" s="13" t="str">
        <f>'Entry Sheet'!J132</f>
        <v>D. HENRY</v>
      </c>
      <c r="V107" s="13">
        <f>'Entry Sheet'!K132</f>
        <v>10.8</v>
      </c>
      <c r="W107" s="13" t="str">
        <f>'Entry Sheet'!L132</f>
        <v>D. HENRY</v>
      </c>
      <c r="X107" s="13">
        <f>'Entry Sheet'!M132</f>
        <v>17.4</v>
      </c>
      <c r="Y107" s="13" t="str">
        <f>'Entry Sheet'!N132</f>
        <v>Q. JUDKINS</v>
      </c>
      <c r="Z107" s="13">
        <f>'Entry Sheet'!O132</f>
        <v>28.9</v>
      </c>
      <c r="AA107" s="13" t="str">
        <f>'Entry Sheet'!P132</f>
        <v>D. HENRY</v>
      </c>
      <c r="AB107" s="13">
        <f>'Entry Sheet'!Q132</f>
        <v>21.2</v>
      </c>
      <c r="AC107" s="13" t="str">
        <f>'Entry Sheet'!R132</f>
        <v>D. HENRY</v>
      </c>
      <c r="AD107" s="13">
        <f>'Entry Sheet'!S132</f>
        <v>16</v>
      </c>
      <c r="AE107" s="13" t="str">
        <f>'Entry Sheet'!T132</f>
        <v>D. HENRY</v>
      </c>
      <c r="AF107" s="13">
        <f>'Entry Sheet'!U132</f>
        <v>13.4</v>
      </c>
      <c r="AG107" s="13" t="str">
        <f>'Entry Sheet'!V132</f>
        <v>D. HENRY</v>
      </c>
      <c r="AH107" s="13">
        <f>'Entry Sheet'!W132</f>
        <v>23</v>
      </c>
      <c r="AI107" s="13" t="str">
        <f>'Entry Sheet'!X132</f>
        <v>D. HENRY</v>
      </c>
      <c r="AJ107" s="13">
        <f>'Entry Sheet'!Y132</f>
        <v>24.9</v>
      </c>
      <c r="AK107" s="13" t="str">
        <f>'Entry Sheet'!Z132</f>
        <v>D. HENRY</v>
      </c>
      <c r="AL107" s="13">
        <f>'Entry Sheet'!AA132</f>
        <v>18.4</v>
      </c>
      <c r="AM107" s="13" t="str">
        <f>'Entry Sheet'!AB132</f>
        <v>D. HENRY</v>
      </c>
      <c r="AN107" s="13">
        <f>'Entry Sheet'!AC132</f>
        <v>13.7</v>
      </c>
      <c r="AO107" s="13" t="str">
        <f>'Entry Sheet'!AD132</f>
        <v/>
      </c>
      <c r="AP107" s="13" t="str">
        <f>'Entry Sheet'!AE132</f>
        <v/>
      </c>
    </row>
    <row r="108" ht="15.75" customHeight="1">
      <c r="A108" s="586" t="str">
        <f>Settings!$A$3</f>
        <v>DECOUPES</v>
      </c>
      <c r="B108" s="764" t="s">
        <v>132</v>
      </c>
      <c r="C108" s="13" t="str">
        <f>'Entry Sheet'!P13</f>
        <v>T. KRAFT</v>
      </c>
      <c r="D108" s="13">
        <f>'Entry Sheet'!Q13</f>
        <v>34.3</v>
      </c>
      <c r="E108" s="846" t="s">
        <v>519</v>
      </c>
      <c r="L108" s="13" t="str">
        <f>'Entry Sheet'!A133</f>
        <v>RB</v>
      </c>
      <c r="M108" s="13" t="str">
        <f>'Entry Sheet'!B133</f>
        <v>J. FORD</v>
      </c>
      <c r="N108" s="13">
        <f>'Entry Sheet'!C133</f>
        <v>2.1</v>
      </c>
      <c r="O108" s="13" t="str">
        <f>'Entry Sheet'!D133</f>
        <v>D. SAMPSON</v>
      </c>
      <c r="P108" s="13">
        <f>'Entry Sheet'!E133</f>
        <v>11.3</v>
      </c>
      <c r="Q108" s="13" t="str">
        <f>'Entry Sheet'!F133</f>
        <v>K. GAINWELL</v>
      </c>
      <c r="R108" s="13">
        <f>'Entry Sheet'!G133</f>
        <v>11.35</v>
      </c>
      <c r="S108" s="13" t="str">
        <f>'Entry Sheet'!H133</f>
        <v>Q. JUDKINS</v>
      </c>
      <c r="T108" s="13">
        <f>'Entry Sheet'!I133</f>
        <v>23.6</v>
      </c>
      <c r="U108" s="13" t="str">
        <f>'Entry Sheet'!J133</f>
        <v>Q. JUDKINS</v>
      </c>
      <c r="V108" s="13">
        <f>'Entry Sheet'!K133</f>
        <v>17.1</v>
      </c>
      <c r="W108" s="13" t="str">
        <f>'Entry Sheet'!L133</f>
        <v>Q. JUDKINS</v>
      </c>
      <c r="X108" s="13">
        <f>'Entry Sheet'!M133</f>
        <v>4.8</v>
      </c>
      <c r="Y108" s="13" t="str">
        <f>'Entry Sheet'!N133</f>
        <v>R. DOWDLE</v>
      </c>
      <c r="Z108" s="13">
        <f>'Entry Sheet'!O133</f>
        <v>12.3</v>
      </c>
      <c r="AA108" s="13" t="str">
        <f>'Entry Sheet'!P133</f>
        <v>R. DOWDLE</v>
      </c>
      <c r="AB108" s="13">
        <f>'Entry Sheet'!Q133</f>
        <v>7.65</v>
      </c>
      <c r="AC108" s="13" t="str">
        <f>'Entry Sheet'!R133</f>
        <v>R. DOWDLE</v>
      </c>
      <c r="AD108" s="13">
        <f>'Entry Sheet'!S133</f>
        <v>31.6</v>
      </c>
      <c r="AE108" s="13" t="str">
        <f>'Entry Sheet'!T133</f>
        <v>R. DOWDLE</v>
      </c>
      <c r="AF108" s="13">
        <f>'Entry Sheet'!U133</f>
        <v>17.1</v>
      </c>
      <c r="AG108" s="13" t="str">
        <f>'Entry Sheet'!V133</f>
        <v>R. DOWDLE</v>
      </c>
      <c r="AH108" s="13">
        <f>'Entry Sheet'!W133</f>
        <v>16.9</v>
      </c>
      <c r="AI108" s="13" t="str">
        <f>'Entry Sheet'!X133</f>
        <v>R. DOWDLE</v>
      </c>
      <c r="AJ108" s="13">
        <f>'Entry Sheet'!Y133</f>
        <v>12</v>
      </c>
      <c r="AK108" s="13" t="str">
        <f>'Entry Sheet'!Z133</f>
        <v>R. DOWDLE</v>
      </c>
      <c r="AL108" s="13">
        <f>'Entry Sheet'!AA133</f>
        <v>11.7</v>
      </c>
      <c r="AM108" s="13" t="str">
        <f>'Entry Sheet'!AB133</f>
        <v>Q. JUDKINS</v>
      </c>
      <c r="AN108" s="13">
        <f>'Entry Sheet'!AC133</f>
        <v>10.8</v>
      </c>
      <c r="AO108" s="13" t="str">
        <f>'Entry Sheet'!AD133</f>
        <v/>
      </c>
      <c r="AP108" s="13" t="str">
        <f>'Entry Sheet'!AE133</f>
        <v/>
      </c>
    </row>
    <row r="109" ht="15.75" customHeight="1">
      <c r="A109" s="586" t="str">
        <f>Settings!$A$3</f>
        <v>DECOUPES</v>
      </c>
      <c r="B109" s="795" t="s">
        <v>136</v>
      </c>
      <c r="C109" s="13" t="str">
        <f>'Entry Sheet'!P14</f>
        <v>A. KAMARA</v>
      </c>
      <c r="D109" s="13">
        <f>'Entry Sheet'!Q14</f>
        <v>7.1</v>
      </c>
      <c r="E109" s="846" t="s">
        <v>519</v>
      </c>
      <c r="L109" s="13" t="str">
        <f>'Entry Sheet'!A134</f>
        <v>RB</v>
      </c>
      <c r="M109" s="13" t="str">
        <f>'Entry Sheet'!B134</f>
        <v/>
      </c>
      <c r="N109" s="13" t="str">
        <f>'Entry Sheet'!C134</f>
        <v/>
      </c>
      <c r="O109" s="13" t="str">
        <f>'Entry Sheet'!D134</f>
        <v/>
      </c>
      <c r="P109" s="13" t="str">
        <f>'Entry Sheet'!E134</f>
        <v/>
      </c>
      <c r="Q109" s="13" t="str">
        <f>'Entry Sheet'!F134</f>
        <v/>
      </c>
      <c r="R109" s="13" t="str">
        <f>'Entry Sheet'!G134</f>
        <v/>
      </c>
      <c r="S109" s="13" t="str">
        <f>'Entry Sheet'!H134</f>
        <v/>
      </c>
      <c r="T109" s="13" t="str">
        <f>'Entry Sheet'!I134</f>
        <v/>
      </c>
      <c r="U109" s="13" t="str">
        <f>'Entry Sheet'!J134</f>
        <v/>
      </c>
      <c r="V109" s="13" t="str">
        <f>'Entry Sheet'!K134</f>
        <v/>
      </c>
      <c r="W109" s="13" t="str">
        <f>'Entry Sheet'!L134</f>
        <v/>
      </c>
      <c r="X109" s="13" t="str">
        <f>'Entry Sheet'!M134</f>
        <v/>
      </c>
      <c r="Y109" s="13" t="str">
        <f>'Entry Sheet'!N134</f>
        <v/>
      </c>
      <c r="Z109" s="13" t="str">
        <f>'Entry Sheet'!O134</f>
        <v/>
      </c>
      <c r="AA109" s="13" t="str">
        <f>'Entry Sheet'!P134</f>
        <v/>
      </c>
      <c r="AB109" s="13" t="str">
        <f>'Entry Sheet'!Q134</f>
        <v/>
      </c>
      <c r="AC109" s="13" t="str">
        <f>'Entry Sheet'!R134</f>
        <v/>
      </c>
      <c r="AD109" s="13" t="str">
        <f>'Entry Sheet'!S134</f>
        <v/>
      </c>
      <c r="AE109" s="13" t="str">
        <f>'Entry Sheet'!T134</f>
        <v/>
      </c>
      <c r="AF109" s="13" t="str">
        <f>'Entry Sheet'!U134</f>
        <v/>
      </c>
      <c r="AG109" s="13" t="str">
        <f>'Entry Sheet'!V134</f>
        <v/>
      </c>
      <c r="AH109" s="13" t="str">
        <f>'Entry Sheet'!W134</f>
        <v/>
      </c>
      <c r="AI109" s="13" t="str">
        <f>'Entry Sheet'!X134</f>
        <v/>
      </c>
      <c r="AJ109" s="13" t="str">
        <f>'Entry Sheet'!Y134</f>
        <v/>
      </c>
      <c r="AK109" s="13" t="str">
        <f>'Entry Sheet'!Z134</f>
        <v/>
      </c>
      <c r="AL109" s="13" t="str">
        <f>'Entry Sheet'!AA134</f>
        <v/>
      </c>
      <c r="AM109" s="13" t="str">
        <f>'Entry Sheet'!AB134</f>
        <v/>
      </c>
      <c r="AN109" s="13" t="str">
        <f>'Entry Sheet'!AC134</f>
        <v/>
      </c>
      <c r="AO109" s="13" t="str">
        <f>'Entry Sheet'!AD134</f>
        <v/>
      </c>
      <c r="AP109" s="13" t="str">
        <f>'Entry Sheet'!AE134</f>
        <v/>
      </c>
    </row>
    <row r="110" ht="15.75" customHeight="1">
      <c r="A110" s="586" t="str">
        <f>Settings!$A$3</f>
        <v>DECOUPES</v>
      </c>
      <c r="B110" s="818" t="s">
        <v>139</v>
      </c>
      <c r="C110" s="13" t="str">
        <f>'Entry Sheet'!P15</f>
        <v>KC D/ST</v>
      </c>
      <c r="D110" s="13">
        <f>'Entry Sheet'!Q15</f>
        <v>20.34</v>
      </c>
      <c r="E110" s="846" t="s">
        <v>519</v>
      </c>
      <c r="L110" s="13" t="str">
        <f>'Entry Sheet'!A135</f>
        <v>WR</v>
      </c>
      <c r="M110" s="13" t="str">
        <f>'Entry Sheet'!B135</f>
        <v>J. WILLIAMS</v>
      </c>
      <c r="N110" s="13">
        <f>'Entry Sheet'!C135</f>
        <v>6.7</v>
      </c>
      <c r="O110" s="13" t="str">
        <f>'Entry Sheet'!D135</f>
        <v>J. WILLIAMS</v>
      </c>
      <c r="P110" s="13">
        <f>'Entry Sheet'!E135</f>
        <v>19.8</v>
      </c>
      <c r="Q110" s="13" t="str">
        <f>'Entry Sheet'!F135</f>
        <v>J. WILLIAMS</v>
      </c>
      <c r="R110" s="13">
        <f>'Entry Sheet'!G135</f>
        <v>6.3</v>
      </c>
      <c r="S110" s="13" t="str">
        <f>'Entry Sheet'!H135</f>
        <v>J. WILLIAMS</v>
      </c>
      <c r="T110" s="13">
        <f>'Entry Sheet'!I135</f>
        <v>5.8</v>
      </c>
      <c r="U110" s="13" t="str">
        <f>'Entry Sheet'!J135</f>
        <v>J. WILLIAMS</v>
      </c>
      <c r="V110" s="13">
        <f>'Entry Sheet'!K135</f>
        <v>2.1</v>
      </c>
      <c r="W110" s="13" t="str">
        <f>'Entry Sheet'!L135</f>
        <v>Z. FLOWERS</v>
      </c>
      <c r="X110" s="13">
        <f>'Entry Sheet'!M135</f>
        <v>8.6</v>
      </c>
      <c r="Y110" s="13" t="str">
        <f>'Entry Sheet'!N135</f>
        <v>J. WILLIAMS</v>
      </c>
      <c r="Z110" s="13">
        <f>'Entry Sheet'!O135</f>
        <v>0</v>
      </c>
      <c r="AA110" s="13" t="str">
        <f>'Entry Sheet'!P135</f>
        <v>Z. FLOWERS</v>
      </c>
      <c r="AB110" s="13">
        <f>'Entry Sheet'!Q135</f>
        <v>14.2</v>
      </c>
      <c r="AC110" s="13" t="str">
        <f>'Entry Sheet'!R135</f>
        <v>Z. FLOWERS</v>
      </c>
      <c r="AD110" s="13">
        <f>'Entry Sheet'!S135</f>
        <v>11.4</v>
      </c>
      <c r="AE110" s="13" t="str">
        <f>'Entry Sheet'!T135</f>
        <v>Z. FLOWERS</v>
      </c>
      <c r="AF110" s="13">
        <f>'Entry Sheet'!U135</f>
        <v>12.2</v>
      </c>
      <c r="AG110" s="13" t="str">
        <f>'Entry Sheet'!V135</f>
        <v>Z. FLOWERS</v>
      </c>
      <c r="AH110" s="13">
        <f>'Entry Sheet'!W135</f>
        <v>11.4</v>
      </c>
      <c r="AI110" s="13" t="str">
        <f>'Entry Sheet'!X135</f>
        <v>Z. FLOWERS</v>
      </c>
      <c r="AJ110" s="13">
        <f>'Entry Sheet'!Y135</f>
        <v>12.1</v>
      </c>
      <c r="AK110" s="13" t="str">
        <f>'Entry Sheet'!Z135</f>
        <v>Z. FLOWERS</v>
      </c>
      <c r="AL110" s="13">
        <f>'Entry Sheet'!AA135</f>
        <v>0.6</v>
      </c>
      <c r="AM110" s="13" t="str">
        <f>'Entry Sheet'!AB135</f>
        <v>Z. FLOWERS</v>
      </c>
      <c r="AN110" s="13">
        <f>'Entry Sheet'!AC135</f>
        <v>21.7</v>
      </c>
      <c r="AO110" s="13" t="str">
        <f>'Entry Sheet'!AD135</f>
        <v/>
      </c>
      <c r="AP110" s="13" t="str">
        <f>'Entry Sheet'!AE135</f>
        <v/>
      </c>
    </row>
    <row r="111" ht="15.75" customHeight="1">
      <c r="A111" s="586" t="str">
        <f>Settings!$A$3</f>
        <v>DECOUPES</v>
      </c>
      <c r="B111" s="833" t="s">
        <v>146</v>
      </c>
      <c r="C111" s="13" t="str">
        <f>'Entry Sheet'!P16</f>
        <v>K. FAIRBAIRN</v>
      </c>
      <c r="D111" s="13">
        <f>'Entry Sheet'!Q16</f>
        <v>14</v>
      </c>
      <c r="E111" s="846" t="s">
        <v>519</v>
      </c>
      <c r="L111" s="13" t="str">
        <f>'Entry Sheet'!A136</f>
        <v>WR</v>
      </c>
      <c r="M111" s="13" t="str">
        <f>'Entry Sheet'!B136</f>
        <v>Z. FLOWERS</v>
      </c>
      <c r="N111" s="13">
        <f>'Entry Sheet'!C136</f>
        <v>29.3</v>
      </c>
      <c r="O111" s="13" t="str">
        <f>'Entry Sheet'!D136</f>
        <v>R. ODUNZE</v>
      </c>
      <c r="P111" s="13">
        <f>'Entry Sheet'!E136</f>
        <v>32.8</v>
      </c>
      <c r="Q111" s="13" t="str">
        <f>'Entry Sheet'!F136</f>
        <v>R. ODUNZE</v>
      </c>
      <c r="R111" s="13">
        <f>'Entry Sheet'!G136</f>
        <v>15.2</v>
      </c>
      <c r="S111" s="13" t="str">
        <f>'Entry Sheet'!H136</f>
        <v>Z. FLOWERS</v>
      </c>
      <c r="T111" s="13">
        <f>'Entry Sheet'!I136</f>
        <v>14.4</v>
      </c>
      <c r="U111" s="13" t="str">
        <f>'Entry Sheet'!J136</f>
        <v>Z. FLOWERS</v>
      </c>
      <c r="V111" s="13">
        <f>'Entry Sheet'!K136</f>
        <v>12.2</v>
      </c>
      <c r="W111" s="13" t="str">
        <f>'Entry Sheet'!L136</f>
        <v>R. ODUNZE</v>
      </c>
      <c r="X111" s="13">
        <f>'Entry Sheet'!M136</f>
        <v>5.2</v>
      </c>
      <c r="Y111" s="13" t="str">
        <f>'Entry Sheet'!N136</f>
        <v>R. ODUNZE</v>
      </c>
      <c r="Z111" s="13">
        <f>'Entry Sheet'!O136</f>
        <v>5.1</v>
      </c>
      <c r="AA111" s="13" t="str">
        <f>'Entry Sheet'!P136</f>
        <v>R. ODUNZE</v>
      </c>
      <c r="AB111" s="13">
        <f>'Entry Sheet'!Q136</f>
        <v>19.4</v>
      </c>
      <c r="AC111" s="13" t="str">
        <f>'Entry Sheet'!R136</f>
        <v>R. ODUNZE</v>
      </c>
      <c r="AD111" s="13">
        <f>'Entry Sheet'!S136</f>
        <v>0</v>
      </c>
      <c r="AE111" s="13" t="str">
        <f>'Entry Sheet'!T136</f>
        <v>R. ODUNZE</v>
      </c>
      <c r="AF111" s="13">
        <f>'Entry Sheet'!U136</f>
        <v>20.6</v>
      </c>
      <c r="AG111" s="13" t="str">
        <f>'Entry Sheet'!V136</f>
        <v>R. ODUNZE</v>
      </c>
      <c r="AH111" s="13">
        <f>'Entry Sheet'!W136</f>
        <v>6.1</v>
      </c>
      <c r="AI111" s="13" t="str">
        <f>'Entry Sheet'!X136</f>
        <v>S. DIGGS</v>
      </c>
      <c r="AJ111" s="13">
        <f>'Entry Sheet'!Y136</f>
        <v>4</v>
      </c>
      <c r="AK111" s="13" t="str">
        <f>'Entry Sheet'!Z136</f>
        <v>S. DIGGS</v>
      </c>
      <c r="AL111" s="13">
        <f>'Entry Sheet'!AA136</f>
        <v>5.6</v>
      </c>
      <c r="AM111" s="13" t="str">
        <f>'Entry Sheet'!AB136</f>
        <v>C. DIKE</v>
      </c>
      <c r="AN111" s="13">
        <f>'Entry Sheet'!AC136</f>
        <v>15.35</v>
      </c>
      <c r="AO111" s="13" t="str">
        <f>'Entry Sheet'!AD136</f>
        <v/>
      </c>
      <c r="AP111" s="13" t="str">
        <f>'Entry Sheet'!AE136</f>
        <v/>
      </c>
    </row>
    <row r="112" ht="15.75" customHeight="1">
      <c r="A112" s="586" t="str">
        <f>Settings!$A$3</f>
        <v>DECOUPES</v>
      </c>
      <c r="B112" s="842" t="s">
        <v>162</v>
      </c>
      <c r="C112" s="13" t="str">
        <f>'Entry Sheet'!P17</f>
        <v>NE HC</v>
      </c>
      <c r="D112" s="13">
        <f>'Entry Sheet'!Q17</f>
        <v>15.6</v>
      </c>
      <c r="E112" s="846" t="s">
        <v>519</v>
      </c>
      <c r="L112" s="13" t="str">
        <f>'Entry Sheet'!A137</f>
        <v>WR</v>
      </c>
      <c r="M112" s="13" t="str">
        <f>'Entry Sheet'!B137</f>
        <v>R. ODUNZE</v>
      </c>
      <c r="N112" s="13">
        <f>'Entry Sheet'!C137</f>
        <v>15.7</v>
      </c>
      <c r="O112" s="13" t="str">
        <f>'Entry Sheet'!D137</f>
        <v>M. MIMS JR</v>
      </c>
      <c r="P112" s="13">
        <f>'Entry Sheet'!E137</f>
        <v>13</v>
      </c>
      <c r="Q112" s="13" t="str">
        <f>'Entry Sheet'!F137</f>
        <v>C. RIDLEY</v>
      </c>
      <c r="R112" s="13">
        <f>'Entry Sheet'!G137</f>
        <v>3.7</v>
      </c>
      <c r="S112" s="13" t="str">
        <f>'Entry Sheet'!H137</f>
        <v>C. RIDLEY</v>
      </c>
      <c r="T112" s="13">
        <f>'Entry Sheet'!I137</f>
        <v>5</v>
      </c>
      <c r="U112" s="13" t="str">
        <f>'Entry Sheet'!J137</f>
        <v>S. DIGGS</v>
      </c>
      <c r="V112" s="13">
        <f>'Entry Sheet'!K137</f>
        <v>25.6</v>
      </c>
      <c r="W112" s="13" t="str">
        <f>'Entry Sheet'!L137</f>
        <v>S. DIGGS</v>
      </c>
      <c r="X112" s="13">
        <f>'Entry Sheet'!M137</f>
        <v>5.8</v>
      </c>
      <c r="Y112" s="13" t="str">
        <f>'Entry Sheet'!N137</f>
        <v>S. DIGGS</v>
      </c>
      <c r="Z112" s="13">
        <f>'Entry Sheet'!O137</f>
        <v>13.9</v>
      </c>
      <c r="AA112" s="13" t="str">
        <f>'Entry Sheet'!P137</f>
        <v>C. DIKE</v>
      </c>
      <c r="AB112" s="13">
        <f>'Entry Sheet'!Q137</f>
        <v>25.25</v>
      </c>
      <c r="AC112" s="13" t="str">
        <f>'Entry Sheet'!R137</f>
        <v>C. DIKE</v>
      </c>
      <c r="AD112" s="13">
        <f>'Entry Sheet'!S137</f>
        <v>18.25</v>
      </c>
      <c r="AE112" s="13" t="str">
        <f>'Entry Sheet'!T137</f>
        <v>S. DIGGS</v>
      </c>
      <c r="AF112" s="13">
        <f>'Entry Sheet'!U137</f>
        <v>15.6</v>
      </c>
      <c r="AG112" s="13" t="str">
        <f>'Entry Sheet'!V137</f>
        <v>S. DIGGS</v>
      </c>
      <c r="AH112" s="13">
        <f>'Entry Sheet'!W137</f>
        <v>20.5</v>
      </c>
      <c r="AI112" s="13" t="str">
        <f>'Entry Sheet'!X137</f>
        <v>C. DIKE</v>
      </c>
      <c r="AJ112" s="13">
        <f>'Entry Sheet'!Y137</f>
        <v>30.8</v>
      </c>
      <c r="AK112" s="13" t="str">
        <f>'Entry Sheet'!Z137</f>
        <v>C. DIKE</v>
      </c>
      <c r="AL112" s="13">
        <f>'Entry Sheet'!AA137</f>
        <v>7.6</v>
      </c>
      <c r="AM112" s="13" t="str">
        <f>'Entry Sheet'!AB137</f>
        <v>T. MCLAURIN</v>
      </c>
      <c r="AN112" s="13">
        <f>'Entry Sheet'!AC137</f>
        <v>7.1</v>
      </c>
      <c r="AO112" s="13" t="str">
        <f>'Entry Sheet'!AD137</f>
        <v/>
      </c>
      <c r="AP112" s="13" t="str">
        <f>'Entry Sheet'!AE137</f>
        <v/>
      </c>
    </row>
    <row r="113" ht="15.75" customHeight="1">
      <c r="A113" s="586" t="str">
        <f>Settings!$A$3</f>
        <v>DECOUPES</v>
      </c>
      <c r="B113" s="587" t="s">
        <v>100</v>
      </c>
      <c r="C113" s="13" t="str">
        <f>'Entry Sheet'!R5</f>
        <v>D. PRESCOTT</v>
      </c>
      <c r="D113" s="13">
        <f>'Entry Sheet'!S5</f>
        <v>18.8</v>
      </c>
      <c r="E113" s="589" t="s">
        <v>520</v>
      </c>
      <c r="L113" s="13" t="str">
        <f>'Entry Sheet'!A138</f>
        <v>WR</v>
      </c>
      <c r="M113" s="13" t="str">
        <f>'Entry Sheet'!B138</f>
        <v/>
      </c>
      <c r="N113" s="13" t="str">
        <f>'Entry Sheet'!C138</f>
        <v/>
      </c>
      <c r="O113" s="13" t="str">
        <f>'Entry Sheet'!D138</f>
        <v/>
      </c>
      <c r="P113" s="13" t="str">
        <f>'Entry Sheet'!E138</f>
        <v/>
      </c>
      <c r="Q113" s="13" t="str">
        <f>'Entry Sheet'!F138</f>
        <v/>
      </c>
      <c r="R113" s="13" t="str">
        <f>'Entry Sheet'!G138</f>
        <v/>
      </c>
      <c r="S113" s="13" t="str">
        <f>'Entry Sheet'!H138</f>
        <v/>
      </c>
      <c r="T113" s="13" t="str">
        <f>'Entry Sheet'!I138</f>
        <v/>
      </c>
      <c r="U113" s="13" t="str">
        <f>'Entry Sheet'!J138</f>
        <v/>
      </c>
      <c r="V113" s="13" t="str">
        <f>'Entry Sheet'!K138</f>
        <v/>
      </c>
      <c r="W113" s="13" t="str">
        <f>'Entry Sheet'!L138</f>
        <v/>
      </c>
      <c r="X113" s="13" t="str">
        <f>'Entry Sheet'!M138</f>
        <v/>
      </c>
      <c r="Y113" s="13" t="str">
        <f>'Entry Sheet'!N138</f>
        <v/>
      </c>
      <c r="Z113" s="13" t="str">
        <f>'Entry Sheet'!O138</f>
        <v/>
      </c>
      <c r="AA113" s="13" t="str">
        <f>'Entry Sheet'!P138</f>
        <v/>
      </c>
      <c r="AB113" s="13" t="str">
        <f>'Entry Sheet'!Q138</f>
        <v/>
      </c>
      <c r="AC113" s="13" t="str">
        <f>'Entry Sheet'!R138</f>
        <v/>
      </c>
      <c r="AD113" s="13" t="str">
        <f>'Entry Sheet'!S138</f>
        <v/>
      </c>
      <c r="AE113" s="13" t="str">
        <f>'Entry Sheet'!T138</f>
        <v/>
      </c>
      <c r="AF113" s="13" t="str">
        <f>'Entry Sheet'!U138</f>
        <v/>
      </c>
      <c r="AG113" s="13" t="str">
        <f>'Entry Sheet'!V138</f>
        <v/>
      </c>
      <c r="AH113" s="13" t="str">
        <f>'Entry Sheet'!W138</f>
        <v/>
      </c>
      <c r="AI113" s="13" t="str">
        <f>'Entry Sheet'!X138</f>
        <v/>
      </c>
      <c r="AJ113" s="13" t="str">
        <f>'Entry Sheet'!Y138</f>
        <v/>
      </c>
      <c r="AK113" s="13" t="str">
        <f>'Entry Sheet'!Z138</f>
        <v/>
      </c>
      <c r="AL113" s="13" t="str">
        <f>'Entry Sheet'!AA138</f>
        <v/>
      </c>
      <c r="AM113" s="13" t="str">
        <f>'Entry Sheet'!AB138</f>
        <v/>
      </c>
      <c r="AN113" s="13" t="str">
        <f>'Entry Sheet'!AC138</f>
        <v/>
      </c>
      <c r="AO113" s="13" t="str">
        <f>'Entry Sheet'!AD138</f>
        <v/>
      </c>
      <c r="AP113" s="13" t="str">
        <f>'Entry Sheet'!AE138</f>
        <v/>
      </c>
    </row>
    <row r="114" ht="15.75" customHeight="1">
      <c r="A114" s="586" t="str">
        <f>Settings!$A$3</f>
        <v>DECOUPES</v>
      </c>
      <c r="B114" s="596" t="s">
        <v>106</v>
      </c>
      <c r="C114" s="13" t="str">
        <f>'Entry Sheet'!R6</f>
        <v>J. GIBBS</v>
      </c>
      <c r="D114" s="13">
        <f>'Entry Sheet'!S6</f>
        <v>6.7</v>
      </c>
      <c r="E114" s="589" t="s">
        <v>520</v>
      </c>
      <c r="L114" s="13" t="str">
        <f>'Entry Sheet'!A139</f>
        <v>TE</v>
      </c>
      <c r="M114" s="13" t="str">
        <f>'Entry Sheet'!B139</f>
        <v>B. BOWERS</v>
      </c>
      <c r="N114" s="13">
        <f>'Entry Sheet'!C139</f>
        <v>16.3</v>
      </c>
      <c r="O114" s="13" t="str">
        <f>'Entry Sheet'!D139</f>
        <v>B. BOWERS</v>
      </c>
      <c r="P114" s="13">
        <f>'Entry Sheet'!E139</f>
        <v>8.8</v>
      </c>
      <c r="Q114" s="13" t="str">
        <f>'Entry Sheet'!F139</f>
        <v>B. BOWERS</v>
      </c>
      <c r="R114" s="13">
        <f>'Entry Sheet'!G139</f>
        <v>9.8</v>
      </c>
      <c r="S114" s="13" t="str">
        <f>'Entry Sheet'!H139</f>
        <v>B. BOWERS</v>
      </c>
      <c r="T114" s="13">
        <f>'Entry Sheet'!I139</f>
        <v>9.6</v>
      </c>
      <c r="U114" s="13" t="str">
        <f>'Entry Sheet'!J139</f>
        <v>D. KINCAID</v>
      </c>
      <c r="V114" s="13">
        <f>'Entry Sheet'!K139</f>
        <v>17.8</v>
      </c>
      <c r="W114" s="13" t="str">
        <f>'Entry Sheet'!L139</f>
        <v>M. TAYLOR</v>
      </c>
      <c r="X114" s="13">
        <f>'Entry Sheet'!M139</f>
        <v>1.2</v>
      </c>
      <c r="Y114" s="13" t="str">
        <f>'Entry Sheet'!N139</f>
        <v>H. FANNIN JR.</v>
      </c>
      <c r="Z114" s="13">
        <f>'Entry Sheet'!O139</f>
        <v>7.6</v>
      </c>
      <c r="AA114" s="13" t="str">
        <f>'Entry Sheet'!P139</f>
        <v>O. GADSDEN II</v>
      </c>
      <c r="AB114" s="13">
        <f>'Entry Sheet'!Q139</f>
        <v>18.7</v>
      </c>
      <c r="AC114" s="13" t="str">
        <f>'Entry Sheet'!R139</f>
        <v>B. BOWERS</v>
      </c>
      <c r="AD114" s="13">
        <f>'Entry Sheet'!S139</f>
        <v>44.4</v>
      </c>
      <c r="AE114" s="13" t="str">
        <f>'Entry Sheet'!T139</f>
        <v>B. BOWERS</v>
      </c>
      <c r="AF114" s="13">
        <f>'Entry Sheet'!U139</f>
        <v>3.8</v>
      </c>
      <c r="AG114" s="13" t="str">
        <f>'Entry Sheet'!V139</f>
        <v>B. BOWERS</v>
      </c>
      <c r="AH114" s="13">
        <f>'Entry Sheet'!W139</f>
        <v>14.2</v>
      </c>
      <c r="AI114" s="13" t="str">
        <f>'Entry Sheet'!X139</f>
        <v>B. BOWERS</v>
      </c>
      <c r="AJ114" s="13">
        <f>'Entry Sheet'!Y139</f>
        <v>11.5</v>
      </c>
      <c r="AK114" s="13" t="str">
        <f>'Entry Sheet'!Z139</f>
        <v>B. BOWERS</v>
      </c>
      <c r="AL114" s="13">
        <f>'Entry Sheet'!AA139</f>
        <v>22.3</v>
      </c>
      <c r="AM114" s="13" t="str">
        <f>'Entry Sheet'!AB139</f>
        <v>B. BOWERS</v>
      </c>
      <c r="AN114" s="13">
        <f>'Entry Sheet'!AC139</f>
        <v>14.6</v>
      </c>
      <c r="AO114" s="13" t="str">
        <f>'Entry Sheet'!AD139</f>
        <v/>
      </c>
      <c r="AP114" s="13" t="str">
        <f>'Entry Sheet'!AE139</f>
        <v/>
      </c>
    </row>
    <row r="115" ht="15.75" customHeight="1">
      <c r="A115" s="586" t="str">
        <f>Settings!$A$3</f>
        <v>DECOUPES</v>
      </c>
      <c r="B115" s="596" t="s">
        <v>106</v>
      </c>
      <c r="C115" s="13" t="str">
        <f>'Entry Sheet'!R7</f>
        <v>J. WARREN</v>
      </c>
      <c r="D115" s="13">
        <f>'Entry Sheet'!S7</f>
        <v>18.5</v>
      </c>
      <c r="E115" s="589" t="s">
        <v>520</v>
      </c>
      <c r="L115" s="13" t="str">
        <f>'Entry Sheet'!A140</f>
        <v>FLEX</v>
      </c>
      <c r="M115" s="13" t="str">
        <f>'Entry Sheet'!B140</f>
        <v>A. EKELER</v>
      </c>
      <c r="N115" s="13">
        <f>'Entry Sheet'!C140</f>
        <v>9.3</v>
      </c>
      <c r="O115" s="13" t="str">
        <f>'Entry Sheet'!D140</f>
        <v>Z. FLOWERS</v>
      </c>
      <c r="P115" s="13">
        <f>'Entry Sheet'!E140</f>
        <v>15</v>
      </c>
      <c r="Q115" s="13" t="str">
        <f>'Entry Sheet'!F140</f>
        <v>Z. FLOWERS</v>
      </c>
      <c r="R115" s="13">
        <f>'Entry Sheet'!G140</f>
        <v>3.3</v>
      </c>
      <c r="S115" s="13" t="str">
        <f>'Entry Sheet'!H140</f>
        <v>R. ODUNZE</v>
      </c>
      <c r="T115" s="13">
        <f>'Entry Sheet'!I140</f>
        <v>16.9</v>
      </c>
      <c r="U115" s="13" t="str">
        <f>'Entry Sheet'!J140</f>
        <v>R. DOWDLE</v>
      </c>
      <c r="V115" s="13">
        <f>'Entry Sheet'!K140</f>
        <v>36.7</v>
      </c>
      <c r="W115" s="13" t="str">
        <f>'Entry Sheet'!L140</f>
        <v>R. DOWDLE</v>
      </c>
      <c r="X115" s="13">
        <f>'Entry Sheet'!M140</f>
        <v>37.9</v>
      </c>
      <c r="Y115" s="13" t="str">
        <f>'Entry Sheet'!N140</f>
        <v>K. VIDAL</v>
      </c>
      <c r="Z115" s="13">
        <f>'Entry Sheet'!O140</f>
        <v>8.4</v>
      </c>
      <c r="AA115" s="13" t="str">
        <f>'Entry Sheet'!P140</f>
        <v>K. VIDAL</v>
      </c>
      <c r="AB115" s="13">
        <f>'Entry Sheet'!Q140</f>
        <v>23</v>
      </c>
      <c r="AC115" s="13" t="str">
        <f>'Entry Sheet'!R140</f>
        <v>K. VIDAL</v>
      </c>
      <c r="AD115" s="13">
        <f>'Entry Sheet'!S140</f>
        <v>4.2</v>
      </c>
      <c r="AE115" s="13" t="str">
        <f>'Entry Sheet'!T140</f>
        <v>Q. JUDKINS</v>
      </c>
      <c r="AF115" s="13">
        <f>'Entry Sheet'!U140</f>
        <v>12.7</v>
      </c>
      <c r="AG115" s="13" t="str">
        <f>'Entry Sheet'!V140</f>
        <v>Q. JUDKINS</v>
      </c>
      <c r="AH115" s="13">
        <f>'Entry Sheet'!W140</f>
        <v>7.6</v>
      </c>
      <c r="AI115" s="13" t="str">
        <f>'Entry Sheet'!X140</f>
        <v>Q. JUDKINS</v>
      </c>
      <c r="AJ115" s="13">
        <f>'Entry Sheet'!Y140</f>
        <v>18.3</v>
      </c>
      <c r="AK115" s="13" t="str">
        <f>'Entry Sheet'!Z140</f>
        <v>Q. JUDKINS</v>
      </c>
      <c r="AL115" s="13">
        <f>'Entry Sheet'!AA140</f>
        <v>18.2</v>
      </c>
      <c r="AM115" s="13" t="str">
        <f>'Entry Sheet'!AB140</f>
        <v>C. SUTTON</v>
      </c>
      <c r="AN115" s="13">
        <f>'Entry Sheet'!AC140</f>
        <v>12.2</v>
      </c>
      <c r="AO115" s="13" t="str">
        <f>'Entry Sheet'!AD140</f>
        <v/>
      </c>
      <c r="AP115" s="13" t="str">
        <f>'Entry Sheet'!AE140</f>
        <v/>
      </c>
    </row>
    <row r="116" ht="15.75" customHeight="1">
      <c r="A116" s="586" t="str">
        <f>Settings!$A$3</f>
        <v>DECOUPES</v>
      </c>
      <c r="B116" s="596" t="s">
        <v>106</v>
      </c>
      <c r="C116" s="13" t="str">
        <f>'Entry Sheet'!R8</f>
        <v/>
      </c>
      <c r="D116" s="13" t="str">
        <f>'Entry Sheet'!S8</f>
        <v/>
      </c>
      <c r="E116" s="589" t="s">
        <v>520</v>
      </c>
      <c r="L116" s="13" t="str">
        <f>'Entry Sheet'!A141</f>
        <v>D/ST</v>
      </c>
      <c r="M116" s="13" t="str">
        <f>'Entry Sheet'!B141</f>
        <v>HOU D/ST</v>
      </c>
      <c r="N116" s="13">
        <f>'Entry Sheet'!C141</f>
        <v>14.15</v>
      </c>
      <c r="O116" s="13" t="str">
        <f>'Entry Sheet'!D141</f>
        <v>BAL D/ST</v>
      </c>
      <c r="P116" s="13">
        <f>'Entry Sheet'!E141</f>
        <v>25.79</v>
      </c>
      <c r="Q116" s="13" t="str">
        <f>'Entry Sheet'!F141</f>
        <v>HOU D/ST</v>
      </c>
      <c r="R116" s="13">
        <f>'Entry Sheet'!G141</f>
        <v>13.53</v>
      </c>
      <c r="S116" s="13" t="str">
        <f>'Entry Sheet'!H141</f>
        <v>HOU D/ST</v>
      </c>
      <c r="T116" s="13">
        <f>'Entry Sheet'!I141</f>
        <v>17.5</v>
      </c>
      <c r="U116" s="13" t="str">
        <f>'Entry Sheet'!J141</f>
        <v>HOU D/ST</v>
      </c>
      <c r="V116" s="13">
        <f>'Entry Sheet'!K141</f>
        <v>19.86</v>
      </c>
      <c r="W116" s="13" t="str">
        <f>'Entry Sheet'!L141</f>
        <v>GB D/ST</v>
      </c>
      <c r="X116" s="13">
        <f>'Entry Sheet'!M141</f>
        <v>11.72</v>
      </c>
      <c r="Y116" s="13" t="str">
        <f>'Entry Sheet'!N141</f>
        <v>GB D/ST</v>
      </c>
      <c r="Z116" s="13">
        <f>'Entry Sheet'!O141</f>
        <v>19.75</v>
      </c>
      <c r="AA116" s="13" t="str">
        <f>'Entry Sheet'!P141</f>
        <v>GB D/ST</v>
      </c>
      <c r="AB116" s="13">
        <f>'Entry Sheet'!Q141</f>
        <v>17.31</v>
      </c>
      <c r="AC116" s="13" t="str">
        <f>'Entry Sheet'!R141</f>
        <v>GB D/ST</v>
      </c>
      <c r="AD116" s="13">
        <f>'Entry Sheet'!S141</f>
        <v>13.88</v>
      </c>
      <c r="AE116" s="13" t="str">
        <f>'Entry Sheet'!T141</f>
        <v>HOU D/ST</v>
      </c>
      <c r="AF116" s="13">
        <f>'Entry Sheet'!U141</f>
        <v>27.19</v>
      </c>
      <c r="AG116" s="13" t="str">
        <f>'Entry Sheet'!V141</f>
        <v>HOU D/ST</v>
      </c>
      <c r="AH116" s="13">
        <f>'Entry Sheet'!W141</f>
        <v>19.59</v>
      </c>
      <c r="AI116" s="13" t="str">
        <f>'Entry Sheet'!X141</f>
        <v>GB D/ST</v>
      </c>
      <c r="AJ116" s="13">
        <f>'Entry Sheet'!Y141</f>
        <v>27.98</v>
      </c>
      <c r="AK116" s="13" t="str">
        <f>'Entry Sheet'!Z141</f>
        <v>HOU D/ST</v>
      </c>
      <c r="AL116" s="13">
        <f>'Entry Sheet'!AA141</f>
        <v>12.99</v>
      </c>
      <c r="AM116" s="13" t="str">
        <f>'Entry Sheet'!AB141</f>
        <v>HOU D/ST</v>
      </c>
      <c r="AN116" s="13">
        <f>'Entry Sheet'!AC141</f>
        <v>21.73</v>
      </c>
      <c r="AO116" s="13" t="str">
        <f>'Entry Sheet'!AD141</f>
        <v/>
      </c>
      <c r="AP116" s="13" t="str">
        <f>'Entry Sheet'!AE141</f>
        <v/>
      </c>
    </row>
    <row r="117" ht="15.75" customHeight="1">
      <c r="A117" s="586" t="str">
        <f>Settings!$A$3</f>
        <v>DECOUPES</v>
      </c>
      <c r="B117" s="712" t="s">
        <v>117</v>
      </c>
      <c r="C117" s="13" t="str">
        <f>'Entry Sheet'!R9</f>
        <v>C. LAMB</v>
      </c>
      <c r="D117" s="13">
        <f>'Entry Sheet'!S9</f>
        <v>15.5</v>
      </c>
      <c r="E117" s="589" t="s">
        <v>520</v>
      </c>
      <c r="L117" s="13" t="str">
        <f>'Entry Sheet'!A142</f>
        <v>K</v>
      </c>
      <c r="M117" s="13" t="str">
        <f>'Entry Sheet'!B142</f>
        <v>C. BOSWELL</v>
      </c>
      <c r="N117" s="13">
        <f>'Entry Sheet'!C142</f>
        <v>19</v>
      </c>
      <c r="O117" s="13" t="str">
        <f>'Entry Sheet'!D142</f>
        <v>C. BOSWELL</v>
      </c>
      <c r="P117" s="13">
        <f>'Entry Sheet'!E142</f>
        <v>12</v>
      </c>
      <c r="Q117" s="13" t="str">
        <f>'Entry Sheet'!F142</f>
        <v>C. BOSWELL</v>
      </c>
      <c r="R117" s="13">
        <f>'Entry Sheet'!G142</f>
        <v>3</v>
      </c>
      <c r="S117" s="13" t="str">
        <f>'Entry Sheet'!H142</f>
        <v>N. FOLK</v>
      </c>
      <c r="T117" s="13">
        <f>'Entry Sheet'!I142</f>
        <v>13</v>
      </c>
      <c r="U117" s="13" t="str">
        <f>'Entry Sheet'!J142</f>
        <v>N. FOLK</v>
      </c>
      <c r="V117" s="13">
        <f>'Entry Sheet'!K142</f>
        <v>7</v>
      </c>
      <c r="W117" s="13" t="str">
        <f>'Entry Sheet'!L142</f>
        <v>C. BOSWELL</v>
      </c>
      <c r="X117" s="13">
        <f>'Entry Sheet'!M142</f>
        <v>15</v>
      </c>
      <c r="Y117" s="13" t="str">
        <f>'Entry Sheet'!N142</f>
        <v>C. BOSWELL</v>
      </c>
      <c r="Z117" s="13">
        <f>'Entry Sheet'!O142</f>
        <v>8</v>
      </c>
      <c r="AA117" s="13" t="str">
        <f>'Entry Sheet'!P142</f>
        <v>C. BOSWELL</v>
      </c>
      <c r="AB117" s="13">
        <f>'Entry Sheet'!Q142</f>
        <v>23</v>
      </c>
      <c r="AC117" s="13" t="str">
        <f>'Entry Sheet'!R142</f>
        <v>C. BOSWELL</v>
      </c>
      <c r="AD117" s="13">
        <f>'Entry Sheet'!S142</f>
        <v>10</v>
      </c>
      <c r="AE117" s="13" t="str">
        <f>'Entry Sheet'!T142</f>
        <v>C. BOSWELL</v>
      </c>
      <c r="AF117" s="13">
        <f>'Entry Sheet'!U142</f>
        <v>5.5</v>
      </c>
      <c r="AG117" s="13" t="str">
        <f>'Entry Sheet'!V142</f>
        <v>C. BOSWELL</v>
      </c>
      <c r="AH117" s="13">
        <f>'Entry Sheet'!W142</f>
        <v>10</v>
      </c>
      <c r="AI117" s="13" t="str">
        <f>'Entry Sheet'!X142</f>
        <v>C. BOSWELL</v>
      </c>
      <c r="AJ117" s="13">
        <f>'Entry Sheet'!Y142</f>
        <v>4</v>
      </c>
      <c r="AK117" s="13" t="str">
        <f>'Entry Sheet'!Z142</f>
        <v>C. BOSWELL</v>
      </c>
      <c r="AL117" s="13">
        <f>'Entry Sheet'!AA142</f>
        <v>1</v>
      </c>
      <c r="AM117" s="13" t="str">
        <f>'Entry Sheet'!AB142</f>
        <v>C. BOSWELL</v>
      </c>
      <c r="AN117" s="13">
        <f>'Entry Sheet'!AC142</f>
        <v>9</v>
      </c>
      <c r="AO117" s="13" t="str">
        <f>'Entry Sheet'!AD142</f>
        <v/>
      </c>
      <c r="AP117" s="13" t="str">
        <f>'Entry Sheet'!AE142</f>
        <v/>
      </c>
    </row>
    <row r="118" ht="15.75" customHeight="1">
      <c r="A118" s="586" t="str">
        <f>Settings!$A$3</f>
        <v>DECOUPES</v>
      </c>
      <c r="B118" s="712" t="s">
        <v>117</v>
      </c>
      <c r="C118" s="13" t="str">
        <f>'Entry Sheet'!R10</f>
        <v>R. RICE</v>
      </c>
      <c r="D118" s="13">
        <f>'Entry Sheet'!S10</f>
        <v>18.8</v>
      </c>
      <c r="E118" s="589" t="s">
        <v>520</v>
      </c>
      <c r="L118" s="13" t="str">
        <f>'Entry Sheet'!A143</f>
        <v>HC</v>
      </c>
      <c r="M118" s="13" t="str">
        <f>'Entry Sheet'!B143</f>
        <v>DET HC</v>
      </c>
      <c r="N118" s="13">
        <f>'Entry Sheet'!C143</f>
        <v>-0.1</v>
      </c>
      <c r="O118" s="13" t="str">
        <f>'Entry Sheet'!D143</f>
        <v>DET HC</v>
      </c>
      <c r="P118" s="13">
        <f>'Entry Sheet'!E143</f>
        <v>27.6</v>
      </c>
      <c r="Q118" s="13" t="str">
        <f>'Entry Sheet'!F143</f>
        <v>DET HC</v>
      </c>
      <c r="R118" s="230">
        <f>'Entry Sheet'!G143</f>
        <v>14.4</v>
      </c>
      <c r="S118" s="13" t="str">
        <f>'Entry Sheet'!H143</f>
        <v>DET HC</v>
      </c>
      <c r="T118" s="13">
        <f>'Entry Sheet'!I143</f>
        <v>18.2</v>
      </c>
      <c r="U118" s="13" t="str">
        <f>'Entry Sheet'!J143</f>
        <v>DET HC</v>
      </c>
      <c r="V118" s="13">
        <f>'Entry Sheet'!K143</f>
        <v>15.1</v>
      </c>
      <c r="W118" s="13" t="str">
        <f>'Entry Sheet'!L143</f>
        <v>DET HC</v>
      </c>
      <c r="X118" s="13">
        <f>'Entry Sheet'!M143</f>
        <v>1.1</v>
      </c>
      <c r="Y118" s="13" t="str">
        <f>'Entry Sheet'!N143</f>
        <v>DET HC</v>
      </c>
      <c r="Z118" s="13">
        <f>'Entry Sheet'!O143</f>
        <v>13.2</v>
      </c>
      <c r="AA118" s="13" t="str">
        <f>'Entry Sheet'!P143</f>
        <v>ATL HC</v>
      </c>
      <c r="AB118" s="13">
        <f>'Entry Sheet'!Q143</f>
        <v>-5</v>
      </c>
      <c r="AC118" s="13" t="str">
        <f>'Entry Sheet'!R143</f>
        <v>DET HC</v>
      </c>
      <c r="AD118" s="13">
        <f>'Entry Sheet'!S143</f>
        <v>5.2</v>
      </c>
      <c r="AE118" s="13" t="str">
        <f>'Entry Sheet'!T143</f>
        <v>DET HC</v>
      </c>
      <c r="AF118" s="13">
        <f>'Entry Sheet'!U143</f>
        <v>21.2</v>
      </c>
      <c r="AG118" s="13" t="str">
        <f>'Entry Sheet'!V143</f>
        <v>DET HC</v>
      </c>
      <c r="AH118" s="13">
        <f>'Entry Sheet'!W143</f>
        <v>-0.3</v>
      </c>
      <c r="AI118" s="13" t="str">
        <f>'Entry Sheet'!X143</f>
        <v>DET HC</v>
      </c>
      <c r="AJ118" s="13">
        <f>'Entry Sheet'!Y143</f>
        <v>13.2</v>
      </c>
      <c r="AK118" s="13" t="str">
        <f>'Entry Sheet'!Z143</f>
        <v>DET HC</v>
      </c>
      <c r="AL118" s="13">
        <f>'Entry Sheet'!AA143</f>
        <v>4.2</v>
      </c>
      <c r="AM118" s="13" t="str">
        <f>'Entry Sheet'!AB143</f>
        <v>DET HC</v>
      </c>
      <c r="AN118" s="13">
        <f>'Entry Sheet'!AC143</f>
        <v>17.2</v>
      </c>
      <c r="AO118" s="13" t="str">
        <f>'Entry Sheet'!AD143</f>
        <v/>
      </c>
      <c r="AP118" s="13" t="str">
        <f>'Entry Sheet'!AE143</f>
        <v/>
      </c>
    </row>
    <row r="119" ht="15.75" customHeight="1">
      <c r="A119" s="586" t="str">
        <f>Settings!$A$3</f>
        <v>DECOUPES</v>
      </c>
      <c r="B119" s="712" t="s">
        <v>117</v>
      </c>
      <c r="C119" s="13" t="str">
        <f>'Entry Sheet'!R11</f>
        <v>K. BOUTTE</v>
      </c>
      <c r="D119" s="13">
        <f>'Entry Sheet'!S11</f>
        <v>0</v>
      </c>
      <c r="E119" s="589" t="s">
        <v>520</v>
      </c>
      <c r="L119" s="13" t="str">
        <f>'Entry Sheet'!A144</f>
        <v>Total Score</v>
      </c>
      <c r="M119" s="13">
        <f>'Entry Sheet'!B144</f>
        <v>156.47</v>
      </c>
      <c r="N119" s="13" t="str">
        <f>'Entry Sheet'!C144</f>
        <v/>
      </c>
      <c r="O119" s="13">
        <f>'Entry Sheet'!D144</f>
        <v>178.73</v>
      </c>
      <c r="P119" s="13" t="str">
        <f>'Entry Sheet'!E144</f>
        <v/>
      </c>
      <c r="Q119" s="13">
        <f>'Entry Sheet'!F144</f>
        <v>107.2</v>
      </c>
      <c r="R119" s="13" t="str">
        <f>'Entry Sheet'!G144</f>
        <v/>
      </c>
      <c r="S119" s="13">
        <f>'Entry Sheet'!H144</f>
        <v>169.98</v>
      </c>
      <c r="T119" s="13" t="str">
        <f>'Entry Sheet'!I144</f>
        <v/>
      </c>
      <c r="U119" s="13">
        <f>'Entry Sheet'!J144</f>
        <v>204.92</v>
      </c>
      <c r="V119" s="13" t="str">
        <f>'Entry Sheet'!K144</f>
        <v/>
      </c>
      <c r="W119" s="13">
        <f>'Entry Sheet'!L144</f>
        <v>127.98</v>
      </c>
      <c r="X119" s="13" t="str">
        <f>'Entry Sheet'!M144</f>
        <v/>
      </c>
      <c r="Y119" s="13">
        <f>'Entry Sheet'!N144</f>
        <v>131.61</v>
      </c>
      <c r="Z119" s="13" t="str">
        <f>'Entry Sheet'!O144</f>
        <v/>
      </c>
      <c r="AA119" s="13">
        <f>'Entry Sheet'!P144</f>
        <v>204.31</v>
      </c>
      <c r="AB119" s="13" t="str">
        <f>'Entry Sheet'!Q144</f>
        <v/>
      </c>
      <c r="AC119" s="13">
        <f>'Entry Sheet'!R144</f>
        <v>166.25</v>
      </c>
      <c r="AD119" s="13" t="str">
        <f>'Entry Sheet'!S144</f>
        <v/>
      </c>
      <c r="AE119" s="13">
        <f>'Entry Sheet'!T144</f>
        <v>177.99</v>
      </c>
      <c r="AF119" s="13" t="str">
        <f>'Entry Sheet'!U144</f>
        <v/>
      </c>
      <c r="AG119" s="13">
        <f>'Entry Sheet'!V144</f>
        <v>139.71</v>
      </c>
      <c r="AH119" s="13" t="str">
        <f>'Entry Sheet'!W144</f>
        <v/>
      </c>
      <c r="AI119" s="13">
        <f>'Entry Sheet'!X144</f>
        <v>169.1</v>
      </c>
      <c r="AJ119" s="13" t="str">
        <f>'Entry Sheet'!Y144</f>
        <v/>
      </c>
      <c r="AK119" s="13">
        <f>'Entry Sheet'!Z144</f>
        <v>126.53</v>
      </c>
      <c r="AL119" s="13" t="str">
        <f>'Entry Sheet'!AA144</f>
        <v/>
      </c>
      <c r="AM119" s="13">
        <f>'Entry Sheet'!AB144</f>
        <v>175.94</v>
      </c>
      <c r="AN119" s="13" t="str">
        <f>'Entry Sheet'!AC144</f>
        <v/>
      </c>
      <c r="AO119" s="13">
        <f>'Entry Sheet'!AD144</f>
        <v>0</v>
      </c>
      <c r="AP119" s="13" t="str">
        <f>'Entry Sheet'!AE144</f>
        <v/>
      </c>
    </row>
    <row r="120" ht="15.75" customHeight="1">
      <c r="A120" s="586" t="str">
        <f>Settings!$A$3</f>
        <v>DECOUPES</v>
      </c>
      <c r="B120" s="712" t="s">
        <v>117</v>
      </c>
      <c r="C120" s="13" t="str">
        <f>'Entry Sheet'!R12</f>
        <v/>
      </c>
      <c r="D120" s="13" t="str">
        <f>'Entry Sheet'!S12</f>
        <v/>
      </c>
      <c r="E120" s="589" t="s">
        <v>520</v>
      </c>
      <c r="L120" s="13" t="str">
        <f>'Entry Sheet'!A145</f>
        <v>MVP</v>
      </c>
      <c r="M120" s="13" t="str">
        <f>'Entry Sheet'!B145</f>
        <v>D. HENRY</v>
      </c>
      <c r="N120" s="13">
        <f>'Entry Sheet'!C145</f>
        <v>32</v>
      </c>
      <c r="O120" s="13" t="str">
        <f>'Entry Sheet'!D145</f>
        <v>R. ODUNZE</v>
      </c>
      <c r="P120" s="13">
        <f>'Entry Sheet'!E145</f>
        <v>32.8</v>
      </c>
      <c r="Q120" s="13" t="str">
        <f>'Entry Sheet'!F145</f>
        <v>R. ODUNZE</v>
      </c>
      <c r="R120" s="13">
        <f>'Entry Sheet'!G145</f>
        <v>15.2</v>
      </c>
      <c r="S120" s="13" t="str">
        <f>'Entry Sheet'!H145</f>
        <v>J. LOVE</v>
      </c>
      <c r="T120" s="13">
        <f>'Entry Sheet'!I145</f>
        <v>37.38</v>
      </c>
      <c r="U120" s="13" t="str">
        <f>'Entry Sheet'!J145</f>
        <v>C. STROUD</v>
      </c>
      <c r="V120" s="13">
        <f>'Entry Sheet'!K145</f>
        <v>40.66</v>
      </c>
      <c r="W120" s="13" t="str">
        <f>'Entry Sheet'!L145</f>
        <v>R. DOWDLE</v>
      </c>
      <c r="X120" s="13">
        <f>'Entry Sheet'!M145</f>
        <v>37.9</v>
      </c>
      <c r="Y120" s="13" t="str">
        <f>'Entry Sheet'!N145</f>
        <v>Q. JUDKINS</v>
      </c>
      <c r="Z120" s="13">
        <f>'Entry Sheet'!O145</f>
        <v>28.9</v>
      </c>
      <c r="AA120" s="13" t="str">
        <f>'Entry Sheet'!P145</f>
        <v>J. LOVE</v>
      </c>
      <c r="AB120" s="13">
        <f>'Entry Sheet'!Q145</f>
        <v>39.6</v>
      </c>
      <c r="AC120" s="13" t="str">
        <f>'Entry Sheet'!R145</f>
        <v>B. BOWERS</v>
      </c>
      <c r="AD120" s="13">
        <f>'Entry Sheet'!S145</f>
        <v>44.4</v>
      </c>
      <c r="AE120" s="13" t="str">
        <f>'Entry Sheet'!T145</f>
        <v>C. WILLIAMS</v>
      </c>
      <c r="AF120" s="13">
        <f>'Entry Sheet'!U145</f>
        <v>28.7</v>
      </c>
      <c r="AG120" s="13" t="str">
        <f>'Entry Sheet'!V145</f>
        <v>D. HENRY</v>
      </c>
      <c r="AH120" s="13">
        <f>'Entry Sheet'!W145</f>
        <v>23</v>
      </c>
      <c r="AI120" s="13" t="str">
        <f>'Entry Sheet'!X145</f>
        <v>C. DIKE</v>
      </c>
      <c r="AJ120" s="13">
        <f>'Entry Sheet'!Y145</f>
        <v>30.8</v>
      </c>
      <c r="AK120" s="13" t="str">
        <f>'Entry Sheet'!Z145</f>
        <v>J. BURROW</v>
      </c>
      <c r="AL120" s="13">
        <f>'Entry Sheet'!AA145</f>
        <v>23.94</v>
      </c>
      <c r="AM120" s="13" t="str">
        <f>'Entry Sheet'!AB145</f>
        <v>J. BURROW</v>
      </c>
      <c r="AN120" s="13">
        <f>'Entry Sheet'!AC145</f>
        <v>32.56</v>
      </c>
      <c r="AO120" s="13" t="str">
        <f>'Entry Sheet'!AD145</f>
        <v>#NUM!</v>
      </c>
      <c r="AP120" s="13" t="str">
        <f>'Entry Sheet'!AE145</f>
        <v>#NUM!</v>
      </c>
    </row>
    <row r="121" ht="15.75" customHeight="1">
      <c r="A121" s="586" t="str">
        <f>Settings!$A$3</f>
        <v>DECOUPES</v>
      </c>
      <c r="B121" s="764" t="s">
        <v>132</v>
      </c>
      <c r="C121" s="13" t="str">
        <f>'Entry Sheet'!R13</f>
        <v>T. KRAFT</v>
      </c>
      <c r="D121" s="13">
        <f>'Entry Sheet'!S13</f>
        <v>4</v>
      </c>
      <c r="E121" s="589" t="s">
        <v>520</v>
      </c>
      <c r="L121" s="13" t="str">
        <f>'Entry Sheet'!A148</f>
        <v/>
      </c>
      <c r="M121" s="13" t="str">
        <f>'Entry Sheet'!B148</f>
        <v/>
      </c>
      <c r="N121" s="13" t="str">
        <f>'Entry Sheet'!C148</f>
        <v/>
      </c>
      <c r="O121" s="13" t="str">
        <f>'Entry Sheet'!D148</f>
        <v/>
      </c>
      <c r="P121" s="13" t="str">
        <f>'Entry Sheet'!E148</f>
        <v/>
      </c>
      <c r="Q121" s="13" t="str">
        <f>'Entry Sheet'!F148</f>
        <v/>
      </c>
      <c r="R121" s="13" t="str">
        <f>'Entry Sheet'!G148</f>
        <v/>
      </c>
      <c r="S121" s="13" t="str">
        <f>'Entry Sheet'!H148</f>
        <v/>
      </c>
      <c r="T121" s="13" t="str">
        <f>'Entry Sheet'!I148</f>
        <v/>
      </c>
      <c r="U121" s="13" t="str">
        <f>'Entry Sheet'!J148</f>
        <v/>
      </c>
      <c r="V121" s="13" t="str">
        <f>'Entry Sheet'!K148</f>
        <v/>
      </c>
      <c r="W121" s="13" t="str">
        <f>'Entry Sheet'!L148</f>
        <v/>
      </c>
      <c r="X121" s="13" t="str">
        <f>'Entry Sheet'!M148</f>
        <v/>
      </c>
      <c r="Y121" s="13" t="str">
        <f>'Entry Sheet'!N148</f>
        <v/>
      </c>
      <c r="Z121" s="13" t="str">
        <f>'Entry Sheet'!O148</f>
        <v/>
      </c>
      <c r="AA121" s="13" t="str">
        <f>'Entry Sheet'!P148</f>
        <v/>
      </c>
      <c r="AB121" s="13" t="str">
        <f>'Entry Sheet'!Q148</f>
        <v/>
      </c>
      <c r="AC121" s="13" t="str">
        <f>'Entry Sheet'!R148</f>
        <v/>
      </c>
      <c r="AD121" s="13" t="str">
        <f>'Entry Sheet'!S148</f>
        <v/>
      </c>
      <c r="AE121" s="13" t="str">
        <f>'Entry Sheet'!T148</f>
        <v/>
      </c>
      <c r="AF121" s="13" t="str">
        <f>'Entry Sheet'!U148</f>
        <v/>
      </c>
      <c r="AG121" s="13" t="str">
        <f>'Entry Sheet'!V148</f>
        <v/>
      </c>
      <c r="AH121" s="13" t="str">
        <f>'Entry Sheet'!W148</f>
        <v/>
      </c>
      <c r="AI121" s="13" t="str">
        <f>'Entry Sheet'!X148</f>
        <v/>
      </c>
      <c r="AJ121" s="13" t="str">
        <f>'Entry Sheet'!Y148</f>
        <v/>
      </c>
      <c r="AK121" s="13" t="str">
        <f>'Entry Sheet'!Z148</f>
        <v/>
      </c>
      <c r="AL121" s="13" t="str">
        <f>'Entry Sheet'!AA148</f>
        <v/>
      </c>
      <c r="AM121" s="13" t="str">
        <f>'Entry Sheet'!AB148</f>
        <v/>
      </c>
      <c r="AN121" s="13" t="str">
        <f>'Entry Sheet'!AC148</f>
        <v/>
      </c>
      <c r="AO121" s="13" t="str">
        <f>'Entry Sheet'!AD148</f>
        <v/>
      </c>
      <c r="AP121" s="13" t="str">
        <f>'Entry Sheet'!AE148</f>
        <v/>
      </c>
    </row>
    <row r="122" ht="15.75" customHeight="1">
      <c r="A122" s="586" t="str">
        <f>Settings!$A$3</f>
        <v>DECOUPES</v>
      </c>
      <c r="B122" s="795" t="s">
        <v>136</v>
      </c>
      <c r="C122" s="13" t="str">
        <f>'Entry Sheet'!R14</f>
        <v>T. TRACY</v>
      </c>
      <c r="D122" s="13">
        <f>'Entry Sheet'!S14</f>
        <v>7.2</v>
      </c>
      <c r="E122" s="589" t="s">
        <v>520</v>
      </c>
      <c r="L122" s="13" t="str">
        <f>'Entry Sheet'!A149</f>
        <v>MUTTS</v>
      </c>
      <c r="M122" s="13" t="str">
        <f>'Entry Sheet'!B149</f>
        <v/>
      </c>
      <c r="N122" s="13" t="str">
        <f>'Entry Sheet'!C149</f>
        <v/>
      </c>
      <c r="O122" s="13" t="str">
        <f>'Entry Sheet'!D149</f>
        <v/>
      </c>
      <c r="P122" s="13" t="str">
        <f>'Entry Sheet'!E149</f>
        <v/>
      </c>
      <c r="Q122" s="13" t="str">
        <f>'Entry Sheet'!F149</f>
        <v/>
      </c>
      <c r="R122" s="13" t="str">
        <f>'Entry Sheet'!G149</f>
        <v/>
      </c>
      <c r="S122" s="13" t="str">
        <f>'Entry Sheet'!H149</f>
        <v/>
      </c>
      <c r="T122" s="13" t="str">
        <f>'Entry Sheet'!I149</f>
        <v/>
      </c>
      <c r="U122" s="13" t="str">
        <f>'Entry Sheet'!J149</f>
        <v/>
      </c>
      <c r="V122" s="13" t="str">
        <f>'Entry Sheet'!K149</f>
        <v/>
      </c>
      <c r="W122" s="13" t="str">
        <f>'Entry Sheet'!L149</f>
        <v/>
      </c>
      <c r="X122" s="13" t="str">
        <f>'Entry Sheet'!M149</f>
        <v/>
      </c>
      <c r="Y122" s="13" t="str">
        <f>'Entry Sheet'!N149</f>
        <v/>
      </c>
      <c r="Z122" s="13" t="str">
        <f>'Entry Sheet'!O149</f>
        <v/>
      </c>
      <c r="AA122" s="13" t="str">
        <f>'Entry Sheet'!P149</f>
        <v/>
      </c>
      <c r="AB122" s="13" t="str">
        <f>'Entry Sheet'!Q149</f>
        <v/>
      </c>
      <c r="AC122" s="13" t="str">
        <f>'Entry Sheet'!R149</f>
        <v/>
      </c>
      <c r="AD122" s="13" t="str">
        <f>'Entry Sheet'!S149</f>
        <v/>
      </c>
      <c r="AE122" s="13" t="str">
        <f>'Entry Sheet'!T149</f>
        <v/>
      </c>
      <c r="AF122" s="13" t="str">
        <f>'Entry Sheet'!U149</f>
        <v/>
      </c>
      <c r="AG122" s="13" t="str">
        <f>'Entry Sheet'!V149</f>
        <v/>
      </c>
      <c r="AH122" s="13" t="str">
        <f>'Entry Sheet'!W149</f>
        <v/>
      </c>
      <c r="AI122" s="13" t="str">
        <f>'Entry Sheet'!X149</f>
        <v/>
      </c>
      <c r="AJ122" s="13" t="str">
        <f>'Entry Sheet'!Y149</f>
        <v/>
      </c>
      <c r="AK122" s="13" t="str">
        <f>'Entry Sheet'!Z149</f>
        <v/>
      </c>
      <c r="AL122" s="13" t="str">
        <f>'Entry Sheet'!AA149</f>
        <v/>
      </c>
      <c r="AM122" s="13" t="str">
        <f>'Entry Sheet'!AB149</f>
        <v/>
      </c>
      <c r="AN122" s="13" t="str">
        <f>'Entry Sheet'!AC149</f>
        <v/>
      </c>
      <c r="AO122" s="13" t="str">
        <f>'Entry Sheet'!AD149</f>
        <v/>
      </c>
      <c r="AP122" s="13" t="str">
        <f>'Entry Sheet'!AE149</f>
        <v/>
      </c>
    </row>
    <row r="123" ht="15.75" customHeight="1">
      <c r="A123" s="586" t="str">
        <f>Settings!$A$3</f>
        <v>DECOUPES</v>
      </c>
      <c r="B123" s="818" t="s">
        <v>139</v>
      </c>
      <c r="C123" s="13" t="str">
        <f>'Entry Sheet'!R15</f>
        <v>LAR D/ST</v>
      </c>
      <c r="D123" s="13">
        <f>'Entry Sheet'!S15</f>
        <v>13.88</v>
      </c>
      <c r="E123" s="589" t="s">
        <v>520</v>
      </c>
      <c r="L123" s="13" t="str">
        <f>'Entry Sheet'!A150</f>
        <v/>
      </c>
      <c r="M123" s="13" t="str">
        <f>'Entry Sheet'!B150</f>
        <v>Week 1</v>
      </c>
      <c r="N123" s="13" t="str">
        <f>'Entry Sheet'!C150</f>
        <v/>
      </c>
      <c r="O123" s="13" t="str">
        <f>'Entry Sheet'!D150</f>
        <v>Week 2</v>
      </c>
      <c r="P123" s="13" t="str">
        <f>'Entry Sheet'!E150</f>
        <v/>
      </c>
      <c r="Q123" s="13" t="str">
        <f>'Entry Sheet'!F150</f>
        <v>Week 3</v>
      </c>
      <c r="R123" s="13" t="str">
        <f>'Entry Sheet'!G150</f>
        <v/>
      </c>
      <c r="S123" s="13" t="str">
        <f>'Entry Sheet'!H150</f>
        <v>Week 4</v>
      </c>
      <c r="T123" s="13" t="str">
        <f>'Entry Sheet'!I150</f>
        <v/>
      </c>
      <c r="U123" s="13" t="str">
        <f>'Entry Sheet'!J150</f>
        <v>Week 5</v>
      </c>
      <c r="V123" s="13" t="str">
        <f>'Entry Sheet'!K150</f>
        <v/>
      </c>
      <c r="W123" s="13" t="str">
        <f>'Entry Sheet'!L150</f>
        <v>Week 6</v>
      </c>
      <c r="X123" s="13" t="str">
        <f>'Entry Sheet'!M150</f>
        <v/>
      </c>
      <c r="Y123" s="13" t="str">
        <f>'Entry Sheet'!N150</f>
        <v>Week 7</v>
      </c>
      <c r="Z123" s="13" t="str">
        <f>'Entry Sheet'!O150</f>
        <v/>
      </c>
      <c r="AA123" s="13" t="str">
        <f>'Entry Sheet'!P150</f>
        <v>Week 8</v>
      </c>
      <c r="AB123" s="13" t="str">
        <f>'Entry Sheet'!Q150</f>
        <v/>
      </c>
      <c r="AC123" s="13" t="str">
        <f>'Entry Sheet'!R150</f>
        <v>Week 9</v>
      </c>
      <c r="AD123" s="13" t="str">
        <f>'Entry Sheet'!S150</f>
        <v/>
      </c>
      <c r="AE123" s="13" t="str">
        <f>'Entry Sheet'!T150</f>
        <v>Week 10</v>
      </c>
      <c r="AF123" s="13" t="str">
        <f>'Entry Sheet'!U150</f>
        <v/>
      </c>
      <c r="AG123" s="13" t="str">
        <f>'Entry Sheet'!V150</f>
        <v>Week 11</v>
      </c>
      <c r="AH123" s="13" t="str">
        <f>'Entry Sheet'!W150</f>
        <v/>
      </c>
      <c r="AI123" s="13" t="str">
        <f>'Entry Sheet'!X150</f>
        <v>Week 12</v>
      </c>
      <c r="AJ123" s="13" t="str">
        <f>'Entry Sheet'!Y150</f>
        <v/>
      </c>
      <c r="AK123" s="13" t="str">
        <f>'Entry Sheet'!Z150</f>
        <v>Week 13</v>
      </c>
      <c r="AL123" s="13" t="str">
        <f>'Entry Sheet'!AA150</f>
        <v/>
      </c>
      <c r="AM123" s="13" t="str">
        <f>'Entry Sheet'!AB150</f>
        <v>Week 14</v>
      </c>
      <c r="AN123" s="13" t="str">
        <f>'Entry Sheet'!AC150</f>
        <v/>
      </c>
      <c r="AO123" s="13" t="str">
        <f>'Entry Sheet'!AD150</f>
        <v>Finale</v>
      </c>
      <c r="AP123" s="13" t="str">
        <f>'Entry Sheet'!AE150</f>
        <v/>
      </c>
    </row>
    <row r="124" ht="15.75" customHeight="1">
      <c r="A124" s="586" t="str">
        <f>Settings!$A$3</f>
        <v>DECOUPES</v>
      </c>
      <c r="B124" s="833" t="s">
        <v>146</v>
      </c>
      <c r="C124" s="13" t="str">
        <f>'Entry Sheet'!R16</f>
        <v>K. FAIRBAIRN</v>
      </c>
      <c r="D124" s="13">
        <f>'Entry Sheet'!S16</f>
        <v>17</v>
      </c>
      <c r="E124" s="589" t="s">
        <v>520</v>
      </c>
      <c r="L124" s="13" t="str">
        <f>'Entry Sheet'!A151</f>
        <v>Team Rank</v>
      </c>
      <c r="M124" s="13">
        <f>'Entry Sheet'!B151</f>
        <v>8</v>
      </c>
      <c r="N124" s="13" t="str">
        <f>'Entry Sheet'!C151</f>
        <v/>
      </c>
      <c r="O124" s="13">
        <f>'Entry Sheet'!D151</f>
        <v>2</v>
      </c>
      <c r="P124" s="13" t="str">
        <f>'Entry Sheet'!E151</f>
        <v/>
      </c>
      <c r="Q124" s="13">
        <f>'Entry Sheet'!F151</f>
        <v>1</v>
      </c>
      <c r="R124" s="13" t="str">
        <f>'Entry Sheet'!G151</f>
        <v/>
      </c>
      <c r="S124" s="13">
        <f>'Entry Sheet'!H151</f>
        <v>2</v>
      </c>
      <c r="T124" s="13" t="str">
        <f>'Entry Sheet'!I151</f>
        <v/>
      </c>
      <c r="U124" s="13">
        <f>'Entry Sheet'!J151</f>
        <v>2</v>
      </c>
      <c r="V124" s="13" t="str">
        <f>'Entry Sheet'!K151</f>
        <v/>
      </c>
      <c r="W124" s="13">
        <f>'Entry Sheet'!L151</f>
        <v>2</v>
      </c>
      <c r="X124" s="13" t="str">
        <f>'Entry Sheet'!M151</f>
        <v/>
      </c>
      <c r="Y124" s="13">
        <f>'Entry Sheet'!N151</f>
        <v>1</v>
      </c>
      <c r="Z124" s="13" t="str">
        <f>'Entry Sheet'!O151</f>
        <v/>
      </c>
      <c r="AA124" s="13">
        <f>'Entry Sheet'!P151</f>
        <v>1</v>
      </c>
      <c r="AB124" s="13" t="str">
        <f>'Entry Sheet'!Q151</f>
        <v/>
      </c>
      <c r="AC124" s="13">
        <f>'Entry Sheet'!R151</f>
        <v>2</v>
      </c>
      <c r="AD124" s="13" t="str">
        <f>'Entry Sheet'!S151</f>
        <v/>
      </c>
      <c r="AE124" s="13">
        <f>'Entry Sheet'!T151</f>
        <v>3</v>
      </c>
      <c r="AF124" s="13" t="str">
        <f>'Entry Sheet'!U151</f>
        <v/>
      </c>
      <c r="AG124" s="13">
        <f>'Entry Sheet'!V151</f>
        <v>2</v>
      </c>
      <c r="AH124" s="13" t="str">
        <f>'Entry Sheet'!W151</f>
        <v/>
      </c>
      <c r="AI124" s="13">
        <f>'Entry Sheet'!X151</f>
        <v>4</v>
      </c>
      <c r="AJ124" s="13" t="str">
        <f>'Entry Sheet'!Y151</f>
        <v/>
      </c>
      <c r="AK124" s="13">
        <f>'Entry Sheet'!Z151</f>
        <v>3</v>
      </c>
      <c r="AL124" s="13" t="str">
        <f>'Entry Sheet'!AA151</f>
        <v/>
      </c>
      <c r="AM124" s="13">
        <f>'Entry Sheet'!AB151</f>
        <v>4</v>
      </c>
      <c r="AN124" s="13" t="str">
        <f>'Entry Sheet'!AC151</f>
        <v/>
      </c>
      <c r="AO124" s="13" t="str">
        <f>'Entry Sheet'!AD151</f>
        <v/>
      </c>
      <c r="AP124" s="13" t="str">
        <f>'Entry Sheet'!AE151</f>
        <v/>
      </c>
    </row>
    <row r="125" ht="15.75" customHeight="1">
      <c r="A125" s="586" t="str">
        <f>Settings!$A$3</f>
        <v>DECOUPES</v>
      </c>
      <c r="B125" s="842" t="s">
        <v>162</v>
      </c>
      <c r="C125" s="13" t="str">
        <f>'Entry Sheet'!R17</f>
        <v>LAC HC</v>
      </c>
      <c r="D125" s="13">
        <f>'Entry Sheet'!S17</f>
        <v>11.1</v>
      </c>
      <c r="E125" s="589" t="s">
        <v>520</v>
      </c>
      <c r="L125" s="13" t="str">
        <f>'Entry Sheet'!A152</f>
        <v>QB</v>
      </c>
      <c r="M125" s="13" t="str">
        <f>'Entry Sheet'!B152</f>
        <v>L. JACKSON</v>
      </c>
      <c r="N125" s="13">
        <f>'Entry Sheet'!C152</f>
        <v>35.76</v>
      </c>
      <c r="O125" s="13" t="str">
        <f>'Entry Sheet'!D152</f>
        <v>L. JACKSON</v>
      </c>
      <c r="P125" s="13">
        <f>'Entry Sheet'!E152</f>
        <v>36.3</v>
      </c>
      <c r="Q125" s="13" t="str">
        <f>'Entry Sheet'!F152</f>
        <v>L. JACKSON</v>
      </c>
      <c r="R125" s="13">
        <f>'Entry Sheet'!G152</f>
        <v>36.72</v>
      </c>
      <c r="S125" s="13" t="str">
        <f>'Entry Sheet'!H152</f>
        <v>L. JACKSON</v>
      </c>
      <c r="T125" s="13">
        <f>'Entry Sheet'!I152</f>
        <v>14.08</v>
      </c>
      <c r="U125" s="13" t="str">
        <f>'Entry Sheet'!J152</f>
        <v>D. JONES</v>
      </c>
      <c r="V125" s="13">
        <f>'Entry Sheet'!K152</f>
        <v>22.98</v>
      </c>
      <c r="W125" s="13" t="str">
        <f>'Entry Sheet'!L152</f>
        <v>T. LAWRENCE</v>
      </c>
      <c r="X125" s="13">
        <f>'Entry Sheet'!M152</f>
        <v>25.92</v>
      </c>
      <c r="Y125" s="13" t="str">
        <f>'Entry Sheet'!N152</f>
        <v>T. LAWRENCE</v>
      </c>
      <c r="Z125" s="13">
        <f>'Entry Sheet'!O152</f>
        <v>19.44</v>
      </c>
      <c r="AA125" s="13" t="str">
        <f>'Entry Sheet'!P152</f>
        <v>T. LAWRENCE</v>
      </c>
      <c r="AB125" s="13">
        <f>'Entry Sheet'!Q152</f>
        <v>0</v>
      </c>
      <c r="AC125" s="13" t="str">
        <f>'Entry Sheet'!R152</f>
        <v>L. JACKSON</v>
      </c>
      <c r="AD125" s="13">
        <f>'Entry Sheet'!S152</f>
        <v>36.66</v>
      </c>
      <c r="AE125" s="13" t="str">
        <f>'Entry Sheet'!T152</f>
        <v>L. JACKSON</v>
      </c>
      <c r="AF125" s="13">
        <f>'Entry Sheet'!U152</f>
        <v>20.54</v>
      </c>
      <c r="AG125" s="13" t="str">
        <f>'Entry Sheet'!V152</f>
        <v>L. JACKSON</v>
      </c>
      <c r="AH125" s="13">
        <f>'Entry Sheet'!W152</f>
        <v>4.12</v>
      </c>
      <c r="AI125" s="13" t="str">
        <f>'Entry Sheet'!X152</f>
        <v>L. JACKSON</v>
      </c>
      <c r="AJ125" s="13">
        <f>'Entry Sheet'!Y152</f>
        <v>8.52</v>
      </c>
      <c r="AK125" s="13" t="str">
        <f>'Entry Sheet'!Z152</f>
        <v>L. JACKSON</v>
      </c>
      <c r="AL125" s="13">
        <f>'Entry Sheet'!AA152</f>
        <v>6.74</v>
      </c>
      <c r="AM125" s="13" t="str">
        <f>'Entry Sheet'!AB152</f>
        <v>L. JACKSON</v>
      </c>
      <c r="AN125" s="13">
        <f>'Entry Sheet'!AC152</f>
        <v>23.56</v>
      </c>
      <c r="AO125" s="13" t="str">
        <f>'Entry Sheet'!AD152</f>
        <v/>
      </c>
      <c r="AP125" s="13" t="str">
        <f>'Entry Sheet'!AE152</f>
        <v/>
      </c>
    </row>
    <row r="126" ht="15.75" customHeight="1">
      <c r="A126" s="586" t="str">
        <f>Settings!$A$3</f>
        <v>DECOUPES</v>
      </c>
      <c r="B126" s="587" t="s">
        <v>100</v>
      </c>
      <c r="C126" s="13" t="str">
        <f>'Entry Sheet'!T5</f>
        <v>J. DART</v>
      </c>
      <c r="D126" s="13">
        <f>'Entry Sheet'!U5</f>
        <v>28.68</v>
      </c>
      <c r="E126" s="846" t="s">
        <v>521</v>
      </c>
      <c r="L126" s="13" t="str">
        <f>'Entry Sheet'!A153</f>
        <v>RB</v>
      </c>
      <c r="M126" s="13" t="str">
        <f>'Entry Sheet'!B153</f>
        <v>C. HUBBARD</v>
      </c>
      <c r="N126" s="13">
        <f>'Entry Sheet'!C153</f>
        <v>19.5</v>
      </c>
      <c r="O126" s="13" t="str">
        <f>'Entry Sheet'!D153</f>
        <v>C.HUBBARD</v>
      </c>
      <c r="P126" s="13">
        <f>'Entry Sheet'!E153</f>
        <v>19.7</v>
      </c>
      <c r="Q126" s="13" t="str">
        <f>'Entry Sheet'!F153</f>
        <v>J. COOK</v>
      </c>
      <c r="R126" s="13">
        <f>'Entry Sheet'!G153</f>
        <v>23.7</v>
      </c>
      <c r="S126" s="13" t="str">
        <f>'Entry Sheet'!H153</f>
        <v>J. COOK</v>
      </c>
      <c r="T126" s="13">
        <f>'Entry Sheet'!I153</f>
        <v>25.7</v>
      </c>
      <c r="U126" s="13" t="str">
        <f>'Entry Sheet'!J153</f>
        <v>J. COOK</v>
      </c>
      <c r="V126" s="13">
        <f>'Entry Sheet'!K153</f>
        <v>6.4</v>
      </c>
      <c r="W126" s="13" t="str">
        <f>'Entry Sheet'!L153</f>
        <v>J. COOK III</v>
      </c>
      <c r="X126" s="13">
        <f>'Entry Sheet'!M153</f>
        <v>10.4</v>
      </c>
      <c r="Y126" s="13" t="str">
        <f>'Entry Sheet'!N153</f>
        <v>B. HALL</v>
      </c>
      <c r="Z126" s="13">
        <f>'Entry Sheet'!O153</f>
        <v>8.3</v>
      </c>
      <c r="AA126" s="13" t="str">
        <f>'Entry Sheet'!P153</f>
        <v>J. COOK III</v>
      </c>
      <c r="AB126" s="13">
        <f>'Entry Sheet'!Q153</f>
        <v>37.5</v>
      </c>
      <c r="AC126" s="13" t="str">
        <f>'Entry Sheet'!R153</f>
        <v>J. COOK</v>
      </c>
      <c r="AD126" s="13">
        <f>'Entry Sheet'!S153</f>
        <v>17.2</v>
      </c>
      <c r="AE126" s="13" t="str">
        <f>'Entry Sheet'!T153</f>
        <v>J. COOK</v>
      </c>
      <c r="AF126" s="13">
        <f>'Entry Sheet'!U153</f>
        <v>12</v>
      </c>
      <c r="AG126" s="13" t="str">
        <f>'Entry Sheet'!V153</f>
        <v>J. COOK</v>
      </c>
      <c r="AH126" s="13">
        <f>'Entry Sheet'!W153</f>
        <v>22</v>
      </c>
      <c r="AI126" s="13" t="str">
        <f>'Entry Sheet'!X153</f>
        <v>J. COOK</v>
      </c>
      <c r="AJ126" s="13">
        <f>'Entry Sheet'!Y153</f>
        <v>24.6</v>
      </c>
      <c r="AK126" s="13" t="str">
        <f>'Entry Sheet'!Z153</f>
        <v>J. COOK</v>
      </c>
      <c r="AL126" s="13">
        <f>'Entry Sheet'!AA153</f>
        <v>22.9</v>
      </c>
      <c r="AM126" s="13" t="str">
        <f>'Entry Sheet'!AB153</f>
        <v>J. COOK</v>
      </c>
      <c r="AN126" s="13">
        <f>'Entry Sheet'!AC153</f>
        <v>12.9</v>
      </c>
      <c r="AO126" s="13" t="str">
        <f>'Entry Sheet'!AD153</f>
        <v/>
      </c>
      <c r="AP126" s="13" t="str">
        <f>'Entry Sheet'!AE153</f>
        <v/>
      </c>
    </row>
    <row r="127" ht="15.75" customHeight="1">
      <c r="A127" s="586" t="str">
        <f>Settings!$A$3</f>
        <v>DECOUPES</v>
      </c>
      <c r="B127" s="596" t="s">
        <v>106</v>
      </c>
      <c r="C127" s="13" t="str">
        <f>'Entry Sheet'!T6</f>
        <v>J. GIBBS</v>
      </c>
      <c r="D127" s="13">
        <f>'Entry Sheet'!U6</f>
        <v>40.7</v>
      </c>
      <c r="E127" s="846" t="s">
        <v>521</v>
      </c>
      <c r="L127" s="13" t="str">
        <f>'Entry Sheet'!A154</f>
        <v>RB</v>
      </c>
      <c r="M127" s="13" t="str">
        <f>'Entry Sheet'!B154</f>
        <v>A. JONES SR</v>
      </c>
      <c r="N127" s="13">
        <f>'Entry Sheet'!C154</f>
        <v>16.5</v>
      </c>
      <c r="O127" s="13" t="str">
        <f>'Entry Sheet'!D154</f>
        <v>B. HALL</v>
      </c>
      <c r="P127" s="13">
        <f>'Entry Sheet'!E154</f>
        <v>6.8</v>
      </c>
      <c r="Q127" s="13" t="str">
        <f>'Entry Sheet'!F154</f>
        <v>C. HUBBARD</v>
      </c>
      <c r="R127" s="13">
        <f>'Entry Sheet'!G154</f>
        <v>11.3</v>
      </c>
      <c r="S127" s="13" t="str">
        <f>'Entry Sheet'!H154</f>
        <v>C. SKATTEBO</v>
      </c>
      <c r="T127" s="13">
        <f>'Entry Sheet'!I154</f>
        <v>15.5</v>
      </c>
      <c r="U127" s="13" t="str">
        <f>'Entry Sheet'!J154</f>
        <v>C. SKATTEBO</v>
      </c>
      <c r="V127" s="13">
        <f>'Entry Sheet'!K154</f>
        <v>15.9</v>
      </c>
      <c r="W127" s="13" t="str">
        <f>'Entry Sheet'!L154</f>
        <v>C. SKATTEBO</v>
      </c>
      <c r="X127" s="13">
        <f>'Entry Sheet'!M154</f>
        <v>32.9</v>
      </c>
      <c r="Y127" s="13" t="str">
        <f>'Entry Sheet'!N154</f>
        <v>C. SKATTEBO</v>
      </c>
      <c r="Z127" s="13">
        <f>'Entry Sheet'!O154</f>
        <v>20</v>
      </c>
      <c r="AA127" s="13" t="str">
        <f>'Entry Sheet'!P154</f>
        <v>B. HALL</v>
      </c>
      <c r="AB127" s="13">
        <f>'Entry Sheet'!Q154</f>
        <v>37.86</v>
      </c>
      <c r="AC127" s="13" t="str">
        <f>'Entry Sheet'!R154</f>
        <v>A. JONES</v>
      </c>
      <c r="AD127" s="13">
        <f>'Entry Sheet'!S154</f>
        <v>12.7</v>
      </c>
      <c r="AE127" s="13" t="str">
        <f>'Entry Sheet'!T154</f>
        <v>B. HALL</v>
      </c>
      <c r="AF127" s="13">
        <f>'Entry Sheet'!U154</f>
        <v>21.6</v>
      </c>
      <c r="AG127" s="13" t="str">
        <f>'Entry Sheet'!V154</f>
        <v>A. JONES</v>
      </c>
      <c r="AH127" s="13">
        <f>'Entry Sheet'!W154</f>
        <v>12.7</v>
      </c>
      <c r="AI127" s="13" t="str">
        <f>'Entry Sheet'!X154</f>
        <v>A. JONES</v>
      </c>
      <c r="AJ127" s="13">
        <f>'Entry Sheet'!Y154</f>
        <v>9.6</v>
      </c>
      <c r="AK127" s="13" t="str">
        <f>'Entry Sheet'!Z154</f>
        <v>A. JONES</v>
      </c>
      <c r="AL127" s="13">
        <f>'Entry Sheet'!AA154</f>
        <v>5.1</v>
      </c>
      <c r="AM127" s="13" t="str">
        <f>'Entry Sheet'!AB154</f>
        <v>A. JONES</v>
      </c>
      <c r="AN127" s="13">
        <f>'Entry Sheet'!AC154</f>
        <v>9</v>
      </c>
      <c r="AO127" s="13" t="str">
        <f>'Entry Sheet'!AD154</f>
        <v/>
      </c>
      <c r="AP127" s="13" t="str">
        <f>'Entry Sheet'!AE154</f>
        <v/>
      </c>
    </row>
    <row r="128" ht="15.75" customHeight="1">
      <c r="A128" s="586" t="str">
        <f>Settings!$A$3</f>
        <v>DECOUPES</v>
      </c>
      <c r="B128" s="596" t="s">
        <v>106</v>
      </c>
      <c r="C128" s="13" t="str">
        <f>'Entry Sheet'!T7</f>
        <v>T. TRACY</v>
      </c>
      <c r="D128" s="13">
        <f>'Entry Sheet'!U7</f>
        <v>9.5</v>
      </c>
      <c r="E128" s="846" t="s">
        <v>521</v>
      </c>
      <c r="L128" s="13" t="str">
        <f>'Entry Sheet'!A155</f>
        <v>RB</v>
      </c>
      <c r="M128" s="13" t="str">
        <f>'Entry Sheet'!B155</f>
        <v/>
      </c>
      <c r="N128" s="13" t="str">
        <f>'Entry Sheet'!C155</f>
        <v/>
      </c>
      <c r="O128" s="13" t="str">
        <f>'Entry Sheet'!D155</f>
        <v/>
      </c>
      <c r="P128" s="13" t="str">
        <f>'Entry Sheet'!E155</f>
        <v/>
      </c>
      <c r="Q128" s="13" t="str">
        <f>'Entry Sheet'!F155</f>
        <v/>
      </c>
      <c r="R128" s="13" t="str">
        <f>'Entry Sheet'!G155</f>
        <v/>
      </c>
      <c r="S128" s="13" t="str">
        <f>'Entry Sheet'!H155</f>
        <v/>
      </c>
      <c r="T128" s="13" t="str">
        <f>'Entry Sheet'!I155</f>
        <v/>
      </c>
      <c r="U128" s="13" t="str">
        <f>'Entry Sheet'!J155</f>
        <v/>
      </c>
      <c r="V128" s="13" t="str">
        <f>'Entry Sheet'!K155</f>
        <v/>
      </c>
      <c r="W128" s="13" t="str">
        <f>'Entry Sheet'!L155</f>
        <v/>
      </c>
      <c r="X128" s="13" t="str">
        <f>'Entry Sheet'!M155</f>
        <v/>
      </c>
      <c r="Y128" s="13" t="str">
        <f>'Entry Sheet'!N155</f>
        <v/>
      </c>
      <c r="Z128" s="13" t="str">
        <f>'Entry Sheet'!O155</f>
        <v/>
      </c>
      <c r="AA128" s="13" t="str">
        <f>'Entry Sheet'!P155</f>
        <v/>
      </c>
      <c r="AB128" s="13" t="str">
        <f>'Entry Sheet'!Q155</f>
        <v/>
      </c>
      <c r="AC128" s="13" t="str">
        <f>'Entry Sheet'!R155</f>
        <v/>
      </c>
      <c r="AD128" s="13" t="str">
        <f>'Entry Sheet'!S155</f>
        <v/>
      </c>
      <c r="AE128" s="13" t="str">
        <f>'Entry Sheet'!T155</f>
        <v/>
      </c>
      <c r="AF128" s="13" t="str">
        <f>'Entry Sheet'!U155</f>
        <v/>
      </c>
      <c r="AG128" s="13" t="str">
        <f>'Entry Sheet'!V155</f>
        <v/>
      </c>
      <c r="AH128" s="13" t="str">
        <f>'Entry Sheet'!W155</f>
        <v/>
      </c>
      <c r="AI128" s="13" t="str">
        <f>'Entry Sheet'!X155</f>
        <v/>
      </c>
      <c r="AJ128" s="13" t="str">
        <f>'Entry Sheet'!Y155</f>
        <v/>
      </c>
      <c r="AK128" s="13" t="str">
        <f>'Entry Sheet'!Z155</f>
        <v/>
      </c>
      <c r="AL128" s="13" t="str">
        <f>'Entry Sheet'!AA155</f>
        <v/>
      </c>
      <c r="AM128" s="13" t="str">
        <f>'Entry Sheet'!AB155</f>
        <v/>
      </c>
      <c r="AN128" s="13" t="str">
        <f>'Entry Sheet'!AC155</f>
        <v/>
      </c>
      <c r="AO128" s="13" t="str">
        <f>'Entry Sheet'!AD155</f>
        <v/>
      </c>
      <c r="AP128" s="13" t="str">
        <f>'Entry Sheet'!AE155</f>
        <v/>
      </c>
    </row>
    <row r="129" ht="15.75" customHeight="1">
      <c r="A129" s="586" t="str">
        <f>Settings!$A$3</f>
        <v>DECOUPES</v>
      </c>
      <c r="B129" s="596" t="s">
        <v>106</v>
      </c>
      <c r="C129" s="13" t="str">
        <f>'Entry Sheet'!T8</f>
        <v/>
      </c>
      <c r="D129" s="13" t="str">
        <f>'Entry Sheet'!U8</f>
        <v/>
      </c>
      <c r="E129" s="846" t="s">
        <v>521</v>
      </c>
      <c r="L129" s="13" t="str">
        <f>'Entry Sheet'!A156</f>
        <v>WR</v>
      </c>
      <c r="M129" s="13" t="str">
        <f>'Entry Sheet'!B156</f>
        <v>A. ST. BROWN</v>
      </c>
      <c r="N129" s="13">
        <f>'Entry Sheet'!C156</f>
        <v>8.5</v>
      </c>
      <c r="O129" s="13" t="str">
        <f>'Entry Sheet'!D156</f>
        <v>A. ST. BROWN</v>
      </c>
      <c r="P129" s="13">
        <f>'Entry Sheet'!E156</f>
        <v>40.4</v>
      </c>
      <c r="Q129" s="13" t="str">
        <f>'Entry Sheet'!F156</f>
        <v>A. ST. BROWN</v>
      </c>
      <c r="R129" s="13">
        <f>'Entry Sheet'!G156</f>
        <v>20.7</v>
      </c>
      <c r="S129" s="13" t="str">
        <f>'Entry Sheet'!H156</f>
        <v>A. ST. BROWN</v>
      </c>
      <c r="T129" s="13">
        <f>'Entry Sheet'!I156</f>
        <v>26</v>
      </c>
      <c r="U129" s="13" t="str">
        <f>'Entry Sheet'!J156</f>
        <v>A. ST. BROWN</v>
      </c>
      <c r="V129" s="13">
        <f>'Entry Sheet'!K156</f>
        <v>19</v>
      </c>
      <c r="W129" s="13" t="str">
        <f>'Entry Sheet'!L156</f>
        <v>A. ST. BROWN</v>
      </c>
      <c r="X129" s="13">
        <f>'Entry Sheet'!M156</f>
        <v>13.8</v>
      </c>
      <c r="Y129" s="13" t="str">
        <f>'Entry Sheet'!N156</f>
        <v>A. ST. BROWN</v>
      </c>
      <c r="Z129" s="13">
        <f>'Entry Sheet'!O156</f>
        <v>20.6</v>
      </c>
      <c r="AA129" s="13" t="str">
        <f>'Entry Sheet'!P156</f>
        <v>A. ST. BROWN</v>
      </c>
      <c r="AB129" s="13">
        <f>'Entry Sheet'!Q156</f>
        <v>0</v>
      </c>
      <c r="AC129" s="13" t="str">
        <f>'Entry Sheet'!R156</f>
        <v>A. ST. BROWN</v>
      </c>
      <c r="AD129" s="13">
        <f>'Entry Sheet'!S156</f>
        <v>18.7</v>
      </c>
      <c r="AE129" s="13" t="str">
        <f>'Entry Sheet'!T156</f>
        <v>A. ST. BROWN</v>
      </c>
      <c r="AF129" s="13">
        <f>'Entry Sheet'!U156</f>
        <v>16.8</v>
      </c>
      <c r="AG129" s="13" t="str">
        <f>'Entry Sheet'!V156</f>
        <v>A. ST. BROWN</v>
      </c>
      <c r="AH129" s="13">
        <f>'Entry Sheet'!W156</f>
        <v>6.2</v>
      </c>
      <c r="AI129" s="13" t="str">
        <f>'Entry Sheet'!X156</f>
        <v>A. ST. BROWN</v>
      </c>
      <c r="AJ129" s="13">
        <f>'Entry Sheet'!Y156</f>
        <v>30.9</v>
      </c>
      <c r="AK129" s="13" t="str">
        <f>'Entry Sheet'!Z156</f>
        <v>A. ST. BROWN</v>
      </c>
      <c r="AL129" s="13">
        <f>'Entry Sheet'!AA156</f>
        <v>0</v>
      </c>
      <c r="AM129" s="13" t="str">
        <f>'Entry Sheet'!AB156</f>
        <v>D. SAMUEL</v>
      </c>
      <c r="AN129" s="13">
        <f>'Entry Sheet'!AC156</f>
        <v>11.05</v>
      </c>
      <c r="AO129" s="13" t="str">
        <f>'Entry Sheet'!AD156</f>
        <v/>
      </c>
      <c r="AP129" s="13" t="str">
        <f>'Entry Sheet'!AE156</f>
        <v/>
      </c>
    </row>
    <row r="130" ht="15.75" customHeight="1">
      <c r="A130" s="586" t="str">
        <f>Settings!$A$3</f>
        <v>DECOUPES</v>
      </c>
      <c r="B130" s="712" t="s">
        <v>117</v>
      </c>
      <c r="C130" s="13" t="str">
        <f>'Entry Sheet'!T9</f>
        <v>W. ROBINSON</v>
      </c>
      <c r="D130" s="13">
        <f>'Entry Sheet'!U9</f>
        <v>12.2</v>
      </c>
      <c r="E130" s="846" t="s">
        <v>521</v>
      </c>
      <c r="L130" s="13" t="str">
        <f>'Entry Sheet'!A157</f>
        <v>WR</v>
      </c>
      <c r="M130" s="13" t="str">
        <f>'Entry Sheet'!B157</f>
        <v>M. EVANS</v>
      </c>
      <c r="N130" s="13">
        <f>'Entry Sheet'!C157</f>
        <v>10.1</v>
      </c>
      <c r="O130" s="13" t="str">
        <f>'Entry Sheet'!D157</f>
        <v>M. EVANS</v>
      </c>
      <c r="P130" s="13">
        <f>'Entry Sheet'!E157</f>
        <v>10.6</v>
      </c>
      <c r="Q130" s="13" t="str">
        <f>'Entry Sheet'!F157</f>
        <v>M. EVANS</v>
      </c>
      <c r="R130" s="13">
        <f>'Entry Sheet'!G157</f>
        <v>13.3</v>
      </c>
      <c r="S130" s="13" t="str">
        <f>'Entry Sheet'!H157</f>
        <v>D. SAMUEL</v>
      </c>
      <c r="T130" s="13">
        <f>'Entry Sheet'!I157</f>
        <v>20.4</v>
      </c>
      <c r="U130" s="13" t="str">
        <f>'Entry Sheet'!J157</f>
        <v>D. SAMUEL</v>
      </c>
      <c r="V130" s="13">
        <f>'Entry Sheet'!K157</f>
        <v>23.6</v>
      </c>
      <c r="W130" s="13" t="str">
        <f>'Entry Sheet'!L157</f>
        <v>D. SAMUEL</v>
      </c>
      <c r="X130" s="13">
        <f>'Entry Sheet'!M157</f>
        <v>5.5</v>
      </c>
      <c r="Y130" s="13" t="str">
        <f>'Entry Sheet'!N157</f>
        <v>M. EVANS</v>
      </c>
      <c r="Z130" s="13">
        <f>'Entry Sheet'!O157</f>
        <v>0</v>
      </c>
      <c r="AA130" s="13" t="str">
        <f>'Entry Sheet'!P157</f>
        <v>D. SAMUEL</v>
      </c>
      <c r="AB130" s="13">
        <f>'Entry Sheet'!Q157</f>
        <v>4.3</v>
      </c>
      <c r="AC130" s="13" t="str">
        <f>'Entry Sheet'!R157</f>
        <v>D. SAMUEL</v>
      </c>
      <c r="AD130" s="13">
        <f>'Entry Sheet'!S157</f>
        <v>11</v>
      </c>
      <c r="AE130" s="13" t="str">
        <f>'Entry Sheet'!T157</f>
        <v>D. SAMUEL</v>
      </c>
      <c r="AF130" s="13">
        <f>'Entry Sheet'!U157</f>
        <v>12.9</v>
      </c>
      <c r="AG130" s="13" t="str">
        <f>'Entry Sheet'!V157</f>
        <v>D. SAMUEL</v>
      </c>
      <c r="AH130" s="13">
        <f>'Entry Sheet'!W157</f>
        <v>20.8</v>
      </c>
      <c r="AI130" s="13" t="str">
        <f>'Entry Sheet'!X157</f>
        <v>C. OLAVE</v>
      </c>
      <c r="AJ130" s="13">
        <f>'Entry Sheet'!Y157</f>
        <v>16</v>
      </c>
      <c r="AK130" s="13" t="str">
        <f>'Entry Sheet'!Z157</f>
        <v>C. OLAVE</v>
      </c>
      <c r="AL130" s="13">
        <f>'Entry Sheet'!AA157</f>
        <v>14.7</v>
      </c>
      <c r="AM130" s="13" t="str">
        <f>'Entry Sheet'!AB157</f>
        <v>C. OLAVE</v>
      </c>
      <c r="AN130" s="13">
        <f>'Entry Sheet'!AC157</f>
        <v>6</v>
      </c>
      <c r="AO130" s="13" t="str">
        <f>'Entry Sheet'!AD157</f>
        <v/>
      </c>
      <c r="AP130" s="13" t="str">
        <f>'Entry Sheet'!AE157</f>
        <v/>
      </c>
    </row>
    <row r="131" ht="15.75" customHeight="1">
      <c r="A131" s="586" t="str">
        <f>Settings!$A$3</f>
        <v>DECOUPES</v>
      </c>
      <c r="B131" s="712" t="s">
        <v>117</v>
      </c>
      <c r="C131" s="13" t="str">
        <f>'Entry Sheet'!T10</f>
        <v>G. WILSON</v>
      </c>
      <c r="D131" s="13">
        <f>'Entry Sheet'!U10</f>
        <v>0</v>
      </c>
      <c r="E131" s="846" t="s">
        <v>521</v>
      </c>
      <c r="L131" s="13" t="str">
        <f>'Entry Sheet'!A158</f>
        <v>WR</v>
      </c>
      <c r="M131" s="13" t="str">
        <f>'Entry Sheet'!B158</f>
        <v>D. SAMUEL</v>
      </c>
      <c r="N131" s="13">
        <f>'Entry Sheet'!C158</f>
        <v>25.2</v>
      </c>
      <c r="O131" s="13" t="str">
        <f>'Entry Sheet'!D158</f>
        <v>D. SAMUEL</v>
      </c>
      <c r="P131" s="13">
        <f>'Entry Sheet'!E158</f>
        <v>21.3</v>
      </c>
      <c r="Q131" s="13" t="str">
        <f>'Entry Sheet'!F158</f>
        <v>D. SAMUEL</v>
      </c>
      <c r="R131" s="13">
        <f>'Entry Sheet'!G158</f>
        <v>9.85</v>
      </c>
      <c r="S131" s="13" t="str">
        <f>'Entry Sheet'!H158</f>
        <v>C. OLAVE</v>
      </c>
      <c r="T131" s="13">
        <f>'Entry Sheet'!I158</f>
        <v>8</v>
      </c>
      <c r="U131" s="13" t="str">
        <f>'Entry Sheet'!J158</f>
        <v>C. OLAVE</v>
      </c>
      <c r="V131" s="13">
        <f>'Entry Sheet'!K158</f>
        <v>12.9</v>
      </c>
      <c r="W131" s="13" t="str">
        <f>'Entry Sheet'!L158</f>
        <v>C. OLAVE</v>
      </c>
      <c r="X131" s="13">
        <f>'Entry Sheet'!M158</f>
        <v>15.8</v>
      </c>
      <c r="Y131" s="13" t="str">
        <f>'Entry Sheet'!N158</f>
        <v>C. OLAVE</v>
      </c>
      <c r="Z131" s="13">
        <f>'Entry Sheet'!O158</f>
        <v>26.8</v>
      </c>
      <c r="AA131" s="13" t="str">
        <f>'Entry Sheet'!P158</f>
        <v>C. OLAVE</v>
      </c>
      <c r="AB131" s="13">
        <f>'Entry Sheet'!Q158</f>
        <v>14.1</v>
      </c>
      <c r="AC131" s="13" t="str">
        <f>'Entry Sheet'!R158</f>
        <v>C. OLAVE</v>
      </c>
      <c r="AD131" s="13">
        <f>'Entry Sheet'!S158</f>
        <v>8.7</v>
      </c>
      <c r="AE131" s="13" t="str">
        <f>'Entry Sheet'!T158</f>
        <v>C. OLAVE</v>
      </c>
      <c r="AF131" s="13">
        <f>'Entry Sheet'!U158</f>
        <v>22.4</v>
      </c>
      <c r="AG131" s="13" t="str">
        <f>'Entry Sheet'!V158</f>
        <v>J. JENNINGS</v>
      </c>
      <c r="AH131" s="13">
        <f>'Entry Sheet'!W158</f>
        <v>9.4</v>
      </c>
      <c r="AI131" s="13" t="str">
        <f>'Entry Sheet'!X158</f>
        <v>J. JENNINGS</v>
      </c>
      <c r="AJ131" s="13">
        <f>'Entry Sheet'!Y158</f>
        <v>15.1</v>
      </c>
      <c r="AK131" s="13" t="str">
        <f>'Entry Sheet'!Z158</f>
        <v>J. JENNINGS</v>
      </c>
      <c r="AL131" s="13">
        <f>'Entry Sheet'!AA158</f>
        <v>13.9</v>
      </c>
      <c r="AM131" s="13" t="str">
        <f>'Entry Sheet'!AB158</f>
        <v>B. THOMAS</v>
      </c>
      <c r="AN131" s="13">
        <f>'Entry Sheet'!AC158</f>
        <v>11.7</v>
      </c>
      <c r="AO131" s="13" t="str">
        <f>'Entry Sheet'!AD158</f>
        <v/>
      </c>
      <c r="AP131" s="13" t="str">
        <f>'Entry Sheet'!AE158</f>
        <v/>
      </c>
    </row>
    <row r="132" ht="15.75" customHeight="1">
      <c r="A132" s="586" t="str">
        <f>Settings!$A$3</f>
        <v>DECOUPES</v>
      </c>
      <c r="B132" s="712" t="s">
        <v>117</v>
      </c>
      <c r="C132" s="13" t="str">
        <f>'Entry Sheet'!T11</f>
        <v>R. DOUBS</v>
      </c>
      <c r="D132" s="13">
        <f>'Entry Sheet'!U11</f>
        <v>2.6</v>
      </c>
      <c r="E132" s="846" t="s">
        <v>521</v>
      </c>
      <c r="L132" s="13" t="str">
        <f>'Entry Sheet'!A159</f>
        <v>WR</v>
      </c>
      <c r="M132" s="13" t="str">
        <f>'Entry Sheet'!B159</f>
        <v/>
      </c>
      <c r="N132" s="13" t="str">
        <f>'Entry Sheet'!C159</f>
        <v/>
      </c>
      <c r="O132" s="13" t="str">
        <f>'Entry Sheet'!D159</f>
        <v/>
      </c>
      <c r="P132" s="13" t="str">
        <f>'Entry Sheet'!E159</f>
        <v/>
      </c>
      <c r="Q132" s="13" t="str">
        <f>'Entry Sheet'!F159</f>
        <v/>
      </c>
      <c r="R132" s="13" t="str">
        <f>'Entry Sheet'!G159</f>
        <v/>
      </c>
      <c r="S132" s="13" t="str">
        <f>'Entry Sheet'!H159</f>
        <v/>
      </c>
      <c r="T132" s="13" t="str">
        <f>'Entry Sheet'!I159</f>
        <v/>
      </c>
      <c r="U132" s="13" t="str">
        <f>'Entry Sheet'!J159</f>
        <v/>
      </c>
      <c r="V132" s="13" t="str">
        <f>'Entry Sheet'!K159</f>
        <v/>
      </c>
      <c r="W132" s="13" t="str">
        <f>'Entry Sheet'!L159</f>
        <v/>
      </c>
      <c r="X132" s="13" t="str">
        <f>'Entry Sheet'!M159</f>
        <v/>
      </c>
      <c r="Y132" s="13" t="str">
        <f>'Entry Sheet'!N159</f>
        <v/>
      </c>
      <c r="Z132" s="13" t="str">
        <f>'Entry Sheet'!O159</f>
        <v/>
      </c>
      <c r="AA132" s="13" t="str">
        <f>'Entry Sheet'!P159</f>
        <v/>
      </c>
      <c r="AB132" s="13" t="str">
        <f>'Entry Sheet'!Q159</f>
        <v/>
      </c>
      <c r="AC132" s="13" t="str">
        <f>'Entry Sheet'!R159</f>
        <v/>
      </c>
      <c r="AD132" s="13" t="str">
        <f>'Entry Sheet'!S159</f>
        <v/>
      </c>
      <c r="AE132" s="13" t="str">
        <f>'Entry Sheet'!T159</f>
        <v/>
      </c>
      <c r="AF132" s="13" t="str">
        <f>'Entry Sheet'!U159</f>
        <v/>
      </c>
      <c r="AG132" s="13" t="str">
        <f>'Entry Sheet'!V159</f>
        <v/>
      </c>
      <c r="AH132" s="13" t="str">
        <f>'Entry Sheet'!W159</f>
        <v/>
      </c>
      <c r="AI132" s="13" t="str">
        <f>'Entry Sheet'!X159</f>
        <v/>
      </c>
      <c r="AJ132" s="13" t="str">
        <f>'Entry Sheet'!Y159</f>
        <v/>
      </c>
      <c r="AK132" s="13" t="str">
        <f>'Entry Sheet'!Z159</f>
        <v/>
      </c>
      <c r="AL132" s="13" t="str">
        <f>'Entry Sheet'!AA159</f>
        <v/>
      </c>
      <c r="AM132" s="13" t="str">
        <f>'Entry Sheet'!AB159</f>
        <v/>
      </c>
      <c r="AN132" s="13" t="str">
        <f>'Entry Sheet'!AC159</f>
        <v/>
      </c>
      <c r="AO132" s="13" t="str">
        <f>'Entry Sheet'!AD159</f>
        <v/>
      </c>
      <c r="AP132" s="13" t="str">
        <f>'Entry Sheet'!AE159</f>
        <v/>
      </c>
    </row>
    <row r="133" ht="15.75" customHeight="1">
      <c r="A133" s="586" t="str">
        <f>Settings!$A$3</f>
        <v>DECOUPES</v>
      </c>
      <c r="B133" s="712" t="s">
        <v>117</v>
      </c>
      <c r="C133" s="13" t="str">
        <f>'Entry Sheet'!T12</f>
        <v/>
      </c>
      <c r="D133" s="13" t="str">
        <f>'Entry Sheet'!U12</f>
        <v/>
      </c>
      <c r="E133" s="846" t="s">
        <v>521</v>
      </c>
      <c r="L133" s="13" t="str">
        <f>'Entry Sheet'!A160</f>
        <v>TE</v>
      </c>
      <c r="M133" s="13" t="str">
        <f>'Entry Sheet'!B160</f>
        <v>E. ENGRAM</v>
      </c>
      <c r="N133" s="13">
        <f>'Entry Sheet'!C160</f>
        <v>5.1</v>
      </c>
      <c r="O133" s="13" t="str">
        <f>'Entry Sheet'!D160</f>
        <v>J. FERGUSON</v>
      </c>
      <c r="P133" s="13">
        <f>'Entry Sheet'!E160</f>
        <v>16.8</v>
      </c>
      <c r="Q133" s="13" t="str">
        <f>'Entry Sheet'!F160</f>
        <v>J. FERGUSON</v>
      </c>
      <c r="R133" s="13">
        <f>'Entry Sheet'!G160</f>
        <v>21.2</v>
      </c>
      <c r="S133" s="13" t="str">
        <f>'Entry Sheet'!H160</f>
        <v>J. FERGUSON</v>
      </c>
      <c r="T133" s="13">
        <f>'Entry Sheet'!I160</f>
        <v>17</v>
      </c>
      <c r="U133" s="13" t="str">
        <f>'Entry Sheet'!J160</f>
        <v>J. FERGUSON</v>
      </c>
      <c r="V133" s="13">
        <f>'Entry Sheet'!K160</f>
        <v>23.9</v>
      </c>
      <c r="W133" s="13" t="str">
        <f>'Entry Sheet'!L160</f>
        <v>J. FERGUSON</v>
      </c>
      <c r="X133" s="13">
        <f>'Entry Sheet'!M160</f>
        <v>12.3</v>
      </c>
      <c r="Y133" s="13" t="str">
        <f>'Entry Sheet'!N160</f>
        <v>J. FERGUSON</v>
      </c>
      <c r="Z133" s="13">
        <f>'Entry Sheet'!O160</f>
        <v>21.9</v>
      </c>
      <c r="AA133" s="13" t="str">
        <f>'Entry Sheet'!P160</f>
        <v>J. FERGUSON</v>
      </c>
      <c r="AB133" s="13">
        <f>'Entry Sheet'!Q160</f>
        <v>0</v>
      </c>
      <c r="AC133" s="13" t="str">
        <f>'Entry Sheet'!R160</f>
        <v>J. FERGUSON</v>
      </c>
      <c r="AD133" s="13">
        <f>'Entry Sheet'!S160</f>
        <v>8</v>
      </c>
      <c r="AE133" s="13" t="str">
        <f>'Entry Sheet'!T160</f>
        <v>E. ENGRAM</v>
      </c>
      <c r="AF133" s="13">
        <f>'Entry Sheet'!U160</f>
        <v>3.2</v>
      </c>
      <c r="AG133" s="13" t="str">
        <f>'Entry Sheet'!V160</f>
        <v>J. FERGUSON</v>
      </c>
      <c r="AH133" s="13">
        <f>'Entry Sheet'!W160</f>
        <v>11.6</v>
      </c>
      <c r="AI133" s="13" t="str">
        <f>'Entry Sheet'!X160</f>
        <v>J. FERGUSON</v>
      </c>
      <c r="AJ133" s="13">
        <f>'Entry Sheet'!Y160</f>
        <v>11.2</v>
      </c>
      <c r="AK133" s="13" t="str">
        <f>'Entry Sheet'!Z160</f>
        <v>J. FERGUSON</v>
      </c>
      <c r="AL133" s="13">
        <f>'Entry Sheet'!AA160</f>
        <v>8.6</v>
      </c>
      <c r="AM133" s="13" t="str">
        <f>'Entry Sheet'!AB160</f>
        <v>J. FERGUSON</v>
      </c>
      <c r="AN133" s="13">
        <f>'Entry Sheet'!AC160</f>
        <v>10.8</v>
      </c>
      <c r="AO133" s="13" t="str">
        <f>'Entry Sheet'!AD160</f>
        <v/>
      </c>
      <c r="AP133" s="13" t="str">
        <f>'Entry Sheet'!AE160</f>
        <v/>
      </c>
    </row>
    <row r="134" ht="15.75" customHeight="1">
      <c r="A134" s="586" t="str">
        <f>Settings!$A$3</f>
        <v>DECOUPES</v>
      </c>
      <c r="B134" s="764" t="s">
        <v>132</v>
      </c>
      <c r="C134" s="13" t="str">
        <f>'Entry Sheet'!T13</f>
        <v>D. KINCAID</v>
      </c>
      <c r="D134" s="13">
        <f>'Entry Sheet'!U13</f>
        <v>5.7</v>
      </c>
      <c r="E134" s="846" t="s">
        <v>521</v>
      </c>
      <c r="L134" s="13" t="str">
        <f>'Entry Sheet'!A161</f>
        <v>FLEX</v>
      </c>
      <c r="M134" s="13" t="str">
        <f>'Entry Sheet'!B161</f>
        <v>J. COOK</v>
      </c>
      <c r="N134" s="13">
        <f>'Entry Sheet'!C161</f>
        <v>22.5</v>
      </c>
      <c r="O134" s="13" t="str">
        <f>'Entry Sheet'!D161</f>
        <v>J. COOK</v>
      </c>
      <c r="P134" s="13">
        <f>'Entry Sheet'!E161</f>
        <v>29.6</v>
      </c>
      <c r="Q134" s="13" t="str">
        <f>'Entry Sheet'!F161</f>
        <v>B. HALL</v>
      </c>
      <c r="R134" s="13">
        <f>'Entry Sheet'!G161</f>
        <v>10.1</v>
      </c>
      <c r="S134" s="13" t="str">
        <f>'Entry Sheet'!H161</f>
        <v>B. HALL</v>
      </c>
      <c r="T134" s="13">
        <f>'Entry Sheet'!I161</f>
        <v>17.5</v>
      </c>
      <c r="U134" s="13" t="str">
        <f>'Entry Sheet'!J161</f>
        <v>B. HALL</v>
      </c>
      <c r="V134" s="13">
        <f>'Entry Sheet'!K161</f>
        <v>19.9</v>
      </c>
      <c r="W134" s="13" t="str">
        <f>'Entry Sheet'!L161</f>
        <v>B. HALL</v>
      </c>
      <c r="X134" s="13">
        <f>'Entry Sheet'!M161</f>
        <v>8.1</v>
      </c>
      <c r="Y134" s="13" t="str">
        <f>'Entry Sheet'!N161</f>
        <v>C. HUBBARD</v>
      </c>
      <c r="Z134" s="13">
        <f>'Entry Sheet'!O161</f>
        <v>8.9</v>
      </c>
      <c r="AA134" s="13" t="str">
        <f>'Entry Sheet'!P161</f>
        <v>C. SKATTEBO</v>
      </c>
      <c r="AB134" s="13">
        <f>'Entry Sheet'!Q161</f>
        <v>10.3</v>
      </c>
      <c r="AC134" s="13" t="str">
        <f>'Entry Sheet'!R161</f>
        <v>C. HUBBARD</v>
      </c>
      <c r="AD134" s="13">
        <f>'Entry Sheet'!S161</f>
        <v>2.2</v>
      </c>
      <c r="AE134" s="13" t="str">
        <f>'Entry Sheet'!T161</f>
        <v>J. JENNINGS</v>
      </c>
      <c r="AF134" s="13">
        <f>'Entry Sheet'!U161</f>
        <v>17.1</v>
      </c>
      <c r="AG134" s="13" t="str">
        <f>'Entry Sheet'!V161</f>
        <v>B. HALL</v>
      </c>
      <c r="AH134" s="13">
        <f>'Entry Sheet'!W161</f>
        <v>9.8</v>
      </c>
      <c r="AI134" s="13" t="str">
        <f>'Entry Sheet'!X161</f>
        <v>B. HALL</v>
      </c>
      <c r="AJ134" s="13">
        <f>'Entry Sheet'!Y161</f>
        <v>15.5</v>
      </c>
      <c r="AK134" s="13" t="str">
        <f>'Entry Sheet'!Z161</f>
        <v>B. HALL</v>
      </c>
      <c r="AL134" s="13">
        <f>'Entry Sheet'!AA161</f>
        <v>17.5</v>
      </c>
      <c r="AM134" s="13" t="str">
        <f>'Entry Sheet'!AB161</f>
        <v>B. HALL</v>
      </c>
      <c r="AN134" s="13">
        <f>'Entry Sheet'!AC161</f>
        <v>5.7</v>
      </c>
      <c r="AO134" s="13" t="str">
        <f>'Entry Sheet'!AD161</f>
        <v/>
      </c>
      <c r="AP134" s="13" t="str">
        <f>'Entry Sheet'!AE161</f>
        <v/>
      </c>
    </row>
    <row r="135" ht="15.75" customHeight="1">
      <c r="A135" s="586" t="str">
        <f>Settings!$A$3</f>
        <v>DECOUPES</v>
      </c>
      <c r="B135" s="795" t="s">
        <v>136</v>
      </c>
      <c r="C135" s="13" t="str">
        <f>'Entry Sheet'!T14</f>
        <v>J. WARREN</v>
      </c>
      <c r="D135" s="13">
        <f>'Entry Sheet'!U14</f>
        <v>12.5</v>
      </c>
      <c r="E135" s="846" t="s">
        <v>521</v>
      </c>
      <c r="L135" s="13" t="str">
        <f>'Entry Sheet'!A162</f>
        <v>D/ST</v>
      </c>
      <c r="M135" s="13" t="str">
        <f>'Entry Sheet'!B162</f>
        <v>PIT D/ST</v>
      </c>
      <c r="N135" s="13">
        <f>'Entry Sheet'!C162</f>
        <v>8.25</v>
      </c>
      <c r="O135" s="13" t="str">
        <f>'Entry Sheet'!D162</f>
        <v>PIT D/ST</v>
      </c>
      <c r="P135" s="13">
        <f>'Entry Sheet'!E162</f>
        <v>8.9</v>
      </c>
      <c r="Q135" s="13" t="str">
        <f>'Entry Sheet'!F162</f>
        <v>GB D/ST</v>
      </c>
      <c r="R135" s="13">
        <f>'Entry Sheet'!G162</f>
        <v>16.54</v>
      </c>
      <c r="S135" s="13" t="str">
        <f>'Entry Sheet'!H162</f>
        <v>PIT D/ST</v>
      </c>
      <c r="T135" s="13">
        <f>'Entry Sheet'!I162</f>
        <v>25.72</v>
      </c>
      <c r="U135" s="13" t="str">
        <f>'Entry Sheet'!J162</f>
        <v>LAC D/ST</v>
      </c>
      <c r="V135" s="13">
        <f>'Entry Sheet'!K162</f>
        <v>6.4</v>
      </c>
      <c r="W135" s="13" t="str">
        <f>'Entry Sheet'!L162</f>
        <v>PIT D/ST</v>
      </c>
      <c r="X135" s="13">
        <f>'Entry Sheet'!M162</f>
        <v>23.1</v>
      </c>
      <c r="Y135" s="13" t="str">
        <f>'Entry Sheet'!N162</f>
        <v>PIT D/ST</v>
      </c>
      <c r="Z135" s="13">
        <f>'Entry Sheet'!O162</f>
        <v>5.11</v>
      </c>
      <c r="AA135" s="13" t="str">
        <f>'Entry Sheet'!P162</f>
        <v>PIT D/ST</v>
      </c>
      <c r="AB135" s="13">
        <f>'Entry Sheet'!Q162</f>
        <v>-2.17</v>
      </c>
      <c r="AC135" s="13" t="str">
        <f>'Entry Sheet'!R162</f>
        <v>LAC D/ST</v>
      </c>
      <c r="AD135" s="13">
        <f>'Entry Sheet'!S162</f>
        <v>19.32</v>
      </c>
      <c r="AE135" s="13" t="str">
        <f>'Entry Sheet'!T162</f>
        <v>LAC D/ST</v>
      </c>
      <c r="AF135" s="13">
        <f>'Entry Sheet'!U162</f>
        <v>27.2</v>
      </c>
      <c r="AG135" s="13" t="str">
        <f>'Entry Sheet'!V162</f>
        <v>LAC D/ST</v>
      </c>
      <c r="AH135" s="13">
        <f>'Entry Sheet'!W162</f>
        <v>4.15</v>
      </c>
      <c r="AI135" s="13" t="str">
        <f>'Entry Sheet'!X162</f>
        <v>PIT D/ST</v>
      </c>
      <c r="AJ135" s="13">
        <f>'Entry Sheet'!Y162</f>
        <v>16.07</v>
      </c>
      <c r="AK135" s="13" t="str">
        <f>'Entry Sheet'!Z162</f>
        <v>LAC D/ST</v>
      </c>
      <c r="AL135" s="13">
        <f>'Entry Sheet'!AA162</f>
        <v>24.84</v>
      </c>
      <c r="AM135" s="13" t="str">
        <f>'Entry Sheet'!AB162</f>
        <v>LAC D/ST</v>
      </c>
      <c r="AN135" s="13">
        <f>'Entry Sheet'!AC162</f>
        <v>24.55</v>
      </c>
      <c r="AO135" s="13" t="str">
        <f>'Entry Sheet'!AD162</f>
        <v/>
      </c>
      <c r="AP135" s="13" t="str">
        <f>'Entry Sheet'!AE162</f>
        <v/>
      </c>
    </row>
    <row r="136" ht="15.75" customHeight="1">
      <c r="A136" s="586" t="str">
        <f>Settings!$A$3</f>
        <v>DECOUPES</v>
      </c>
      <c r="B136" s="818" t="s">
        <v>139</v>
      </c>
      <c r="C136" s="13" t="str">
        <f>'Entry Sheet'!T15</f>
        <v>CLE D/ST</v>
      </c>
      <c r="D136" s="13">
        <f>'Entry Sheet'!U15</f>
        <v>18.5</v>
      </c>
      <c r="E136" s="846" t="s">
        <v>521</v>
      </c>
      <c r="L136" s="13" t="str">
        <f>'Entry Sheet'!A163</f>
        <v>K</v>
      </c>
      <c r="M136" s="13" t="str">
        <f>'Entry Sheet'!B163</f>
        <v>B. AUBREY</v>
      </c>
      <c r="N136" s="13">
        <f>'Entry Sheet'!C163</f>
        <v>12</v>
      </c>
      <c r="O136" s="13" t="str">
        <f>'Entry Sheet'!D163</f>
        <v>B. AUBREY</v>
      </c>
      <c r="P136" s="13">
        <f>'Entry Sheet'!E163</f>
        <v>27</v>
      </c>
      <c r="Q136" s="13" t="str">
        <f>'Entry Sheet'!F163</f>
        <v>B. AUBREY</v>
      </c>
      <c r="R136" s="13">
        <f>'Entry Sheet'!G163</f>
        <v>9</v>
      </c>
      <c r="S136" s="13" t="str">
        <f>'Entry Sheet'!H163</f>
        <v>DAL D/ST</v>
      </c>
      <c r="T136" s="13">
        <f>'Entry Sheet'!I163</f>
        <v>8</v>
      </c>
      <c r="U136" s="13" t="str">
        <f>'Entry Sheet'!J163</f>
        <v>B. AUBREY</v>
      </c>
      <c r="V136" s="13">
        <f>'Entry Sheet'!K163</f>
        <v>7</v>
      </c>
      <c r="W136" s="13" t="str">
        <f>'Entry Sheet'!L163</f>
        <v>B. AUBREY</v>
      </c>
      <c r="X136" s="13">
        <f>'Entry Sheet'!M163</f>
        <v>9</v>
      </c>
      <c r="Y136" s="13" t="str">
        <f>'Entry Sheet'!N163</f>
        <v>B. AUBREY</v>
      </c>
      <c r="Z136" s="13">
        <f>'Entry Sheet'!O163</f>
        <v>21</v>
      </c>
      <c r="AA136" s="13" t="str">
        <f>'Entry Sheet'!P163</f>
        <v>B. AUBREY</v>
      </c>
      <c r="AB136" s="13">
        <f>'Entry Sheet'!Q163</f>
        <v>6</v>
      </c>
      <c r="AC136" s="13" t="str">
        <f>'Entry Sheet'!R163</f>
        <v>B. AUBREY</v>
      </c>
      <c r="AD136" s="13">
        <f>'Entry Sheet'!S163</f>
        <v>4.5</v>
      </c>
      <c r="AE136" s="13" t="str">
        <f>'Entry Sheet'!T163</f>
        <v>C. MCLAUGHLIN</v>
      </c>
      <c r="AF136" s="13">
        <f>'Entry Sheet'!U163</f>
        <v>5</v>
      </c>
      <c r="AG136" s="13" t="str">
        <f>'Entry Sheet'!V163</f>
        <v>B. AUBREY</v>
      </c>
      <c r="AH136" s="13">
        <f>'Entry Sheet'!W163</f>
        <v>10</v>
      </c>
      <c r="AI136" s="13" t="str">
        <f>'Entry Sheet'!X163</f>
        <v>B. AUBREY</v>
      </c>
      <c r="AJ136" s="13">
        <f>'Entry Sheet'!Y163</f>
        <v>6</v>
      </c>
      <c r="AK136" s="13" t="str">
        <f>'Entry Sheet'!Z163</f>
        <v>B. AUBREY</v>
      </c>
      <c r="AL136" s="13">
        <f>'Entry Sheet'!AA163</f>
        <v>12</v>
      </c>
      <c r="AM136" s="13" t="str">
        <f>'Entry Sheet'!AB163</f>
        <v>B. AUBREY</v>
      </c>
      <c r="AN136" s="13">
        <f>'Entry Sheet'!AC163</f>
        <v>29</v>
      </c>
      <c r="AO136" s="13" t="str">
        <f>'Entry Sheet'!AD163</f>
        <v/>
      </c>
      <c r="AP136" s="13" t="str">
        <f>'Entry Sheet'!AE163</f>
        <v/>
      </c>
    </row>
    <row r="137" ht="15.75" customHeight="1">
      <c r="A137" s="586" t="str">
        <f>Settings!$A$3</f>
        <v>DECOUPES</v>
      </c>
      <c r="B137" s="833" t="s">
        <v>146</v>
      </c>
      <c r="C137" s="13" t="str">
        <f>'Entry Sheet'!T16</f>
        <v>W. REICHARD</v>
      </c>
      <c r="D137" s="13">
        <f>'Entry Sheet'!U16</f>
        <v>9</v>
      </c>
      <c r="E137" s="846" t="s">
        <v>521</v>
      </c>
      <c r="L137" s="13" t="str">
        <f>'Entry Sheet'!A164</f>
        <v>HC</v>
      </c>
      <c r="M137" s="13" t="str">
        <f>'Entry Sheet'!B164</f>
        <v>PIT HC</v>
      </c>
      <c r="N137" s="13">
        <f>'Entry Sheet'!C164</f>
        <v>12.2</v>
      </c>
      <c r="O137" s="13" t="str">
        <f>'Entry Sheet'!D164</f>
        <v>BUF HC</v>
      </c>
      <c r="P137" s="13">
        <f>'Entry Sheet'!E164</f>
        <v>17</v>
      </c>
      <c r="Q137" s="13" t="str">
        <f>'Entry Sheet'!F164</f>
        <v>BUF HC</v>
      </c>
      <c r="R137" s="13">
        <f>'Entry Sheet'!G164</f>
        <v>13.3</v>
      </c>
      <c r="S137" s="13" t="str">
        <f>'Entry Sheet'!H164</f>
        <v>BUF HC</v>
      </c>
      <c r="T137" s="13">
        <f>'Entry Sheet'!I164</f>
        <v>13.3</v>
      </c>
      <c r="U137" s="13" t="str">
        <f>'Entry Sheet'!J164</f>
        <v>BUF HC</v>
      </c>
      <c r="V137" s="13">
        <f>'Entry Sheet'!K164</f>
        <v>4</v>
      </c>
      <c r="W137" s="13" t="str">
        <f>'Entry Sheet'!L164</f>
        <v>DAL HC</v>
      </c>
      <c r="X137" s="13">
        <f>'Entry Sheet'!M164</f>
        <v>6.1</v>
      </c>
      <c r="Y137" s="13" t="str">
        <f>'Entry Sheet'!N164</f>
        <v>DAL HC</v>
      </c>
      <c r="Z137" s="13">
        <f>'Entry Sheet'!O164</f>
        <v>21.2</v>
      </c>
      <c r="AA137" s="13" t="str">
        <f>'Entry Sheet'!P164</f>
        <v>BUF HC</v>
      </c>
      <c r="AB137" s="13">
        <f>'Entry Sheet'!Q164</f>
        <v>24</v>
      </c>
      <c r="AC137" s="13" t="str">
        <f>'Entry Sheet'!R164</f>
        <v>DAL HC</v>
      </c>
      <c r="AD137" s="13">
        <f>'Entry Sheet'!S164</f>
        <v>1.1</v>
      </c>
      <c r="AE137" s="13" t="str">
        <f>'Entry Sheet'!T164</f>
        <v>BUF HC</v>
      </c>
      <c r="AF137" s="13">
        <f>'Entry Sheet'!U164</f>
        <v>-2.1</v>
      </c>
      <c r="AG137" s="13" t="str">
        <f>'Entry Sheet'!V164</f>
        <v>DAL HC</v>
      </c>
      <c r="AH137" s="13">
        <f>'Entry Sheet'!W164</f>
        <v>15.9</v>
      </c>
      <c r="AI137" s="13" t="str">
        <f>'Entry Sheet'!X164</f>
        <v>BUF HC</v>
      </c>
      <c r="AJ137" s="13">
        <f>'Entry Sheet'!Y164</f>
        <v>3.7</v>
      </c>
      <c r="AK137" s="13" t="str">
        <f>'Entry Sheet'!Z164</f>
        <v>BUF HC</v>
      </c>
      <c r="AL137" s="13">
        <f>'Entry Sheet'!AA164</f>
        <v>13.8</v>
      </c>
      <c r="AM137" s="13" t="str">
        <f>'Entry Sheet'!AB164</f>
        <v>BUF HC</v>
      </c>
      <c r="AN137" s="13">
        <f>'Entry Sheet'!AC164</f>
        <v>14.7</v>
      </c>
      <c r="AO137" s="13" t="str">
        <f>'Entry Sheet'!AD164</f>
        <v/>
      </c>
      <c r="AP137" s="13" t="str">
        <f>'Entry Sheet'!AE164</f>
        <v/>
      </c>
    </row>
    <row r="138" ht="15.75" customHeight="1">
      <c r="A138" s="586" t="str">
        <f>Settings!$A$3</f>
        <v>DECOUPES</v>
      </c>
      <c r="B138" s="842" t="s">
        <v>162</v>
      </c>
      <c r="C138" s="13" t="str">
        <f>'Entry Sheet'!T17</f>
        <v>SEA HC</v>
      </c>
      <c r="D138" s="13">
        <f>'Entry Sheet'!U17</f>
        <v>21.2</v>
      </c>
      <c r="E138" s="846" t="s">
        <v>521</v>
      </c>
      <c r="L138" s="13" t="str">
        <f>'Entry Sheet'!A165</f>
        <v>Total Score</v>
      </c>
      <c r="M138" s="13">
        <f>'Entry Sheet'!B165</f>
        <v>175.61</v>
      </c>
      <c r="N138" s="13" t="str">
        <f>'Entry Sheet'!C165</f>
        <v/>
      </c>
      <c r="O138" s="13">
        <f>'Entry Sheet'!D165</f>
        <v>234.4</v>
      </c>
      <c r="P138" s="13" t="str">
        <f>'Entry Sheet'!E165</f>
        <v/>
      </c>
      <c r="Q138" s="13">
        <f>'Entry Sheet'!F165</f>
        <v>185.71</v>
      </c>
      <c r="R138" s="13" t="str">
        <f>'Entry Sheet'!G165</f>
        <v/>
      </c>
      <c r="S138" s="13">
        <f>'Entry Sheet'!H165</f>
        <v>191.2</v>
      </c>
      <c r="T138" s="13" t="str">
        <f>'Entry Sheet'!I165</f>
        <v/>
      </c>
      <c r="U138" s="13">
        <f>'Entry Sheet'!J165</f>
        <v>161.98</v>
      </c>
      <c r="V138" s="13" t="str">
        <f>'Entry Sheet'!K165</f>
        <v/>
      </c>
      <c r="W138" s="13">
        <f>'Entry Sheet'!L165</f>
        <v>162.92</v>
      </c>
      <c r="X138" s="13" t="str">
        <f>'Entry Sheet'!M165</f>
        <v/>
      </c>
      <c r="Y138" s="13">
        <f>'Entry Sheet'!N165</f>
        <v>173.25</v>
      </c>
      <c r="Z138" s="13" t="str">
        <f>'Entry Sheet'!O165</f>
        <v/>
      </c>
      <c r="AA138" s="13">
        <f>'Entry Sheet'!P165</f>
        <v>131.89</v>
      </c>
      <c r="AB138" s="13" t="str">
        <f>'Entry Sheet'!Q165</f>
        <v/>
      </c>
      <c r="AC138" s="13">
        <f>'Entry Sheet'!R165</f>
        <v>140.08</v>
      </c>
      <c r="AD138" s="13" t="str">
        <f>'Entry Sheet'!S165</f>
        <v/>
      </c>
      <c r="AE138" s="13">
        <f>'Entry Sheet'!T165</f>
        <v>156.64</v>
      </c>
      <c r="AF138" s="13" t="str">
        <f>'Entry Sheet'!U165</f>
        <v/>
      </c>
      <c r="AG138" s="13">
        <f>'Entry Sheet'!V165</f>
        <v>126.67</v>
      </c>
      <c r="AH138" s="13" t="str">
        <f>'Entry Sheet'!W165</f>
        <v/>
      </c>
      <c r="AI138" s="13">
        <f>'Entry Sheet'!X165</f>
        <v>157.19</v>
      </c>
      <c r="AJ138" s="13" t="str">
        <f>'Entry Sheet'!Y165</f>
        <v/>
      </c>
      <c r="AK138" s="13">
        <f>'Entry Sheet'!Z165</f>
        <v>140.08</v>
      </c>
      <c r="AL138" s="13" t="str">
        <f>'Entry Sheet'!AA165</f>
        <v/>
      </c>
      <c r="AM138" s="13">
        <f>'Entry Sheet'!AB165</f>
        <v>158.96</v>
      </c>
      <c r="AN138" s="13" t="str">
        <f>'Entry Sheet'!AC165</f>
        <v/>
      </c>
      <c r="AO138" s="13">
        <f>'Entry Sheet'!AD165</f>
        <v>0</v>
      </c>
      <c r="AP138" s="13" t="str">
        <f>'Entry Sheet'!AE165</f>
        <v/>
      </c>
    </row>
    <row r="139" ht="15.75" customHeight="1">
      <c r="A139" s="586" t="str">
        <f>Settings!$A$3</f>
        <v>DECOUPES</v>
      </c>
      <c r="B139" s="587" t="s">
        <v>100</v>
      </c>
      <c r="C139" s="13" t="str">
        <f>'Entry Sheet'!V5</f>
        <v>D. PRESCOTT</v>
      </c>
      <c r="D139" s="13">
        <f>'Entry Sheet'!W5</f>
        <v>36.12</v>
      </c>
      <c r="E139" s="589" t="s">
        <v>522</v>
      </c>
      <c r="L139" s="13" t="str">
        <f>'Entry Sheet'!A166</f>
        <v>MVP</v>
      </c>
      <c r="M139" s="13" t="str">
        <f>'Entry Sheet'!B166</f>
        <v>L. JACKSON</v>
      </c>
      <c r="N139" s="13">
        <f>'Entry Sheet'!C166</f>
        <v>35.76</v>
      </c>
      <c r="O139" s="13" t="str">
        <f>'Entry Sheet'!D166</f>
        <v>A. ST. BROWN</v>
      </c>
      <c r="P139" s="13">
        <f>'Entry Sheet'!E166</f>
        <v>40.4</v>
      </c>
      <c r="Q139" s="13" t="str">
        <f>'Entry Sheet'!F166</f>
        <v>L. JACKSON</v>
      </c>
      <c r="R139" s="13">
        <f>'Entry Sheet'!G166</f>
        <v>36.72</v>
      </c>
      <c r="S139" s="13" t="str">
        <f>'Entry Sheet'!H166</f>
        <v>A. ST. BROWN</v>
      </c>
      <c r="T139" s="13">
        <f>'Entry Sheet'!I166</f>
        <v>26</v>
      </c>
      <c r="U139" s="13" t="str">
        <f>'Entry Sheet'!J166</f>
        <v>J. FERGUSON</v>
      </c>
      <c r="V139" s="13">
        <f>'Entry Sheet'!K166</f>
        <v>23.9</v>
      </c>
      <c r="W139" s="13" t="str">
        <f>'Entry Sheet'!L166</f>
        <v>C. SKATTEBO</v>
      </c>
      <c r="X139" s="13">
        <f>'Entry Sheet'!M166</f>
        <v>32.9</v>
      </c>
      <c r="Y139" s="13" t="str">
        <f>'Entry Sheet'!N166</f>
        <v>C. OLAVE</v>
      </c>
      <c r="Z139" s="13">
        <f>'Entry Sheet'!O166</f>
        <v>26.8</v>
      </c>
      <c r="AA139" s="13" t="str">
        <f>'Entry Sheet'!P166</f>
        <v>B. HALL</v>
      </c>
      <c r="AB139" s="13">
        <f>'Entry Sheet'!Q166</f>
        <v>37.86</v>
      </c>
      <c r="AC139" s="13" t="str">
        <f>'Entry Sheet'!R166</f>
        <v>L. JACKSON</v>
      </c>
      <c r="AD139" s="13">
        <f>'Entry Sheet'!S166</f>
        <v>36.66</v>
      </c>
      <c r="AE139" s="13" t="str">
        <f>'Entry Sheet'!T166</f>
        <v>LAC D/ST</v>
      </c>
      <c r="AF139" s="13">
        <f>'Entry Sheet'!U166</f>
        <v>27.2</v>
      </c>
      <c r="AG139" s="13" t="str">
        <f>'Entry Sheet'!V166</f>
        <v>J. COOK</v>
      </c>
      <c r="AH139" s="13">
        <f>'Entry Sheet'!W166</f>
        <v>22</v>
      </c>
      <c r="AI139" s="13" t="str">
        <f>'Entry Sheet'!X166</f>
        <v>A. ST. BROWN</v>
      </c>
      <c r="AJ139" s="13">
        <f>'Entry Sheet'!Y166</f>
        <v>30.9</v>
      </c>
      <c r="AK139" s="13" t="str">
        <f>'Entry Sheet'!Z166</f>
        <v>LAC D/ST</v>
      </c>
      <c r="AL139" s="13">
        <f>'Entry Sheet'!AA166</f>
        <v>24.84</v>
      </c>
      <c r="AM139" s="13" t="str">
        <f>'Entry Sheet'!AB166</f>
        <v>B. AUBREY</v>
      </c>
      <c r="AN139" s="13">
        <f>'Entry Sheet'!AC166</f>
        <v>29</v>
      </c>
      <c r="AO139" s="13" t="str">
        <f>'Entry Sheet'!AD166</f>
        <v>#NUM!</v>
      </c>
      <c r="AP139" s="13" t="str">
        <f>'Entry Sheet'!AE166</f>
        <v>#NUM!</v>
      </c>
    </row>
    <row r="140" ht="15.75" customHeight="1">
      <c r="A140" s="586" t="str">
        <f>Settings!$A$3</f>
        <v>DECOUPES</v>
      </c>
      <c r="B140" s="596" t="s">
        <v>106</v>
      </c>
      <c r="C140" s="13" t="str">
        <f>'Entry Sheet'!V6</f>
        <v>J. WARREN</v>
      </c>
      <c r="D140" s="13">
        <f>'Entry Sheet'!W6</f>
        <v>9.7</v>
      </c>
      <c r="E140" s="589" t="s">
        <v>522</v>
      </c>
    </row>
    <row r="141" ht="15.75" customHeight="1">
      <c r="A141" s="586" t="str">
        <f>Settings!$A$3</f>
        <v>DECOUPES</v>
      </c>
      <c r="B141" s="596" t="s">
        <v>106</v>
      </c>
      <c r="C141" s="13" t="str">
        <f>'Entry Sheet'!V7</f>
        <v>R. WHITE</v>
      </c>
      <c r="D141" s="13">
        <f>'Entry Sheet'!W7</f>
        <v>9.2</v>
      </c>
      <c r="E141" s="589" t="s">
        <v>522</v>
      </c>
    </row>
    <row r="142" ht="15.75" customHeight="1">
      <c r="A142" s="586" t="str">
        <f>Settings!$A$3</f>
        <v>DECOUPES</v>
      </c>
      <c r="B142" s="596" t="s">
        <v>106</v>
      </c>
      <c r="C142" s="13" t="str">
        <f>'Entry Sheet'!V8</f>
        <v/>
      </c>
      <c r="D142" s="13" t="str">
        <f>'Entry Sheet'!W8</f>
        <v/>
      </c>
      <c r="E142" s="589" t="s">
        <v>522</v>
      </c>
    </row>
    <row r="143" ht="15.75" customHeight="1">
      <c r="A143" s="586" t="str">
        <f>Settings!$A$3</f>
        <v>DECOUPES</v>
      </c>
      <c r="B143" s="712" t="s">
        <v>117</v>
      </c>
      <c r="C143" s="13" t="str">
        <f>'Entry Sheet'!V9</f>
        <v>C. LAMB</v>
      </c>
      <c r="D143" s="13">
        <f>'Entry Sheet'!W9</f>
        <v>17.6</v>
      </c>
      <c r="E143" s="589" t="s">
        <v>522</v>
      </c>
    </row>
    <row r="144" ht="15.75" customHeight="1">
      <c r="A144" s="586" t="str">
        <f>Settings!$A$3</f>
        <v>DECOUPES</v>
      </c>
      <c r="B144" s="712" t="s">
        <v>117</v>
      </c>
      <c r="C144" s="13" t="str">
        <f>'Entry Sheet'!V10</f>
        <v>R. RICE</v>
      </c>
      <c r="D144" s="13">
        <f>'Entry Sheet'!W10</f>
        <v>9.8</v>
      </c>
      <c r="E144" s="589" t="s">
        <v>522</v>
      </c>
    </row>
    <row r="145" ht="15.75" customHeight="1">
      <c r="A145" s="586" t="str">
        <f>Settings!$A$3</f>
        <v>DECOUPES</v>
      </c>
      <c r="B145" s="712" t="s">
        <v>117</v>
      </c>
      <c r="C145" s="13" t="str">
        <f>'Entry Sheet'!V11</f>
        <v>W. ROBINSON</v>
      </c>
      <c r="D145" s="13">
        <f>'Entry Sheet'!W11</f>
        <v>7.6</v>
      </c>
      <c r="E145" s="589" t="s">
        <v>522</v>
      </c>
    </row>
    <row r="146" ht="15.75" customHeight="1">
      <c r="A146" s="586" t="str">
        <f>Settings!$A$3</f>
        <v>DECOUPES</v>
      </c>
      <c r="B146" s="712" t="s">
        <v>117</v>
      </c>
      <c r="C146" s="13" t="str">
        <f>'Entry Sheet'!V12</f>
        <v/>
      </c>
      <c r="D146" s="13" t="str">
        <f>'Entry Sheet'!W12</f>
        <v/>
      </c>
      <c r="E146" s="589" t="s">
        <v>522</v>
      </c>
      <c r="L146" s="13" t="str">
        <f t="array" ref="L146">INDEX('All-Stars'!$D$2:$D$1457, MATCH(1, ('All-Stars'!$B$2:$B$1464 = 'League Stats'!C41) * ('All-Stars'!$C$2:$C$1464 = 'League Stats'!$A28) * ('All-Stars'!$E$2:$E$1457 = 'League Stats'!D41), 0))</f>
        <v>#N/A</v>
      </c>
    </row>
    <row r="147" ht="15.75" customHeight="1">
      <c r="A147" s="586" t="str">
        <f>Settings!$A$3</f>
        <v>DECOUPES</v>
      </c>
      <c r="B147" s="764" t="s">
        <v>132</v>
      </c>
      <c r="C147" s="13" t="str">
        <f>'Entry Sheet'!V13</f>
        <v>T. KELCE</v>
      </c>
      <c r="D147" s="13">
        <f>'Entry Sheet'!W13</f>
        <v>24.1</v>
      </c>
      <c r="E147" s="589" t="s">
        <v>522</v>
      </c>
      <c r="K147" s="13" t="s">
        <v>100</v>
      </c>
    </row>
    <row r="148" ht="15.75" customHeight="1">
      <c r="A148" s="586" t="str">
        <f>Settings!$A$3</f>
        <v>DECOUPES</v>
      </c>
      <c r="B148" s="795" t="s">
        <v>136</v>
      </c>
      <c r="C148" s="13" t="str">
        <f>'Entry Sheet'!V14</f>
        <v>J. GIBBS</v>
      </c>
      <c r="D148" s="13">
        <f>'Entry Sheet'!W14</f>
        <v>21.8</v>
      </c>
      <c r="E148" s="589" t="s">
        <v>522</v>
      </c>
    </row>
    <row r="149" ht="15.75" customHeight="1">
      <c r="A149" s="586" t="str">
        <f>Settings!$A$3</f>
        <v>DECOUPES</v>
      </c>
      <c r="B149" s="818" t="s">
        <v>139</v>
      </c>
      <c r="C149" s="13" t="str">
        <f>'Entry Sheet'!V15</f>
        <v>MIA D/ST</v>
      </c>
      <c r="D149" s="13">
        <f>'Entry Sheet'!W15</f>
        <v>8.29</v>
      </c>
      <c r="E149" s="589" t="s">
        <v>522</v>
      </c>
    </row>
    <row r="150" ht="15.75" customHeight="1">
      <c r="A150" s="586" t="str">
        <f>Settings!$A$3</f>
        <v>DECOUPES</v>
      </c>
      <c r="B150" s="833" t="s">
        <v>146</v>
      </c>
      <c r="C150" s="13" t="str">
        <f>'Entry Sheet'!V16</f>
        <v>Z. GONZALEZ</v>
      </c>
      <c r="D150" s="13">
        <f>'Entry Sheet'!W16</f>
        <v>13</v>
      </c>
      <c r="E150" s="589" t="s">
        <v>522</v>
      </c>
    </row>
    <row r="151" ht="15.75" customHeight="1">
      <c r="A151" s="586" t="str">
        <f>Settings!$A$3</f>
        <v>DECOUPES</v>
      </c>
      <c r="B151" s="842" t="s">
        <v>162</v>
      </c>
      <c r="C151" s="13" t="str">
        <f>'Entry Sheet'!V17</f>
        <v>NE HC</v>
      </c>
      <c r="D151" s="13">
        <f>'Entry Sheet'!W17</f>
        <v>12.1</v>
      </c>
      <c r="E151" s="589" t="s">
        <v>522</v>
      </c>
    </row>
    <row r="152" ht="15.75" customHeight="1">
      <c r="A152" s="586" t="str">
        <f>Settings!$A$3</f>
        <v>DECOUPES</v>
      </c>
      <c r="B152" s="587" t="s">
        <v>100</v>
      </c>
      <c r="C152" s="13" t="str">
        <f>'Entry Sheet'!X5</f>
        <v>D. PRESCOTT</v>
      </c>
      <c r="D152" s="13">
        <f>'Entry Sheet'!Y5</f>
        <v>33.76</v>
      </c>
      <c r="E152" s="846" t="s">
        <v>523</v>
      </c>
    </row>
    <row r="153" ht="15.75" customHeight="1">
      <c r="A153" s="586" t="str">
        <f>Settings!$A$3</f>
        <v>DECOUPES</v>
      </c>
      <c r="B153" s="596" t="s">
        <v>106</v>
      </c>
      <c r="C153" s="13" t="str">
        <f>'Entry Sheet'!X6</f>
        <v>J. GIBBS</v>
      </c>
      <c r="D153" s="13">
        <f>'Entry Sheet'!Y6</f>
        <v>58.9</v>
      </c>
      <c r="E153" s="846" t="s">
        <v>523</v>
      </c>
    </row>
    <row r="154" ht="15.75" customHeight="1">
      <c r="A154" s="586" t="str">
        <f>Settings!$A$3</f>
        <v>DECOUPES</v>
      </c>
      <c r="B154" s="596" t="s">
        <v>106</v>
      </c>
      <c r="C154" s="13" t="str">
        <f>'Entry Sheet'!X7</f>
        <v>J. WARREN</v>
      </c>
      <c r="D154" s="13">
        <f>'Entry Sheet'!Y7</f>
        <v>14.6</v>
      </c>
      <c r="E154" s="846" t="s">
        <v>523</v>
      </c>
    </row>
    <row r="155" ht="15.75" customHeight="1">
      <c r="A155" s="586" t="str">
        <f>Settings!$A$3</f>
        <v>DECOUPES</v>
      </c>
      <c r="B155" s="596" t="s">
        <v>106</v>
      </c>
      <c r="C155" s="13" t="str">
        <f>'Entry Sheet'!X8</f>
        <v/>
      </c>
      <c r="D155" s="13" t="str">
        <f>'Entry Sheet'!Y8</f>
        <v/>
      </c>
      <c r="E155" s="846" t="s">
        <v>523</v>
      </c>
    </row>
    <row r="156" ht="15.75" customHeight="1">
      <c r="A156" s="586" t="str">
        <f>Settings!$A$3</f>
        <v>DECOUPES</v>
      </c>
      <c r="B156" s="712" t="s">
        <v>117</v>
      </c>
      <c r="C156" s="13" t="str">
        <f>'Entry Sheet'!X9</f>
        <v>C. LAMB</v>
      </c>
      <c r="D156" s="13">
        <f>'Entry Sheet'!Y9</f>
        <v>11.5</v>
      </c>
      <c r="E156" s="846" t="s">
        <v>523</v>
      </c>
    </row>
    <row r="157" ht="15.75" customHeight="1">
      <c r="A157" s="586" t="str">
        <f>Settings!$A$3</f>
        <v>DECOUPES</v>
      </c>
      <c r="B157" s="712" t="s">
        <v>117</v>
      </c>
      <c r="C157" s="13" t="str">
        <f>'Entry Sheet'!X10</f>
        <v>R. RICE</v>
      </c>
      <c r="D157" s="13">
        <f>'Entry Sheet'!Y10</f>
        <v>25.1</v>
      </c>
      <c r="E157" s="846" t="s">
        <v>523</v>
      </c>
    </row>
    <row r="158" ht="15.75" customHeight="1">
      <c r="A158" s="586" t="str">
        <f>Settings!$A$3</f>
        <v>DECOUPES</v>
      </c>
      <c r="B158" s="712" t="s">
        <v>117</v>
      </c>
      <c r="C158" s="13" t="str">
        <f>'Entry Sheet'!X11</f>
        <v>W. ROBINSON</v>
      </c>
      <c r="D158" s="13">
        <f>'Entry Sheet'!Y11</f>
        <v>31.7</v>
      </c>
      <c r="E158" s="846" t="s">
        <v>523</v>
      </c>
    </row>
    <row r="159" ht="15.75" customHeight="1">
      <c r="A159" s="586" t="str">
        <f>Settings!$A$3</f>
        <v>DECOUPES</v>
      </c>
      <c r="B159" s="712" t="s">
        <v>117</v>
      </c>
      <c r="C159" s="13" t="str">
        <f>'Entry Sheet'!X12</f>
        <v/>
      </c>
      <c r="D159" s="13" t="str">
        <f>'Entry Sheet'!Y12</f>
        <v/>
      </c>
      <c r="E159" s="846" t="s">
        <v>523</v>
      </c>
    </row>
    <row r="160" ht="15.75" customHeight="1">
      <c r="A160" s="586" t="str">
        <f>Settings!$A$3</f>
        <v>DECOUPES</v>
      </c>
      <c r="B160" s="764" t="s">
        <v>132</v>
      </c>
      <c r="C160" s="13" t="str">
        <f>'Entry Sheet'!X13</f>
        <v>T. KELCE</v>
      </c>
      <c r="D160" s="13">
        <f>'Entry Sheet'!Y13</f>
        <v>8.5</v>
      </c>
      <c r="E160" s="846" t="s">
        <v>523</v>
      </c>
    </row>
    <row r="161" ht="15.75" customHeight="1">
      <c r="A161" s="586" t="str">
        <f>Settings!$A$3</f>
        <v>DECOUPES</v>
      </c>
      <c r="B161" s="795" t="s">
        <v>136</v>
      </c>
      <c r="C161" s="13" t="str">
        <f>'Entry Sheet'!X14</f>
        <v>J. MEYERS</v>
      </c>
      <c r="D161" s="13">
        <f>'Entry Sheet'!Y14</f>
        <v>15</v>
      </c>
      <c r="E161" s="846" t="s">
        <v>523</v>
      </c>
    </row>
    <row r="162" ht="15.75" customHeight="1">
      <c r="A162" s="586" t="str">
        <f>Settings!$A$3</f>
        <v>DECOUPES</v>
      </c>
      <c r="B162" s="818" t="s">
        <v>139</v>
      </c>
      <c r="C162" s="13" t="str">
        <f>'Entry Sheet'!X15</f>
        <v>JAX D/ST</v>
      </c>
      <c r="D162" s="13">
        <f>'Entry Sheet'!Y15</f>
        <v>19.39</v>
      </c>
      <c r="E162" s="846" t="s">
        <v>523</v>
      </c>
    </row>
    <row r="163" ht="15.75" customHeight="1">
      <c r="A163" s="586" t="str">
        <f>Settings!$A$3</f>
        <v>DECOUPES</v>
      </c>
      <c r="B163" s="833" t="s">
        <v>146</v>
      </c>
      <c r="C163" s="13" t="str">
        <f>'Entry Sheet'!X16</f>
        <v>Z. GONZALEZ</v>
      </c>
      <c r="D163" s="13">
        <f>'Entry Sheet'!Y16</f>
        <v>17</v>
      </c>
      <c r="E163" s="846" t="s">
        <v>523</v>
      </c>
    </row>
    <row r="164" ht="15.75" customHeight="1">
      <c r="A164" s="586" t="str">
        <f>Settings!$A$3</f>
        <v>DECOUPES</v>
      </c>
      <c r="B164" s="842" t="s">
        <v>162</v>
      </c>
      <c r="C164" s="13" t="str">
        <f>'Entry Sheet'!X17</f>
        <v>SEA HC</v>
      </c>
      <c r="D164" s="13">
        <f>'Entry Sheet'!Y17</f>
        <v>12</v>
      </c>
      <c r="E164" s="846" t="s">
        <v>523</v>
      </c>
    </row>
    <row r="165" ht="15.75" customHeight="1">
      <c r="A165" s="586" t="str">
        <f>Settings!$A$3</f>
        <v>DECOUPES</v>
      </c>
      <c r="B165" s="587" t="s">
        <v>100</v>
      </c>
      <c r="C165" s="13" t="str">
        <f>'Entry Sheet'!Z5</f>
        <v>D. PRESCOTT</v>
      </c>
      <c r="D165" s="13">
        <f>'Entry Sheet'!AA5</f>
        <v>28.1</v>
      </c>
      <c r="E165" s="589" t="s">
        <v>524</v>
      </c>
    </row>
    <row r="166" ht="15.75" customHeight="1">
      <c r="A166" s="586" t="str">
        <f>Settings!$A$3</f>
        <v>DECOUPES</v>
      </c>
      <c r="B166" s="596" t="s">
        <v>106</v>
      </c>
      <c r="C166" s="13" t="str">
        <f>'Entry Sheet'!Z6</f>
        <v>J. GIBBS</v>
      </c>
      <c r="D166" s="13">
        <f>'Entry Sheet'!AA6</f>
        <v>13.6</v>
      </c>
      <c r="E166" s="589" t="s">
        <v>524</v>
      </c>
    </row>
    <row r="167" ht="15.75" customHeight="1">
      <c r="A167" s="586" t="str">
        <f>Settings!$A$3</f>
        <v>DECOUPES</v>
      </c>
      <c r="B167" s="596" t="s">
        <v>106</v>
      </c>
      <c r="C167" s="13" t="str">
        <f>'Entry Sheet'!Z7</f>
        <v>J. WARREN</v>
      </c>
      <c r="D167" s="13">
        <f>'Entry Sheet'!AA7</f>
        <v>13.4</v>
      </c>
      <c r="E167" s="589" t="s">
        <v>524</v>
      </c>
    </row>
    <row r="168" ht="15.75" customHeight="1">
      <c r="A168" s="586" t="str">
        <f>Settings!$A$3</f>
        <v>DECOUPES</v>
      </c>
      <c r="B168" s="596" t="s">
        <v>106</v>
      </c>
      <c r="C168" s="13" t="str">
        <f>'Entry Sheet'!Z8</f>
        <v/>
      </c>
      <c r="D168" s="13" t="str">
        <f>'Entry Sheet'!AA8</f>
        <v/>
      </c>
      <c r="E168" s="589" t="s">
        <v>524</v>
      </c>
    </row>
    <row r="169" ht="15.75" customHeight="1">
      <c r="A169" s="586" t="str">
        <f>Settings!$A$3</f>
        <v>DECOUPES</v>
      </c>
      <c r="B169" s="712" t="s">
        <v>117</v>
      </c>
      <c r="C169" s="13" t="str">
        <f>'Entry Sheet'!Z9</f>
        <v>C. LAMB</v>
      </c>
      <c r="D169" s="13">
        <f>'Entry Sheet'!AA9</f>
        <v>25.2</v>
      </c>
      <c r="E169" s="589" t="s">
        <v>524</v>
      </c>
    </row>
    <row r="170" ht="15.75" customHeight="1">
      <c r="A170" s="586" t="str">
        <f>Settings!$A$3</f>
        <v>DECOUPES</v>
      </c>
      <c r="B170" s="712" t="s">
        <v>117</v>
      </c>
      <c r="C170" s="13" t="str">
        <f>'Entry Sheet'!Z10</f>
        <v>R. RICE</v>
      </c>
      <c r="D170" s="13">
        <f>'Entry Sheet'!AA10</f>
        <v>29.5</v>
      </c>
      <c r="E170" s="589" t="s">
        <v>524</v>
      </c>
    </row>
    <row r="171" ht="15.75" customHeight="1">
      <c r="A171" s="586" t="str">
        <f>Settings!$A$3</f>
        <v>DECOUPES</v>
      </c>
      <c r="B171" s="712" t="s">
        <v>117</v>
      </c>
      <c r="C171" s="13" t="str">
        <f>'Entry Sheet'!Z11</f>
        <v>W. ROBINSON</v>
      </c>
      <c r="D171" s="13">
        <f>'Entry Sheet'!AA11</f>
        <v>10.4</v>
      </c>
      <c r="E171" s="589" t="s">
        <v>524</v>
      </c>
    </row>
    <row r="172" ht="15.75" customHeight="1">
      <c r="A172" s="586" t="str">
        <f>Settings!$A$3</f>
        <v>DECOUPES</v>
      </c>
      <c r="B172" s="712" t="s">
        <v>117</v>
      </c>
      <c r="C172" s="13" t="str">
        <f>'Entry Sheet'!Z12</f>
        <v/>
      </c>
      <c r="D172" s="13" t="str">
        <f>'Entry Sheet'!AA12</f>
        <v/>
      </c>
      <c r="E172" s="589" t="s">
        <v>524</v>
      </c>
    </row>
    <row r="173" ht="15.75" customHeight="1">
      <c r="A173" s="586" t="str">
        <f>Settings!$A$3</f>
        <v>DECOUPES</v>
      </c>
      <c r="B173" s="764" t="s">
        <v>132</v>
      </c>
      <c r="C173" s="13" t="str">
        <f>'Entry Sheet'!Z13</f>
        <v>T. KELCE</v>
      </c>
      <c r="D173" s="13">
        <f>'Entry Sheet'!AA13</f>
        <v>15.5</v>
      </c>
      <c r="E173" s="589" t="s">
        <v>524</v>
      </c>
    </row>
    <row r="174" ht="15.75" customHeight="1">
      <c r="A174" s="586" t="str">
        <f>Settings!$A$3</f>
        <v>DECOUPES</v>
      </c>
      <c r="B174" s="795" t="s">
        <v>136</v>
      </c>
      <c r="C174" s="13" t="str">
        <f>'Entry Sheet'!Z14</f>
        <v>J. MEYERS</v>
      </c>
      <c r="D174" s="13">
        <f>'Entry Sheet'!AA14</f>
        <v>21.4</v>
      </c>
      <c r="E174" s="589" t="s">
        <v>524</v>
      </c>
    </row>
    <row r="175" ht="15.75" customHeight="1">
      <c r="A175" s="586" t="str">
        <f>Settings!$A$3</f>
        <v>DECOUPES</v>
      </c>
      <c r="B175" s="818" t="s">
        <v>139</v>
      </c>
      <c r="C175" s="13" t="str">
        <f>'Entry Sheet'!Z15</f>
        <v>JAX D/ST</v>
      </c>
      <c r="D175" s="13">
        <f>'Entry Sheet'!AA15</f>
        <v>25.02</v>
      </c>
      <c r="E175" s="589" t="s">
        <v>524</v>
      </c>
    </row>
    <row r="176" ht="15.75" customHeight="1">
      <c r="A176" s="586" t="str">
        <f>Settings!$A$3</f>
        <v>DECOUPES</v>
      </c>
      <c r="B176" s="833" t="s">
        <v>146</v>
      </c>
      <c r="C176" s="13" t="str">
        <f>'Entry Sheet'!Z16</f>
        <v>Z. GONZALEZ</v>
      </c>
      <c r="D176" s="13">
        <f>'Entry Sheet'!AA16</f>
        <v>8</v>
      </c>
      <c r="E176" s="589" t="s">
        <v>524</v>
      </c>
    </row>
    <row r="177" ht="15.75" customHeight="1">
      <c r="A177" s="586" t="str">
        <f>Settings!$A$3</f>
        <v>DECOUPES</v>
      </c>
      <c r="B177" s="842" t="s">
        <v>162</v>
      </c>
      <c r="C177" s="13" t="str">
        <f>'Entry Sheet'!Z17</f>
        <v>SEA HC</v>
      </c>
      <c r="D177" s="13">
        <f>'Entry Sheet'!AA17</f>
        <v>19.8</v>
      </c>
      <c r="E177" s="589" t="s">
        <v>524</v>
      </c>
    </row>
    <row r="178" ht="15.75" customHeight="1">
      <c r="A178" s="586" t="str">
        <f>Settings!$A$3</f>
        <v>DECOUPES</v>
      </c>
      <c r="B178" s="587" t="s">
        <v>100</v>
      </c>
      <c r="C178" s="13" t="str">
        <f>'Entry Sheet'!AB5</f>
        <v>D. PRESCOTT</v>
      </c>
      <c r="D178" s="13">
        <f>'Entry Sheet'!AC5</f>
        <v>23.14</v>
      </c>
      <c r="E178" s="846" t="s">
        <v>525</v>
      </c>
    </row>
    <row r="179" ht="15.75" customHeight="1">
      <c r="A179" s="586" t="str">
        <f>Settings!$A$3</f>
        <v>DECOUPES</v>
      </c>
      <c r="B179" s="596" t="s">
        <v>106</v>
      </c>
      <c r="C179" s="13" t="str">
        <f>'Entry Sheet'!AB6</f>
        <v>B. IRVING</v>
      </c>
      <c r="D179" s="13">
        <f>'Entry Sheet'!AC6</f>
        <v>17.6</v>
      </c>
      <c r="E179" s="846" t="s">
        <v>525</v>
      </c>
    </row>
    <row r="180" ht="15.75" customHeight="1">
      <c r="A180" s="586" t="str">
        <f>Settings!$A$3</f>
        <v>DECOUPES</v>
      </c>
      <c r="B180" s="596" t="s">
        <v>106</v>
      </c>
      <c r="C180" s="13" t="str">
        <f>'Entry Sheet'!AB7</f>
        <v>J. GIBBS</v>
      </c>
      <c r="D180" s="13">
        <f>'Entry Sheet'!AC7</f>
        <v>38.2</v>
      </c>
      <c r="E180" s="846" t="s">
        <v>525</v>
      </c>
    </row>
    <row r="181" ht="15.75" customHeight="1">
      <c r="A181" s="586" t="str">
        <f>Settings!$A$3</f>
        <v>DECOUPES</v>
      </c>
      <c r="B181" s="596" t="s">
        <v>106</v>
      </c>
      <c r="C181" s="13" t="str">
        <f>'Entry Sheet'!AB8</f>
        <v/>
      </c>
      <c r="D181" s="13" t="str">
        <f>'Entry Sheet'!AC8</f>
        <v/>
      </c>
      <c r="E181" s="846" t="s">
        <v>525</v>
      </c>
    </row>
    <row r="182" ht="15.75" customHeight="1">
      <c r="A182" s="586" t="str">
        <f>Settings!$A$3</f>
        <v>DECOUPES</v>
      </c>
      <c r="B182" s="712" t="s">
        <v>117</v>
      </c>
      <c r="C182" s="13" t="str">
        <f>'Entry Sheet'!AB9</f>
        <v>C. LAMB</v>
      </c>
      <c r="D182" s="13">
        <f>'Entry Sheet'!AC9</f>
        <v>19.1</v>
      </c>
      <c r="E182" s="846" t="s">
        <v>525</v>
      </c>
    </row>
    <row r="183" ht="15.75" customHeight="1">
      <c r="A183" s="586" t="str">
        <f>Settings!$A$3</f>
        <v>DECOUPES</v>
      </c>
      <c r="B183" s="712" t="s">
        <v>117</v>
      </c>
      <c r="C183" s="13" t="str">
        <f>'Entry Sheet'!AB10</f>
        <v>R. RICE</v>
      </c>
      <c r="D183" s="13">
        <f>'Entry Sheet'!AC10</f>
        <v>7.4</v>
      </c>
      <c r="E183" s="846" t="s">
        <v>525</v>
      </c>
    </row>
    <row r="184" ht="15.75" customHeight="1">
      <c r="A184" s="586" t="str">
        <f>Settings!$A$3</f>
        <v>DECOUPES</v>
      </c>
      <c r="B184" s="712" t="s">
        <v>117</v>
      </c>
      <c r="C184" s="13" t="str">
        <f>'Entry Sheet'!AB11</f>
        <v>J. MEYERS</v>
      </c>
      <c r="D184" s="13">
        <f>'Entry Sheet'!AC11</f>
        <v>15.1</v>
      </c>
      <c r="E184" s="846" t="s">
        <v>525</v>
      </c>
    </row>
    <row r="185" ht="15.75" customHeight="1">
      <c r="A185" s="586" t="str">
        <f>Settings!$A$3</f>
        <v>DECOUPES</v>
      </c>
      <c r="B185" s="712" t="s">
        <v>117</v>
      </c>
      <c r="C185" s="13" t="str">
        <f>'Entry Sheet'!AB12</f>
        <v/>
      </c>
      <c r="D185" s="13" t="str">
        <f>'Entry Sheet'!AC12</f>
        <v/>
      </c>
      <c r="E185" s="846" t="s">
        <v>525</v>
      </c>
    </row>
    <row r="186" ht="15.75" customHeight="1">
      <c r="A186" s="586" t="str">
        <f>Settings!$A$3</f>
        <v>DECOUPES</v>
      </c>
      <c r="B186" s="764" t="s">
        <v>132</v>
      </c>
      <c r="C186" s="13" t="str">
        <f>'Entry Sheet'!AB13</f>
        <v>T. KELCE</v>
      </c>
      <c r="D186" s="13">
        <f>'Entry Sheet'!AC13</f>
        <v>1.8</v>
      </c>
      <c r="E186" s="846" t="s">
        <v>525</v>
      </c>
    </row>
    <row r="187" ht="15.75" customHeight="1">
      <c r="A187" s="586" t="str">
        <f>Settings!$A$3</f>
        <v>DECOUPES</v>
      </c>
      <c r="B187" s="795" t="s">
        <v>136</v>
      </c>
      <c r="C187" s="13" t="str">
        <f>'Entry Sheet'!AB14</f>
        <v>J. WARREN</v>
      </c>
      <c r="D187" s="13">
        <f>'Entry Sheet'!AC14</f>
        <v>16.95</v>
      </c>
      <c r="E187" s="846" t="s">
        <v>525</v>
      </c>
    </row>
    <row r="188" ht="15.75" customHeight="1">
      <c r="A188" s="586" t="str">
        <f>Settings!$A$3</f>
        <v>DECOUPES</v>
      </c>
      <c r="B188" s="818" t="s">
        <v>139</v>
      </c>
      <c r="C188" s="13" t="str">
        <f>'Entry Sheet'!AB15</f>
        <v>LAR D/ST</v>
      </c>
      <c r="D188" s="13">
        <f>'Entry Sheet'!AC15</f>
        <v>17.88</v>
      </c>
      <c r="E188" s="846" t="s">
        <v>525</v>
      </c>
    </row>
    <row r="189" ht="15.75" customHeight="1">
      <c r="A189" s="586" t="str">
        <f>Settings!$A$3</f>
        <v>DECOUPES</v>
      </c>
      <c r="B189" s="833" t="s">
        <v>146</v>
      </c>
      <c r="C189" s="13" t="str">
        <f>'Entry Sheet'!AB16</f>
        <v>Z. GONZALEZ</v>
      </c>
      <c r="D189" s="13">
        <f>'Entry Sheet'!AC16</f>
        <v>9</v>
      </c>
      <c r="E189" s="846" t="s">
        <v>525</v>
      </c>
    </row>
    <row r="190" ht="15.75" customHeight="1">
      <c r="A190" s="586" t="str">
        <f>Settings!$A$3</f>
        <v>DECOUPES</v>
      </c>
      <c r="B190" s="842" t="s">
        <v>162</v>
      </c>
      <c r="C190" s="13" t="str">
        <f>'Entry Sheet'!AB17</f>
        <v>SEA HC</v>
      </c>
      <c r="D190" s="13">
        <f>'Entry Sheet'!AC17</f>
        <v>23.1</v>
      </c>
      <c r="E190" s="846" t="s">
        <v>525</v>
      </c>
    </row>
    <row r="191" ht="15.75" customHeight="1">
      <c r="A191" s="857" t="str">
        <f>Settings!$A$4</f>
        <v>POPEYES</v>
      </c>
      <c r="B191" s="587" t="s">
        <v>100</v>
      </c>
      <c r="C191" s="13" t="str">
        <f>'Entry Sheet'!B26</f>
        <v>B. MAYFIELD</v>
      </c>
      <c r="D191" s="13">
        <f>'Entry Sheet'!C26</f>
        <v>29.48</v>
      </c>
      <c r="E191" s="589" t="s">
        <v>512</v>
      </c>
    </row>
    <row r="192" ht="15.75" customHeight="1">
      <c r="A192" s="857" t="str">
        <f>Settings!$A$4</f>
        <v>POPEYES</v>
      </c>
      <c r="B192" s="596" t="s">
        <v>106</v>
      </c>
      <c r="C192" s="13" t="str">
        <f>'Entry Sheet'!B27</f>
        <v>D. ACHANE</v>
      </c>
      <c r="D192" s="13">
        <f>'Entry Sheet'!C27</f>
        <v>17.2</v>
      </c>
      <c r="E192" s="589" t="s">
        <v>512</v>
      </c>
    </row>
    <row r="193" ht="15.75" customHeight="1">
      <c r="A193" s="857" t="str">
        <f>Settings!$A$4</f>
        <v>POPEYES</v>
      </c>
      <c r="B193" s="596" t="s">
        <v>106</v>
      </c>
      <c r="C193" s="13" t="str">
        <f>'Entry Sheet'!B28</f>
        <v>T. HENDERSON</v>
      </c>
      <c r="D193" s="13">
        <f>'Entry Sheet'!C28</f>
        <v>13.75</v>
      </c>
      <c r="E193" s="589" t="s">
        <v>512</v>
      </c>
    </row>
    <row r="194" ht="15.75" customHeight="1">
      <c r="A194" s="857" t="str">
        <f>Settings!$A$4</f>
        <v>POPEYES</v>
      </c>
      <c r="B194" s="596" t="s">
        <v>106</v>
      </c>
      <c r="C194" s="13" t="str">
        <f>'Entry Sheet'!B29</f>
        <v/>
      </c>
      <c r="D194" s="13" t="str">
        <f>'Entry Sheet'!C29</f>
        <v/>
      </c>
      <c r="E194" s="589" t="s">
        <v>512</v>
      </c>
    </row>
    <row r="195" ht="15.75" customHeight="1">
      <c r="A195" s="857" t="str">
        <f>Settings!$A$4</f>
        <v>POPEYES</v>
      </c>
      <c r="B195" s="712" t="s">
        <v>117</v>
      </c>
      <c r="C195" s="13" t="str">
        <f>'Entry Sheet'!B30</f>
        <v>J. JEFFERSON</v>
      </c>
      <c r="D195" s="13">
        <f>'Entry Sheet'!C30</f>
        <v>14.9</v>
      </c>
      <c r="E195" s="589" t="s">
        <v>512</v>
      </c>
    </row>
    <row r="196" ht="15.75" customHeight="1">
      <c r="A196" s="857" t="str">
        <f>Settings!$A$4</f>
        <v>POPEYES</v>
      </c>
      <c r="B196" s="712" t="s">
        <v>117</v>
      </c>
      <c r="C196" s="13" t="str">
        <f>'Entry Sheet'!B31</f>
        <v>P. NACUA</v>
      </c>
      <c r="D196" s="13">
        <f>'Entry Sheet'!C31</f>
        <v>24.2</v>
      </c>
      <c r="E196" s="589" t="s">
        <v>512</v>
      </c>
    </row>
    <row r="197" ht="15.75" customHeight="1">
      <c r="A197" s="857" t="str">
        <f>Settings!$A$4</f>
        <v>POPEYES</v>
      </c>
      <c r="B197" s="712" t="s">
        <v>117</v>
      </c>
      <c r="C197" s="13" t="str">
        <f>'Entry Sheet'!B32</f>
        <v>B. THOMAS JR</v>
      </c>
      <c r="D197" s="13">
        <f>'Entry Sheet'!C32</f>
        <v>9.1</v>
      </c>
      <c r="E197" s="589" t="s">
        <v>512</v>
      </c>
    </row>
    <row r="198" ht="15.75" customHeight="1">
      <c r="A198" s="857" t="str">
        <f>Settings!$A$4</f>
        <v>POPEYES</v>
      </c>
      <c r="B198" s="712" t="s">
        <v>117</v>
      </c>
      <c r="C198" s="13" t="str">
        <f>'Entry Sheet'!B33</f>
        <v/>
      </c>
      <c r="D198" s="13" t="str">
        <f>'Entry Sheet'!C33</f>
        <v/>
      </c>
      <c r="E198" s="589" t="s">
        <v>512</v>
      </c>
    </row>
    <row r="199" ht="15.75" customHeight="1">
      <c r="A199" s="857" t="str">
        <f>Settings!$A$4</f>
        <v>POPEYES</v>
      </c>
      <c r="B199" s="764" t="s">
        <v>132</v>
      </c>
      <c r="C199" s="13" t="str">
        <f>'Entry Sheet'!B34</f>
        <v>T. HOCKENSON</v>
      </c>
      <c r="D199" s="13">
        <f>'Entry Sheet'!C34</f>
        <v>4.5</v>
      </c>
      <c r="E199" s="589" t="s">
        <v>512</v>
      </c>
    </row>
    <row r="200" ht="15.75" customHeight="1">
      <c r="A200" s="857" t="str">
        <f>Settings!$A$4</f>
        <v>POPEYES</v>
      </c>
      <c r="B200" s="795" t="s">
        <v>136</v>
      </c>
      <c r="C200" s="13" t="str">
        <f>'Entry Sheet'!B35</f>
        <v>K. WALKER III</v>
      </c>
      <c r="D200" s="13">
        <f>'Entry Sheet'!C35</f>
        <v>6.4</v>
      </c>
      <c r="E200" s="589" t="s">
        <v>512</v>
      </c>
    </row>
    <row r="201" ht="15.75" customHeight="1">
      <c r="A201" s="857" t="str">
        <f>Settings!$A$4</f>
        <v>POPEYES</v>
      </c>
      <c r="B201" s="818" t="s">
        <v>139</v>
      </c>
      <c r="C201" s="13" t="str">
        <f>'Entry Sheet'!B36</f>
        <v>NE D/ST</v>
      </c>
      <c r="D201" s="13">
        <f>'Entry Sheet'!C36</f>
        <v>15.83</v>
      </c>
      <c r="E201" s="589" t="s">
        <v>512</v>
      </c>
    </row>
    <row r="202" ht="15.75" customHeight="1">
      <c r="A202" s="857" t="str">
        <f>Settings!$A$4</f>
        <v>POPEYES</v>
      </c>
      <c r="B202" s="833" t="s">
        <v>146</v>
      </c>
      <c r="C202" s="13" t="str">
        <f>'Entry Sheet'!B37</f>
        <v>T. LOOP</v>
      </c>
      <c r="D202" s="13">
        <f>'Entry Sheet'!C37</f>
        <v>14</v>
      </c>
      <c r="E202" s="589" t="s">
        <v>512</v>
      </c>
    </row>
    <row r="203" ht="15.75" customHeight="1">
      <c r="A203" s="857" t="str">
        <f>Settings!$A$4</f>
        <v>POPEYES</v>
      </c>
      <c r="B203" s="842" t="s">
        <v>162</v>
      </c>
      <c r="C203" s="13" t="str">
        <f>'Entry Sheet'!B38</f>
        <v>LAR HC</v>
      </c>
      <c r="D203" s="13">
        <f>'Entry Sheet'!C38</f>
        <v>7.2</v>
      </c>
      <c r="E203" s="589" t="s">
        <v>512</v>
      </c>
    </row>
    <row r="204" ht="15.75" customHeight="1">
      <c r="A204" s="857" t="str">
        <f>Settings!$A$4</f>
        <v>POPEYES</v>
      </c>
      <c r="B204" s="587" t="s">
        <v>100</v>
      </c>
      <c r="C204" s="13" t="str">
        <f>'Entry Sheet'!D26</f>
        <v>B. MAYFIELD</v>
      </c>
      <c r="D204" s="13">
        <f>'Entry Sheet'!E26</f>
        <v>26.6</v>
      </c>
      <c r="E204" s="846" t="s">
        <v>513</v>
      </c>
    </row>
    <row r="205" ht="15.75" customHeight="1">
      <c r="A205" s="857" t="str">
        <f>Settings!$A$4</f>
        <v>POPEYES</v>
      </c>
      <c r="B205" s="596" t="s">
        <v>106</v>
      </c>
      <c r="C205" s="13" t="str">
        <f>'Entry Sheet'!D27</f>
        <v>D. ACHANE</v>
      </c>
      <c r="D205" s="13">
        <f>'Entry Sheet'!E27</f>
        <v>27.3</v>
      </c>
      <c r="E205" s="846" t="s">
        <v>513</v>
      </c>
    </row>
    <row r="206" ht="15.75" customHeight="1">
      <c r="A206" s="857" t="str">
        <f>Settings!$A$4</f>
        <v>POPEYES</v>
      </c>
      <c r="B206" s="596" t="s">
        <v>106</v>
      </c>
      <c r="C206" s="13" t="str">
        <f>'Entry Sheet'!D28</f>
        <v>T. HENDERSON</v>
      </c>
      <c r="D206" s="13">
        <f>'Entry Sheet'!E28</f>
        <v>6.3</v>
      </c>
      <c r="E206" s="846" t="s">
        <v>513</v>
      </c>
    </row>
    <row r="207" ht="15.75" customHeight="1">
      <c r="A207" s="857" t="str">
        <f>Settings!$A$4</f>
        <v>POPEYES</v>
      </c>
      <c r="B207" s="596" t="s">
        <v>106</v>
      </c>
      <c r="C207" s="13" t="str">
        <f>'Entry Sheet'!D29</f>
        <v/>
      </c>
      <c r="D207" s="13" t="str">
        <f>'Entry Sheet'!E29</f>
        <v/>
      </c>
      <c r="E207" s="846" t="s">
        <v>513</v>
      </c>
    </row>
    <row r="208" ht="15.75" customHeight="1">
      <c r="A208" s="857" t="str">
        <f>Settings!$A$4</f>
        <v>POPEYES</v>
      </c>
      <c r="B208" s="712" t="s">
        <v>117</v>
      </c>
      <c r="C208" s="13" t="str">
        <f>'Entry Sheet'!D30</f>
        <v>J. JEFFERSON</v>
      </c>
      <c r="D208" s="13">
        <f>'Entry Sheet'!E30</f>
        <v>11.1</v>
      </c>
      <c r="E208" s="846" t="s">
        <v>513</v>
      </c>
    </row>
    <row r="209" ht="15.75" customHeight="1">
      <c r="A209" s="857" t="str">
        <f>Settings!$A$4</f>
        <v>POPEYES</v>
      </c>
      <c r="B209" s="712" t="s">
        <v>117</v>
      </c>
      <c r="C209" s="13" t="str">
        <f>'Entry Sheet'!D31</f>
        <v>P. NACUA</v>
      </c>
      <c r="D209" s="13">
        <f>'Entry Sheet'!E31</f>
        <v>27.7</v>
      </c>
      <c r="E209" s="846" t="s">
        <v>513</v>
      </c>
    </row>
    <row r="210" ht="15.75" customHeight="1">
      <c r="A210" s="857" t="str">
        <f>Settings!$A$4</f>
        <v>POPEYES</v>
      </c>
      <c r="B210" s="712" t="s">
        <v>117</v>
      </c>
      <c r="C210" s="13" t="str">
        <f>'Entry Sheet'!D32</f>
        <v>B. THOMAS JR</v>
      </c>
      <c r="D210" s="13">
        <f>'Entry Sheet'!E32</f>
        <v>8.9</v>
      </c>
      <c r="E210" s="846" t="s">
        <v>513</v>
      </c>
    </row>
    <row r="211" ht="15.75" customHeight="1">
      <c r="A211" s="857" t="str">
        <f>Settings!$A$4</f>
        <v>POPEYES</v>
      </c>
      <c r="B211" s="712" t="s">
        <v>117</v>
      </c>
      <c r="C211" s="13" t="str">
        <f>'Entry Sheet'!D33</f>
        <v/>
      </c>
      <c r="D211" s="13" t="str">
        <f>'Entry Sheet'!E33</f>
        <v/>
      </c>
      <c r="E211" s="846" t="s">
        <v>513</v>
      </c>
    </row>
    <row r="212" ht="15.75" customHeight="1">
      <c r="A212" s="857" t="str">
        <f>Settings!$A$4</f>
        <v>POPEYES</v>
      </c>
      <c r="B212" s="764" t="s">
        <v>132</v>
      </c>
      <c r="C212" s="13" t="str">
        <f>'Entry Sheet'!D34</f>
        <v>T. HOCKENSON</v>
      </c>
      <c r="D212" s="13">
        <f>'Entry Sheet'!E34</f>
        <v>2.2</v>
      </c>
      <c r="E212" s="846" t="s">
        <v>513</v>
      </c>
    </row>
    <row r="213" ht="15.75" customHeight="1">
      <c r="A213" s="857" t="str">
        <f>Settings!$A$4</f>
        <v>POPEYES</v>
      </c>
      <c r="B213" s="795" t="s">
        <v>136</v>
      </c>
      <c r="C213" s="13" t="str">
        <f>'Entry Sheet'!D35</f>
        <v>E. EGBUKA</v>
      </c>
      <c r="D213" s="13">
        <f>'Entry Sheet'!E35</f>
        <v>12.9</v>
      </c>
      <c r="E213" s="846" t="s">
        <v>513</v>
      </c>
    </row>
    <row r="214" ht="15.75" customHeight="1">
      <c r="A214" s="857" t="str">
        <f>Settings!$A$4</f>
        <v>POPEYES</v>
      </c>
      <c r="B214" s="818" t="s">
        <v>139</v>
      </c>
      <c r="C214" s="13" t="str">
        <f>'Entry Sheet'!D36</f>
        <v>IND D/ST</v>
      </c>
      <c r="D214" s="13">
        <f>'Entry Sheet'!E36</f>
        <v>7.32</v>
      </c>
      <c r="E214" s="846" t="s">
        <v>513</v>
      </c>
    </row>
    <row r="215" ht="15.75" customHeight="1">
      <c r="A215" s="857" t="str">
        <f>Settings!$A$4</f>
        <v>POPEYES</v>
      </c>
      <c r="B215" s="833" t="s">
        <v>146</v>
      </c>
      <c r="C215" s="13" t="str">
        <f>'Entry Sheet'!D37</f>
        <v>T. LOOP</v>
      </c>
      <c r="D215" s="13">
        <f>'Entry Sheet'!E37</f>
        <v>12</v>
      </c>
      <c r="E215" s="846" t="s">
        <v>513</v>
      </c>
    </row>
    <row r="216" ht="15.75" customHeight="1">
      <c r="A216" s="857" t="str">
        <f>Settings!$A$4</f>
        <v>POPEYES</v>
      </c>
      <c r="B216" s="842" t="s">
        <v>162</v>
      </c>
      <c r="C216" s="13" t="str">
        <f>'Entry Sheet'!D38</f>
        <v>LAR HC</v>
      </c>
      <c r="D216" s="13">
        <f>'Entry Sheet'!E38</f>
        <v>13.9</v>
      </c>
      <c r="E216" s="846" t="s">
        <v>513</v>
      </c>
    </row>
    <row r="217" ht="15.75" customHeight="1">
      <c r="A217" s="857" t="str">
        <f>Settings!$A$4</f>
        <v>POPEYES</v>
      </c>
      <c r="B217" s="587" t="s">
        <v>100</v>
      </c>
      <c r="C217" s="13" t="str">
        <f>'Entry Sheet'!F26</f>
        <v>B. MAYFIELD</v>
      </c>
      <c r="D217" s="13">
        <f>'Entry Sheet'!G26</f>
        <v>21.92</v>
      </c>
      <c r="E217" s="589" t="s">
        <v>514</v>
      </c>
    </row>
    <row r="218" ht="15.75" customHeight="1">
      <c r="A218" s="857" t="str">
        <f>Settings!$A$4</f>
        <v>POPEYES</v>
      </c>
      <c r="B218" s="596" t="s">
        <v>106</v>
      </c>
      <c r="C218" s="13" t="str">
        <f>'Entry Sheet'!F27</f>
        <v>D. ACHANE</v>
      </c>
      <c r="D218" s="13">
        <f>'Entry Sheet'!G27</f>
        <v>17.3</v>
      </c>
      <c r="E218" s="589" t="s">
        <v>514</v>
      </c>
    </row>
    <row r="219" ht="15.75" customHeight="1">
      <c r="A219" s="857" t="str">
        <f>Settings!$A$4</f>
        <v>POPEYES</v>
      </c>
      <c r="B219" s="596" t="s">
        <v>106</v>
      </c>
      <c r="C219" s="13" t="str">
        <f>'Entry Sheet'!F28</f>
        <v>K. WALKER III</v>
      </c>
      <c r="D219" s="13">
        <f>'Entry Sheet'!G28</f>
        <v>19.6</v>
      </c>
      <c r="E219" s="589" t="s">
        <v>514</v>
      </c>
    </row>
    <row r="220" ht="15.75" customHeight="1">
      <c r="A220" s="857" t="str">
        <f>Settings!$A$4</f>
        <v>POPEYES</v>
      </c>
      <c r="B220" s="596" t="s">
        <v>106</v>
      </c>
      <c r="C220" s="13" t="str">
        <f>'Entry Sheet'!F29</f>
        <v/>
      </c>
      <c r="D220" s="13" t="str">
        <f>'Entry Sheet'!G29</f>
        <v/>
      </c>
      <c r="E220" s="589" t="s">
        <v>514</v>
      </c>
    </row>
    <row r="221" ht="15.75" customHeight="1">
      <c r="A221" s="857" t="str">
        <f>Settings!$A$4</f>
        <v>POPEYES</v>
      </c>
      <c r="B221" s="712" t="s">
        <v>117</v>
      </c>
      <c r="C221" s="13" t="str">
        <f>'Entry Sheet'!F30</f>
        <v>J. JEFFERSON</v>
      </c>
      <c r="D221" s="13">
        <f>'Entry Sheet'!G30</f>
        <v>12.5</v>
      </c>
      <c r="E221" s="589" t="s">
        <v>514</v>
      </c>
    </row>
    <row r="222" ht="15.75" customHeight="1">
      <c r="A222" s="857" t="str">
        <f>Settings!$A$4</f>
        <v>POPEYES</v>
      </c>
      <c r="B222" s="712" t="s">
        <v>117</v>
      </c>
      <c r="C222" s="13" t="str">
        <f>'Entry Sheet'!F31</f>
        <v>P. NACUA</v>
      </c>
      <c r="D222" s="13">
        <f>'Entry Sheet'!G31</f>
        <v>23.9</v>
      </c>
      <c r="E222" s="589" t="s">
        <v>514</v>
      </c>
    </row>
    <row r="223" ht="15.75" customHeight="1">
      <c r="A223" s="857" t="str">
        <f>Settings!$A$4</f>
        <v>POPEYES</v>
      </c>
      <c r="B223" s="712" t="s">
        <v>117</v>
      </c>
      <c r="C223" s="13" t="str">
        <f>'Entry Sheet'!F32</f>
        <v>B. THOMAS JR</v>
      </c>
      <c r="D223" s="13">
        <f>'Entry Sheet'!G32</f>
        <v>7.5</v>
      </c>
      <c r="E223" s="589" t="s">
        <v>514</v>
      </c>
    </row>
    <row r="224" ht="15.75" customHeight="1">
      <c r="A224" s="857" t="str">
        <f>Settings!$A$4</f>
        <v>POPEYES</v>
      </c>
      <c r="B224" s="712" t="s">
        <v>117</v>
      </c>
      <c r="C224" s="13" t="str">
        <f>'Entry Sheet'!F33</f>
        <v/>
      </c>
      <c r="D224" s="13" t="str">
        <f>'Entry Sheet'!G33</f>
        <v/>
      </c>
      <c r="E224" s="589" t="s">
        <v>514</v>
      </c>
    </row>
    <row r="225" ht="15.75" customHeight="1">
      <c r="A225" s="857" t="str">
        <f>Settings!$A$4</f>
        <v>POPEYES</v>
      </c>
      <c r="B225" s="764" t="s">
        <v>132</v>
      </c>
      <c r="C225" s="13" t="str">
        <f>'Entry Sheet'!F34</f>
        <v>K. PITTS SR</v>
      </c>
      <c r="D225" s="13">
        <f>'Entry Sheet'!G34</f>
        <v>7.9</v>
      </c>
      <c r="E225" s="589" t="s">
        <v>514</v>
      </c>
    </row>
    <row r="226" ht="15.75" customHeight="1">
      <c r="A226" s="857" t="str">
        <f>Settings!$A$4</f>
        <v>POPEYES</v>
      </c>
      <c r="B226" s="795" t="s">
        <v>136</v>
      </c>
      <c r="C226" s="13" t="str">
        <f>'Entry Sheet'!F35</f>
        <v>J. MASON</v>
      </c>
      <c r="D226" s="13">
        <f>'Entry Sheet'!G35</f>
        <v>26.2</v>
      </c>
      <c r="E226" s="589" t="s">
        <v>514</v>
      </c>
    </row>
    <row r="227" ht="15.75" customHeight="1">
      <c r="A227" s="857" t="str">
        <f>Settings!$A$4</f>
        <v>POPEYES</v>
      </c>
      <c r="B227" s="818" t="s">
        <v>139</v>
      </c>
      <c r="C227" s="13" t="str">
        <f>'Entry Sheet'!F36</f>
        <v>IND D/ST</v>
      </c>
      <c r="D227" s="13">
        <f>'Entry Sheet'!G36</f>
        <v>27.2</v>
      </c>
      <c r="E227" s="589" t="s">
        <v>514</v>
      </c>
    </row>
    <row r="228" ht="15.75" customHeight="1">
      <c r="A228" s="857" t="str">
        <f>Settings!$A$4</f>
        <v>POPEYES</v>
      </c>
      <c r="B228" s="833" t="s">
        <v>146</v>
      </c>
      <c r="C228" s="13" t="str">
        <f>'Entry Sheet'!F37</f>
        <v>T. LOOP</v>
      </c>
      <c r="D228" s="13">
        <f>'Entry Sheet'!G37</f>
        <v>7</v>
      </c>
      <c r="E228" s="589" t="s">
        <v>514</v>
      </c>
    </row>
    <row r="229" ht="15.75" customHeight="1">
      <c r="A229" s="857" t="str">
        <f>Settings!$A$4</f>
        <v>POPEYES</v>
      </c>
      <c r="B229" s="842" t="s">
        <v>162</v>
      </c>
      <c r="C229" s="13" t="str">
        <f>'Entry Sheet'!F38</f>
        <v>SEA HC</v>
      </c>
      <c r="D229" s="13">
        <f>'Entry Sheet'!G38</f>
        <v>25.2</v>
      </c>
      <c r="E229" s="589" t="s">
        <v>514</v>
      </c>
    </row>
    <row r="230" ht="15.75" customHeight="1">
      <c r="A230" s="857" t="str">
        <f>Settings!$A$4</f>
        <v>POPEYES</v>
      </c>
      <c r="B230" s="587" t="s">
        <v>100</v>
      </c>
      <c r="C230" s="13" t="str">
        <f>'Entry Sheet'!H26</f>
        <v>M. STAFFORD</v>
      </c>
      <c r="D230" s="13">
        <f>'Entry Sheet'!I26</f>
        <v>38.2</v>
      </c>
      <c r="E230" s="846" t="s">
        <v>515</v>
      </c>
    </row>
    <row r="231" ht="15.75" customHeight="1">
      <c r="A231" s="857" t="str">
        <f>Settings!$A$4</f>
        <v>POPEYES</v>
      </c>
      <c r="B231" s="596" t="s">
        <v>106</v>
      </c>
      <c r="C231" s="13" t="str">
        <f>'Entry Sheet'!H27</f>
        <v>D. ACHANE</v>
      </c>
      <c r="D231" s="13">
        <f>'Entry Sheet'!I27</f>
        <v>19.1</v>
      </c>
      <c r="E231" s="846" t="s">
        <v>515</v>
      </c>
    </row>
    <row r="232" ht="15.75" customHeight="1">
      <c r="A232" s="857" t="str">
        <f>Settings!$A$4</f>
        <v>POPEYES</v>
      </c>
      <c r="B232" s="596" t="s">
        <v>106</v>
      </c>
      <c r="C232" s="13" t="str">
        <f>'Entry Sheet'!H28</f>
        <v>J. MASON</v>
      </c>
      <c r="D232" s="13">
        <f>'Entry Sheet'!I28</f>
        <v>11.8</v>
      </c>
      <c r="E232" s="846" t="s">
        <v>515</v>
      </c>
    </row>
    <row r="233" ht="15.75" customHeight="1">
      <c r="A233" s="857" t="str">
        <f>Settings!$A$4</f>
        <v>POPEYES</v>
      </c>
      <c r="B233" s="596" t="s">
        <v>106</v>
      </c>
      <c r="C233" s="13" t="str">
        <f>'Entry Sheet'!H29</f>
        <v/>
      </c>
      <c r="D233" s="13" t="str">
        <f>'Entry Sheet'!I29</f>
        <v/>
      </c>
      <c r="E233" s="846" t="s">
        <v>515</v>
      </c>
    </row>
    <row r="234" ht="15.75" customHeight="1">
      <c r="A234" s="857" t="str">
        <f>Settings!$A$4</f>
        <v>POPEYES</v>
      </c>
      <c r="B234" s="712" t="s">
        <v>117</v>
      </c>
      <c r="C234" s="13" t="str">
        <f>'Entry Sheet'!H30</f>
        <v>J. JEFFERSON</v>
      </c>
      <c r="D234" s="13">
        <f>'Entry Sheet'!I30</f>
        <v>23.6</v>
      </c>
      <c r="E234" s="846" t="s">
        <v>515</v>
      </c>
    </row>
    <row r="235" ht="15.75" customHeight="1">
      <c r="A235" s="857" t="str">
        <f>Settings!$A$4</f>
        <v>POPEYES</v>
      </c>
      <c r="B235" s="712" t="s">
        <v>117</v>
      </c>
      <c r="C235" s="13" t="str">
        <f>'Entry Sheet'!H31</f>
        <v>P. NACUA</v>
      </c>
      <c r="D235" s="13">
        <f>'Entry Sheet'!I31</f>
        <v>37</v>
      </c>
      <c r="E235" s="846" t="s">
        <v>515</v>
      </c>
    </row>
    <row r="236" ht="15.75" customHeight="1">
      <c r="A236" s="857" t="str">
        <f>Settings!$A$4</f>
        <v>POPEYES</v>
      </c>
      <c r="B236" s="712" t="s">
        <v>117</v>
      </c>
      <c r="C236" s="13" t="str">
        <f>'Entry Sheet'!H32</f>
        <v>E. EGBUKA</v>
      </c>
      <c r="D236" s="13">
        <f>'Entry Sheet'!I32</f>
        <v>21.2</v>
      </c>
      <c r="E236" s="846" t="s">
        <v>515</v>
      </c>
    </row>
    <row r="237" ht="15.75" customHeight="1">
      <c r="A237" s="857" t="str">
        <f>Settings!$A$4</f>
        <v>POPEYES</v>
      </c>
      <c r="B237" s="712" t="s">
        <v>117</v>
      </c>
      <c r="C237" s="13" t="str">
        <f>'Entry Sheet'!H33</f>
        <v/>
      </c>
      <c r="D237" s="13" t="str">
        <f>'Entry Sheet'!I33</f>
        <v/>
      </c>
      <c r="E237" s="846" t="s">
        <v>515</v>
      </c>
    </row>
    <row r="238" ht="15.75" customHeight="1">
      <c r="A238" s="857" t="str">
        <f>Settings!$A$4</f>
        <v>POPEYES</v>
      </c>
      <c r="B238" s="764" t="s">
        <v>132</v>
      </c>
      <c r="C238" s="13" t="str">
        <f>'Entry Sheet'!H34</f>
        <v>T. HOCKENSON</v>
      </c>
      <c r="D238" s="13">
        <f>'Entry Sheet'!I34</f>
        <v>7.9</v>
      </c>
      <c r="E238" s="846" t="s">
        <v>515</v>
      </c>
    </row>
    <row r="239" ht="15.75" customHeight="1">
      <c r="A239" s="857" t="str">
        <f>Settings!$A$4</f>
        <v>POPEYES</v>
      </c>
      <c r="B239" s="795" t="s">
        <v>136</v>
      </c>
      <c r="C239" s="13" t="str">
        <f>'Entry Sheet'!H35</f>
        <v>K. WALKER III</v>
      </c>
      <c r="D239" s="13">
        <f>'Entry Sheet'!I35</f>
        <v>13.9</v>
      </c>
      <c r="E239" s="846" t="s">
        <v>515</v>
      </c>
    </row>
    <row r="240" ht="15.75" customHeight="1">
      <c r="A240" s="857" t="str">
        <f>Settings!$A$4</f>
        <v>POPEYES</v>
      </c>
      <c r="B240" s="818" t="s">
        <v>139</v>
      </c>
      <c r="C240" s="13" t="str">
        <f>'Entry Sheet'!H36</f>
        <v>NE D/ST</v>
      </c>
      <c r="D240" s="13">
        <f>'Entry Sheet'!I36</f>
        <v>28.76</v>
      </c>
      <c r="E240" s="846" t="s">
        <v>515</v>
      </c>
    </row>
    <row r="241" ht="15.75" customHeight="1">
      <c r="A241" s="857" t="str">
        <f>Settings!$A$4</f>
        <v>POPEYES</v>
      </c>
      <c r="B241" s="833" t="s">
        <v>146</v>
      </c>
      <c r="C241" s="13" t="str">
        <f>'Entry Sheet'!H37</f>
        <v>T. LOOP</v>
      </c>
      <c r="D241" s="13">
        <f>'Entry Sheet'!I37</f>
        <v>9</v>
      </c>
      <c r="E241" s="846" t="s">
        <v>515</v>
      </c>
    </row>
    <row r="242" ht="15.75" customHeight="1">
      <c r="A242" s="857" t="str">
        <f>Settings!$A$4</f>
        <v>POPEYES</v>
      </c>
      <c r="B242" s="842" t="s">
        <v>162</v>
      </c>
      <c r="C242" s="13" t="str">
        <f>'Entry Sheet'!H38</f>
        <v>SEA HC</v>
      </c>
      <c r="D242" s="13">
        <f>'Entry Sheet'!I38</f>
        <v>8.9</v>
      </c>
      <c r="E242" s="846" t="s">
        <v>515</v>
      </c>
    </row>
    <row r="243" ht="15.75" customHeight="1">
      <c r="A243" s="857" t="str">
        <f>Settings!$A$4</f>
        <v>POPEYES</v>
      </c>
      <c r="B243" s="587" t="s">
        <v>100</v>
      </c>
      <c r="C243" s="13" t="str">
        <f>'Entry Sheet'!J26</f>
        <v>M. STAFFORD</v>
      </c>
      <c r="D243" s="13">
        <f>'Entry Sheet'!K26</f>
        <v>35.26</v>
      </c>
      <c r="E243" s="589" t="s">
        <v>516</v>
      </c>
    </row>
    <row r="244" ht="15.75" customHeight="1">
      <c r="A244" s="857" t="str">
        <f>Settings!$A$4</f>
        <v>POPEYES</v>
      </c>
      <c r="B244" s="596" t="s">
        <v>106</v>
      </c>
      <c r="C244" s="13" t="str">
        <f>'Entry Sheet'!J27</f>
        <v>D. ACHANE</v>
      </c>
      <c r="D244" s="13">
        <f>'Entry Sheet'!K27</f>
        <v>17.6</v>
      </c>
      <c r="E244" s="589" t="s">
        <v>516</v>
      </c>
    </row>
    <row r="245" ht="15.75" customHeight="1">
      <c r="A245" s="857" t="str">
        <f>Settings!$A$4</f>
        <v>POPEYES</v>
      </c>
      <c r="B245" s="596" t="s">
        <v>106</v>
      </c>
      <c r="C245" s="13" t="str">
        <f>'Entry Sheet'!J28</f>
        <v>J. MASON</v>
      </c>
      <c r="D245" s="13">
        <f>'Entry Sheet'!K28</f>
        <v>13.9</v>
      </c>
      <c r="E245" s="589" t="s">
        <v>516</v>
      </c>
    </row>
    <row r="246" ht="15.75" customHeight="1">
      <c r="A246" s="857" t="str">
        <f>Settings!$A$4</f>
        <v>POPEYES</v>
      </c>
      <c r="B246" s="596" t="s">
        <v>106</v>
      </c>
      <c r="C246" s="13" t="str">
        <f>'Entry Sheet'!J29</f>
        <v/>
      </c>
      <c r="D246" s="13" t="str">
        <f>'Entry Sheet'!K29</f>
        <v/>
      </c>
      <c r="E246" s="589" t="s">
        <v>516</v>
      </c>
    </row>
    <row r="247" ht="15.75" customHeight="1">
      <c r="A247" s="857" t="str">
        <f>Settings!$A$4</f>
        <v>POPEYES</v>
      </c>
      <c r="B247" s="712" t="s">
        <v>117</v>
      </c>
      <c r="C247" s="13" t="str">
        <f>'Entry Sheet'!J30</f>
        <v>J. JEFFERSON</v>
      </c>
      <c r="D247" s="13">
        <f>'Entry Sheet'!K30</f>
        <v>20.3</v>
      </c>
      <c r="E247" s="589" t="s">
        <v>516</v>
      </c>
    </row>
    <row r="248" ht="15.75" customHeight="1">
      <c r="A248" s="857" t="str">
        <f>Settings!$A$4</f>
        <v>POPEYES</v>
      </c>
      <c r="B248" s="712" t="s">
        <v>117</v>
      </c>
      <c r="C248" s="13" t="str">
        <f>'Entry Sheet'!J31</f>
        <v>P. NACUA</v>
      </c>
      <c r="D248" s="13">
        <f>'Entry Sheet'!K31</f>
        <v>24.5</v>
      </c>
      <c r="E248" s="589" t="s">
        <v>516</v>
      </c>
    </row>
    <row r="249" ht="15.75" customHeight="1">
      <c r="A249" s="857" t="str">
        <f>Settings!$A$4</f>
        <v>POPEYES</v>
      </c>
      <c r="B249" s="712" t="s">
        <v>117</v>
      </c>
      <c r="C249" s="13" t="str">
        <f>'Entry Sheet'!J32</f>
        <v>E. EGBUKA</v>
      </c>
      <c r="D249" s="13">
        <f>'Entry Sheet'!K32</f>
        <v>32.3</v>
      </c>
      <c r="E249" s="589" t="s">
        <v>516</v>
      </c>
    </row>
    <row r="250" ht="15.75" customHeight="1">
      <c r="A250" s="857" t="str">
        <f>Settings!$A$4</f>
        <v>POPEYES</v>
      </c>
      <c r="B250" s="712" t="s">
        <v>117</v>
      </c>
      <c r="C250" s="13" t="str">
        <f>'Entry Sheet'!J33</f>
        <v/>
      </c>
      <c r="D250" s="13" t="str">
        <f>'Entry Sheet'!K33</f>
        <v/>
      </c>
      <c r="E250" s="589" t="s">
        <v>516</v>
      </c>
    </row>
    <row r="251" ht="15.75" customHeight="1">
      <c r="A251" s="857" t="str">
        <f>Settings!$A$4</f>
        <v>POPEYES</v>
      </c>
      <c r="B251" s="764" t="s">
        <v>132</v>
      </c>
      <c r="C251" s="13" t="str">
        <f>'Entry Sheet'!J34</f>
        <v>T. HOCKENSON</v>
      </c>
      <c r="D251" s="13">
        <f>'Entry Sheet'!K34</f>
        <v>9.8</v>
      </c>
      <c r="E251" s="589" t="s">
        <v>516</v>
      </c>
    </row>
    <row r="252" ht="15.75" customHeight="1">
      <c r="A252" s="857" t="str">
        <f>Settings!$A$4</f>
        <v>POPEYES</v>
      </c>
      <c r="B252" s="795" t="s">
        <v>136</v>
      </c>
      <c r="C252" s="13" t="str">
        <f>'Entry Sheet'!J35</f>
        <v>K. WALKER III</v>
      </c>
      <c r="D252" s="13">
        <f>'Entry Sheet'!K35</f>
        <v>10.6</v>
      </c>
      <c r="E252" s="589" t="s">
        <v>516</v>
      </c>
    </row>
    <row r="253" ht="15.75" customHeight="1">
      <c r="A253" s="857" t="str">
        <f>Settings!$A$4</f>
        <v>POPEYES</v>
      </c>
      <c r="B253" s="818" t="s">
        <v>139</v>
      </c>
      <c r="C253" s="13" t="str">
        <f>'Entry Sheet'!J36</f>
        <v>IND D/ST</v>
      </c>
      <c r="D253" s="13">
        <f>'Entry Sheet'!K36</f>
        <v>26.7</v>
      </c>
      <c r="E253" s="589" t="s">
        <v>516</v>
      </c>
    </row>
    <row r="254" ht="15.75" customHeight="1">
      <c r="A254" s="857" t="str">
        <f>Settings!$A$4</f>
        <v>POPEYES</v>
      </c>
      <c r="B254" s="833" t="s">
        <v>146</v>
      </c>
      <c r="C254" s="13" t="str">
        <f>'Entry Sheet'!J37</f>
        <v>T. LOOP</v>
      </c>
      <c r="D254" s="13">
        <f>'Entry Sheet'!K37</f>
        <v>3</v>
      </c>
      <c r="E254" s="589" t="s">
        <v>516</v>
      </c>
    </row>
    <row r="255" ht="15.75" customHeight="1">
      <c r="A255" s="857" t="str">
        <f>Settings!$A$4</f>
        <v>POPEYES</v>
      </c>
      <c r="B255" s="842" t="s">
        <v>162</v>
      </c>
      <c r="C255" s="13" t="str">
        <f>'Entry Sheet'!J38</f>
        <v>SEA HC</v>
      </c>
      <c r="D255" s="13">
        <f>'Entry Sheet'!K38</f>
        <v>8.5</v>
      </c>
      <c r="E255" s="589" t="s">
        <v>516</v>
      </c>
    </row>
    <row r="256" ht="15.75" customHeight="1">
      <c r="A256" s="857" t="str">
        <f>Settings!$A$4</f>
        <v>POPEYES</v>
      </c>
      <c r="B256" s="587" t="s">
        <v>100</v>
      </c>
      <c r="C256" s="13" t="str">
        <f>'Entry Sheet'!L26</f>
        <v>M. STAFFORD</v>
      </c>
      <c r="D256" s="13">
        <f>'Entry Sheet'!M26</f>
        <v>13.34</v>
      </c>
      <c r="E256" s="846" t="s">
        <v>517</v>
      </c>
    </row>
    <row r="257" ht="15.75" customHeight="1">
      <c r="A257" s="857" t="str">
        <f>Settings!$A$4</f>
        <v>POPEYES</v>
      </c>
      <c r="B257" s="596" t="s">
        <v>106</v>
      </c>
      <c r="C257" s="13" t="str">
        <f>'Entry Sheet'!L27</f>
        <v>D. ACHANE</v>
      </c>
      <c r="D257" s="13">
        <f>'Entry Sheet'!M27</f>
        <v>33.6</v>
      </c>
      <c r="E257" s="846" t="s">
        <v>517</v>
      </c>
    </row>
    <row r="258" ht="15.75" customHeight="1">
      <c r="A258" s="857" t="str">
        <f>Settings!$A$4</f>
        <v>POPEYES</v>
      </c>
      <c r="B258" s="596" t="s">
        <v>106</v>
      </c>
      <c r="C258" s="13" t="str">
        <f>'Entry Sheet'!L28</f>
        <v>T. HENDERSON</v>
      </c>
      <c r="D258" s="13">
        <f>'Entry Sheet'!M28</f>
        <v>5.5</v>
      </c>
      <c r="E258" s="846" t="s">
        <v>517</v>
      </c>
    </row>
    <row r="259" ht="15.75" customHeight="1">
      <c r="A259" s="857" t="str">
        <f>Settings!$A$4</f>
        <v>POPEYES</v>
      </c>
      <c r="B259" s="596" t="s">
        <v>106</v>
      </c>
      <c r="C259" s="13" t="str">
        <f>'Entry Sheet'!L29</f>
        <v/>
      </c>
      <c r="D259" s="13" t="str">
        <f>'Entry Sheet'!M29</f>
        <v/>
      </c>
      <c r="E259" s="846" t="s">
        <v>517</v>
      </c>
    </row>
    <row r="260" ht="15.75" customHeight="1">
      <c r="A260" s="857" t="str">
        <f>Settings!$A$4</f>
        <v>POPEYES</v>
      </c>
      <c r="B260" s="712" t="s">
        <v>117</v>
      </c>
      <c r="C260" s="13" t="str">
        <f>'Entry Sheet'!L30</f>
        <v>P. NACUA</v>
      </c>
      <c r="D260" s="13">
        <f>'Entry Sheet'!M30</f>
        <v>4.8</v>
      </c>
      <c r="E260" s="846" t="s">
        <v>517</v>
      </c>
    </row>
    <row r="261" ht="15.75" customHeight="1">
      <c r="A261" s="857" t="str">
        <f>Settings!$A$4</f>
        <v>POPEYES</v>
      </c>
      <c r="B261" s="712" t="s">
        <v>117</v>
      </c>
      <c r="C261" s="13" t="str">
        <f>'Entry Sheet'!L31</f>
        <v>E. EGBUKA</v>
      </c>
      <c r="D261" s="13">
        <f>'Entry Sheet'!M31</f>
        <v>4.4</v>
      </c>
      <c r="E261" s="846" t="s">
        <v>517</v>
      </c>
    </row>
    <row r="262" ht="15.75" customHeight="1">
      <c r="A262" s="857" t="str">
        <f>Settings!$A$4</f>
        <v>POPEYES</v>
      </c>
      <c r="B262" s="712" t="s">
        <v>117</v>
      </c>
      <c r="C262" s="13" t="str">
        <f>'Entry Sheet'!L32</f>
        <v>D. SMITH</v>
      </c>
      <c r="D262" s="13">
        <f>'Entry Sheet'!M32</f>
        <v>8.9</v>
      </c>
      <c r="E262" s="846" t="s">
        <v>517</v>
      </c>
    </row>
    <row r="263" ht="15.75" customHeight="1">
      <c r="A263" s="857" t="str">
        <f>Settings!$A$4</f>
        <v>POPEYES</v>
      </c>
      <c r="B263" s="712" t="s">
        <v>117</v>
      </c>
      <c r="C263" s="13" t="str">
        <f>'Entry Sheet'!L33</f>
        <v/>
      </c>
      <c r="D263" s="13" t="str">
        <f>'Entry Sheet'!M33</f>
        <v/>
      </c>
      <c r="E263" s="846" t="s">
        <v>517</v>
      </c>
    </row>
    <row r="264" ht="15.75" customHeight="1">
      <c r="A264" s="857" t="str">
        <f>Settings!$A$4</f>
        <v>POPEYES</v>
      </c>
      <c r="B264" s="764" t="s">
        <v>132</v>
      </c>
      <c r="C264" s="13" t="str">
        <f>'Entry Sheet'!L34</f>
        <v>D. WALLER</v>
      </c>
      <c r="D264" s="13">
        <f>'Entry Sheet'!M34</f>
        <v>9.2</v>
      </c>
      <c r="E264" s="846" t="s">
        <v>517</v>
      </c>
    </row>
    <row r="265" ht="15.75" customHeight="1">
      <c r="A265" s="857" t="str">
        <f>Settings!$A$4</f>
        <v>POPEYES</v>
      </c>
      <c r="B265" s="795" t="s">
        <v>136</v>
      </c>
      <c r="C265" s="13" t="str">
        <f>'Entry Sheet'!L35</f>
        <v>K. WALKER III</v>
      </c>
      <c r="D265" s="13">
        <f>'Entry Sheet'!M35</f>
        <v>5.7</v>
      </c>
      <c r="E265" s="846" t="s">
        <v>517</v>
      </c>
    </row>
    <row r="266" ht="15.75" customHeight="1">
      <c r="A266" s="857" t="str">
        <f>Settings!$A$4</f>
        <v>POPEYES</v>
      </c>
      <c r="B266" s="818" t="s">
        <v>139</v>
      </c>
      <c r="C266" s="13" t="str">
        <f>'Entry Sheet'!L36</f>
        <v>IND D/ST</v>
      </c>
      <c r="D266" s="13">
        <f>'Entry Sheet'!M36</f>
        <v>8.75</v>
      </c>
      <c r="E266" s="846" t="s">
        <v>517</v>
      </c>
    </row>
    <row r="267" ht="15.75" customHeight="1">
      <c r="A267" s="857" t="str">
        <f>Settings!$A$4</f>
        <v>POPEYES</v>
      </c>
      <c r="B267" s="833" t="s">
        <v>146</v>
      </c>
      <c r="C267" s="13" t="str">
        <f>'Entry Sheet'!L37</f>
        <v>J. ELLIOTT</v>
      </c>
      <c r="D267" s="13">
        <f>'Entry Sheet'!M37</f>
        <v>6</v>
      </c>
      <c r="E267" s="846" t="s">
        <v>517</v>
      </c>
    </row>
    <row r="268" ht="15.75" customHeight="1">
      <c r="A268" s="857" t="str">
        <f>Settings!$A$4</f>
        <v>POPEYES</v>
      </c>
      <c r="B268" s="842" t="s">
        <v>162</v>
      </c>
      <c r="C268" s="13" t="str">
        <f>'Entry Sheet'!L38</f>
        <v>LAC HC</v>
      </c>
      <c r="D268" s="13">
        <f>'Entry Sheet'!M38</f>
        <v>10.7</v>
      </c>
      <c r="E268" s="846" t="s">
        <v>517</v>
      </c>
    </row>
    <row r="269" ht="15.75" customHeight="1">
      <c r="A269" s="857" t="str">
        <f>Settings!$A$4</f>
        <v>POPEYES</v>
      </c>
      <c r="B269" s="587" t="s">
        <v>100</v>
      </c>
      <c r="C269" s="13" t="str">
        <f>'Entry Sheet'!N26</f>
        <v>B. MAYFIELD</v>
      </c>
      <c r="D269" s="13">
        <f>'Entry Sheet'!O26</f>
        <v>13.52</v>
      </c>
      <c r="E269" s="589" t="s">
        <v>518</v>
      </c>
    </row>
    <row r="270" ht="15.75" customHeight="1">
      <c r="A270" s="857" t="str">
        <f>Settings!$A$4</f>
        <v>POPEYES</v>
      </c>
      <c r="B270" s="596" t="s">
        <v>106</v>
      </c>
      <c r="C270" s="13" t="str">
        <f>'Entry Sheet'!N27</f>
        <v>D. ACHANE</v>
      </c>
      <c r="D270" s="13">
        <f>'Entry Sheet'!O27</f>
        <v>14.1</v>
      </c>
      <c r="E270" s="589" t="s">
        <v>518</v>
      </c>
    </row>
    <row r="271" ht="15.75" customHeight="1">
      <c r="A271" s="857" t="str">
        <f>Settings!$A$4</f>
        <v>POPEYES</v>
      </c>
      <c r="B271" s="596" t="s">
        <v>106</v>
      </c>
      <c r="C271" s="13" t="str">
        <f>'Entry Sheet'!N28</f>
        <v>J. MASON</v>
      </c>
      <c r="D271" s="13">
        <f>'Entry Sheet'!O28</f>
        <v>13.2</v>
      </c>
      <c r="E271" s="589" t="s">
        <v>518</v>
      </c>
    </row>
    <row r="272" ht="15.75" customHeight="1">
      <c r="A272" s="857" t="str">
        <f>Settings!$A$4</f>
        <v>POPEYES</v>
      </c>
      <c r="B272" s="596" t="s">
        <v>106</v>
      </c>
      <c r="C272" s="13" t="str">
        <f>'Entry Sheet'!N29</f>
        <v/>
      </c>
      <c r="D272" s="13" t="str">
        <f>'Entry Sheet'!O29</f>
        <v/>
      </c>
      <c r="E272" s="589" t="s">
        <v>518</v>
      </c>
    </row>
    <row r="273" ht="15.75" customHeight="1">
      <c r="A273" s="857" t="str">
        <f>Settings!$A$4</f>
        <v>POPEYES</v>
      </c>
      <c r="B273" s="712" t="s">
        <v>117</v>
      </c>
      <c r="C273" s="13" t="str">
        <f>'Entry Sheet'!N30</f>
        <v>J. JEFFERSON</v>
      </c>
      <c r="D273" s="13">
        <f>'Entry Sheet'!O30</f>
        <v>12.9</v>
      </c>
      <c r="E273" s="589" t="s">
        <v>518</v>
      </c>
    </row>
    <row r="274" ht="15.75" customHeight="1">
      <c r="A274" s="857" t="str">
        <f>Settings!$A$4</f>
        <v>POPEYES</v>
      </c>
      <c r="B274" s="712" t="s">
        <v>117</v>
      </c>
      <c r="C274" s="13" t="str">
        <f>'Entry Sheet'!N31</f>
        <v>B. THOMAS JR.</v>
      </c>
      <c r="D274" s="13">
        <f>'Entry Sheet'!O31</f>
        <v>6.1</v>
      </c>
      <c r="E274" s="589" t="s">
        <v>518</v>
      </c>
    </row>
    <row r="275" ht="15.75" customHeight="1">
      <c r="A275" s="857" t="str">
        <f>Settings!$A$4</f>
        <v>POPEYES</v>
      </c>
      <c r="B275" s="712" t="s">
        <v>117</v>
      </c>
      <c r="C275" s="13" t="str">
        <f>'Entry Sheet'!N32</f>
        <v>D. SMITH</v>
      </c>
      <c r="D275" s="13">
        <f>'Entry Sheet'!O32</f>
        <v>34.3</v>
      </c>
      <c r="E275" s="589" t="s">
        <v>518</v>
      </c>
    </row>
    <row r="276" ht="15.75" customHeight="1">
      <c r="A276" s="857" t="str">
        <f>Settings!$A$4</f>
        <v>POPEYES</v>
      </c>
      <c r="B276" s="712" t="s">
        <v>117</v>
      </c>
      <c r="C276" s="13" t="str">
        <f>'Entry Sheet'!N33</f>
        <v/>
      </c>
      <c r="D276" s="13" t="str">
        <f>'Entry Sheet'!O33</f>
        <v/>
      </c>
      <c r="E276" s="589" t="s">
        <v>518</v>
      </c>
    </row>
    <row r="277" ht="15.75" customHeight="1">
      <c r="A277" s="857" t="str">
        <f>Settings!$A$4</f>
        <v>POPEYES</v>
      </c>
      <c r="B277" s="764" t="s">
        <v>132</v>
      </c>
      <c r="C277" s="13" t="str">
        <f>'Entry Sheet'!N34</f>
        <v>K. PITTS SR.</v>
      </c>
      <c r="D277" s="13">
        <f>'Entry Sheet'!O34</f>
        <v>13.2</v>
      </c>
      <c r="E277" s="589" t="s">
        <v>518</v>
      </c>
    </row>
    <row r="278" ht="15.75" customHeight="1">
      <c r="A278" s="857" t="str">
        <f>Settings!$A$4</f>
        <v>POPEYES</v>
      </c>
      <c r="B278" s="795" t="s">
        <v>136</v>
      </c>
      <c r="C278" s="13" t="str">
        <f>'Entry Sheet'!N35</f>
        <v>K. WALKER III</v>
      </c>
      <c r="D278" s="13">
        <f>'Entry Sheet'!O35</f>
        <v>8.3</v>
      </c>
      <c r="E278" s="589" t="s">
        <v>518</v>
      </c>
    </row>
    <row r="279" ht="15.75" customHeight="1">
      <c r="A279" s="857" t="str">
        <f>Settings!$A$4</f>
        <v>POPEYES</v>
      </c>
      <c r="B279" s="818" t="s">
        <v>139</v>
      </c>
      <c r="C279" s="13" t="str">
        <f>'Entry Sheet'!N36</f>
        <v>NE D/ST</v>
      </c>
      <c r="D279" s="13">
        <f>'Entry Sheet'!O36</f>
        <v>27</v>
      </c>
      <c r="E279" s="589" t="s">
        <v>518</v>
      </c>
    </row>
    <row r="280" ht="15.75" customHeight="1">
      <c r="A280" s="857" t="str">
        <f>Settings!$A$4</f>
        <v>POPEYES</v>
      </c>
      <c r="B280" s="833" t="s">
        <v>146</v>
      </c>
      <c r="C280" s="13" t="str">
        <f>'Entry Sheet'!N37</f>
        <v>J. ELLIOTT</v>
      </c>
      <c r="D280" s="13">
        <f>'Entry Sheet'!O37</f>
        <v>2.5</v>
      </c>
      <c r="E280" s="589" t="s">
        <v>518</v>
      </c>
    </row>
    <row r="281" ht="15.75" customHeight="1">
      <c r="A281" s="857" t="str">
        <f>Settings!$A$4</f>
        <v>POPEYES</v>
      </c>
      <c r="B281" s="842" t="s">
        <v>162</v>
      </c>
      <c r="C281" s="13" t="str">
        <f>'Entry Sheet'!N38</f>
        <v>CHI HC</v>
      </c>
      <c r="D281" s="13">
        <f>'Entry Sheet'!O38</f>
        <v>11.8</v>
      </c>
      <c r="E281" s="589" t="s">
        <v>518</v>
      </c>
    </row>
    <row r="282" ht="15.75" customHeight="1">
      <c r="A282" s="857" t="str">
        <f>Settings!$A$4</f>
        <v>POPEYES</v>
      </c>
      <c r="B282" s="587" t="s">
        <v>100</v>
      </c>
      <c r="C282" s="13" t="str">
        <f>'Entry Sheet'!P26</f>
        <v>B. MAYFIELD</v>
      </c>
      <c r="D282" s="13">
        <f>'Entry Sheet'!Q26</f>
        <v>5.28</v>
      </c>
      <c r="E282" s="846" t="s">
        <v>519</v>
      </c>
    </row>
    <row r="283" ht="15.75" customHeight="1">
      <c r="A283" s="857" t="str">
        <f>Settings!$A$4</f>
        <v>POPEYES</v>
      </c>
      <c r="B283" s="596" t="s">
        <v>106</v>
      </c>
      <c r="C283" s="13" t="str">
        <f>'Entry Sheet'!P27</f>
        <v>D. ACHANE</v>
      </c>
      <c r="D283" s="13">
        <f>'Entry Sheet'!Q27</f>
        <v>21.9</v>
      </c>
      <c r="E283" s="846" t="s">
        <v>519</v>
      </c>
    </row>
    <row r="284" ht="15.75" customHeight="1">
      <c r="A284" s="857" t="str">
        <f>Settings!$A$4</f>
        <v>POPEYES</v>
      </c>
      <c r="B284" s="596" t="s">
        <v>106</v>
      </c>
      <c r="C284" s="13" t="str">
        <f>'Entry Sheet'!P28</f>
        <v>J. MASON</v>
      </c>
      <c r="D284" s="13">
        <f>'Entry Sheet'!Q28</f>
        <v>2</v>
      </c>
      <c r="E284" s="846" t="s">
        <v>519</v>
      </c>
    </row>
    <row r="285" ht="15.75" customHeight="1">
      <c r="A285" s="857" t="str">
        <f>Settings!$A$4</f>
        <v>POPEYES</v>
      </c>
      <c r="B285" s="596" t="s">
        <v>106</v>
      </c>
      <c r="C285" s="13" t="str">
        <f>'Entry Sheet'!P29</f>
        <v/>
      </c>
      <c r="D285" s="13" t="str">
        <f>'Entry Sheet'!Q29</f>
        <v/>
      </c>
      <c r="E285" s="846" t="s">
        <v>519</v>
      </c>
    </row>
    <row r="286" ht="15.75" customHeight="1">
      <c r="A286" s="857" t="str">
        <f>Settings!$A$4</f>
        <v>POPEYES</v>
      </c>
      <c r="B286" s="712" t="s">
        <v>117</v>
      </c>
      <c r="C286" s="13" t="str">
        <f>'Entry Sheet'!P30</f>
        <v>J. JEFFERSON</v>
      </c>
      <c r="D286" s="13">
        <f>'Entry Sheet'!Q30</f>
        <v>14.4</v>
      </c>
      <c r="E286" s="846" t="s">
        <v>519</v>
      </c>
    </row>
    <row r="287" ht="15.75" customHeight="1">
      <c r="A287" s="857" t="str">
        <f>Settings!$A$4</f>
        <v>POPEYES</v>
      </c>
      <c r="B287" s="712" t="s">
        <v>117</v>
      </c>
      <c r="C287" s="13" t="str">
        <f>'Entry Sheet'!P31</f>
        <v>E. EGBUKA</v>
      </c>
      <c r="D287" s="13">
        <f>'Entry Sheet'!Q31</f>
        <v>6.5</v>
      </c>
      <c r="E287" s="846" t="s">
        <v>519</v>
      </c>
    </row>
    <row r="288" ht="15.75" customHeight="1">
      <c r="A288" s="857" t="str">
        <f>Settings!$A$4</f>
        <v>POPEYES</v>
      </c>
      <c r="B288" s="712" t="s">
        <v>117</v>
      </c>
      <c r="C288" s="13" t="str">
        <f>'Entry Sheet'!P32</f>
        <v>D. SMITH</v>
      </c>
      <c r="D288" s="13">
        <f>'Entry Sheet'!Q32</f>
        <v>14.4</v>
      </c>
      <c r="E288" s="846" t="s">
        <v>519</v>
      </c>
    </row>
    <row r="289" ht="15.75" customHeight="1">
      <c r="A289" s="857" t="str">
        <f>Settings!$A$4</f>
        <v>POPEYES</v>
      </c>
      <c r="B289" s="712" t="s">
        <v>117</v>
      </c>
      <c r="C289" s="13" t="str">
        <f>'Entry Sheet'!P33</f>
        <v/>
      </c>
      <c r="D289" s="13" t="str">
        <f>'Entry Sheet'!Q33</f>
        <v/>
      </c>
      <c r="E289" s="846" t="s">
        <v>519</v>
      </c>
    </row>
    <row r="290" ht="15.75" customHeight="1">
      <c r="A290" s="857" t="str">
        <f>Settings!$A$4</f>
        <v>POPEYES</v>
      </c>
      <c r="B290" s="764" t="s">
        <v>132</v>
      </c>
      <c r="C290" s="13" t="str">
        <f>'Entry Sheet'!P34</f>
        <v>K. PITTS SR.</v>
      </c>
      <c r="D290" s="13">
        <f>'Entry Sheet'!Q34</f>
        <v>14.9</v>
      </c>
      <c r="E290" s="846" t="s">
        <v>519</v>
      </c>
    </row>
    <row r="291" ht="15.75" customHeight="1">
      <c r="A291" s="857" t="str">
        <f>Settings!$A$4</f>
        <v>POPEYES</v>
      </c>
      <c r="B291" s="795" t="s">
        <v>136</v>
      </c>
      <c r="C291" s="13" t="str">
        <f>'Entry Sheet'!P35</f>
        <v>T.J. HOCKENSON</v>
      </c>
      <c r="D291" s="13">
        <f>'Entry Sheet'!Q35</f>
        <v>4.6</v>
      </c>
      <c r="E291" s="846" t="s">
        <v>519</v>
      </c>
    </row>
    <row r="292" ht="15.75" customHeight="1">
      <c r="A292" s="857" t="str">
        <f>Settings!$A$4</f>
        <v>POPEYES</v>
      </c>
      <c r="B292" s="818" t="s">
        <v>139</v>
      </c>
      <c r="C292" s="13" t="str">
        <f>'Entry Sheet'!P36</f>
        <v>IND D/ST</v>
      </c>
      <c r="D292" s="13">
        <f>'Entry Sheet'!Q36</f>
        <v>16.74</v>
      </c>
      <c r="E292" s="846" t="s">
        <v>519</v>
      </c>
    </row>
    <row r="293" ht="15.75" customHeight="1">
      <c r="A293" s="857" t="str">
        <f>Settings!$A$4</f>
        <v>POPEYES</v>
      </c>
      <c r="B293" s="833" t="s">
        <v>146</v>
      </c>
      <c r="C293" s="13" t="str">
        <f>'Entry Sheet'!P37</f>
        <v>T. LOOP</v>
      </c>
      <c r="D293" s="13">
        <f>'Entry Sheet'!Q37</f>
        <v>13</v>
      </c>
      <c r="E293" s="846" t="s">
        <v>519</v>
      </c>
    </row>
    <row r="294" ht="15.75" customHeight="1">
      <c r="A294" s="857" t="str">
        <f>Settings!$A$4</f>
        <v>POPEYES</v>
      </c>
      <c r="B294" s="842" t="s">
        <v>162</v>
      </c>
      <c r="C294" s="13" t="str">
        <f>'Entry Sheet'!P38</f>
        <v>CHI HC</v>
      </c>
      <c r="D294" s="13">
        <f>'Entry Sheet'!Q38</f>
        <v>0.8</v>
      </c>
      <c r="E294" s="846" t="s">
        <v>519</v>
      </c>
    </row>
    <row r="295" ht="15.75" customHeight="1">
      <c r="A295" s="857" t="str">
        <f>Settings!$A$4</f>
        <v>POPEYES</v>
      </c>
      <c r="B295" s="587" t="s">
        <v>100</v>
      </c>
      <c r="C295" s="13" t="str">
        <f>'Entry Sheet'!R26</f>
        <v>S. DARNOLD</v>
      </c>
      <c r="D295" s="13">
        <f>'Entry Sheet'!S26</f>
        <v>39</v>
      </c>
      <c r="E295" s="589" t="s">
        <v>520</v>
      </c>
    </row>
    <row r="296" ht="15.75" customHeight="1">
      <c r="A296" s="857" t="str">
        <f>Settings!$A$4</f>
        <v>POPEYES</v>
      </c>
      <c r="B296" s="596" t="s">
        <v>106</v>
      </c>
      <c r="C296" s="13" t="str">
        <f>'Entry Sheet'!R27</f>
        <v>D. ACHANE</v>
      </c>
      <c r="D296" s="13">
        <f>'Entry Sheet'!S27</f>
        <v>18</v>
      </c>
      <c r="E296" s="589" t="s">
        <v>520</v>
      </c>
    </row>
    <row r="297" ht="15.75" customHeight="1">
      <c r="A297" s="857" t="str">
        <f>Settings!$A$4</f>
        <v>POPEYES</v>
      </c>
      <c r="B297" s="596" t="s">
        <v>106</v>
      </c>
      <c r="C297" s="13" t="str">
        <f>'Entry Sheet'!R28</f>
        <v>B. KNIGHT</v>
      </c>
      <c r="D297" s="13">
        <f>'Entry Sheet'!S28</f>
        <v>7.6</v>
      </c>
      <c r="E297" s="589" t="s">
        <v>520</v>
      </c>
    </row>
    <row r="298" ht="15.75" customHeight="1">
      <c r="A298" s="857" t="str">
        <f>Settings!$A$4</f>
        <v>POPEYES</v>
      </c>
      <c r="B298" s="596" t="s">
        <v>106</v>
      </c>
      <c r="C298" s="13" t="str">
        <f>'Entry Sheet'!R29</f>
        <v/>
      </c>
      <c r="D298" s="13" t="str">
        <f>'Entry Sheet'!S29</f>
        <v/>
      </c>
      <c r="E298" s="589" t="s">
        <v>520</v>
      </c>
    </row>
    <row r="299" ht="15.75" customHeight="1">
      <c r="A299" s="857" t="str">
        <f>Settings!$A$4</f>
        <v>POPEYES</v>
      </c>
      <c r="B299" s="712" t="s">
        <v>117</v>
      </c>
      <c r="C299" s="13" t="str">
        <f>'Entry Sheet'!R30</f>
        <v>J. JEFFERSON</v>
      </c>
      <c r="D299" s="13">
        <f>'Entry Sheet'!S30</f>
        <v>16.7</v>
      </c>
      <c r="E299" s="589" t="s">
        <v>520</v>
      </c>
    </row>
    <row r="300" ht="15.75" customHeight="1">
      <c r="A300" s="857" t="str">
        <f>Settings!$A$4</f>
        <v>POPEYES</v>
      </c>
      <c r="B300" s="712" t="s">
        <v>117</v>
      </c>
      <c r="C300" s="13" t="str">
        <f>'Entry Sheet'!R31</f>
        <v>P. NACUA</v>
      </c>
      <c r="D300" s="13">
        <f>'Entry Sheet'!S31</f>
        <v>22.9</v>
      </c>
      <c r="E300" s="589" t="s">
        <v>520</v>
      </c>
    </row>
    <row r="301" ht="15.75" customHeight="1">
      <c r="A301" s="857" t="str">
        <f>Settings!$A$4</f>
        <v>POPEYES</v>
      </c>
      <c r="B301" s="712" t="s">
        <v>117</v>
      </c>
      <c r="C301" s="13" t="str">
        <f>'Entry Sheet'!R32</f>
        <v>B. THOMAS</v>
      </c>
      <c r="D301" s="13">
        <f>'Entry Sheet'!S32</f>
        <v>8.5</v>
      </c>
      <c r="E301" s="589" t="s">
        <v>520</v>
      </c>
    </row>
    <row r="302" ht="15.75" customHeight="1">
      <c r="A302" s="857" t="str">
        <f>Settings!$A$4</f>
        <v>POPEYES</v>
      </c>
      <c r="B302" s="712" t="s">
        <v>117</v>
      </c>
      <c r="C302" s="13" t="str">
        <f>'Entry Sheet'!R33</f>
        <v/>
      </c>
      <c r="D302" s="13" t="str">
        <f>'Entry Sheet'!S33</f>
        <v/>
      </c>
      <c r="E302" s="589" t="s">
        <v>520</v>
      </c>
    </row>
    <row r="303" ht="15.75" customHeight="1">
      <c r="A303" s="857" t="str">
        <f>Settings!$A$4</f>
        <v>POPEYES</v>
      </c>
      <c r="B303" s="764" t="s">
        <v>132</v>
      </c>
      <c r="C303" s="13" t="str">
        <f>'Entry Sheet'!R34</f>
        <v>K. PITTS</v>
      </c>
      <c r="D303" s="13">
        <f>'Entry Sheet'!S34</f>
        <v>7.8</v>
      </c>
      <c r="E303" s="589" t="s">
        <v>520</v>
      </c>
    </row>
    <row r="304" ht="15.75" customHeight="1">
      <c r="A304" s="857" t="str">
        <f>Settings!$A$4</f>
        <v>POPEYES</v>
      </c>
      <c r="B304" s="795" t="s">
        <v>136</v>
      </c>
      <c r="C304" s="13" t="str">
        <f>'Entry Sheet'!R35</f>
        <v>K. WALKER</v>
      </c>
      <c r="D304" s="13">
        <f>'Entry Sheet'!S35</f>
        <v>9.2</v>
      </c>
      <c r="E304" s="589" t="s">
        <v>520</v>
      </c>
    </row>
    <row r="305" ht="15.75" customHeight="1">
      <c r="A305" s="857" t="str">
        <f>Settings!$A$4</f>
        <v>POPEYES</v>
      </c>
      <c r="B305" s="818" t="s">
        <v>139</v>
      </c>
      <c r="C305" s="13" t="str">
        <f>'Entry Sheet'!R36</f>
        <v>JAX D/ST</v>
      </c>
      <c r="D305" s="13">
        <f>'Entry Sheet'!S36</f>
        <v>12.07</v>
      </c>
      <c r="E305" s="589" t="s">
        <v>520</v>
      </c>
    </row>
    <row r="306" ht="15.75" customHeight="1">
      <c r="A306" s="857" t="str">
        <f>Settings!$A$4</f>
        <v>POPEYES</v>
      </c>
      <c r="B306" s="833" t="s">
        <v>146</v>
      </c>
      <c r="C306" s="13" t="str">
        <f>'Entry Sheet'!R37</f>
        <v>T. LOOP</v>
      </c>
      <c r="D306" s="13">
        <f>'Entry Sheet'!S37</f>
        <v>4</v>
      </c>
      <c r="E306" s="589" t="s">
        <v>520</v>
      </c>
    </row>
    <row r="307" ht="15.75" customHeight="1">
      <c r="A307" s="857" t="str">
        <f>Settings!$A$4</f>
        <v>POPEYES</v>
      </c>
      <c r="B307" s="842" t="s">
        <v>162</v>
      </c>
      <c r="C307" s="13" t="str">
        <f>'Entry Sheet'!R38</f>
        <v>CHI HC</v>
      </c>
      <c r="D307" s="13">
        <f>'Entry Sheet'!S38</f>
        <v>17.1</v>
      </c>
      <c r="E307" s="589" t="s">
        <v>520</v>
      </c>
    </row>
    <row r="308" ht="15.75" customHeight="1">
      <c r="A308" s="857" t="str">
        <f>Settings!$A$4</f>
        <v>POPEYES</v>
      </c>
      <c r="B308" s="587" t="s">
        <v>100</v>
      </c>
      <c r="C308" s="13" t="str">
        <f>'Entry Sheet'!T26</f>
        <v>B. MAYFIELD</v>
      </c>
      <c r="D308" s="13">
        <f>'Entry Sheet'!U26</f>
        <v>31.52</v>
      </c>
      <c r="E308" s="846" t="s">
        <v>521</v>
      </c>
    </row>
    <row r="309" ht="15.75" customHeight="1">
      <c r="A309" s="857" t="str">
        <f>Settings!$A$4</f>
        <v>POPEYES</v>
      </c>
      <c r="B309" s="596" t="s">
        <v>106</v>
      </c>
      <c r="C309" s="13" t="str">
        <f>'Entry Sheet'!T27</f>
        <v>D. ACHANE</v>
      </c>
      <c r="D309" s="13">
        <f>'Entry Sheet'!U27</f>
        <v>43.7</v>
      </c>
      <c r="E309" s="846" t="s">
        <v>521</v>
      </c>
    </row>
    <row r="310" ht="15.75" customHeight="1">
      <c r="A310" s="857" t="str">
        <f>Settings!$A$4</f>
        <v>POPEYES</v>
      </c>
      <c r="B310" s="596" t="s">
        <v>106</v>
      </c>
      <c r="C310" s="13" t="str">
        <f>'Entry Sheet'!T28</f>
        <v>T. HENDERSON</v>
      </c>
      <c r="D310" s="13">
        <f>'Entry Sheet'!U28</f>
        <v>30.4</v>
      </c>
      <c r="E310" s="846" t="s">
        <v>521</v>
      </c>
    </row>
    <row r="311" ht="15.75" customHeight="1">
      <c r="A311" s="857" t="str">
        <f>Settings!$A$4</f>
        <v>POPEYES</v>
      </c>
      <c r="B311" s="596" t="s">
        <v>106</v>
      </c>
      <c r="C311" s="13" t="str">
        <f>'Entry Sheet'!T29</f>
        <v/>
      </c>
      <c r="D311" s="13" t="str">
        <f>'Entry Sheet'!U29</f>
        <v/>
      </c>
      <c r="E311" s="846" t="s">
        <v>521</v>
      </c>
    </row>
    <row r="312" ht="15.75" customHeight="1">
      <c r="A312" s="857" t="str">
        <f>Settings!$A$4</f>
        <v>POPEYES</v>
      </c>
      <c r="B312" s="712" t="s">
        <v>117</v>
      </c>
      <c r="C312" s="13" t="str">
        <f>'Entry Sheet'!T30</f>
        <v>J. JEFFERSON</v>
      </c>
      <c r="D312" s="13">
        <f>'Entry Sheet'!U30</f>
        <v>7.7</v>
      </c>
      <c r="E312" s="846" t="s">
        <v>521</v>
      </c>
    </row>
    <row r="313" ht="15.75" customHeight="1">
      <c r="A313" s="857" t="str">
        <f>Settings!$A$4</f>
        <v>POPEYES</v>
      </c>
      <c r="B313" s="712" t="s">
        <v>117</v>
      </c>
      <c r="C313" s="13" t="str">
        <f>'Entry Sheet'!T31</f>
        <v>P. NACUA</v>
      </c>
      <c r="D313" s="13">
        <f>'Entry Sheet'!U31</f>
        <v>17.4</v>
      </c>
      <c r="E313" s="846" t="s">
        <v>521</v>
      </c>
    </row>
    <row r="314" ht="15.75" customHeight="1">
      <c r="A314" s="857" t="str">
        <f>Settings!$A$4</f>
        <v>POPEYES</v>
      </c>
      <c r="B314" s="712" t="s">
        <v>117</v>
      </c>
      <c r="C314" s="13" t="str">
        <f>'Entry Sheet'!T32</f>
        <v>E. EGBUKA</v>
      </c>
      <c r="D314" s="13">
        <f>'Entry Sheet'!U32</f>
        <v>24.5</v>
      </c>
      <c r="E314" s="846" t="s">
        <v>521</v>
      </c>
    </row>
    <row r="315" ht="15.75" customHeight="1">
      <c r="A315" s="857" t="str">
        <f>Settings!$A$4</f>
        <v>POPEYES</v>
      </c>
      <c r="B315" s="712" t="s">
        <v>117</v>
      </c>
      <c r="C315" s="13" t="str">
        <f>'Entry Sheet'!T33</f>
        <v/>
      </c>
      <c r="D315" s="13" t="str">
        <f>'Entry Sheet'!U33</f>
        <v/>
      </c>
      <c r="E315" s="846" t="s">
        <v>521</v>
      </c>
    </row>
    <row r="316" ht="15.75" customHeight="1">
      <c r="A316" s="857" t="str">
        <f>Settings!$A$4</f>
        <v>POPEYES</v>
      </c>
      <c r="B316" s="764" t="s">
        <v>132</v>
      </c>
      <c r="C316" s="13" t="str">
        <f>'Entry Sheet'!T34</f>
        <v>K. PITTS</v>
      </c>
      <c r="D316" s="13">
        <f>'Entry Sheet'!U34</f>
        <v>5.8</v>
      </c>
      <c r="E316" s="846" t="s">
        <v>521</v>
      </c>
    </row>
    <row r="317" ht="15.75" customHeight="1">
      <c r="A317" s="857" t="str">
        <f>Settings!$A$4</f>
        <v>POPEYES</v>
      </c>
      <c r="B317" s="795" t="s">
        <v>136</v>
      </c>
      <c r="C317" s="13" t="str">
        <f>'Entry Sheet'!T35</f>
        <v>D. SMITH</v>
      </c>
      <c r="D317" s="13">
        <f>'Entry Sheet'!U35</f>
        <v>16.9</v>
      </c>
      <c r="E317" s="846" t="s">
        <v>521</v>
      </c>
    </row>
    <row r="318" ht="15.75" customHeight="1">
      <c r="A318" s="857" t="str">
        <f>Settings!$A$4</f>
        <v>POPEYES</v>
      </c>
      <c r="B318" s="818" t="s">
        <v>139</v>
      </c>
      <c r="C318" s="13" t="str">
        <f>'Entry Sheet'!T36</f>
        <v>BUF D/ST</v>
      </c>
      <c r="D318" s="13">
        <f>'Entry Sheet'!U36</f>
        <v>6.21</v>
      </c>
      <c r="E318" s="846" t="s">
        <v>521</v>
      </c>
    </row>
    <row r="319" ht="15.75" customHeight="1">
      <c r="A319" s="857" t="str">
        <f>Settings!$A$4</f>
        <v>POPEYES</v>
      </c>
      <c r="B319" s="833" t="s">
        <v>146</v>
      </c>
      <c r="C319" s="13" t="str">
        <f>'Entry Sheet'!T37</f>
        <v>T. LOOP</v>
      </c>
      <c r="D319" s="13">
        <f>'Entry Sheet'!U37</f>
        <v>13</v>
      </c>
      <c r="E319" s="846" t="s">
        <v>521</v>
      </c>
    </row>
    <row r="320" ht="15.75" customHeight="1">
      <c r="A320" s="857" t="str">
        <f>Settings!$A$4</f>
        <v>POPEYES</v>
      </c>
      <c r="B320" s="842" t="s">
        <v>162</v>
      </c>
      <c r="C320" s="13" t="str">
        <f>'Entry Sheet'!T38</f>
        <v>PHI HC</v>
      </c>
      <c r="D320" s="13">
        <f>'Entry Sheet'!U38</f>
        <v>5</v>
      </c>
      <c r="E320" s="846" t="s">
        <v>521</v>
      </c>
    </row>
    <row r="321" ht="15.75" customHeight="1">
      <c r="A321" s="857" t="str">
        <f>Settings!$A$4</f>
        <v>POPEYES</v>
      </c>
      <c r="B321" s="587" t="s">
        <v>100</v>
      </c>
      <c r="C321" s="13" t="str">
        <f>'Entry Sheet'!V26</f>
        <v>B. MAYFIELD</v>
      </c>
      <c r="D321" s="13">
        <f>'Entry Sheet'!W26</f>
        <v>19.32</v>
      </c>
      <c r="E321" s="589" t="s">
        <v>522</v>
      </c>
    </row>
    <row r="322" ht="15.75" customHeight="1">
      <c r="A322" s="857" t="str">
        <f>Settings!$A$4</f>
        <v>POPEYES</v>
      </c>
      <c r="B322" s="596" t="s">
        <v>106</v>
      </c>
      <c r="C322" s="13" t="str">
        <f>'Entry Sheet'!V27</f>
        <v>D. ACHANE</v>
      </c>
      <c r="D322" s="13">
        <f>'Entry Sheet'!W27</f>
        <v>24.6</v>
      </c>
      <c r="E322" s="589" t="s">
        <v>522</v>
      </c>
    </row>
    <row r="323" ht="15.75" customHeight="1">
      <c r="A323" s="857" t="str">
        <f>Settings!$A$4</f>
        <v>POPEYES</v>
      </c>
      <c r="B323" s="596" t="s">
        <v>106</v>
      </c>
      <c r="C323" s="13" t="str">
        <f>'Entry Sheet'!V28</f>
        <v>T. HENDERSON</v>
      </c>
      <c r="D323" s="13">
        <f>'Entry Sheet'!W28</f>
        <v>34.2</v>
      </c>
      <c r="E323" s="589" t="s">
        <v>522</v>
      </c>
    </row>
    <row r="324" ht="15.75" customHeight="1">
      <c r="A324" s="857" t="str">
        <f>Settings!$A$4</f>
        <v>POPEYES</v>
      </c>
      <c r="B324" s="596" t="s">
        <v>106</v>
      </c>
      <c r="C324" s="13" t="str">
        <f>'Entry Sheet'!V29</f>
        <v/>
      </c>
      <c r="D324" s="13" t="str">
        <f>'Entry Sheet'!W29</f>
        <v/>
      </c>
      <c r="E324" s="589" t="s">
        <v>522</v>
      </c>
    </row>
    <row r="325" ht="15.75" customHeight="1">
      <c r="A325" s="857" t="str">
        <f>Settings!$A$4</f>
        <v>POPEYES</v>
      </c>
      <c r="B325" s="712" t="s">
        <v>117</v>
      </c>
      <c r="C325" s="13" t="str">
        <f>'Entry Sheet'!V30</f>
        <v>J. JEFFERSON</v>
      </c>
      <c r="D325" s="13">
        <f>'Entry Sheet'!W30</f>
        <v>11.1</v>
      </c>
      <c r="E325" s="589" t="s">
        <v>522</v>
      </c>
    </row>
    <row r="326" ht="15.75" customHeight="1">
      <c r="A326" s="857" t="str">
        <f>Settings!$A$4</f>
        <v>POPEYES</v>
      </c>
      <c r="B326" s="712" t="s">
        <v>117</v>
      </c>
      <c r="C326" s="13" t="str">
        <f>'Entry Sheet'!V31</f>
        <v>P. NACUA</v>
      </c>
      <c r="D326" s="13">
        <f>'Entry Sheet'!W31</f>
        <v>14.5</v>
      </c>
      <c r="E326" s="589" t="s">
        <v>522</v>
      </c>
    </row>
    <row r="327" ht="15.75" customHeight="1">
      <c r="A327" s="857" t="str">
        <f>Settings!$A$4</f>
        <v>POPEYES</v>
      </c>
      <c r="B327" s="712" t="s">
        <v>117</v>
      </c>
      <c r="C327" s="13" t="str">
        <f>'Entry Sheet'!V32</f>
        <v>E. EGBUKA</v>
      </c>
      <c r="D327" s="13">
        <f>'Entry Sheet'!W32</f>
        <v>9</v>
      </c>
      <c r="E327" s="589" t="s">
        <v>522</v>
      </c>
    </row>
    <row r="328" ht="15.75" customHeight="1">
      <c r="A328" s="857" t="str">
        <f>Settings!$A$4</f>
        <v>POPEYES</v>
      </c>
      <c r="B328" s="712" t="s">
        <v>117</v>
      </c>
      <c r="C328" s="13" t="str">
        <f>'Entry Sheet'!V33</f>
        <v/>
      </c>
      <c r="D328" s="13" t="str">
        <f>'Entry Sheet'!W33</f>
        <v/>
      </c>
      <c r="E328" s="589" t="s">
        <v>522</v>
      </c>
    </row>
    <row r="329" ht="15.75" customHeight="1">
      <c r="A329" s="857" t="str">
        <f>Settings!$A$4</f>
        <v>POPEYES</v>
      </c>
      <c r="B329" s="764" t="s">
        <v>132</v>
      </c>
      <c r="C329" s="13" t="str">
        <f>'Entry Sheet'!V34</f>
        <v>D. SCHULTZ</v>
      </c>
      <c r="D329" s="13">
        <f>'Entry Sheet'!W34</f>
        <v>11.1</v>
      </c>
      <c r="E329" s="589" t="s">
        <v>522</v>
      </c>
    </row>
    <row r="330" ht="15.75" customHeight="1">
      <c r="A330" s="857" t="str">
        <f>Settings!$A$4</f>
        <v>POPEYES</v>
      </c>
      <c r="B330" s="795" t="s">
        <v>136</v>
      </c>
      <c r="C330" s="13" t="str">
        <f>'Entry Sheet'!V35</f>
        <v>D. SMITH</v>
      </c>
      <c r="D330" s="13">
        <f>'Entry Sheet'!W35</f>
        <v>1.8</v>
      </c>
      <c r="E330" s="589" t="s">
        <v>522</v>
      </c>
    </row>
    <row r="331" ht="15.75" customHeight="1">
      <c r="A331" s="857" t="str">
        <f>Settings!$A$4</f>
        <v>POPEYES</v>
      </c>
      <c r="B331" s="818" t="s">
        <v>139</v>
      </c>
      <c r="C331" s="13" t="str">
        <f>'Entry Sheet'!V36</f>
        <v>DAL D/ST</v>
      </c>
      <c r="D331" s="13">
        <f>'Entry Sheet'!W36</f>
        <v>23.67</v>
      </c>
      <c r="E331" s="589" t="s">
        <v>522</v>
      </c>
    </row>
    <row r="332" ht="15.75" customHeight="1">
      <c r="A332" s="857" t="str">
        <f>Settings!$A$4</f>
        <v>POPEYES</v>
      </c>
      <c r="B332" s="833" t="s">
        <v>146</v>
      </c>
      <c r="C332" s="13" t="str">
        <f>'Entry Sheet'!V37</f>
        <v>T. LOOP</v>
      </c>
      <c r="D332" s="13">
        <f>'Entry Sheet'!W37</f>
        <v>12</v>
      </c>
      <c r="E332" s="589" t="s">
        <v>522</v>
      </c>
    </row>
    <row r="333" ht="15.75" customHeight="1">
      <c r="A333" s="857" t="str">
        <f>Settings!$A$4</f>
        <v>POPEYES</v>
      </c>
      <c r="B333" s="842" t="s">
        <v>162</v>
      </c>
      <c r="C333" s="13" t="str">
        <f>'Entry Sheet'!V38</f>
        <v>PHI HC</v>
      </c>
      <c r="D333" s="13">
        <f>'Entry Sheet'!W38</f>
        <v>7.8</v>
      </c>
      <c r="E333" s="589" t="s">
        <v>522</v>
      </c>
    </row>
    <row r="334" ht="15.75" customHeight="1">
      <c r="A334" s="857" t="str">
        <f>Settings!$A$4</f>
        <v>POPEYES</v>
      </c>
      <c r="B334" s="587" t="s">
        <v>100</v>
      </c>
      <c r="C334" s="13" t="str">
        <f>'Entry Sheet'!X26</f>
        <v>S. DARNOLD</v>
      </c>
      <c r="D334" s="13">
        <f>'Entry Sheet'!Y26</f>
        <v>22.96</v>
      </c>
      <c r="E334" s="846" t="s">
        <v>523</v>
      </c>
    </row>
    <row r="335" ht="15.75" customHeight="1">
      <c r="A335" s="857" t="str">
        <f>Settings!$A$4</f>
        <v>POPEYES</v>
      </c>
      <c r="B335" s="596" t="s">
        <v>106</v>
      </c>
      <c r="C335" s="13" t="str">
        <f>'Entry Sheet'!X27</f>
        <v>K. WALKER</v>
      </c>
      <c r="D335" s="13">
        <f>'Entry Sheet'!Y27</f>
        <v>14.2</v>
      </c>
      <c r="E335" s="846" t="s">
        <v>523</v>
      </c>
    </row>
    <row r="336" ht="15.75" customHeight="1">
      <c r="A336" s="857" t="str">
        <f>Settings!$A$4</f>
        <v>POPEYES</v>
      </c>
      <c r="B336" s="596" t="s">
        <v>106</v>
      </c>
      <c r="C336" s="13" t="str">
        <f>'Entry Sheet'!X28</f>
        <v>T. HENDERSON</v>
      </c>
      <c r="D336" s="13">
        <f>'Entry Sheet'!Y28</f>
        <v>12.9</v>
      </c>
      <c r="E336" s="846" t="s">
        <v>523</v>
      </c>
    </row>
    <row r="337" ht="15.75" customHeight="1">
      <c r="A337" s="857" t="str">
        <f>Settings!$A$4</f>
        <v>POPEYES</v>
      </c>
      <c r="B337" s="596" t="s">
        <v>106</v>
      </c>
      <c r="C337" s="13" t="str">
        <f>'Entry Sheet'!X29</f>
        <v/>
      </c>
      <c r="D337" s="13" t="str">
        <f>'Entry Sheet'!Y29</f>
        <v/>
      </c>
      <c r="E337" s="846" t="s">
        <v>523</v>
      </c>
    </row>
    <row r="338" ht="15.75" customHeight="1">
      <c r="A338" s="857" t="str">
        <f>Settings!$A$4</f>
        <v>POPEYES</v>
      </c>
      <c r="B338" s="712" t="s">
        <v>117</v>
      </c>
      <c r="C338" s="13" t="str">
        <f>'Entry Sheet'!X30</f>
        <v>J. JEFFERSON</v>
      </c>
      <c r="D338" s="13">
        <f>'Entry Sheet'!Y30</f>
        <v>8.8</v>
      </c>
      <c r="E338" s="846" t="s">
        <v>523</v>
      </c>
    </row>
    <row r="339" ht="15.75" customHeight="1">
      <c r="A339" s="857" t="str">
        <f>Settings!$A$4</f>
        <v>POPEYES</v>
      </c>
      <c r="B339" s="712" t="s">
        <v>117</v>
      </c>
      <c r="C339" s="13" t="str">
        <f>'Entry Sheet'!X31</f>
        <v>P. NACUA</v>
      </c>
      <c r="D339" s="13">
        <f>'Entry Sheet'!Y31</f>
        <v>16.7</v>
      </c>
      <c r="E339" s="846" t="s">
        <v>523</v>
      </c>
    </row>
    <row r="340" ht="15.75" customHeight="1">
      <c r="A340" s="857" t="str">
        <f>Settings!$A$4</f>
        <v>POPEYES</v>
      </c>
      <c r="B340" s="712" t="s">
        <v>117</v>
      </c>
      <c r="C340" s="13" t="str">
        <f>'Entry Sheet'!X32</f>
        <v>E. EGBUKA</v>
      </c>
      <c r="D340" s="13">
        <f>'Entry Sheet'!Y32</f>
        <v>6.2</v>
      </c>
      <c r="E340" s="846" t="s">
        <v>523</v>
      </c>
    </row>
    <row r="341" ht="15.75" customHeight="1">
      <c r="A341" s="857" t="str">
        <f>Settings!$A$4</f>
        <v>POPEYES</v>
      </c>
      <c r="B341" s="712" t="s">
        <v>117</v>
      </c>
      <c r="C341" s="13" t="str">
        <f>'Entry Sheet'!X33</f>
        <v/>
      </c>
      <c r="D341" s="13" t="str">
        <f>'Entry Sheet'!Y33</f>
        <v/>
      </c>
      <c r="E341" s="846" t="s">
        <v>523</v>
      </c>
    </row>
    <row r="342" ht="15.75" customHeight="1">
      <c r="A342" s="857" t="str">
        <f>Settings!$A$4</f>
        <v>POPEYES</v>
      </c>
      <c r="B342" s="764" t="s">
        <v>132</v>
      </c>
      <c r="C342" s="13" t="str">
        <f>'Entry Sheet'!X34</f>
        <v>K. PITTS</v>
      </c>
      <c r="D342" s="13">
        <f>'Entry Sheet'!Y34</f>
        <v>4.5</v>
      </c>
      <c r="E342" s="846" t="s">
        <v>523</v>
      </c>
    </row>
    <row r="343" ht="15.75" customHeight="1">
      <c r="A343" s="857" t="str">
        <f>Settings!$A$4</f>
        <v>POPEYES</v>
      </c>
      <c r="B343" s="795" t="s">
        <v>136</v>
      </c>
      <c r="C343" s="13" t="str">
        <f>'Entry Sheet'!X35</f>
        <v>D. SMITH</v>
      </c>
      <c r="D343" s="13">
        <f>'Entry Sheet'!Y35</f>
        <v>14.9</v>
      </c>
      <c r="E343" s="846" t="s">
        <v>523</v>
      </c>
    </row>
    <row r="344" ht="15.75" customHeight="1">
      <c r="A344" s="857" t="str">
        <f>Settings!$A$4</f>
        <v>POPEYES</v>
      </c>
      <c r="B344" s="818" t="s">
        <v>139</v>
      </c>
      <c r="C344" s="13" t="str">
        <f>'Entry Sheet'!X36</f>
        <v>CLE D/ST</v>
      </c>
      <c r="D344" s="13">
        <f>'Entry Sheet'!Y36</f>
        <v>39.18</v>
      </c>
      <c r="E344" s="846" t="s">
        <v>523</v>
      </c>
    </row>
    <row r="345" ht="15.75" customHeight="1">
      <c r="A345" s="857" t="str">
        <f>Settings!$A$4</f>
        <v>POPEYES</v>
      </c>
      <c r="B345" s="833" t="s">
        <v>146</v>
      </c>
      <c r="C345" s="13" t="str">
        <f>'Entry Sheet'!X37</f>
        <v>T. LOOP</v>
      </c>
      <c r="D345" s="13">
        <f>'Entry Sheet'!Y37</f>
        <v>11</v>
      </c>
      <c r="E345" s="846" t="s">
        <v>523</v>
      </c>
    </row>
    <row r="346" ht="15.75" customHeight="1">
      <c r="A346" s="857" t="str">
        <f>Settings!$A$4</f>
        <v>POPEYES</v>
      </c>
      <c r="B346" s="842" t="s">
        <v>162</v>
      </c>
      <c r="C346" s="13" t="str">
        <f>'Entry Sheet'!X38</f>
        <v>PHI HC</v>
      </c>
      <c r="D346" s="13">
        <f>'Entry Sheet'!Y38</f>
        <v>4.3</v>
      </c>
      <c r="E346" s="846" t="s">
        <v>523</v>
      </c>
    </row>
    <row r="347" ht="15.75" customHeight="1">
      <c r="A347" s="857" t="str">
        <f>Settings!$A$4</f>
        <v>POPEYES</v>
      </c>
      <c r="B347" s="587" t="s">
        <v>100</v>
      </c>
      <c r="C347" s="13" t="str">
        <f>'Entry Sheet'!Z26</f>
        <v>S. DARNOLD</v>
      </c>
      <c r="D347" s="13">
        <f>'Entry Sheet'!AA26</f>
        <v>3.52</v>
      </c>
      <c r="E347" s="589" t="s">
        <v>524</v>
      </c>
    </row>
    <row r="348" ht="15.75" customHeight="1">
      <c r="A348" s="857" t="str">
        <f>Settings!$A$4</f>
        <v>POPEYES</v>
      </c>
      <c r="B348" s="596" t="s">
        <v>106</v>
      </c>
      <c r="C348" s="13" t="str">
        <f>'Entry Sheet'!Z27</f>
        <v>D. ACHANE</v>
      </c>
      <c r="D348" s="13">
        <f>'Entry Sheet'!AA27</f>
        <v>22.6</v>
      </c>
      <c r="E348" s="589" t="s">
        <v>524</v>
      </c>
    </row>
    <row r="349" ht="15.75" customHeight="1">
      <c r="A349" s="857" t="str">
        <f>Settings!$A$4</f>
        <v>POPEYES</v>
      </c>
      <c r="B349" s="596" t="s">
        <v>106</v>
      </c>
      <c r="C349" s="13" t="str">
        <f>'Entry Sheet'!Z28</f>
        <v>T. HENDERSON</v>
      </c>
      <c r="D349" s="13">
        <f>'Entry Sheet'!AA28</f>
        <v>12.7</v>
      </c>
      <c r="E349" s="589" t="s">
        <v>524</v>
      </c>
    </row>
    <row r="350" ht="15.75" customHeight="1">
      <c r="A350" s="857" t="str">
        <f>Settings!$A$4</f>
        <v>POPEYES</v>
      </c>
      <c r="B350" s="596" t="s">
        <v>106</v>
      </c>
      <c r="C350" s="13" t="str">
        <f>'Entry Sheet'!Z29</f>
        <v/>
      </c>
      <c r="D350" s="13" t="str">
        <f>'Entry Sheet'!AA29</f>
        <v/>
      </c>
      <c r="E350" s="589" t="s">
        <v>524</v>
      </c>
    </row>
    <row r="351" ht="15.75" customHeight="1">
      <c r="A351" s="857" t="str">
        <f>Settings!$A$4</f>
        <v>POPEYES</v>
      </c>
      <c r="B351" s="712" t="s">
        <v>117</v>
      </c>
      <c r="C351" s="13" t="str">
        <f>'Entry Sheet'!Z30</f>
        <v>J. JEFFERSON</v>
      </c>
      <c r="D351" s="13">
        <f>'Entry Sheet'!AA30</f>
        <v>2.4</v>
      </c>
      <c r="E351" s="589" t="s">
        <v>524</v>
      </c>
    </row>
    <row r="352" ht="15.75" customHeight="1">
      <c r="A352" s="857" t="str">
        <f>Settings!$A$4</f>
        <v>POPEYES</v>
      </c>
      <c r="B352" s="712" t="s">
        <v>117</v>
      </c>
      <c r="C352" s="13" t="str">
        <f>'Entry Sheet'!Z31</f>
        <v>P. NACUA</v>
      </c>
      <c r="D352" s="13">
        <f>'Entry Sheet'!AA31</f>
        <v>13.2</v>
      </c>
      <c r="E352" s="589" t="s">
        <v>524</v>
      </c>
    </row>
    <row r="353" ht="15.75" customHeight="1">
      <c r="A353" s="857" t="str">
        <f>Settings!$A$4</f>
        <v>POPEYES</v>
      </c>
      <c r="B353" s="712" t="s">
        <v>117</v>
      </c>
      <c r="C353" s="13" t="str">
        <f>'Entry Sheet'!Z32</f>
        <v>E. EGBUKA</v>
      </c>
      <c r="D353" s="13">
        <f>'Entry Sheet'!AA32</f>
        <v>8.2</v>
      </c>
      <c r="E353" s="589" t="s">
        <v>524</v>
      </c>
    </row>
    <row r="354" ht="15.75" customHeight="1">
      <c r="A354" s="857" t="str">
        <f>Settings!$A$4</f>
        <v>POPEYES</v>
      </c>
      <c r="B354" s="712" t="s">
        <v>117</v>
      </c>
      <c r="C354" s="13" t="str">
        <f>'Entry Sheet'!Z33</f>
        <v/>
      </c>
      <c r="D354" s="13" t="str">
        <f>'Entry Sheet'!AA33</f>
        <v/>
      </c>
      <c r="E354" s="589" t="s">
        <v>524</v>
      </c>
    </row>
    <row r="355" ht="15.75" customHeight="1">
      <c r="A355" s="857" t="str">
        <f>Settings!$A$4</f>
        <v>POPEYES</v>
      </c>
      <c r="B355" s="764" t="s">
        <v>132</v>
      </c>
      <c r="C355" s="13" t="str">
        <f>'Entry Sheet'!Z34</f>
        <v>K. PITTS</v>
      </c>
      <c r="D355" s="13">
        <f>'Entry Sheet'!AA34</f>
        <v>15.2</v>
      </c>
      <c r="E355" s="589" t="s">
        <v>524</v>
      </c>
    </row>
    <row r="356" ht="15.75" customHeight="1">
      <c r="A356" s="857" t="str">
        <f>Settings!$A$4</f>
        <v>POPEYES</v>
      </c>
      <c r="B356" s="795" t="s">
        <v>136</v>
      </c>
      <c r="C356" s="13" t="str">
        <f>'Entry Sheet'!Z35</f>
        <v>D. SMITH</v>
      </c>
      <c r="D356" s="13">
        <f>'Entry Sheet'!AA35</f>
        <v>9.8</v>
      </c>
      <c r="E356" s="589" t="s">
        <v>524</v>
      </c>
    </row>
    <row r="357" ht="15.75" customHeight="1">
      <c r="A357" s="857" t="str">
        <f>Settings!$A$4</f>
        <v>POPEYES</v>
      </c>
      <c r="B357" s="818" t="s">
        <v>139</v>
      </c>
      <c r="C357" s="13" t="str">
        <f>'Entry Sheet'!Z36</f>
        <v>IND D/ST</v>
      </c>
      <c r="D357" s="13">
        <f>'Entry Sheet'!AA36</f>
        <v>11.37</v>
      </c>
      <c r="E357" s="589" t="s">
        <v>524</v>
      </c>
    </row>
    <row r="358" ht="15.75" customHeight="1">
      <c r="A358" s="857" t="str">
        <f>Settings!$A$4</f>
        <v>POPEYES</v>
      </c>
      <c r="B358" s="833" t="s">
        <v>146</v>
      </c>
      <c r="C358" s="13" t="str">
        <f>'Entry Sheet'!Z37</f>
        <v>T. LOOP</v>
      </c>
      <c r="D358" s="13">
        <f>'Entry Sheet'!AA37</f>
        <v>2</v>
      </c>
      <c r="E358" s="589" t="s">
        <v>524</v>
      </c>
    </row>
    <row r="359" ht="15.75" customHeight="1">
      <c r="A359" s="857" t="str">
        <f>Settings!$A$4</f>
        <v>POPEYES</v>
      </c>
      <c r="B359" s="842" t="s">
        <v>162</v>
      </c>
      <c r="C359" s="13" t="str">
        <f>'Entry Sheet'!Z38</f>
        <v>PHI HC</v>
      </c>
      <c r="D359" s="13">
        <f>'Entry Sheet'!AA38</f>
        <v>1.5</v>
      </c>
      <c r="E359" s="589" t="s">
        <v>524</v>
      </c>
    </row>
    <row r="360" ht="15.75" customHeight="1">
      <c r="A360" s="857" t="str">
        <f>Settings!$A$4</f>
        <v>POPEYES</v>
      </c>
      <c r="B360" s="587" t="s">
        <v>100</v>
      </c>
      <c r="C360" s="13" t="str">
        <f>'Entry Sheet'!AB26</f>
        <v>B. MAYFIELD</v>
      </c>
      <c r="D360" s="13">
        <f>'Entry Sheet'!AC26</f>
        <v>12.48</v>
      </c>
      <c r="E360" s="846" t="s">
        <v>525</v>
      </c>
    </row>
    <row r="361" ht="15.75" customHeight="1">
      <c r="A361" s="857" t="str">
        <f>Settings!$A$4</f>
        <v>POPEYES</v>
      </c>
      <c r="B361" s="596" t="s">
        <v>106</v>
      </c>
      <c r="C361" s="13" t="str">
        <f>'Entry Sheet'!AB27</f>
        <v>D. ACHANE</v>
      </c>
      <c r="D361" s="13">
        <f>'Entry Sheet'!AC27</f>
        <v>18.2</v>
      </c>
      <c r="E361" s="846" t="s">
        <v>525</v>
      </c>
    </row>
    <row r="362" ht="15.75" customHeight="1">
      <c r="A362" s="857" t="str">
        <f>Settings!$A$4</f>
        <v>POPEYES</v>
      </c>
      <c r="B362" s="596" t="s">
        <v>106</v>
      </c>
      <c r="C362" s="13" t="str">
        <f>'Entry Sheet'!AB28</f>
        <v>K. WALKER</v>
      </c>
      <c r="D362" s="13">
        <f>'Entry Sheet'!AC28</f>
        <v>4.8</v>
      </c>
      <c r="E362" s="846" t="s">
        <v>525</v>
      </c>
    </row>
    <row r="363" ht="15.75" customHeight="1">
      <c r="A363" s="857" t="str">
        <f>Settings!$A$4</f>
        <v>POPEYES</v>
      </c>
      <c r="B363" s="596" t="s">
        <v>106</v>
      </c>
      <c r="C363" s="13" t="str">
        <f>'Entry Sheet'!AB29</f>
        <v/>
      </c>
      <c r="D363" s="13" t="str">
        <f>'Entry Sheet'!AC29</f>
        <v/>
      </c>
      <c r="E363" s="846" t="s">
        <v>525</v>
      </c>
    </row>
    <row r="364" ht="15.75" customHeight="1">
      <c r="A364" s="857" t="str">
        <f>Settings!$A$4</f>
        <v>POPEYES</v>
      </c>
      <c r="B364" s="712" t="s">
        <v>117</v>
      </c>
      <c r="C364" s="13" t="str">
        <f>'Entry Sheet'!AB30</f>
        <v>J. JEFFERSON</v>
      </c>
      <c r="D364" s="13">
        <f>'Entry Sheet'!AC30</f>
        <v>3.1</v>
      </c>
      <c r="E364" s="846" t="s">
        <v>525</v>
      </c>
    </row>
    <row r="365" ht="15.75" customHeight="1">
      <c r="A365" s="857" t="str">
        <f>Settings!$A$4</f>
        <v>POPEYES</v>
      </c>
      <c r="B365" s="712" t="s">
        <v>117</v>
      </c>
      <c r="C365" s="13" t="str">
        <f>'Entry Sheet'!AB31</f>
        <v>P. NACUA</v>
      </c>
      <c r="D365" s="13">
        <f>'Entry Sheet'!AC31</f>
        <v>36.7</v>
      </c>
      <c r="E365" s="846" t="s">
        <v>525</v>
      </c>
    </row>
    <row r="366" ht="15.75" customHeight="1">
      <c r="A366" s="857" t="str">
        <f>Settings!$A$4</f>
        <v>POPEYES</v>
      </c>
      <c r="B366" s="712" t="s">
        <v>117</v>
      </c>
      <c r="C366" s="13" t="str">
        <f>'Entry Sheet'!AB32</f>
        <v>E. EGBUKA</v>
      </c>
      <c r="D366" s="13">
        <f>'Entry Sheet'!AC32</f>
        <v>3.5</v>
      </c>
      <c r="E366" s="846" t="s">
        <v>525</v>
      </c>
    </row>
    <row r="367" ht="15.75" customHeight="1">
      <c r="A367" s="857" t="str">
        <f>Settings!$A$4</f>
        <v>POPEYES</v>
      </c>
      <c r="B367" s="712" t="s">
        <v>117</v>
      </c>
      <c r="C367" s="13" t="str">
        <f>'Entry Sheet'!AB33</f>
        <v/>
      </c>
      <c r="D367" s="13" t="str">
        <f>'Entry Sheet'!AC33</f>
        <v/>
      </c>
      <c r="E367" s="846" t="s">
        <v>525</v>
      </c>
    </row>
    <row r="368" ht="15.75" customHeight="1">
      <c r="A368" s="857" t="str">
        <f>Settings!$A$4</f>
        <v>POPEYES</v>
      </c>
      <c r="B368" s="764" t="s">
        <v>132</v>
      </c>
      <c r="C368" s="13" t="str">
        <f>'Entry Sheet'!AB34</f>
        <v>H. FANNIN</v>
      </c>
      <c r="D368" s="13">
        <f>'Entry Sheet'!AC34</f>
        <v>26.4</v>
      </c>
      <c r="E368" s="846" t="s">
        <v>525</v>
      </c>
    </row>
    <row r="369" ht="15.75" customHeight="1">
      <c r="A369" s="857" t="str">
        <f>Settings!$A$4</f>
        <v>POPEYES</v>
      </c>
      <c r="B369" s="795" t="s">
        <v>136</v>
      </c>
      <c r="C369" s="13" t="str">
        <f>'Entry Sheet'!AB35</f>
        <v>D. NEAL</v>
      </c>
      <c r="D369" s="13">
        <f>'Entry Sheet'!AC35</f>
        <v>17.3</v>
      </c>
      <c r="E369" s="846" t="s">
        <v>525</v>
      </c>
    </row>
    <row r="370" ht="15.75" customHeight="1">
      <c r="A370" s="857" t="str">
        <f>Settings!$A$4</f>
        <v>POPEYES</v>
      </c>
      <c r="B370" s="818" t="s">
        <v>139</v>
      </c>
      <c r="C370" s="13" t="str">
        <f>'Entry Sheet'!AB36</f>
        <v>CLE D/ST</v>
      </c>
      <c r="D370" s="13">
        <f>'Entry Sheet'!AC36</f>
        <v>10.93</v>
      </c>
      <c r="E370" s="846" t="s">
        <v>525</v>
      </c>
    </row>
    <row r="371" ht="15.75" customHeight="1">
      <c r="A371" s="857" t="str">
        <f>Settings!$A$4</f>
        <v>POPEYES</v>
      </c>
      <c r="B371" s="833" t="s">
        <v>146</v>
      </c>
      <c r="C371" s="13" t="str">
        <f>'Entry Sheet'!AB37</f>
        <v>T. LOOP</v>
      </c>
      <c r="D371" s="13">
        <f>'Entry Sheet'!AC37</f>
        <v>10</v>
      </c>
      <c r="E371" s="846" t="s">
        <v>525</v>
      </c>
    </row>
    <row r="372" ht="15.75" customHeight="1">
      <c r="A372" s="857" t="str">
        <f>Settings!$A$4</f>
        <v>POPEYES</v>
      </c>
      <c r="B372" s="842" t="s">
        <v>162</v>
      </c>
      <c r="C372" s="13" t="str">
        <f>'Entry Sheet'!AB38</f>
        <v>DEN HC</v>
      </c>
      <c r="D372" s="13">
        <f>'Entry Sheet'!AC38</f>
        <v>10.2</v>
      </c>
      <c r="E372" s="846" t="s">
        <v>525</v>
      </c>
    </row>
    <row r="373" ht="15.75" customHeight="1">
      <c r="A373" s="859" t="str">
        <f>Settings!$A$5</f>
        <v>GREEN</v>
      </c>
      <c r="B373" s="587" t="s">
        <v>100</v>
      </c>
      <c r="C373" s="13" t="str">
        <f>'Entry Sheet'!B47</f>
        <v>B. NIX</v>
      </c>
      <c r="D373" s="13">
        <f>'Entry Sheet'!C47</f>
        <v>10.04</v>
      </c>
      <c r="E373" s="589" t="s">
        <v>512</v>
      </c>
    </row>
    <row r="374" ht="15.75" customHeight="1">
      <c r="A374" s="859" t="str">
        <f>Settings!$A$5</f>
        <v>GREEN</v>
      </c>
      <c r="B374" s="596" t="s">
        <v>106</v>
      </c>
      <c r="C374" s="13" t="str">
        <f>'Entry Sheet'!B48</f>
        <v>B. ROBINSON</v>
      </c>
      <c r="D374" s="13">
        <f>'Entry Sheet'!C48</f>
        <v>26.6</v>
      </c>
      <c r="E374" s="589" t="s">
        <v>512</v>
      </c>
    </row>
    <row r="375" ht="15.75" customHeight="1">
      <c r="A375" s="859" t="str">
        <f>Settings!$A$5</f>
        <v>GREEN</v>
      </c>
      <c r="B375" s="596" t="s">
        <v>106</v>
      </c>
      <c r="C375" s="13" t="str">
        <f>'Entry Sheet'!B49</f>
        <v>J. TAYLOR</v>
      </c>
      <c r="D375" s="13">
        <f>'Entry Sheet'!C49</f>
        <v>14.6</v>
      </c>
      <c r="E375" s="589" t="s">
        <v>512</v>
      </c>
    </row>
    <row r="376" ht="15.75" customHeight="1">
      <c r="A376" s="859" t="str">
        <f>Settings!$A$5</f>
        <v>GREEN</v>
      </c>
      <c r="B376" s="596" t="s">
        <v>106</v>
      </c>
      <c r="C376" s="13" t="str">
        <f>'Entry Sheet'!B50</f>
        <v/>
      </c>
      <c r="D376" s="13" t="str">
        <f>'Entry Sheet'!C50</f>
        <v/>
      </c>
      <c r="E376" s="589" t="s">
        <v>512</v>
      </c>
    </row>
    <row r="377" ht="15.75" customHeight="1">
      <c r="A377" s="859" t="str">
        <f>Settings!$A$5</f>
        <v>GREEN</v>
      </c>
      <c r="B377" s="712" t="s">
        <v>117</v>
      </c>
      <c r="C377" s="13" t="str">
        <f>'Entry Sheet'!B51</f>
        <v>A. BROWN</v>
      </c>
      <c r="D377" s="13">
        <f>'Entry Sheet'!C51</f>
        <v>1.8</v>
      </c>
      <c r="E377" s="589" t="s">
        <v>512</v>
      </c>
    </row>
    <row r="378" ht="15.75" customHeight="1">
      <c r="A378" s="859" t="str">
        <f>Settings!$A$5</f>
        <v>GREEN</v>
      </c>
      <c r="B378" s="712" t="s">
        <v>117</v>
      </c>
      <c r="C378" s="13" t="str">
        <f>'Entry Sheet'!B52</f>
        <v>J. WADDLE</v>
      </c>
      <c r="D378" s="13">
        <f>'Entry Sheet'!C52</f>
        <v>7</v>
      </c>
      <c r="E378" s="589" t="s">
        <v>512</v>
      </c>
    </row>
    <row r="379" ht="15.75" customHeight="1">
      <c r="A379" s="859" t="str">
        <f>Settings!$A$5</f>
        <v>GREEN</v>
      </c>
      <c r="B379" s="712" t="s">
        <v>117</v>
      </c>
      <c r="C379" s="13" t="str">
        <f>'Entry Sheet'!B53</f>
        <v>C. SUTTON</v>
      </c>
      <c r="D379" s="13">
        <f>'Entry Sheet'!C53</f>
        <v>18.1</v>
      </c>
      <c r="E379" s="589" t="s">
        <v>512</v>
      </c>
    </row>
    <row r="380" ht="15.75" customHeight="1">
      <c r="A380" s="859" t="str">
        <f>Settings!$A$5</f>
        <v>GREEN</v>
      </c>
      <c r="B380" s="712" t="s">
        <v>117</v>
      </c>
      <c r="C380" s="13" t="str">
        <f>'Entry Sheet'!B54</f>
        <v/>
      </c>
      <c r="D380" s="13" t="str">
        <f>'Entry Sheet'!C54</f>
        <v/>
      </c>
      <c r="E380" s="589" t="s">
        <v>512</v>
      </c>
    </row>
    <row r="381" ht="15.75" customHeight="1">
      <c r="A381" s="859" t="str">
        <f>Settings!$A$5</f>
        <v>GREEN</v>
      </c>
      <c r="B381" s="764" t="s">
        <v>132</v>
      </c>
      <c r="C381" s="13" t="str">
        <f>'Entry Sheet'!B55</f>
        <v>S. LAPORTA</v>
      </c>
      <c r="D381" s="13">
        <f>'Entry Sheet'!C55</f>
        <v>13.9</v>
      </c>
      <c r="E381" s="589" t="s">
        <v>512</v>
      </c>
    </row>
    <row r="382" ht="15.75" customHeight="1">
      <c r="A382" s="859" t="str">
        <f>Settings!$A$5</f>
        <v>GREEN</v>
      </c>
      <c r="B382" s="795" t="s">
        <v>136</v>
      </c>
      <c r="C382" s="13" t="str">
        <f>'Entry Sheet'!B56</f>
        <v>J. WARREN</v>
      </c>
      <c r="D382" s="13">
        <f>'Entry Sheet'!C56</f>
        <v>15</v>
      </c>
      <c r="E382" s="589" t="s">
        <v>512</v>
      </c>
    </row>
    <row r="383" ht="15.75" customHeight="1">
      <c r="A383" s="859" t="str">
        <f>Settings!$A$5</f>
        <v>GREEN</v>
      </c>
      <c r="B383" s="818" t="s">
        <v>139</v>
      </c>
      <c r="C383" s="13" t="str">
        <f>'Entry Sheet'!B57</f>
        <v>TB D/ST</v>
      </c>
      <c r="D383" s="13">
        <f>'Entry Sheet'!C57</f>
        <v>8.37</v>
      </c>
      <c r="E383" s="589" t="s">
        <v>512</v>
      </c>
    </row>
    <row r="384" ht="15.75" customHeight="1">
      <c r="A384" s="859" t="str">
        <f>Settings!$A$5</f>
        <v>GREEN</v>
      </c>
      <c r="B384" s="833" t="s">
        <v>146</v>
      </c>
      <c r="C384" s="13" t="str">
        <f>'Entry Sheet'!B58</f>
        <v>J. MYERS</v>
      </c>
      <c r="D384" s="13">
        <f>'Entry Sheet'!C58</f>
        <v>8</v>
      </c>
      <c r="E384" s="589" t="s">
        <v>512</v>
      </c>
    </row>
    <row r="385" ht="15.75" customHeight="1">
      <c r="A385" s="859" t="str">
        <f>Settings!$A$5</f>
        <v>GREEN</v>
      </c>
      <c r="B385" s="842" t="s">
        <v>162</v>
      </c>
      <c r="C385" s="13" t="str">
        <f>'Entry Sheet'!B59</f>
        <v>TB HC</v>
      </c>
      <c r="D385" s="13">
        <f>'Entry Sheet'!C59</f>
        <v>8.9</v>
      </c>
      <c r="E385" s="589" t="s">
        <v>512</v>
      </c>
    </row>
    <row r="386" ht="15.75" customHeight="1">
      <c r="A386" s="859" t="str">
        <f>Settings!$A$5</f>
        <v>GREEN</v>
      </c>
      <c r="B386" s="587" t="s">
        <v>100</v>
      </c>
      <c r="C386" s="13" t="str">
        <f>'Entry Sheet'!D47</f>
        <v>J. MCCARTHY</v>
      </c>
      <c r="D386" s="13">
        <f>'Entry Sheet'!E47</f>
        <v>1.92</v>
      </c>
      <c r="E386" s="846" t="s">
        <v>513</v>
      </c>
    </row>
    <row r="387" ht="15.75" customHeight="1">
      <c r="A387" s="859" t="str">
        <f>Settings!$A$5</f>
        <v>GREEN</v>
      </c>
      <c r="B387" s="596" t="s">
        <v>106</v>
      </c>
      <c r="C387" s="13" t="str">
        <f>'Entry Sheet'!D48</f>
        <v>B. ROBINSON</v>
      </c>
      <c r="D387" s="13">
        <f>'Entry Sheet'!E48</f>
        <v>23</v>
      </c>
      <c r="E387" s="846" t="s">
        <v>513</v>
      </c>
    </row>
    <row r="388" ht="15.75" customHeight="1">
      <c r="A388" s="859" t="str">
        <f>Settings!$A$5</f>
        <v>GREEN</v>
      </c>
      <c r="B388" s="596" t="s">
        <v>106</v>
      </c>
      <c r="C388" s="13" t="str">
        <f>'Entry Sheet'!D49</f>
        <v>J. TAYLOR</v>
      </c>
      <c r="D388" s="13">
        <f>'Entry Sheet'!E49</f>
        <v>33</v>
      </c>
      <c r="E388" s="846" t="s">
        <v>513</v>
      </c>
    </row>
    <row r="389" ht="15.75" customHeight="1">
      <c r="A389" s="859" t="str">
        <f>Settings!$A$5</f>
        <v>GREEN</v>
      </c>
      <c r="B389" s="596" t="s">
        <v>106</v>
      </c>
      <c r="C389" s="13" t="str">
        <f>'Entry Sheet'!D50</f>
        <v/>
      </c>
      <c r="D389" s="13" t="str">
        <f>'Entry Sheet'!E50</f>
        <v/>
      </c>
      <c r="E389" s="846" t="s">
        <v>513</v>
      </c>
    </row>
    <row r="390" ht="15.75" customHeight="1">
      <c r="A390" s="859" t="str">
        <f>Settings!$A$5</f>
        <v>GREEN</v>
      </c>
      <c r="B390" s="712" t="s">
        <v>117</v>
      </c>
      <c r="C390" s="13" t="str">
        <f>'Entry Sheet'!D51</f>
        <v>A. BROWN</v>
      </c>
      <c r="D390" s="13">
        <f>'Entry Sheet'!E51</f>
        <v>7.7</v>
      </c>
      <c r="E390" s="846" t="s">
        <v>513</v>
      </c>
    </row>
    <row r="391" ht="15.75" customHeight="1">
      <c r="A391" s="859" t="str">
        <f>Settings!$A$5</f>
        <v>GREEN</v>
      </c>
      <c r="B391" s="712" t="s">
        <v>117</v>
      </c>
      <c r="C391" s="13" t="str">
        <f>'Entry Sheet'!D52</f>
        <v>T. MCMILLAN</v>
      </c>
      <c r="D391" s="13">
        <f>'Entry Sheet'!E52</f>
        <v>17</v>
      </c>
      <c r="E391" s="846" t="s">
        <v>513</v>
      </c>
    </row>
    <row r="392" ht="15.75" customHeight="1">
      <c r="A392" s="859" t="str">
        <f>Settings!$A$5</f>
        <v>GREEN</v>
      </c>
      <c r="B392" s="712" t="s">
        <v>117</v>
      </c>
      <c r="C392" s="13" t="str">
        <f>'Entry Sheet'!D53</f>
        <v>C. SUTTON</v>
      </c>
      <c r="D392" s="13">
        <f>'Entry Sheet'!E53</f>
        <v>1.6</v>
      </c>
      <c r="E392" s="846" t="s">
        <v>513</v>
      </c>
    </row>
    <row r="393" ht="15.75" customHeight="1">
      <c r="A393" s="859" t="str">
        <f>Settings!$A$5</f>
        <v>GREEN</v>
      </c>
      <c r="B393" s="712" t="s">
        <v>117</v>
      </c>
      <c r="C393" s="13" t="str">
        <f>'Entry Sheet'!D54</f>
        <v/>
      </c>
      <c r="D393" s="13" t="str">
        <f>'Entry Sheet'!E54</f>
        <v/>
      </c>
      <c r="E393" s="846" t="s">
        <v>513</v>
      </c>
    </row>
    <row r="394" ht="15.75" customHeight="1">
      <c r="A394" s="859" t="str">
        <f>Settings!$A$5</f>
        <v>GREEN</v>
      </c>
      <c r="B394" s="764" t="s">
        <v>132</v>
      </c>
      <c r="C394" s="13" t="str">
        <f>'Entry Sheet'!D55</f>
        <v>S. LAPORTA</v>
      </c>
      <c r="D394" s="13">
        <f>'Entry Sheet'!E55</f>
        <v>5.6</v>
      </c>
      <c r="E394" s="846" t="s">
        <v>513</v>
      </c>
    </row>
    <row r="395" ht="15.75" customHeight="1">
      <c r="A395" s="859" t="str">
        <f>Settings!$A$5</f>
        <v>GREEN</v>
      </c>
      <c r="B395" s="795" t="s">
        <v>136</v>
      </c>
      <c r="C395" s="13" t="str">
        <f>'Entry Sheet'!D56</f>
        <v>J. WARREN</v>
      </c>
      <c r="D395" s="13">
        <f>'Entry Sheet'!E56</f>
        <v>18.8</v>
      </c>
      <c r="E395" s="846" t="s">
        <v>513</v>
      </c>
    </row>
    <row r="396" ht="15.75" customHeight="1">
      <c r="A396" s="859" t="str">
        <f>Settings!$A$5</f>
        <v>GREEN</v>
      </c>
      <c r="B396" s="818" t="s">
        <v>139</v>
      </c>
      <c r="C396" s="13" t="str">
        <f>'Entry Sheet'!D57</f>
        <v>TB D/ST</v>
      </c>
      <c r="D396" s="13">
        <f>'Entry Sheet'!E57</f>
        <v>11.88</v>
      </c>
      <c r="E396" s="846" t="s">
        <v>513</v>
      </c>
    </row>
    <row r="397" ht="15.75" customHeight="1">
      <c r="A397" s="859" t="str">
        <f>Settings!$A$5</f>
        <v>GREEN</v>
      </c>
      <c r="B397" s="833" t="s">
        <v>146</v>
      </c>
      <c r="C397" s="13" t="str">
        <f>'Entry Sheet'!D58</f>
        <v>J. MYERS</v>
      </c>
      <c r="D397" s="13">
        <f>'Entry Sheet'!E58</f>
        <v>8</v>
      </c>
      <c r="E397" s="846" t="s">
        <v>513</v>
      </c>
    </row>
    <row r="398" ht="15.75" customHeight="1">
      <c r="A398" s="859" t="str">
        <f>Settings!$A$5</f>
        <v>GREEN</v>
      </c>
      <c r="B398" s="842" t="s">
        <v>162</v>
      </c>
      <c r="C398" s="13" t="str">
        <f>'Entry Sheet'!D59</f>
        <v>TB HC</v>
      </c>
      <c r="D398" s="13">
        <f>'Entry Sheet'!E59</f>
        <v>8</v>
      </c>
      <c r="E398" s="846" t="s">
        <v>513</v>
      </c>
    </row>
    <row r="399" ht="15.75" customHeight="1">
      <c r="A399" s="859" t="str">
        <f>Settings!$A$5</f>
        <v>GREEN</v>
      </c>
      <c r="B399" s="587" t="s">
        <v>100</v>
      </c>
      <c r="C399" s="13" t="str">
        <f>'Entry Sheet'!F47</f>
        <v>B. NIX</v>
      </c>
      <c r="D399" s="13">
        <f>'Entry Sheet'!G47</f>
        <v>16.82</v>
      </c>
      <c r="E399" s="589" t="s">
        <v>514</v>
      </c>
    </row>
    <row r="400" ht="15.75" customHeight="1">
      <c r="A400" s="859" t="str">
        <f>Settings!$A$5</f>
        <v>GREEN</v>
      </c>
      <c r="B400" s="596" t="s">
        <v>106</v>
      </c>
      <c r="C400" s="13" t="str">
        <f>'Entry Sheet'!F48</f>
        <v>B. ROBINSON</v>
      </c>
      <c r="D400" s="13">
        <f>'Entry Sheet'!G48</f>
        <v>17.4</v>
      </c>
      <c r="E400" s="589" t="s">
        <v>514</v>
      </c>
    </row>
    <row r="401" ht="15.75" customHeight="1">
      <c r="A401" s="859" t="str">
        <f>Settings!$A$5</f>
        <v>GREEN</v>
      </c>
      <c r="B401" s="596" t="s">
        <v>106</v>
      </c>
      <c r="C401" s="13" t="str">
        <f>'Entry Sheet'!F49</f>
        <v>J. TAYLOR</v>
      </c>
      <c r="D401" s="13">
        <f>'Entry Sheet'!G49</f>
        <v>35.5</v>
      </c>
      <c r="E401" s="589" t="s">
        <v>514</v>
      </c>
    </row>
    <row r="402" ht="15.75" customHeight="1">
      <c r="A402" s="859" t="str">
        <f>Settings!$A$5</f>
        <v>GREEN</v>
      </c>
      <c r="B402" s="596" t="s">
        <v>106</v>
      </c>
      <c r="C402" s="13" t="str">
        <f>'Entry Sheet'!F50</f>
        <v/>
      </c>
      <c r="D402" s="13" t="str">
        <f>'Entry Sheet'!G50</f>
        <v/>
      </c>
      <c r="E402" s="589" t="s">
        <v>514</v>
      </c>
    </row>
    <row r="403" ht="15.75" customHeight="1">
      <c r="A403" s="859" t="str">
        <f>Settings!$A$5</f>
        <v>GREEN</v>
      </c>
      <c r="B403" s="712" t="s">
        <v>117</v>
      </c>
      <c r="C403" s="13" t="str">
        <f>'Entry Sheet'!F51</f>
        <v>A. BROWN</v>
      </c>
      <c r="D403" s="13">
        <f>'Entry Sheet'!G51</f>
        <v>23.9</v>
      </c>
      <c r="E403" s="589" t="s">
        <v>514</v>
      </c>
    </row>
    <row r="404" ht="15.75" customHeight="1">
      <c r="A404" s="859" t="str">
        <f>Settings!$A$5</f>
        <v>GREEN</v>
      </c>
      <c r="B404" s="712" t="s">
        <v>117</v>
      </c>
      <c r="C404" s="13" t="str">
        <f>'Entry Sheet'!F52</f>
        <v>T. MCMILLAN</v>
      </c>
      <c r="D404" s="13">
        <f>'Entry Sheet'!G52</f>
        <v>7.8</v>
      </c>
      <c r="E404" s="589" t="s">
        <v>514</v>
      </c>
    </row>
    <row r="405" ht="15.75" customHeight="1">
      <c r="A405" s="859" t="str">
        <f>Settings!$A$5</f>
        <v>GREEN</v>
      </c>
      <c r="B405" s="712" t="s">
        <v>117</v>
      </c>
      <c r="C405" s="13" t="str">
        <f>'Entry Sheet'!F53</f>
        <v>C. SUTTON</v>
      </c>
      <c r="D405" s="13">
        <f>'Entry Sheet'!G53</f>
        <v>24.8</v>
      </c>
      <c r="E405" s="589" t="s">
        <v>514</v>
      </c>
    </row>
    <row r="406" ht="15.75" customHeight="1">
      <c r="A406" s="859" t="str">
        <f>Settings!$A$5</f>
        <v>GREEN</v>
      </c>
      <c r="B406" s="712" t="s">
        <v>117</v>
      </c>
      <c r="C406" s="13" t="str">
        <f>'Entry Sheet'!F54</f>
        <v/>
      </c>
      <c r="D406" s="13" t="str">
        <f>'Entry Sheet'!G54</f>
        <v/>
      </c>
      <c r="E406" s="589" t="s">
        <v>514</v>
      </c>
    </row>
    <row r="407" ht="15.75" customHeight="1">
      <c r="A407" s="859" t="str">
        <f>Settings!$A$5</f>
        <v>GREEN</v>
      </c>
      <c r="B407" s="764" t="s">
        <v>132</v>
      </c>
      <c r="C407" s="13" t="str">
        <f>'Entry Sheet'!F55</f>
        <v>S. LAPORTA</v>
      </c>
      <c r="D407" s="13">
        <f>'Entry Sheet'!G55</f>
        <v>7.3</v>
      </c>
      <c r="E407" s="589" t="s">
        <v>514</v>
      </c>
    </row>
    <row r="408" ht="15.75" customHeight="1">
      <c r="A408" s="859" t="str">
        <f>Settings!$A$5</f>
        <v>GREEN</v>
      </c>
      <c r="B408" s="795" t="s">
        <v>136</v>
      </c>
      <c r="C408" s="13" t="str">
        <f>'Entry Sheet'!F56</f>
        <v>J. WARREN</v>
      </c>
      <c r="D408" s="13">
        <f>'Entry Sheet'!G56</f>
        <v>14.9</v>
      </c>
      <c r="E408" s="589" t="s">
        <v>514</v>
      </c>
    </row>
    <row r="409" ht="15.75" customHeight="1">
      <c r="A409" s="859" t="str">
        <f>Settings!$A$5</f>
        <v>GREEN</v>
      </c>
      <c r="B409" s="818" t="s">
        <v>139</v>
      </c>
      <c r="C409" s="13" t="str">
        <f>'Entry Sheet'!F57</f>
        <v>TB D/ST</v>
      </c>
      <c r="D409" s="13">
        <f>'Entry Sheet'!G57</f>
        <v>27.12</v>
      </c>
      <c r="E409" s="589" t="s">
        <v>514</v>
      </c>
    </row>
    <row r="410" ht="15.75" customHeight="1">
      <c r="A410" s="859" t="str">
        <f>Settings!$A$5</f>
        <v>GREEN</v>
      </c>
      <c r="B410" s="833" t="s">
        <v>146</v>
      </c>
      <c r="C410" s="13" t="str">
        <f>'Entry Sheet'!F58</f>
        <v>J. MYERS</v>
      </c>
      <c r="D410" s="13">
        <f>'Entry Sheet'!G58</f>
        <v>18</v>
      </c>
      <c r="E410" s="589" t="s">
        <v>514</v>
      </c>
    </row>
    <row r="411" ht="15.75" customHeight="1">
      <c r="A411" s="859" t="str">
        <f>Settings!$A$5</f>
        <v>GREEN</v>
      </c>
      <c r="B411" s="842" t="s">
        <v>162</v>
      </c>
      <c r="C411" s="13" t="str">
        <f>'Entry Sheet'!F59</f>
        <v>TB HC</v>
      </c>
      <c r="D411" s="13">
        <f>'Entry Sheet'!G59</f>
        <v>10.7</v>
      </c>
      <c r="E411" s="589" t="s">
        <v>514</v>
      </c>
    </row>
    <row r="412" ht="15.75" customHeight="1">
      <c r="A412" s="859" t="str">
        <f>Settings!$A$5</f>
        <v>GREEN</v>
      </c>
      <c r="B412" s="587" t="s">
        <v>100</v>
      </c>
      <c r="C412" s="13" t="str">
        <f>'Entry Sheet'!H47</f>
        <v>B. NIX</v>
      </c>
      <c r="D412" s="13">
        <f>'Entry Sheet'!I47</f>
        <v>33.74</v>
      </c>
      <c r="E412" s="846" t="s">
        <v>515</v>
      </c>
    </row>
    <row r="413" ht="15.75" customHeight="1">
      <c r="A413" s="859" t="str">
        <f>Settings!$A$5</f>
        <v>GREEN</v>
      </c>
      <c r="B413" s="596" t="s">
        <v>106</v>
      </c>
      <c r="C413" s="13" t="str">
        <f>'Entry Sheet'!H48</f>
        <v>B. ROBINSON</v>
      </c>
      <c r="D413" s="13">
        <f>'Entry Sheet'!I48</f>
        <v>30.8</v>
      </c>
      <c r="E413" s="846" t="s">
        <v>515</v>
      </c>
    </row>
    <row r="414" ht="15.75" customHeight="1">
      <c r="A414" s="859" t="str">
        <f>Settings!$A$5</f>
        <v>GREEN</v>
      </c>
      <c r="B414" s="596" t="s">
        <v>106</v>
      </c>
      <c r="C414" s="13" t="str">
        <f>'Entry Sheet'!H49</f>
        <v>J. TAYLOR</v>
      </c>
      <c r="D414" s="13">
        <f>'Entry Sheet'!I49</f>
        <v>16.3</v>
      </c>
      <c r="E414" s="846" t="s">
        <v>515</v>
      </c>
    </row>
    <row r="415" ht="15.75" customHeight="1">
      <c r="A415" s="859" t="str">
        <f>Settings!$A$5</f>
        <v>GREEN</v>
      </c>
      <c r="B415" s="596" t="s">
        <v>106</v>
      </c>
      <c r="C415" s="13" t="str">
        <f>'Entry Sheet'!H50</f>
        <v/>
      </c>
      <c r="D415" s="13" t="str">
        <f>'Entry Sheet'!I50</f>
        <v/>
      </c>
      <c r="E415" s="846" t="s">
        <v>515</v>
      </c>
    </row>
    <row r="416" ht="15.75" customHeight="1">
      <c r="A416" s="859" t="str">
        <f>Settings!$A$5</f>
        <v>GREEN</v>
      </c>
      <c r="B416" s="712" t="s">
        <v>117</v>
      </c>
      <c r="C416" s="13" t="str">
        <f>'Entry Sheet'!H51</f>
        <v>A. BROWN</v>
      </c>
      <c r="D416" s="13">
        <f>'Entry Sheet'!I51</f>
        <v>2.7</v>
      </c>
      <c r="E416" s="846" t="s">
        <v>515</v>
      </c>
    </row>
    <row r="417" ht="15.75" customHeight="1">
      <c r="A417" s="859" t="str">
        <f>Settings!$A$5</f>
        <v>GREEN</v>
      </c>
      <c r="B417" s="712" t="s">
        <v>117</v>
      </c>
      <c r="C417" s="13" t="str">
        <f>'Entry Sheet'!H52</f>
        <v>T. MCMILLIAN</v>
      </c>
      <c r="D417" s="13">
        <f>'Entry Sheet'!I52</f>
        <v>10.2</v>
      </c>
      <c r="E417" s="846" t="s">
        <v>515</v>
      </c>
    </row>
    <row r="418" ht="15.75" customHeight="1">
      <c r="A418" s="859" t="str">
        <f>Settings!$A$5</f>
        <v>GREEN</v>
      </c>
      <c r="B418" s="712" t="s">
        <v>117</v>
      </c>
      <c r="C418" s="13" t="str">
        <f>'Entry Sheet'!H53</f>
        <v>C. SUTTON</v>
      </c>
      <c r="D418" s="13">
        <f>'Entry Sheet'!I53</f>
        <v>19.1</v>
      </c>
      <c r="E418" s="846" t="s">
        <v>515</v>
      </c>
    </row>
    <row r="419" ht="15.75" customHeight="1">
      <c r="A419" s="859" t="str">
        <f>Settings!$A$5</f>
        <v>GREEN</v>
      </c>
      <c r="B419" s="712" t="s">
        <v>117</v>
      </c>
      <c r="C419" s="13" t="str">
        <f>'Entry Sheet'!H54</f>
        <v/>
      </c>
      <c r="D419" s="13" t="str">
        <f>'Entry Sheet'!I54</f>
        <v/>
      </c>
      <c r="E419" s="846" t="s">
        <v>515</v>
      </c>
    </row>
    <row r="420" ht="15.75" customHeight="1">
      <c r="A420" s="859" t="str">
        <f>Settings!$A$5</f>
        <v>GREEN</v>
      </c>
      <c r="B420" s="764" t="s">
        <v>132</v>
      </c>
      <c r="C420" s="13" t="str">
        <f>'Entry Sheet'!H55</f>
        <v>T. WARREN</v>
      </c>
      <c r="D420" s="13">
        <f>'Entry Sheet'!I55</f>
        <v>18.5</v>
      </c>
      <c r="E420" s="846" t="s">
        <v>515</v>
      </c>
    </row>
    <row r="421" ht="15.75" customHeight="1">
      <c r="A421" s="859" t="str">
        <f>Settings!$A$5</f>
        <v>GREEN</v>
      </c>
      <c r="B421" s="795" t="s">
        <v>136</v>
      </c>
      <c r="C421" s="13" t="str">
        <f>'Entry Sheet'!H56</f>
        <v>D. SWIFT</v>
      </c>
      <c r="D421" s="13">
        <f>'Entry Sheet'!I56</f>
        <v>17.4</v>
      </c>
      <c r="E421" s="846" t="s">
        <v>515</v>
      </c>
    </row>
    <row r="422" ht="15.75" customHeight="1">
      <c r="A422" s="859" t="str">
        <f>Settings!$A$5</f>
        <v>GREEN</v>
      </c>
      <c r="B422" s="818" t="s">
        <v>139</v>
      </c>
      <c r="C422" s="13" t="str">
        <f>'Entry Sheet'!H57</f>
        <v>TB D/ST</v>
      </c>
      <c r="D422" s="13">
        <f>'Entry Sheet'!I57</f>
        <v>20.8</v>
      </c>
      <c r="E422" s="846" t="s">
        <v>515</v>
      </c>
    </row>
    <row r="423" ht="15.75" customHeight="1">
      <c r="A423" s="859" t="str">
        <f>Settings!$A$5</f>
        <v>GREEN</v>
      </c>
      <c r="B423" s="833" t="s">
        <v>146</v>
      </c>
      <c r="C423" s="13" t="str">
        <f>'Entry Sheet'!H58</f>
        <v>J. MYERS</v>
      </c>
      <c r="D423" s="13">
        <f>'Entry Sheet'!I58</f>
        <v>14</v>
      </c>
      <c r="E423" s="846" t="s">
        <v>515</v>
      </c>
    </row>
    <row r="424" ht="15.75" customHeight="1">
      <c r="A424" s="859" t="str">
        <f>Settings!$A$5</f>
        <v>GREEN</v>
      </c>
      <c r="B424" s="842" t="s">
        <v>162</v>
      </c>
      <c r="C424" s="13" t="str">
        <f>'Entry Sheet'!H59</f>
        <v>LAR HC</v>
      </c>
      <c r="D424" s="13">
        <f>'Entry Sheet'!I59</f>
        <v>11.1</v>
      </c>
      <c r="E424" s="846" t="s">
        <v>515</v>
      </c>
    </row>
    <row r="425" ht="15.75" customHeight="1">
      <c r="A425" s="859" t="str">
        <f>Settings!$A$5</f>
        <v>GREEN</v>
      </c>
      <c r="B425" s="587" t="s">
        <v>100</v>
      </c>
      <c r="C425" s="13" t="str">
        <f>'Entry Sheet'!J47</f>
        <v>B. NIX</v>
      </c>
      <c r="D425" s="13">
        <f>'Entry Sheet'!K47</f>
        <v>21.98</v>
      </c>
      <c r="E425" s="589" t="s">
        <v>516</v>
      </c>
    </row>
    <row r="426" ht="15.75" customHeight="1">
      <c r="A426" s="859" t="str">
        <f>Settings!$A$5</f>
        <v>GREEN</v>
      </c>
      <c r="B426" s="596" t="s">
        <v>106</v>
      </c>
      <c r="C426" s="13" t="str">
        <f>'Entry Sheet'!J48</f>
        <v>J. TAYLOR</v>
      </c>
      <c r="D426" s="13">
        <f>'Entry Sheet'!K48</f>
        <v>33.3</v>
      </c>
      <c r="E426" s="589" t="s">
        <v>516</v>
      </c>
    </row>
    <row r="427" ht="15.75" customHeight="1">
      <c r="A427" s="859" t="str">
        <f>Settings!$A$5</f>
        <v>GREEN</v>
      </c>
      <c r="B427" s="596" t="s">
        <v>106</v>
      </c>
      <c r="C427" s="13" t="str">
        <f>'Entry Sheet'!J49</f>
        <v>E. DEMERCADO</v>
      </c>
      <c r="D427" s="13">
        <f>'Entry Sheet'!K49</f>
        <v>6.4</v>
      </c>
      <c r="E427" s="589" t="s">
        <v>516</v>
      </c>
    </row>
    <row r="428" ht="15.75" customHeight="1">
      <c r="A428" s="859" t="str">
        <f>Settings!$A$5</f>
        <v>GREEN</v>
      </c>
      <c r="B428" s="596" t="s">
        <v>106</v>
      </c>
      <c r="C428" s="13" t="str">
        <f>'Entry Sheet'!J50</f>
        <v/>
      </c>
      <c r="D428" s="13" t="str">
        <f>'Entry Sheet'!K50</f>
        <v/>
      </c>
      <c r="E428" s="589" t="s">
        <v>516</v>
      </c>
    </row>
    <row r="429" ht="15.75" customHeight="1">
      <c r="A429" s="859" t="str">
        <f>Settings!$A$5</f>
        <v>GREEN</v>
      </c>
      <c r="B429" s="712" t="s">
        <v>117</v>
      </c>
      <c r="C429" s="13" t="str">
        <f>'Entry Sheet'!J51</f>
        <v>A. BROWN</v>
      </c>
      <c r="D429" s="13">
        <f>'Entry Sheet'!K51</f>
        <v>9.3</v>
      </c>
      <c r="E429" s="589" t="s">
        <v>516</v>
      </c>
    </row>
    <row r="430" ht="15.75" customHeight="1">
      <c r="A430" s="859" t="str">
        <f>Settings!$A$5</f>
        <v>GREEN</v>
      </c>
      <c r="B430" s="712" t="s">
        <v>117</v>
      </c>
      <c r="C430" s="13" t="str">
        <f>'Entry Sheet'!J52</f>
        <v>T. MCMILLAN</v>
      </c>
      <c r="D430" s="13">
        <f>'Entry Sheet'!K52</f>
        <v>13.3</v>
      </c>
      <c r="E430" s="589" t="s">
        <v>516</v>
      </c>
    </row>
    <row r="431" ht="15.75" customHeight="1">
      <c r="A431" s="859" t="str">
        <f>Settings!$A$5</f>
        <v>GREEN</v>
      </c>
      <c r="B431" s="712" t="s">
        <v>117</v>
      </c>
      <c r="C431" s="13" t="str">
        <f>'Entry Sheet'!J53</f>
        <v>C. SUTTON</v>
      </c>
      <c r="D431" s="13">
        <f>'Entry Sheet'!K53</f>
        <v>17.9</v>
      </c>
      <c r="E431" s="589" t="s">
        <v>516</v>
      </c>
    </row>
    <row r="432" ht="15.75" customHeight="1">
      <c r="A432" s="859" t="str">
        <f>Settings!$A$5</f>
        <v>GREEN</v>
      </c>
      <c r="B432" s="712" t="s">
        <v>117</v>
      </c>
      <c r="C432" s="13" t="str">
        <f>'Entry Sheet'!J54</f>
        <v/>
      </c>
      <c r="D432" s="13" t="str">
        <f>'Entry Sheet'!K54</f>
        <v/>
      </c>
      <c r="E432" s="589" t="s">
        <v>516</v>
      </c>
    </row>
    <row r="433" ht="15.75" customHeight="1">
      <c r="A433" s="859" t="str">
        <f>Settings!$A$5</f>
        <v>GREEN</v>
      </c>
      <c r="B433" s="764" t="s">
        <v>132</v>
      </c>
      <c r="C433" s="13" t="str">
        <f>'Entry Sheet'!J55</f>
        <v>T. WARREN</v>
      </c>
      <c r="D433" s="13">
        <f>'Entry Sheet'!K55</f>
        <v>14.2</v>
      </c>
      <c r="E433" s="589" t="s">
        <v>516</v>
      </c>
    </row>
    <row r="434" ht="15.75" customHeight="1">
      <c r="A434" s="859" t="str">
        <f>Settings!$A$5</f>
        <v>GREEN</v>
      </c>
      <c r="B434" s="795" t="s">
        <v>136</v>
      </c>
      <c r="C434" s="13" t="str">
        <f>'Entry Sheet'!J56</f>
        <v>J. WADDLE</v>
      </c>
      <c r="D434" s="13">
        <f>'Entry Sheet'!K56</f>
        <v>24</v>
      </c>
      <c r="E434" s="589" t="s">
        <v>516</v>
      </c>
    </row>
    <row r="435" ht="15.75" customHeight="1">
      <c r="A435" s="859" t="str">
        <f>Settings!$A$5</f>
        <v>GREEN</v>
      </c>
      <c r="B435" s="818" t="s">
        <v>139</v>
      </c>
      <c r="C435" s="13" t="str">
        <f>'Entry Sheet'!J57</f>
        <v>CLE D/ST</v>
      </c>
      <c r="D435" s="13">
        <f>'Entry Sheet'!K57</f>
        <v>18.38</v>
      </c>
      <c r="E435" s="589" t="s">
        <v>516</v>
      </c>
    </row>
    <row r="436" ht="15.75" customHeight="1">
      <c r="A436" s="859" t="str">
        <f>Settings!$A$5</f>
        <v>GREEN</v>
      </c>
      <c r="B436" s="833" t="s">
        <v>146</v>
      </c>
      <c r="C436" s="13" t="str">
        <f>'Entry Sheet'!J58</f>
        <v>J. MYERS</v>
      </c>
      <c r="D436" s="13">
        <f>'Entry Sheet'!K58</f>
        <v>3.5</v>
      </c>
      <c r="E436" s="589" t="s">
        <v>516</v>
      </c>
    </row>
    <row r="437" ht="15.75" customHeight="1">
      <c r="A437" s="859" t="str">
        <f>Settings!$A$5</f>
        <v>GREEN</v>
      </c>
      <c r="B437" s="842" t="s">
        <v>162</v>
      </c>
      <c r="C437" s="13" t="str">
        <f>'Entry Sheet'!J59</f>
        <v>LAR HC</v>
      </c>
      <c r="D437" s="13">
        <f>'Entry Sheet'!K59</f>
        <v>4.9</v>
      </c>
      <c r="E437" s="589" t="s">
        <v>516</v>
      </c>
    </row>
    <row r="438" ht="15.75" customHeight="1">
      <c r="A438" s="859" t="str">
        <f>Settings!$A$5</f>
        <v>GREEN</v>
      </c>
      <c r="B438" s="587" t="s">
        <v>100</v>
      </c>
      <c r="C438" s="13" t="str">
        <f>'Entry Sheet'!L47</f>
        <v>B. NIX</v>
      </c>
      <c r="D438" s="13">
        <f>'Entry Sheet'!M47</f>
        <v>17.46</v>
      </c>
      <c r="E438" s="846" t="s">
        <v>517</v>
      </c>
    </row>
    <row r="439" ht="15.75" customHeight="1">
      <c r="A439" s="859" t="str">
        <f>Settings!$A$5</f>
        <v>GREEN</v>
      </c>
      <c r="B439" s="596" t="s">
        <v>106</v>
      </c>
      <c r="C439" s="13" t="str">
        <f>'Entry Sheet'!L48</f>
        <v>B. ROBINSON</v>
      </c>
      <c r="D439" s="13">
        <f>'Entry Sheet'!M48</f>
        <v>38.7</v>
      </c>
      <c r="E439" s="846" t="s">
        <v>517</v>
      </c>
    </row>
    <row r="440" ht="15.75" customHeight="1">
      <c r="A440" s="859" t="str">
        <f>Settings!$A$5</f>
        <v>GREEN</v>
      </c>
      <c r="B440" s="596" t="s">
        <v>106</v>
      </c>
      <c r="C440" s="13" t="str">
        <f>'Entry Sheet'!L49</f>
        <v>J. TAYLOR</v>
      </c>
      <c r="D440" s="13">
        <f>'Entry Sheet'!M49</f>
        <v>26.8</v>
      </c>
      <c r="E440" s="846" t="s">
        <v>517</v>
      </c>
    </row>
    <row r="441" ht="15.75" customHeight="1">
      <c r="A441" s="859" t="str">
        <f>Settings!$A$5</f>
        <v>GREEN</v>
      </c>
      <c r="B441" s="596" t="s">
        <v>106</v>
      </c>
      <c r="C441" s="13" t="str">
        <f>'Entry Sheet'!L50</f>
        <v/>
      </c>
      <c r="D441" s="13" t="str">
        <f>'Entry Sheet'!M50</f>
        <v/>
      </c>
      <c r="E441" s="846" t="s">
        <v>517</v>
      </c>
    </row>
    <row r="442" ht="15.75" customHeight="1">
      <c r="A442" s="859" t="str">
        <f>Settings!$A$5</f>
        <v>GREEN</v>
      </c>
      <c r="B442" s="712" t="s">
        <v>117</v>
      </c>
      <c r="C442" s="13" t="str">
        <f>'Entry Sheet'!L51</f>
        <v>A. BROWN</v>
      </c>
      <c r="D442" s="13">
        <f>'Entry Sheet'!M51</f>
        <v>14</v>
      </c>
      <c r="E442" s="846" t="s">
        <v>517</v>
      </c>
    </row>
    <row r="443" ht="15.75" customHeight="1">
      <c r="A443" s="859" t="str">
        <f>Settings!$A$5</f>
        <v>GREEN</v>
      </c>
      <c r="B443" s="712" t="s">
        <v>117</v>
      </c>
      <c r="C443" s="13" t="str">
        <f>'Entry Sheet'!L52</f>
        <v>J. WADDLE</v>
      </c>
      <c r="D443" s="13">
        <f>'Entry Sheet'!M52</f>
        <v>16.02</v>
      </c>
      <c r="E443" s="846" t="s">
        <v>517</v>
      </c>
    </row>
    <row r="444" ht="15.75" customHeight="1">
      <c r="A444" s="859" t="str">
        <f>Settings!$A$5</f>
        <v>GREEN</v>
      </c>
      <c r="B444" s="712" t="s">
        <v>117</v>
      </c>
      <c r="C444" s="13" t="str">
        <f>'Entry Sheet'!L53</f>
        <v>C. SUTTON</v>
      </c>
      <c r="D444" s="13">
        <f>'Entry Sheet'!M53</f>
        <v>2.7</v>
      </c>
      <c r="E444" s="846" t="s">
        <v>517</v>
      </c>
    </row>
    <row r="445" ht="15.75" customHeight="1">
      <c r="A445" s="859" t="str">
        <f>Settings!$A$5</f>
        <v>GREEN</v>
      </c>
      <c r="B445" s="712" t="s">
        <v>117</v>
      </c>
      <c r="C445" s="13" t="str">
        <f>'Entry Sheet'!L54</f>
        <v/>
      </c>
      <c r="D445" s="13" t="str">
        <f>'Entry Sheet'!M54</f>
        <v/>
      </c>
      <c r="E445" s="846" t="s">
        <v>517</v>
      </c>
    </row>
    <row r="446" ht="15.75" customHeight="1">
      <c r="A446" s="859" t="str">
        <f>Settings!$A$5</f>
        <v>GREEN</v>
      </c>
      <c r="B446" s="764" t="s">
        <v>132</v>
      </c>
      <c r="C446" s="13" t="str">
        <f>'Entry Sheet'!L55</f>
        <v>T. WARREN</v>
      </c>
      <c r="D446" s="13">
        <f>'Entry Sheet'!M55</f>
        <v>18.3</v>
      </c>
      <c r="E446" s="846" t="s">
        <v>517</v>
      </c>
    </row>
    <row r="447" ht="15.75" customHeight="1">
      <c r="A447" s="859" t="str">
        <f>Settings!$A$5</f>
        <v>GREEN</v>
      </c>
      <c r="B447" s="795" t="s">
        <v>136</v>
      </c>
      <c r="C447" s="13" t="str">
        <f>'Entry Sheet'!L56</f>
        <v>D. SWIFT</v>
      </c>
      <c r="D447" s="13">
        <f>'Entry Sheet'!M56</f>
        <v>27.9</v>
      </c>
      <c r="E447" s="846" t="s">
        <v>517</v>
      </c>
    </row>
    <row r="448" ht="15.75" customHeight="1">
      <c r="A448" s="859" t="str">
        <f>Settings!$A$5</f>
        <v>GREEN</v>
      </c>
      <c r="B448" s="818" t="s">
        <v>139</v>
      </c>
      <c r="C448" s="13" t="str">
        <f>'Entry Sheet'!L57</f>
        <v>CLE D/ST</v>
      </c>
      <c r="D448" s="13">
        <f>'Entry Sheet'!M57</f>
        <v>9.02</v>
      </c>
      <c r="E448" s="846" t="s">
        <v>517</v>
      </c>
    </row>
    <row r="449" ht="15.75" customHeight="1">
      <c r="A449" s="859" t="str">
        <f>Settings!$A$5</f>
        <v>GREEN</v>
      </c>
      <c r="B449" s="833" t="s">
        <v>146</v>
      </c>
      <c r="C449" s="13" t="str">
        <f>'Entry Sheet'!L58</f>
        <v>J. MYERS</v>
      </c>
      <c r="D449" s="13">
        <f>'Entry Sheet'!M58</f>
        <v>11</v>
      </c>
      <c r="E449" s="846" t="s">
        <v>517</v>
      </c>
    </row>
    <row r="450" ht="15.75" customHeight="1">
      <c r="A450" s="859" t="str">
        <f>Settings!$A$5</f>
        <v>GREEN</v>
      </c>
      <c r="B450" s="842" t="s">
        <v>162</v>
      </c>
      <c r="C450" s="13" t="str">
        <f>'Entry Sheet'!L59</f>
        <v>LAR HC</v>
      </c>
      <c r="D450" s="13">
        <f>'Entry Sheet'!M59</f>
        <v>9.1</v>
      </c>
      <c r="E450" s="846" t="s">
        <v>517</v>
      </c>
    </row>
    <row r="451" ht="15.75" customHeight="1">
      <c r="A451" s="859" t="str">
        <f>Settings!$A$5</f>
        <v>GREEN</v>
      </c>
      <c r="B451" s="587" t="s">
        <v>100</v>
      </c>
      <c r="C451" s="13" t="str">
        <f>'Entry Sheet'!N47</f>
        <v>B. NIX</v>
      </c>
      <c r="D451" s="13">
        <f>'Entry Sheet'!O47</f>
        <v>45.26</v>
      </c>
      <c r="E451" s="589" t="s">
        <v>518</v>
      </c>
    </row>
    <row r="452" ht="15.75" customHeight="1">
      <c r="A452" s="859" t="str">
        <f>Settings!$A$5</f>
        <v>GREEN</v>
      </c>
      <c r="B452" s="596" t="s">
        <v>106</v>
      </c>
      <c r="C452" s="13" t="str">
        <f>'Entry Sheet'!N48</f>
        <v>B. ROBINSON</v>
      </c>
      <c r="D452" s="13">
        <f>'Entry Sheet'!O48</f>
        <v>22.6</v>
      </c>
      <c r="E452" s="589" t="s">
        <v>518</v>
      </c>
    </row>
    <row r="453" ht="15.75" customHeight="1">
      <c r="A453" s="859" t="str">
        <f>Settings!$A$5</f>
        <v>GREEN</v>
      </c>
      <c r="B453" s="596" t="s">
        <v>106</v>
      </c>
      <c r="C453" s="13" t="str">
        <f>'Entry Sheet'!N49</f>
        <v>J. TAYLOR</v>
      </c>
      <c r="D453" s="13">
        <f>'Entry Sheet'!O49</f>
        <v>35.8</v>
      </c>
      <c r="E453" s="589" t="s">
        <v>518</v>
      </c>
    </row>
    <row r="454" ht="15.75" customHeight="1">
      <c r="A454" s="859" t="str">
        <f>Settings!$A$5</f>
        <v>GREEN</v>
      </c>
      <c r="B454" s="596" t="s">
        <v>106</v>
      </c>
      <c r="C454" s="13" t="str">
        <f>'Entry Sheet'!N50</f>
        <v/>
      </c>
      <c r="D454" s="13" t="str">
        <f>'Entry Sheet'!O50</f>
        <v/>
      </c>
      <c r="E454" s="589" t="s">
        <v>518</v>
      </c>
    </row>
    <row r="455" ht="15.75" customHeight="1">
      <c r="A455" s="859" t="str">
        <f>Settings!$A$5</f>
        <v>GREEN</v>
      </c>
      <c r="B455" s="712" t="s">
        <v>117</v>
      </c>
      <c r="C455" s="13" t="str">
        <f>'Entry Sheet'!N51</f>
        <v>A. BROWN</v>
      </c>
      <c r="D455" s="13">
        <f>'Entry Sheet'!O51</f>
        <v>29.1</v>
      </c>
      <c r="E455" s="589" t="s">
        <v>518</v>
      </c>
    </row>
    <row r="456" ht="15.75" customHeight="1">
      <c r="A456" s="859" t="str">
        <f>Settings!$A$5</f>
        <v>GREEN</v>
      </c>
      <c r="B456" s="712" t="s">
        <v>117</v>
      </c>
      <c r="C456" s="13" t="str">
        <f>'Entry Sheet'!N52</f>
        <v>J. WADDLE</v>
      </c>
      <c r="D456" s="13">
        <f>'Entry Sheet'!O52</f>
        <v>2.5</v>
      </c>
      <c r="E456" s="589" t="s">
        <v>518</v>
      </c>
    </row>
    <row r="457" ht="15.75" customHeight="1">
      <c r="A457" s="859" t="str">
        <f>Settings!$A$5</f>
        <v>GREEN</v>
      </c>
      <c r="B457" s="712" t="s">
        <v>117</v>
      </c>
      <c r="C457" s="13" t="str">
        <f>'Entry Sheet'!N53</f>
        <v>C. SUTTON</v>
      </c>
      <c r="D457" s="13">
        <f>'Entry Sheet'!O53</f>
        <v>16.7</v>
      </c>
      <c r="E457" s="589" t="s">
        <v>518</v>
      </c>
    </row>
    <row r="458" ht="15.75" customHeight="1">
      <c r="A458" s="859" t="str">
        <f>Settings!$A$5</f>
        <v>GREEN</v>
      </c>
      <c r="B458" s="712" t="s">
        <v>117</v>
      </c>
      <c r="C458" s="13" t="str">
        <f>'Entry Sheet'!N54</f>
        <v/>
      </c>
      <c r="D458" s="13" t="str">
        <f>'Entry Sheet'!O54</f>
        <v/>
      </c>
      <c r="E458" s="589" t="s">
        <v>518</v>
      </c>
    </row>
    <row r="459" ht="15.75" customHeight="1">
      <c r="A459" s="859" t="str">
        <f>Settings!$A$5</f>
        <v>GREEN</v>
      </c>
      <c r="B459" s="764" t="s">
        <v>132</v>
      </c>
      <c r="C459" s="13" t="str">
        <f>'Entry Sheet'!N55</f>
        <v>S. LAPORTA</v>
      </c>
      <c r="D459" s="13">
        <f>'Entry Sheet'!O55</f>
        <v>4.5</v>
      </c>
      <c r="E459" s="589" t="s">
        <v>518</v>
      </c>
    </row>
    <row r="460" ht="15.75" customHeight="1">
      <c r="A460" s="859" t="str">
        <f>Settings!$A$5</f>
        <v>GREEN</v>
      </c>
      <c r="B460" s="795" t="s">
        <v>136</v>
      </c>
      <c r="C460" s="13" t="str">
        <f>'Entry Sheet'!N56</f>
        <v>T. WARREN</v>
      </c>
      <c r="D460" s="13">
        <f>'Entry Sheet'!O56</f>
        <v>16.9</v>
      </c>
      <c r="E460" s="589" t="s">
        <v>518</v>
      </c>
    </row>
    <row r="461" ht="15.75" customHeight="1">
      <c r="A461" s="859" t="str">
        <f>Settings!$A$5</f>
        <v>GREEN</v>
      </c>
      <c r="B461" s="818" t="s">
        <v>139</v>
      </c>
      <c r="C461" s="13" t="str">
        <f>'Entry Sheet'!N57</f>
        <v>ATL D/ST</v>
      </c>
      <c r="D461" s="13">
        <f>'Entry Sheet'!O57</f>
        <v>11.74</v>
      </c>
      <c r="E461" s="589" t="s">
        <v>518</v>
      </c>
    </row>
    <row r="462" ht="15.75" customHeight="1">
      <c r="A462" s="859" t="str">
        <f>Settings!$A$5</f>
        <v>GREEN</v>
      </c>
      <c r="B462" s="833" t="s">
        <v>146</v>
      </c>
      <c r="C462" s="13" t="str">
        <f>'Entry Sheet'!N58</f>
        <v>J. MYERS</v>
      </c>
      <c r="D462" s="13">
        <f>'Entry Sheet'!O58</f>
        <v>9</v>
      </c>
      <c r="E462" s="589" t="s">
        <v>518</v>
      </c>
    </row>
    <row r="463" ht="15.75" customHeight="1">
      <c r="A463" s="859" t="str">
        <f>Settings!$A$5</f>
        <v>GREEN</v>
      </c>
      <c r="B463" s="842" t="s">
        <v>162</v>
      </c>
      <c r="C463" s="13" t="str">
        <f>'Entry Sheet'!N59</f>
        <v>LAR HC</v>
      </c>
      <c r="D463" s="13">
        <f>'Entry Sheet'!O59</f>
        <v>22.5</v>
      </c>
      <c r="E463" s="589" t="s">
        <v>518</v>
      </c>
    </row>
    <row r="464" ht="15.75" customHeight="1">
      <c r="A464" s="859" t="str">
        <f>Settings!$A$5</f>
        <v>GREEN</v>
      </c>
      <c r="B464" s="587" t="s">
        <v>100</v>
      </c>
      <c r="C464" s="13" t="str">
        <f>'Entry Sheet'!P47</f>
        <v>B. NIX</v>
      </c>
      <c r="D464" s="13">
        <f>'Entry Sheet'!Q47</f>
        <v>32.88</v>
      </c>
      <c r="E464" s="846" t="s">
        <v>519</v>
      </c>
    </row>
    <row r="465" ht="15.75" customHeight="1">
      <c r="A465" s="859" t="str">
        <f>Settings!$A$5</f>
        <v>GREEN</v>
      </c>
      <c r="B465" s="596" t="s">
        <v>106</v>
      </c>
      <c r="C465" s="13" t="str">
        <f>'Entry Sheet'!P48</f>
        <v>B. ROBINSON</v>
      </c>
      <c r="D465" s="13">
        <f>'Entry Sheet'!Q48</f>
        <v>6.7</v>
      </c>
      <c r="E465" s="846" t="s">
        <v>519</v>
      </c>
    </row>
    <row r="466" ht="15.75" customHeight="1">
      <c r="A466" s="859" t="str">
        <f>Settings!$A$5</f>
        <v>GREEN</v>
      </c>
      <c r="B466" s="596" t="s">
        <v>106</v>
      </c>
      <c r="C466" s="13" t="str">
        <f>'Entry Sheet'!P49</f>
        <v>J. TAYLOR</v>
      </c>
      <c r="D466" s="13">
        <f>'Entry Sheet'!Q49</f>
        <v>39.6</v>
      </c>
      <c r="E466" s="846" t="s">
        <v>519</v>
      </c>
    </row>
    <row r="467" ht="15.75" customHeight="1">
      <c r="A467" s="859" t="str">
        <f>Settings!$A$5</f>
        <v>GREEN</v>
      </c>
      <c r="B467" s="596" t="s">
        <v>106</v>
      </c>
      <c r="C467" s="13" t="str">
        <f>'Entry Sheet'!P50</f>
        <v/>
      </c>
      <c r="D467" s="13" t="str">
        <f>'Entry Sheet'!Q50</f>
        <v/>
      </c>
      <c r="E467" s="846" t="s">
        <v>519</v>
      </c>
    </row>
    <row r="468" ht="15.75" customHeight="1">
      <c r="A468" s="859" t="str">
        <f>Settings!$A$5</f>
        <v>GREEN</v>
      </c>
      <c r="B468" s="712" t="s">
        <v>117</v>
      </c>
      <c r="C468" s="13" t="str">
        <f>'Entry Sheet'!P51</f>
        <v>J. WADDLE</v>
      </c>
      <c r="D468" s="13">
        <f>'Entry Sheet'!Q51</f>
        <v>20.9</v>
      </c>
      <c r="E468" s="846" t="s">
        <v>519</v>
      </c>
    </row>
    <row r="469" ht="15.75" customHeight="1">
      <c r="A469" s="859" t="str">
        <f>Settings!$A$5</f>
        <v>GREEN</v>
      </c>
      <c r="B469" s="712" t="s">
        <v>117</v>
      </c>
      <c r="C469" s="13" t="str">
        <f>'Entry Sheet'!P52</f>
        <v>T. MCMILLAN</v>
      </c>
      <c r="D469" s="13">
        <f>'Entry Sheet'!Q52</f>
        <v>16.9</v>
      </c>
      <c r="E469" s="846" t="s">
        <v>519</v>
      </c>
    </row>
    <row r="470" ht="15.75" customHeight="1">
      <c r="A470" s="859" t="str">
        <f>Settings!$A$5</f>
        <v>GREEN</v>
      </c>
      <c r="B470" s="712" t="s">
        <v>117</v>
      </c>
      <c r="C470" s="13" t="str">
        <f>'Entry Sheet'!P53</f>
        <v>C. SUTTON</v>
      </c>
      <c r="D470" s="13">
        <f>'Entry Sheet'!Q53</f>
        <v>10.7</v>
      </c>
      <c r="E470" s="846" t="s">
        <v>519</v>
      </c>
    </row>
    <row r="471" ht="15.75" customHeight="1">
      <c r="A471" s="859" t="str">
        <f>Settings!$A$5</f>
        <v>GREEN</v>
      </c>
      <c r="B471" s="712" t="s">
        <v>117</v>
      </c>
      <c r="C471" s="13" t="str">
        <f>'Entry Sheet'!P54</f>
        <v/>
      </c>
      <c r="D471" s="13" t="str">
        <f>'Entry Sheet'!Q54</f>
        <v/>
      </c>
      <c r="E471" s="846" t="s">
        <v>519</v>
      </c>
    </row>
    <row r="472" ht="15.75" customHeight="1">
      <c r="A472" s="859" t="str">
        <f>Settings!$A$5</f>
        <v>GREEN</v>
      </c>
      <c r="B472" s="764" t="s">
        <v>132</v>
      </c>
      <c r="C472" s="13" t="str">
        <f>'Entry Sheet'!P55</f>
        <v>T. WARREN</v>
      </c>
      <c r="D472" s="13">
        <f>'Entry Sheet'!Q55</f>
        <v>9.3</v>
      </c>
      <c r="E472" s="846" t="s">
        <v>519</v>
      </c>
    </row>
    <row r="473" ht="15.75" customHeight="1">
      <c r="A473" s="859" t="str">
        <f>Settings!$A$5</f>
        <v>GREEN</v>
      </c>
      <c r="B473" s="795" t="s">
        <v>136</v>
      </c>
      <c r="C473" s="13" t="str">
        <f>'Entry Sheet'!P56</f>
        <v>D. SWIFT</v>
      </c>
      <c r="D473" s="13">
        <f>'Entry Sheet'!Q56</f>
        <v>16.2</v>
      </c>
      <c r="E473" s="846" t="s">
        <v>519</v>
      </c>
    </row>
    <row r="474" ht="15.75" customHeight="1">
      <c r="A474" s="859" t="str">
        <f>Settings!$A$5</f>
        <v>GREEN</v>
      </c>
      <c r="B474" s="818" t="s">
        <v>139</v>
      </c>
      <c r="C474" s="13" t="str">
        <f>'Entry Sheet'!P57</f>
        <v>ATL D/ST</v>
      </c>
      <c r="D474" s="13">
        <f>'Entry Sheet'!Q57</f>
        <v>6.43</v>
      </c>
      <c r="E474" s="846" t="s">
        <v>519</v>
      </c>
    </row>
    <row r="475" ht="15.75" customHeight="1">
      <c r="A475" s="859" t="str">
        <f>Settings!$A$5</f>
        <v>GREEN</v>
      </c>
      <c r="B475" s="833" t="s">
        <v>146</v>
      </c>
      <c r="C475" s="13" t="str">
        <f>'Entry Sheet'!P58</f>
        <v>M. BADGLEY</v>
      </c>
      <c r="D475" s="13">
        <f>'Entry Sheet'!Q58</f>
        <v>9</v>
      </c>
      <c r="E475" s="846" t="s">
        <v>519</v>
      </c>
    </row>
    <row r="476" ht="15.75" customHeight="1">
      <c r="A476" s="859" t="str">
        <f>Settings!$A$5</f>
        <v>GREEN</v>
      </c>
      <c r="B476" s="842" t="s">
        <v>162</v>
      </c>
      <c r="C476" s="13" t="str">
        <f>'Entry Sheet'!P59</f>
        <v>TB HC</v>
      </c>
      <c r="D476" s="13">
        <f>'Entry Sheet'!Q59</f>
        <v>14.9</v>
      </c>
      <c r="E476" s="846" t="s">
        <v>519</v>
      </c>
    </row>
    <row r="477" ht="15.75" customHeight="1">
      <c r="A477" s="859" t="str">
        <f>Settings!$A$5</f>
        <v>GREEN</v>
      </c>
      <c r="B477" s="587" t="s">
        <v>100</v>
      </c>
      <c r="C477" s="13" t="str">
        <f>'Entry Sheet'!R47</f>
        <v>M. STAFFORD</v>
      </c>
      <c r="D477" s="13">
        <f>'Entry Sheet'!S47</f>
        <v>38.44</v>
      </c>
      <c r="E477" s="589" t="s">
        <v>520</v>
      </c>
    </row>
    <row r="478" ht="15.75" customHeight="1">
      <c r="A478" s="859" t="str">
        <f>Settings!$A$5</f>
        <v>GREEN</v>
      </c>
      <c r="B478" s="596" t="s">
        <v>106</v>
      </c>
      <c r="C478" s="13" t="str">
        <f>'Entry Sheet'!R48</f>
        <v>B. ROBINSON</v>
      </c>
      <c r="D478" s="13">
        <f>'Entry Sheet'!S48</f>
        <v>18.8</v>
      </c>
      <c r="E478" s="589" t="s">
        <v>520</v>
      </c>
    </row>
    <row r="479" ht="15.75" customHeight="1">
      <c r="A479" s="859" t="str">
        <f>Settings!$A$5</f>
        <v>GREEN</v>
      </c>
      <c r="B479" s="596" t="s">
        <v>106</v>
      </c>
      <c r="C479" s="13" t="str">
        <f>'Entry Sheet'!R49</f>
        <v>J. TAYLOR</v>
      </c>
      <c r="D479" s="13">
        <f>'Entry Sheet'!S49</f>
        <v>9.1</v>
      </c>
      <c r="E479" s="589" t="s">
        <v>520</v>
      </c>
    </row>
    <row r="480" ht="15.75" customHeight="1">
      <c r="A480" s="859" t="str">
        <f>Settings!$A$5</f>
        <v>GREEN</v>
      </c>
      <c r="B480" s="596" t="s">
        <v>106</v>
      </c>
      <c r="C480" s="13" t="str">
        <f>'Entry Sheet'!R50</f>
        <v/>
      </c>
      <c r="D480" s="13" t="str">
        <f>'Entry Sheet'!S50</f>
        <v/>
      </c>
      <c r="E480" s="589" t="s">
        <v>520</v>
      </c>
    </row>
    <row r="481" ht="15.75" customHeight="1">
      <c r="A481" s="859" t="str">
        <f>Settings!$A$5</f>
        <v>GREEN</v>
      </c>
      <c r="B481" s="712" t="s">
        <v>117</v>
      </c>
      <c r="C481" s="13" t="str">
        <f>'Entry Sheet'!R51</f>
        <v>J. WADDLE</v>
      </c>
      <c r="D481" s="13">
        <f>'Entry Sheet'!S51</f>
        <v>14.2</v>
      </c>
      <c r="E481" s="589" t="s">
        <v>520</v>
      </c>
    </row>
    <row r="482" ht="15.75" customHeight="1">
      <c r="A482" s="859" t="str">
        <f>Settings!$A$5</f>
        <v>GREEN</v>
      </c>
      <c r="B482" s="712" t="s">
        <v>117</v>
      </c>
      <c r="C482" s="13" t="str">
        <f>'Entry Sheet'!R52</f>
        <v>T. MCMILLAN</v>
      </c>
      <c r="D482" s="13">
        <f>'Entry Sheet'!S52</f>
        <v>8.6</v>
      </c>
      <c r="E482" s="589" t="s">
        <v>520</v>
      </c>
    </row>
    <row r="483" ht="15.75" customHeight="1">
      <c r="A483" s="859" t="str">
        <f>Settings!$A$5</f>
        <v>GREEN</v>
      </c>
      <c r="B483" s="712" t="s">
        <v>117</v>
      </c>
      <c r="C483" s="13" t="str">
        <f>'Entry Sheet'!R53</f>
        <v>C. SUTTON</v>
      </c>
      <c r="D483" s="13">
        <f>'Entry Sheet'!S53</f>
        <v>10</v>
      </c>
      <c r="E483" s="589" t="s">
        <v>520</v>
      </c>
    </row>
    <row r="484" ht="15.75" customHeight="1">
      <c r="A484" s="859" t="str">
        <f>Settings!$A$5</f>
        <v>GREEN</v>
      </c>
      <c r="B484" s="712" t="s">
        <v>117</v>
      </c>
      <c r="C484" s="13" t="str">
        <f>'Entry Sheet'!R54</f>
        <v/>
      </c>
      <c r="D484" s="13" t="str">
        <f>'Entry Sheet'!S54</f>
        <v/>
      </c>
      <c r="E484" s="589" t="s">
        <v>520</v>
      </c>
    </row>
    <row r="485" ht="15.75" customHeight="1">
      <c r="A485" s="859" t="str">
        <f>Settings!$A$5</f>
        <v>GREEN</v>
      </c>
      <c r="B485" s="764" t="s">
        <v>132</v>
      </c>
      <c r="C485" s="13" t="str">
        <f>'Entry Sheet'!R55</f>
        <v>T. WARREN</v>
      </c>
      <c r="D485" s="13">
        <f>'Entry Sheet'!S55</f>
        <v>7.6</v>
      </c>
      <c r="E485" s="589" t="s">
        <v>520</v>
      </c>
    </row>
    <row r="486" ht="15.75" customHeight="1">
      <c r="A486" s="859" t="str">
        <f>Settings!$A$5</f>
        <v>GREEN</v>
      </c>
      <c r="B486" s="795" t="s">
        <v>136</v>
      </c>
      <c r="C486" s="13" t="str">
        <f>'Entry Sheet'!R56</f>
        <v>K. MONANGAI</v>
      </c>
      <c r="D486" s="13">
        <f>'Entry Sheet'!S56</f>
        <v>26.4</v>
      </c>
      <c r="E486" s="589" t="s">
        <v>520</v>
      </c>
    </row>
    <row r="487" ht="15.75" customHeight="1">
      <c r="A487" s="859" t="str">
        <f>Settings!$A$5</f>
        <v>GREEN</v>
      </c>
      <c r="B487" s="818" t="s">
        <v>139</v>
      </c>
      <c r="C487" s="13" t="str">
        <f>'Entry Sheet'!R57</f>
        <v>NE D/ST</v>
      </c>
      <c r="D487" s="13">
        <f>'Entry Sheet'!S57</f>
        <v>10.15</v>
      </c>
      <c r="E487" s="589" t="s">
        <v>520</v>
      </c>
    </row>
    <row r="488" ht="15.75" customHeight="1">
      <c r="A488" s="859" t="str">
        <f>Settings!$A$5</f>
        <v>GREEN</v>
      </c>
      <c r="B488" s="833" t="s">
        <v>146</v>
      </c>
      <c r="C488" s="13" t="str">
        <f>'Entry Sheet'!R58</f>
        <v>M. BADGLEY</v>
      </c>
      <c r="D488" s="13">
        <f>'Entry Sheet'!S58</f>
        <v>14</v>
      </c>
      <c r="E488" s="589" t="s">
        <v>520</v>
      </c>
    </row>
    <row r="489" ht="15.75" customHeight="1">
      <c r="A489" s="859" t="str">
        <f>Settings!$A$5</f>
        <v>GREEN</v>
      </c>
      <c r="B489" s="842" t="s">
        <v>162</v>
      </c>
      <c r="C489" s="13" t="str">
        <f>'Entry Sheet'!R59</f>
        <v>LAR HC</v>
      </c>
      <c r="D489" s="13">
        <f>'Entry Sheet'!S59</f>
        <v>18.2</v>
      </c>
      <c r="E489" s="589" t="s">
        <v>520</v>
      </c>
    </row>
    <row r="490" ht="15.75" customHeight="1">
      <c r="A490" s="859" t="str">
        <f>Settings!$A$5</f>
        <v>GREEN</v>
      </c>
      <c r="B490" s="587" t="s">
        <v>100</v>
      </c>
      <c r="C490" s="13" t="str">
        <f>'Entry Sheet'!T47</f>
        <v>M. STAFFORD</v>
      </c>
      <c r="D490" s="13">
        <f>'Entry Sheet'!U47</f>
        <v>37.6</v>
      </c>
      <c r="E490" s="846" t="s">
        <v>521</v>
      </c>
    </row>
    <row r="491" ht="15.75" customHeight="1">
      <c r="A491" s="859" t="str">
        <f>Settings!$A$5</f>
        <v>GREEN</v>
      </c>
      <c r="B491" s="596" t="s">
        <v>106</v>
      </c>
      <c r="C491" s="13" t="str">
        <f>'Entry Sheet'!T48</f>
        <v>B. ROBINSON</v>
      </c>
      <c r="D491" s="13">
        <f>'Entry Sheet'!U48</f>
        <v>12.5</v>
      </c>
      <c r="E491" s="846" t="s">
        <v>521</v>
      </c>
    </row>
    <row r="492" ht="15.75" customHeight="1">
      <c r="A492" s="859" t="str">
        <f>Settings!$A$5</f>
        <v>GREEN</v>
      </c>
      <c r="B492" s="596" t="s">
        <v>106</v>
      </c>
      <c r="C492" s="13" t="str">
        <f>'Entry Sheet'!T49</f>
        <v>J. TAYLOR</v>
      </c>
      <c r="D492" s="13">
        <f>'Entry Sheet'!U49</f>
        <v>54.8</v>
      </c>
      <c r="E492" s="846" t="s">
        <v>521</v>
      </c>
    </row>
    <row r="493" ht="15.75" customHeight="1">
      <c r="A493" s="859" t="str">
        <f>Settings!$A$5</f>
        <v>GREEN</v>
      </c>
      <c r="B493" s="596" t="s">
        <v>106</v>
      </c>
      <c r="C493" s="13" t="str">
        <f>'Entry Sheet'!T50</f>
        <v/>
      </c>
      <c r="D493" s="13" t="str">
        <f>'Entry Sheet'!U50</f>
        <v/>
      </c>
      <c r="E493" s="846" t="s">
        <v>521</v>
      </c>
    </row>
    <row r="494" ht="15.75" customHeight="1">
      <c r="A494" s="859" t="str">
        <f>Settings!$A$5</f>
        <v>GREEN</v>
      </c>
      <c r="B494" s="712" t="s">
        <v>117</v>
      </c>
      <c r="C494" s="13" t="str">
        <f>'Entry Sheet'!T51</f>
        <v>A. BROWN</v>
      </c>
      <c r="D494" s="13">
        <f>'Entry Sheet'!U51</f>
        <v>3.3</v>
      </c>
      <c r="E494" s="846" t="s">
        <v>521</v>
      </c>
    </row>
    <row r="495" ht="15.75" customHeight="1">
      <c r="A495" s="859" t="str">
        <f>Settings!$A$5</f>
        <v>GREEN</v>
      </c>
      <c r="B495" s="712" t="s">
        <v>117</v>
      </c>
      <c r="C495" s="13" t="str">
        <f>'Entry Sheet'!T52</f>
        <v>J. WADDLE</v>
      </c>
      <c r="D495" s="13">
        <f>'Entry Sheet'!U52</f>
        <v>19.4</v>
      </c>
      <c r="E495" s="846" t="s">
        <v>521</v>
      </c>
    </row>
    <row r="496" ht="15.75" customHeight="1">
      <c r="A496" s="859" t="str">
        <f>Settings!$A$5</f>
        <v>GREEN</v>
      </c>
      <c r="B496" s="712" t="s">
        <v>117</v>
      </c>
      <c r="C496" s="13" t="str">
        <f>'Entry Sheet'!T53</f>
        <v>T. FRANKLIN</v>
      </c>
      <c r="D496" s="13">
        <f>'Entry Sheet'!U53</f>
        <v>15</v>
      </c>
      <c r="E496" s="846" t="s">
        <v>521</v>
      </c>
    </row>
    <row r="497" ht="15.75" customHeight="1">
      <c r="A497" s="859" t="str">
        <f>Settings!$A$5</f>
        <v>GREEN</v>
      </c>
      <c r="B497" s="712" t="s">
        <v>117</v>
      </c>
      <c r="C497" s="13" t="str">
        <f>'Entry Sheet'!T54</f>
        <v/>
      </c>
      <c r="D497" s="13" t="str">
        <f>'Entry Sheet'!U54</f>
        <v/>
      </c>
      <c r="E497" s="846" t="s">
        <v>521</v>
      </c>
    </row>
    <row r="498" ht="15.75" customHeight="1">
      <c r="A498" s="859" t="str">
        <f>Settings!$A$5</f>
        <v>GREEN</v>
      </c>
      <c r="B498" s="764" t="s">
        <v>132</v>
      </c>
      <c r="C498" s="13" t="str">
        <f>'Entry Sheet'!T55</f>
        <v>T. WARREN</v>
      </c>
      <c r="D498" s="13">
        <f>'Entry Sheet'!U55</f>
        <v>17.9</v>
      </c>
      <c r="E498" s="846" t="s">
        <v>521</v>
      </c>
    </row>
    <row r="499" ht="15.75" customHeight="1">
      <c r="A499" s="859" t="str">
        <f>Settings!$A$5</f>
        <v>GREEN</v>
      </c>
      <c r="B499" s="795" t="s">
        <v>136</v>
      </c>
      <c r="C499" s="13" t="str">
        <f>'Entry Sheet'!T56</f>
        <v>D. SWIFT</v>
      </c>
      <c r="D499" s="13">
        <f>'Entry Sheet'!U56</f>
        <v>16.1</v>
      </c>
      <c r="E499" s="846" t="s">
        <v>521</v>
      </c>
    </row>
    <row r="500" ht="15.75" customHeight="1">
      <c r="A500" s="859" t="str">
        <f>Settings!$A$5</f>
        <v>GREEN</v>
      </c>
      <c r="B500" s="818" t="s">
        <v>139</v>
      </c>
      <c r="C500" s="13" t="str">
        <f>'Entry Sheet'!T57</f>
        <v>TB D/ST</v>
      </c>
      <c r="D500" s="13">
        <f>'Entry Sheet'!U57</f>
        <v>1.36</v>
      </c>
      <c r="E500" s="846" t="s">
        <v>521</v>
      </c>
    </row>
    <row r="501" ht="15.75" customHeight="1">
      <c r="A501" s="859" t="str">
        <f>Settings!$A$5</f>
        <v>GREEN</v>
      </c>
      <c r="B501" s="833" t="s">
        <v>146</v>
      </c>
      <c r="C501" s="13" t="str">
        <f>'Entry Sheet'!T58</f>
        <v>M. BADGLEY</v>
      </c>
      <c r="D501" s="13">
        <f>'Entry Sheet'!U58</f>
        <v>7</v>
      </c>
      <c r="E501" s="846" t="s">
        <v>521</v>
      </c>
    </row>
    <row r="502" ht="15.75" customHeight="1">
      <c r="A502" s="859" t="str">
        <f>Settings!$A$5</f>
        <v>GREEN</v>
      </c>
      <c r="B502" s="842" t="s">
        <v>162</v>
      </c>
      <c r="C502" s="13" t="str">
        <f>'Entry Sheet'!T59</f>
        <v>LAR HC</v>
      </c>
      <c r="D502" s="13">
        <f>'Entry Sheet'!U59</f>
        <v>18.6</v>
      </c>
      <c r="E502" s="846" t="s">
        <v>521</v>
      </c>
    </row>
    <row r="503" ht="15.75" customHeight="1">
      <c r="A503" s="859" t="str">
        <f>Settings!$A$5</f>
        <v>GREEN</v>
      </c>
      <c r="B503" s="587" t="s">
        <v>100</v>
      </c>
      <c r="C503" s="13" t="str">
        <f>'Entry Sheet'!V47</f>
        <v>M. STAFFORD</v>
      </c>
      <c r="D503" s="13">
        <f>'Entry Sheet'!W47</f>
        <v>17.6</v>
      </c>
      <c r="E503" s="589" t="s">
        <v>522</v>
      </c>
    </row>
    <row r="504" ht="15.75" customHeight="1">
      <c r="A504" s="859" t="str">
        <f>Settings!$A$5</f>
        <v>GREEN</v>
      </c>
      <c r="B504" s="596" t="s">
        <v>106</v>
      </c>
      <c r="C504" s="13" t="str">
        <f>'Entry Sheet'!V48</f>
        <v>B. ROBINSON</v>
      </c>
      <c r="D504" s="13">
        <f>'Entry Sheet'!W48</f>
        <v>33.6</v>
      </c>
      <c r="E504" s="589" t="s">
        <v>522</v>
      </c>
    </row>
    <row r="505" ht="15.75" customHeight="1">
      <c r="A505" s="859" t="str">
        <f>Settings!$A$5</f>
        <v>GREEN</v>
      </c>
      <c r="B505" s="596" t="s">
        <v>106</v>
      </c>
      <c r="C505" s="13" t="str">
        <f>'Entry Sheet'!V49</f>
        <v>D. SWIFT</v>
      </c>
      <c r="D505" s="13">
        <f>'Entry Sheet'!W49</f>
        <v>11.1</v>
      </c>
      <c r="E505" s="589" t="s">
        <v>522</v>
      </c>
    </row>
    <row r="506" ht="15.75" customHeight="1">
      <c r="A506" s="859" t="str">
        <f>Settings!$A$5</f>
        <v>GREEN</v>
      </c>
      <c r="B506" s="596" t="s">
        <v>106</v>
      </c>
      <c r="C506" s="13" t="str">
        <f>'Entry Sheet'!V50</f>
        <v/>
      </c>
      <c r="D506" s="13" t="str">
        <f>'Entry Sheet'!W50</f>
        <v/>
      </c>
      <c r="E506" s="589" t="s">
        <v>522</v>
      </c>
    </row>
    <row r="507" ht="15.75" customHeight="1">
      <c r="A507" s="859" t="str">
        <f>Settings!$A$5</f>
        <v>GREEN</v>
      </c>
      <c r="B507" s="712" t="s">
        <v>117</v>
      </c>
      <c r="C507" s="13" t="str">
        <f>'Entry Sheet'!V51</f>
        <v>A. BROWN</v>
      </c>
      <c r="D507" s="13">
        <f>'Entry Sheet'!W51</f>
        <v>11.9</v>
      </c>
      <c r="E507" s="589" t="s">
        <v>522</v>
      </c>
    </row>
    <row r="508" ht="15.75" customHeight="1">
      <c r="A508" s="859" t="str">
        <f>Settings!$A$5</f>
        <v>GREEN</v>
      </c>
      <c r="B508" s="712" t="s">
        <v>117</v>
      </c>
      <c r="C508" s="13" t="str">
        <f>'Entry Sheet'!V52</f>
        <v>J. WADDLE</v>
      </c>
      <c r="D508" s="13">
        <f>'Entry Sheet'!W52</f>
        <v>8.2</v>
      </c>
      <c r="E508" s="589" t="s">
        <v>522</v>
      </c>
    </row>
    <row r="509" ht="15.75" customHeight="1">
      <c r="A509" s="859" t="str">
        <f>Settings!$A$5</f>
        <v>GREEN</v>
      </c>
      <c r="B509" s="712" t="s">
        <v>117</v>
      </c>
      <c r="C509" s="13" t="str">
        <f>'Entry Sheet'!V53</f>
        <v>T. FRANKLIN</v>
      </c>
      <c r="D509" s="13">
        <f>'Entry Sheet'!W53</f>
        <v>12.4</v>
      </c>
      <c r="E509" s="589" t="s">
        <v>522</v>
      </c>
    </row>
    <row r="510" ht="15.75" customHeight="1">
      <c r="A510" s="859" t="str">
        <f>Settings!$A$5</f>
        <v>GREEN</v>
      </c>
      <c r="B510" s="712" t="s">
        <v>117</v>
      </c>
      <c r="C510" s="13" t="str">
        <f>'Entry Sheet'!V54</f>
        <v/>
      </c>
      <c r="D510" s="13" t="str">
        <f>'Entry Sheet'!W54</f>
        <v/>
      </c>
      <c r="E510" s="589" t="s">
        <v>522</v>
      </c>
    </row>
    <row r="511" ht="15.75" customHeight="1">
      <c r="A511" s="859" t="str">
        <f>Settings!$A$5</f>
        <v>GREEN</v>
      </c>
      <c r="B511" s="764" t="s">
        <v>132</v>
      </c>
      <c r="C511" s="13" t="str">
        <f>'Entry Sheet'!V55</f>
        <v>T. JOHNSON</v>
      </c>
      <c r="D511" s="13">
        <f>'Entry Sheet'!W55</f>
        <v>6.6</v>
      </c>
      <c r="E511" s="589" t="s">
        <v>522</v>
      </c>
    </row>
    <row r="512" ht="15.75" customHeight="1">
      <c r="A512" s="859" t="str">
        <f>Settings!$A$5</f>
        <v>GREEN</v>
      </c>
      <c r="B512" s="795" t="s">
        <v>136</v>
      </c>
      <c r="C512" s="13" t="str">
        <f>'Entry Sheet'!V56</f>
        <v>T. MCMILLAN</v>
      </c>
      <c r="D512" s="13">
        <f>'Entry Sheet'!W56</f>
        <v>34</v>
      </c>
      <c r="E512" s="589" t="s">
        <v>522</v>
      </c>
    </row>
    <row r="513" ht="15.75" customHeight="1">
      <c r="A513" s="859" t="str">
        <f>Settings!$A$5</f>
        <v>GREEN</v>
      </c>
      <c r="B513" s="818" t="s">
        <v>139</v>
      </c>
      <c r="C513" s="13" t="str">
        <f>'Entry Sheet'!V57</f>
        <v>TB D/ST</v>
      </c>
      <c r="D513" s="13">
        <f>'Entry Sheet'!W57</f>
        <v>12.05</v>
      </c>
      <c r="E513" s="589" t="s">
        <v>522</v>
      </c>
    </row>
    <row r="514" ht="15.75" customHeight="1">
      <c r="A514" s="859" t="str">
        <f>Settings!$A$5</f>
        <v>GREEN</v>
      </c>
      <c r="B514" s="833" t="s">
        <v>146</v>
      </c>
      <c r="C514" s="13" t="str">
        <f>'Entry Sheet'!V58</f>
        <v>A. BORREGALES</v>
      </c>
      <c r="D514" s="13">
        <f>'Entry Sheet'!W58</f>
        <v>8.5</v>
      </c>
      <c r="E514" s="589" t="s">
        <v>522</v>
      </c>
    </row>
    <row r="515" ht="15.75" customHeight="1">
      <c r="A515" s="859" t="str">
        <f>Settings!$A$5</f>
        <v>GREEN</v>
      </c>
      <c r="B515" s="842" t="s">
        <v>162</v>
      </c>
      <c r="C515" s="13" t="str">
        <f>'Entry Sheet'!V59</f>
        <v>LAR HC</v>
      </c>
      <c r="D515" s="13">
        <f>'Entry Sheet'!W59</f>
        <v>8.3</v>
      </c>
      <c r="E515" s="589" t="s">
        <v>522</v>
      </c>
    </row>
    <row r="516" ht="15.75" customHeight="1">
      <c r="A516" s="859" t="str">
        <f>Settings!$A$5</f>
        <v>GREEN</v>
      </c>
      <c r="B516" s="587" t="s">
        <v>100</v>
      </c>
      <c r="C516" s="13" t="str">
        <f>'Entry Sheet'!X47</f>
        <v>M. STAFFORD</v>
      </c>
      <c r="D516" s="13">
        <f>'Entry Sheet'!Y47</f>
        <v>31.92</v>
      </c>
      <c r="E516" s="846" t="s">
        <v>523</v>
      </c>
    </row>
    <row r="517" ht="15.75" customHeight="1">
      <c r="A517" s="859" t="str">
        <f>Settings!$A$5</f>
        <v>GREEN</v>
      </c>
      <c r="B517" s="596" t="s">
        <v>106</v>
      </c>
      <c r="C517" s="13" t="str">
        <f>'Entry Sheet'!X48</f>
        <v>B. ROBINSON</v>
      </c>
      <c r="D517" s="13">
        <f>'Entry Sheet'!Y48</f>
        <v>16.1</v>
      </c>
      <c r="E517" s="846" t="s">
        <v>523</v>
      </c>
    </row>
    <row r="518" ht="15.75" customHeight="1">
      <c r="A518" s="859" t="str">
        <f>Settings!$A$5</f>
        <v>GREEN</v>
      </c>
      <c r="B518" s="596" t="s">
        <v>106</v>
      </c>
      <c r="C518" s="13" t="str">
        <f>'Entry Sheet'!X49</f>
        <v>J. TAYLOR</v>
      </c>
      <c r="D518" s="13">
        <f>'Entry Sheet'!Y49</f>
        <v>10.2</v>
      </c>
      <c r="E518" s="846" t="s">
        <v>523</v>
      </c>
    </row>
    <row r="519" ht="15.75" customHeight="1">
      <c r="A519" s="859" t="str">
        <f>Settings!$A$5</f>
        <v>GREEN</v>
      </c>
      <c r="B519" s="596" t="s">
        <v>106</v>
      </c>
      <c r="C519" s="13" t="str">
        <f>'Entry Sheet'!X50</f>
        <v/>
      </c>
      <c r="D519" s="13" t="str">
        <f>'Entry Sheet'!Y50</f>
        <v/>
      </c>
      <c r="E519" s="846" t="s">
        <v>523</v>
      </c>
    </row>
    <row r="520" ht="15.75" customHeight="1">
      <c r="A520" s="859" t="str">
        <f>Settings!$A$5</f>
        <v>GREEN</v>
      </c>
      <c r="B520" s="712" t="s">
        <v>117</v>
      </c>
      <c r="C520" s="13" t="str">
        <f>'Entry Sheet'!X51</f>
        <v>A. BROWN</v>
      </c>
      <c r="D520" s="13">
        <f>'Entry Sheet'!Y51</f>
        <v>26</v>
      </c>
      <c r="E520" s="846" t="s">
        <v>523</v>
      </c>
    </row>
    <row r="521" ht="15.75" customHeight="1">
      <c r="A521" s="859" t="str">
        <f>Settings!$A$5</f>
        <v>GREEN</v>
      </c>
      <c r="B521" s="712" t="s">
        <v>117</v>
      </c>
      <c r="C521" s="13" t="str">
        <f>'Entry Sheet'!X52</f>
        <v>T. MCMILLAN</v>
      </c>
      <c r="D521" s="13">
        <f>'Entry Sheet'!Y52</f>
        <v>11.5</v>
      </c>
      <c r="E521" s="846" t="s">
        <v>523</v>
      </c>
    </row>
    <row r="522" ht="15.75" customHeight="1">
      <c r="A522" s="859" t="str">
        <f>Settings!$A$5</f>
        <v>GREEN</v>
      </c>
      <c r="B522" s="712" t="s">
        <v>117</v>
      </c>
      <c r="C522" s="13" t="str">
        <f>'Entry Sheet'!X53</f>
        <v>M. WILSON</v>
      </c>
      <c r="D522" s="13">
        <f>'Entry Sheet'!Y53</f>
        <v>22.8</v>
      </c>
      <c r="E522" s="846" t="s">
        <v>523</v>
      </c>
    </row>
    <row r="523" ht="15.75" customHeight="1">
      <c r="A523" s="859" t="str">
        <f>Settings!$A$5</f>
        <v>GREEN</v>
      </c>
      <c r="B523" s="712" t="s">
        <v>117</v>
      </c>
      <c r="C523" s="13" t="str">
        <f>'Entry Sheet'!X54</f>
        <v/>
      </c>
      <c r="D523" s="13" t="str">
        <f>'Entry Sheet'!Y54</f>
        <v/>
      </c>
      <c r="E523" s="846" t="s">
        <v>523</v>
      </c>
    </row>
    <row r="524" ht="15.75" customHeight="1">
      <c r="A524" s="859" t="str">
        <f>Settings!$A$5</f>
        <v>GREEN</v>
      </c>
      <c r="B524" s="764" t="s">
        <v>132</v>
      </c>
      <c r="C524" s="13" t="str">
        <f>'Entry Sheet'!X55</f>
        <v>T. WARREN</v>
      </c>
      <c r="D524" s="13">
        <f>'Entry Sheet'!Y55</f>
        <v>9.5</v>
      </c>
      <c r="E524" s="846" t="s">
        <v>523</v>
      </c>
    </row>
    <row r="525" ht="15.75" customHeight="1">
      <c r="A525" s="859" t="str">
        <f>Settings!$A$5</f>
        <v>GREEN</v>
      </c>
      <c r="B525" s="795" t="s">
        <v>136</v>
      </c>
      <c r="C525" s="13" t="str">
        <f>'Entry Sheet'!X56</f>
        <v>D. SWIFT</v>
      </c>
      <c r="D525" s="13">
        <f>'Entry Sheet'!Y56</f>
        <v>2.7</v>
      </c>
      <c r="E525" s="846" t="s">
        <v>523</v>
      </c>
    </row>
    <row r="526" ht="15.75" customHeight="1">
      <c r="A526" s="859" t="str">
        <f>Settings!$A$5</f>
        <v>GREEN</v>
      </c>
      <c r="B526" s="818" t="s">
        <v>139</v>
      </c>
      <c r="C526" s="13" t="str">
        <f>'Entry Sheet'!X57</f>
        <v>NE D/ST</v>
      </c>
      <c r="D526" s="13">
        <f>'Entry Sheet'!Y57</f>
        <v>17.3</v>
      </c>
      <c r="E526" s="846" t="s">
        <v>523</v>
      </c>
    </row>
    <row r="527" ht="15.75" customHeight="1">
      <c r="A527" s="859" t="str">
        <f>Settings!$A$5</f>
        <v>GREEN</v>
      </c>
      <c r="B527" s="833" t="s">
        <v>146</v>
      </c>
      <c r="C527" s="13" t="str">
        <f>'Entry Sheet'!X58</f>
        <v>A. BORREGALES</v>
      </c>
      <c r="D527" s="13">
        <f>'Entry Sheet'!Y58</f>
        <v>19</v>
      </c>
      <c r="E527" s="846" t="s">
        <v>523</v>
      </c>
    </row>
    <row r="528" ht="15.75" customHeight="1">
      <c r="A528" s="859" t="str">
        <f>Settings!$A$5</f>
        <v>GREEN</v>
      </c>
      <c r="B528" s="842" t="s">
        <v>162</v>
      </c>
      <c r="C528" s="13" t="str">
        <f>'Entry Sheet'!X59</f>
        <v>LAR HC</v>
      </c>
      <c r="D528" s="13">
        <f>'Entry Sheet'!Y59</f>
        <v>22.2</v>
      </c>
      <c r="E528" s="846" t="s">
        <v>523</v>
      </c>
    </row>
    <row r="529" ht="15.75" customHeight="1">
      <c r="A529" s="859" t="str">
        <f>Settings!$A$5</f>
        <v>GREEN</v>
      </c>
      <c r="B529" s="587" t="s">
        <v>100</v>
      </c>
      <c r="C529" s="13" t="str">
        <f>'Entry Sheet'!Z47</f>
        <v>M. STAFFORD</v>
      </c>
      <c r="D529" s="13">
        <f>'Entry Sheet'!AA47</f>
        <v>15.72</v>
      </c>
      <c r="E529" s="589" t="s">
        <v>524</v>
      </c>
    </row>
    <row r="530" ht="15.75" customHeight="1">
      <c r="A530" s="859" t="str">
        <f>Settings!$A$5</f>
        <v>GREEN</v>
      </c>
      <c r="B530" s="596" t="s">
        <v>106</v>
      </c>
      <c r="C530" s="13" t="str">
        <f>'Entry Sheet'!Z48</f>
        <v>B. ROBINSON</v>
      </c>
      <c r="D530" s="13">
        <f>'Entry Sheet'!AA48</f>
        <v>33.6</v>
      </c>
      <c r="E530" s="589" t="s">
        <v>524</v>
      </c>
    </row>
    <row r="531" ht="15.75" customHeight="1">
      <c r="A531" s="859" t="str">
        <f>Settings!$A$5</f>
        <v>GREEN</v>
      </c>
      <c r="B531" s="596" t="s">
        <v>106</v>
      </c>
      <c r="C531" s="13" t="str">
        <f>'Entry Sheet'!Z49</f>
        <v>J. TAYLOR</v>
      </c>
      <c r="D531" s="13">
        <f>'Entry Sheet'!AA49</f>
        <v>17.2</v>
      </c>
      <c r="E531" s="589" t="s">
        <v>524</v>
      </c>
    </row>
    <row r="532" ht="15.75" customHeight="1">
      <c r="A532" s="859" t="str">
        <f>Settings!$A$5</f>
        <v>GREEN</v>
      </c>
      <c r="B532" s="596" t="s">
        <v>106</v>
      </c>
      <c r="C532" s="13" t="str">
        <f>'Entry Sheet'!Z50</f>
        <v/>
      </c>
      <c r="D532" s="13" t="str">
        <f>'Entry Sheet'!AA50</f>
        <v/>
      </c>
      <c r="E532" s="589" t="s">
        <v>524</v>
      </c>
    </row>
    <row r="533" ht="15.75" customHeight="1">
      <c r="A533" s="859" t="str">
        <f>Settings!$A$5</f>
        <v>GREEN</v>
      </c>
      <c r="B533" s="712" t="s">
        <v>117</v>
      </c>
      <c r="C533" s="13" t="str">
        <f>'Entry Sheet'!Z51</f>
        <v>A. BROWN</v>
      </c>
      <c r="D533" s="13">
        <f>'Entry Sheet'!AA51</f>
        <v>36.2</v>
      </c>
      <c r="E533" s="589" t="s">
        <v>524</v>
      </c>
    </row>
    <row r="534" ht="15.75" customHeight="1">
      <c r="A534" s="859" t="str">
        <f>Settings!$A$5</f>
        <v>GREEN</v>
      </c>
      <c r="B534" s="712" t="s">
        <v>117</v>
      </c>
      <c r="C534" s="13" t="str">
        <f>'Entry Sheet'!Z52</f>
        <v>T. MCMILLAN</v>
      </c>
      <c r="D534" s="13">
        <f>'Entry Sheet'!AA52</f>
        <v>11.3</v>
      </c>
      <c r="E534" s="589" t="s">
        <v>524</v>
      </c>
    </row>
    <row r="535" ht="15.75" customHeight="1">
      <c r="A535" s="859" t="str">
        <f>Settings!$A$5</f>
        <v>GREEN</v>
      </c>
      <c r="B535" s="712" t="s">
        <v>117</v>
      </c>
      <c r="C535" s="13" t="str">
        <f>'Entry Sheet'!Z53</f>
        <v>T. FRANKLIN</v>
      </c>
      <c r="D535" s="13">
        <f>'Entry Sheet'!AA53</f>
        <v>4.1</v>
      </c>
      <c r="E535" s="589" t="s">
        <v>524</v>
      </c>
    </row>
    <row r="536" ht="15.75" customHeight="1">
      <c r="A536" s="859" t="str">
        <f>Settings!$A$5</f>
        <v>GREEN</v>
      </c>
      <c r="B536" s="712" t="s">
        <v>117</v>
      </c>
      <c r="C536" s="13" t="str">
        <f>'Entry Sheet'!Z54</f>
        <v/>
      </c>
      <c r="D536" s="13" t="str">
        <f>'Entry Sheet'!AA54</f>
        <v/>
      </c>
      <c r="E536" s="589" t="s">
        <v>524</v>
      </c>
    </row>
    <row r="537" ht="15.75" customHeight="1">
      <c r="A537" s="859" t="str">
        <f>Settings!$A$5</f>
        <v>GREEN</v>
      </c>
      <c r="B537" s="764" t="s">
        <v>132</v>
      </c>
      <c r="C537" s="13" t="str">
        <f>'Entry Sheet'!Z55</f>
        <v>T. WARREN</v>
      </c>
      <c r="D537" s="13">
        <f>'Entry Sheet'!AA55</f>
        <v>11.3</v>
      </c>
      <c r="E537" s="589" t="s">
        <v>524</v>
      </c>
    </row>
    <row r="538" ht="15.75" customHeight="1">
      <c r="A538" s="859" t="str">
        <f>Settings!$A$5</f>
        <v>GREEN</v>
      </c>
      <c r="B538" s="795" t="s">
        <v>136</v>
      </c>
      <c r="C538" s="13" t="str">
        <f>'Entry Sheet'!Z56</f>
        <v>D. SWIFT</v>
      </c>
      <c r="D538" s="13">
        <f>'Entry Sheet'!AA56</f>
        <v>23.6</v>
      </c>
      <c r="E538" s="589" t="s">
        <v>524</v>
      </c>
    </row>
    <row r="539" ht="15.75" customHeight="1">
      <c r="A539" s="859" t="str">
        <f>Settings!$A$5</f>
        <v>GREEN</v>
      </c>
      <c r="B539" s="818" t="s">
        <v>139</v>
      </c>
      <c r="C539" s="13" t="str">
        <f>'Entry Sheet'!Z57</f>
        <v>NE D/ST</v>
      </c>
      <c r="D539" s="13">
        <f>'Entry Sheet'!AA57</f>
        <v>29.87</v>
      </c>
      <c r="E539" s="589" t="s">
        <v>524</v>
      </c>
    </row>
    <row r="540" ht="15.75" customHeight="1">
      <c r="A540" s="859" t="str">
        <f>Settings!$A$5</f>
        <v>GREEN</v>
      </c>
      <c r="B540" s="833" t="s">
        <v>146</v>
      </c>
      <c r="C540" s="13" t="str">
        <f>'Entry Sheet'!Z58</f>
        <v>A. BORRAGALES</v>
      </c>
      <c r="D540" s="13">
        <f>'Entry Sheet'!AA58</f>
        <v>13.5</v>
      </c>
      <c r="E540" s="589" t="s">
        <v>524</v>
      </c>
    </row>
    <row r="541" ht="15.75" customHeight="1">
      <c r="A541" s="859" t="str">
        <f>Settings!$A$5</f>
        <v>GREEN</v>
      </c>
      <c r="B541" s="842" t="s">
        <v>162</v>
      </c>
      <c r="C541" s="13" t="str">
        <f>'Entry Sheet'!Z59</f>
        <v>LAR HC</v>
      </c>
      <c r="D541" s="13">
        <f>'Entry Sheet'!AA59</f>
        <v>6.4</v>
      </c>
      <c r="E541" s="589" t="s">
        <v>524</v>
      </c>
    </row>
    <row r="542" ht="15.75" customHeight="1">
      <c r="A542" s="859" t="str">
        <f>Settings!$A$5</f>
        <v>GREEN</v>
      </c>
      <c r="B542" s="587" t="s">
        <v>100</v>
      </c>
      <c r="C542" s="13" t="str">
        <f>'Entry Sheet'!AB47</f>
        <v>M. STAFFORD</v>
      </c>
      <c r="D542" s="13">
        <f>'Entry Sheet'!AC47</f>
        <v>31.84</v>
      </c>
      <c r="E542" s="846" t="s">
        <v>525</v>
      </c>
    </row>
    <row r="543" ht="15.75" customHeight="1">
      <c r="A543" s="859" t="str">
        <f>Settings!$A$5</f>
        <v>GREEN</v>
      </c>
      <c r="B543" s="596" t="s">
        <v>106</v>
      </c>
      <c r="C543" s="13" t="str">
        <f>'Entry Sheet'!AB48</f>
        <v>B. ROBINSON</v>
      </c>
      <c r="D543" s="13">
        <f>'Entry Sheet'!AC48</f>
        <v>11.4</v>
      </c>
      <c r="E543" s="846" t="s">
        <v>525</v>
      </c>
    </row>
    <row r="544" ht="15.75" customHeight="1">
      <c r="A544" s="859" t="str">
        <f>Settings!$A$5</f>
        <v>GREEN</v>
      </c>
      <c r="B544" s="596" t="s">
        <v>106</v>
      </c>
      <c r="C544" s="13" t="str">
        <f>'Entry Sheet'!AB49</f>
        <v>J. TAYLOR</v>
      </c>
      <c r="D544" s="13">
        <f>'Entry Sheet'!AC49</f>
        <v>13.5</v>
      </c>
      <c r="E544" s="846" t="s">
        <v>525</v>
      </c>
    </row>
    <row r="545" ht="15.75" customHeight="1">
      <c r="A545" s="859" t="str">
        <f>Settings!$A$5</f>
        <v>GREEN</v>
      </c>
      <c r="B545" s="596" t="s">
        <v>106</v>
      </c>
      <c r="C545" s="13" t="str">
        <f>'Entry Sheet'!AB50</f>
        <v/>
      </c>
      <c r="D545" s="13" t="str">
        <f>'Entry Sheet'!AC50</f>
        <v/>
      </c>
      <c r="E545" s="846" t="s">
        <v>525</v>
      </c>
    </row>
    <row r="546" ht="15.75" customHeight="1">
      <c r="A546" s="859" t="str">
        <f>Settings!$A$5</f>
        <v>GREEN</v>
      </c>
      <c r="B546" s="712" t="s">
        <v>117</v>
      </c>
      <c r="C546" s="13" t="str">
        <f>'Entry Sheet'!AB51</f>
        <v>A. BROWN</v>
      </c>
      <c r="D546" s="13">
        <f>'Entry Sheet'!AC51</f>
        <v>17</v>
      </c>
      <c r="E546" s="846" t="s">
        <v>525</v>
      </c>
    </row>
    <row r="547" ht="15.75" customHeight="1">
      <c r="A547" s="859" t="str">
        <f>Settings!$A$5</f>
        <v>GREEN</v>
      </c>
      <c r="B547" s="712" t="s">
        <v>117</v>
      </c>
      <c r="C547" s="13" t="str">
        <f>'Entry Sheet'!AB52</f>
        <v>J. WADDLE</v>
      </c>
      <c r="D547" s="13">
        <f>'Entry Sheet'!AC52</f>
        <v>18.2</v>
      </c>
      <c r="E547" s="846" t="s">
        <v>525</v>
      </c>
    </row>
    <row r="548" ht="15.75" customHeight="1">
      <c r="A548" s="859" t="str">
        <f>Settings!$A$5</f>
        <v>GREEN</v>
      </c>
      <c r="B548" s="712" t="s">
        <v>117</v>
      </c>
      <c r="C548" s="13" t="str">
        <f>'Entry Sheet'!AB53</f>
        <v>T. FRANKLIN</v>
      </c>
      <c r="D548" s="13">
        <f>'Entry Sheet'!AC53</f>
        <v>4.1</v>
      </c>
      <c r="E548" s="846" t="s">
        <v>525</v>
      </c>
    </row>
    <row r="549" ht="15.75" customHeight="1">
      <c r="A549" s="859" t="str">
        <f>Settings!$A$5</f>
        <v>GREEN</v>
      </c>
      <c r="B549" s="712" t="s">
        <v>117</v>
      </c>
      <c r="C549" s="13" t="str">
        <f>'Entry Sheet'!AB54</f>
        <v/>
      </c>
      <c r="D549" s="13" t="str">
        <f>'Entry Sheet'!AC54</f>
        <v/>
      </c>
      <c r="E549" s="846" t="s">
        <v>525</v>
      </c>
    </row>
    <row r="550" ht="15.75" customHeight="1">
      <c r="A550" s="859" t="str">
        <f>Settings!$A$5</f>
        <v>GREEN</v>
      </c>
      <c r="B550" s="764" t="s">
        <v>132</v>
      </c>
      <c r="C550" s="13" t="str">
        <f>'Entry Sheet'!AB55</f>
        <v>T. WARREN</v>
      </c>
      <c r="D550" s="13">
        <f>'Entry Sheet'!AC55</f>
        <v>3.8</v>
      </c>
      <c r="E550" s="846" t="s">
        <v>525</v>
      </c>
    </row>
    <row r="551" ht="15.75" customHeight="1">
      <c r="A551" s="859" t="str">
        <f>Settings!$A$5</f>
        <v>GREEN</v>
      </c>
      <c r="B551" s="795" t="s">
        <v>136</v>
      </c>
      <c r="C551" s="13" t="str">
        <f>'Entry Sheet'!AB56</f>
        <v>D. SWIFT</v>
      </c>
      <c r="D551" s="13">
        <f>'Entry Sheet'!AC56</f>
        <v>12.5</v>
      </c>
      <c r="E551" s="846" t="s">
        <v>525</v>
      </c>
    </row>
    <row r="552" ht="15.75" customHeight="1">
      <c r="A552" s="859" t="str">
        <f>Settings!$A$5</f>
        <v>GREEN</v>
      </c>
      <c r="B552" s="818" t="s">
        <v>139</v>
      </c>
      <c r="C552" s="13" t="str">
        <f>'Entry Sheet'!AB57</f>
        <v>TB D/ST</v>
      </c>
      <c r="D552" s="13">
        <f>'Entry Sheet'!AC57</f>
        <v>11.95</v>
      </c>
      <c r="E552" s="846" t="s">
        <v>525</v>
      </c>
    </row>
    <row r="553" ht="15.75" customHeight="1">
      <c r="A553" s="859" t="str">
        <f>Settings!$A$5</f>
        <v>GREEN</v>
      </c>
      <c r="B553" s="833" t="s">
        <v>146</v>
      </c>
      <c r="C553" s="13" t="str">
        <f>'Entry Sheet'!AB58</f>
        <v>M. PRATER</v>
      </c>
      <c r="D553" s="13">
        <f>'Entry Sheet'!AC58</f>
        <v>7</v>
      </c>
      <c r="E553" s="846" t="s">
        <v>525</v>
      </c>
    </row>
    <row r="554" ht="15.75" customHeight="1">
      <c r="A554" s="859" t="str">
        <f>Settings!$A$5</f>
        <v>GREEN</v>
      </c>
      <c r="B554" s="842" t="s">
        <v>162</v>
      </c>
      <c r="C554" s="13" t="str">
        <f>'Entry Sheet'!AB59</f>
        <v>LAR HC</v>
      </c>
      <c r="D554" s="13">
        <f>'Entry Sheet'!AC59</f>
        <v>25.5</v>
      </c>
      <c r="E554" s="846" t="s">
        <v>525</v>
      </c>
    </row>
    <row r="555" ht="15.75" customHeight="1">
      <c r="A555" s="885" t="str">
        <f>Settings!$A$6</f>
        <v>SAVAGES</v>
      </c>
      <c r="B555" s="587" t="s">
        <v>100</v>
      </c>
      <c r="C555" s="13" t="str">
        <f>'Entry Sheet'!B68</f>
        <v>K. MURRAY</v>
      </c>
      <c r="D555" s="13">
        <f>'Entry Sheet'!C68</f>
        <v>25.62</v>
      </c>
      <c r="E555" s="589" t="s">
        <v>512</v>
      </c>
    </row>
    <row r="556" ht="15.75" customHeight="1">
      <c r="A556" s="885" t="str">
        <f>Settings!$A$6</f>
        <v>SAVAGES</v>
      </c>
      <c r="B556" s="596" t="s">
        <v>106</v>
      </c>
      <c r="C556" s="13" t="str">
        <f>'Entry Sheet'!B69</f>
        <v>A. JEANTY</v>
      </c>
      <c r="D556" s="13">
        <f>'Entry Sheet'!C69</f>
        <v>13.9</v>
      </c>
      <c r="E556" s="589" t="s">
        <v>512</v>
      </c>
    </row>
    <row r="557" ht="15.75" customHeight="1">
      <c r="A557" s="885" t="str">
        <f>Settings!$A$6</f>
        <v>SAVAGES</v>
      </c>
      <c r="B557" s="596" t="s">
        <v>106</v>
      </c>
      <c r="C557" s="13" t="str">
        <f>'Entry Sheet'!B70</f>
        <v>T. TRACY JR</v>
      </c>
      <c r="D557" s="13">
        <f>'Entry Sheet'!C70</f>
        <v>6.5</v>
      </c>
      <c r="E557" s="589" t="s">
        <v>512</v>
      </c>
    </row>
    <row r="558" ht="15.75" customHeight="1">
      <c r="A558" s="885" t="str">
        <f>Settings!$A$6</f>
        <v>SAVAGES</v>
      </c>
      <c r="B558" s="596" t="s">
        <v>106</v>
      </c>
      <c r="C558" s="13" t="str">
        <f>'Entry Sheet'!B71</f>
        <v/>
      </c>
      <c r="D558" s="13" t="str">
        <f>'Entry Sheet'!C71</f>
        <v/>
      </c>
      <c r="E558" s="589" t="s">
        <v>512</v>
      </c>
    </row>
    <row r="559" ht="15.75" customHeight="1">
      <c r="A559" s="885" t="str">
        <f>Settings!$A$6</f>
        <v>SAVAGES</v>
      </c>
      <c r="B559" s="712" t="s">
        <v>117</v>
      </c>
      <c r="C559" s="13" t="str">
        <f>'Entry Sheet'!B72</f>
        <v>J. CHASE</v>
      </c>
      <c r="D559" s="13">
        <f>'Entry Sheet'!C72</f>
        <v>4.6</v>
      </c>
      <c r="E559" s="589" t="s">
        <v>512</v>
      </c>
    </row>
    <row r="560" ht="15.75" customHeight="1">
      <c r="A560" s="885" t="str">
        <f>Settings!$A$6</f>
        <v>SAVAGES</v>
      </c>
      <c r="B560" s="712" t="s">
        <v>117</v>
      </c>
      <c r="C560" s="13" t="str">
        <f>'Entry Sheet'!B73</f>
        <v>D. LONDON</v>
      </c>
      <c r="D560" s="13">
        <f>'Entry Sheet'!C73</f>
        <v>13.5</v>
      </c>
      <c r="E560" s="589" t="s">
        <v>512</v>
      </c>
    </row>
    <row r="561" ht="15.75" customHeight="1">
      <c r="A561" s="885" t="str">
        <f>Settings!$A$6</f>
        <v>SAVAGES</v>
      </c>
      <c r="B561" s="712" t="s">
        <v>117</v>
      </c>
      <c r="C561" s="13" t="str">
        <f>'Entry Sheet'!B74</f>
        <v>T. HIGGINS</v>
      </c>
      <c r="D561" s="13">
        <f>'Entry Sheet'!C74</f>
        <v>6.3</v>
      </c>
      <c r="E561" s="589" t="s">
        <v>512</v>
      </c>
    </row>
    <row r="562" ht="15.75" customHeight="1">
      <c r="A562" s="885" t="str">
        <f>Settings!$A$6</f>
        <v>SAVAGES</v>
      </c>
      <c r="B562" s="712" t="s">
        <v>117</v>
      </c>
      <c r="C562" s="13" t="str">
        <f>'Entry Sheet'!B75</f>
        <v/>
      </c>
      <c r="D562" s="13" t="str">
        <f>'Entry Sheet'!C75</f>
        <v/>
      </c>
      <c r="E562" s="589" t="s">
        <v>512</v>
      </c>
    </row>
    <row r="563" ht="15.75" customHeight="1">
      <c r="A563" s="885" t="str">
        <f>Settings!$A$6</f>
        <v>SAVAGES</v>
      </c>
      <c r="B563" s="764" t="s">
        <v>132</v>
      </c>
      <c r="C563" s="13" t="str">
        <f>'Entry Sheet'!B76</f>
        <v>T. MCBRIDE</v>
      </c>
      <c r="D563" s="13">
        <f>'Entry Sheet'!C76</f>
        <v>12.1</v>
      </c>
      <c r="E563" s="589" t="s">
        <v>512</v>
      </c>
    </row>
    <row r="564" ht="15.75" customHeight="1">
      <c r="A564" s="885" t="str">
        <f>Settings!$A$6</f>
        <v>SAVAGES</v>
      </c>
      <c r="B564" s="795" t="s">
        <v>136</v>
      </c>
      <c r="C564" s="13" t="str">
        <f>'Entry Sheet'!B77</f>
        <v>M. GOLDEN</v>
      </c>
      <c r="D564" s="13">
        <f>'Entry Sheet'!C77</f>
        <v>4.15</v>
      </c>
      <c r="E564" s="589" t="s">
        <v>512</v>
      </c>
    </row>
    <row r="565" ht="15.75" customHeight="1">
      <c r="A565" s="885" t="str">
        <f>Settings!$A$6</f>
        <v>SAVAGES</v>
      </c>
      <c r="B565" s="818" t="s">
        <v>139</v>
      </c>
      <c r="C565" s="13" t="str">
        <f>'Entry Sheet'!B78</f>
        <v>DET D/ST</v>
      </c>
      <c r="D565" s="13">
        <f>'Entry Sheet'!C78</f>
        <v>8.32</v>
      </c>
      <c r="E565" s="589" t="s">
        <v>512</v>
      </c>
    </row>
    <row r="566" ht="15.75" customHeight="1">
      <c r="A566" s="885" t="str">
        <f>Settings!$A$6</f>
        <v>SAVAGES</v>
      </c>
      <c r="B566" s="833" t="s">
        <v>146</v>
      </c>
      <c r="C566" s="13" t="str">
        <f>'Entry Sheet'!B79</f>
        <v>M. PRATER</v>
      </c>
      <c r="D566" s="13">
        <f>'Entry Sheet'!C79</f>
        <v>12</v>
      </c>
      <c r="E566" s="589" t="s">
        <v>512</v>
      </c>
    </row>
    <row r="567" ht="15.75" customHeight="1">
      <c r="A567" s="885" t="str">
        <f>Settings!$A$6</f>
        <v>SAVAGES</v>
      </c>
      <c r="B567" s="842" t="s">
        <v>162</v>
      </c>
      <c r="C567" s="13" t="str">
        <f>'Entry Sheet'!B80</f>
        <v>BAL HC</v>
      </c>
      <c r="D567" s="13">
        <f>'Entry Sheet'!C80</f>
        <v>10</v>
      </c>
      <c r="E567" s="589" t="s">
        <v>512</v>
      </c>
    </row>
    <row r="568" ht="15.75" customHeight="1">
      <c r="A568" s="885" t="str">
        <f>Settings!$A$6</f>
        <v>SAVAGES</v>
      </c>
      <c r="B568" s="587" t="s">
        <v>100</v>
      </c>
      <c r="C568" s="13" t="str">
        <f>'Entry Sheet'!D68</f>
        <v>K. MURRAY</v>
      </c>
      <c r="D568" s="13">
        <f>'Entry Sheet'!E68</f>
        <v>17.7</v>
      </c>
      <c r="E568" s="846" t="s">
        <v>513</v>
      </c>
    </row>
    <row r="569" ht="15.75" customHeight="1">
      <c r="A569" s="885" t="str">
        <f>Settings!$A$6</f>
        <v>SAVAGES</v>
      </c>
      <c r="B569" s="596" t="s">
        <v>106</v>
      </c>
      <c r="C569" s="13" t="str">
        <f>'Entry Sheet'!D69</f>
        <v>A. JEANTY</v>
      </c>
      <c r="D569" s="13">
        <f>'Entry Sheet'!E69</f>
        <v>8.5</v>
      </c>
      <c r="E569" s="846" t="s">
        <v>513</v>
      </c>
    </row>
    <row r="570" ht="15.75" customHeight="1">
      <c r="A570" s="885" t="str">
        <f>Settings!$A$6</f>
        <v>SAVAGES</v>
      </c>
      <c r="B570" s="596" t="s">
        <v>106</v>
      </c>
      <c r="C570" s="13" t="str">
        <f>'Entry Sheet'!D70</f>
        <v>T. ETIENNE JR</v>
      </c>
      <c r="D570" s="13">
        <f>'Entry Sheet'!E70</f>
        <v>18.3</v>
      </c>
      <c r="E570" s="846" t="s">
        <v>513</v>
      </c>
    </row>
    <row r="571" ht="15.75" customHeight="1">
      <c r="A571" s="885" t="str">
        <f>Settings!$A$6</f>
        <v>SAVAGES</v>
      </c>
      <c r="B571" s="596" t="s">
        <v>106</v>
      </c>
      <c r="C571" s="13" t="str">
        <f>'Entry Sheet'!D71</f>
        <v/>
      </c>
      <c r="D571" s="13" t="str">
        <f>'Entry Sheet'!E71</f>
        <v/>
      </c>
      <c r="E571" s="846" t="s">
        <v>513</v>
      </c>
    </row>
    <row r="572" ht="15.75" customHeight="1">
      <c r="A572" s="885" t="str">
        <f>Settings!$A$6</f>
        <v>SAVAGES</v>
      </c>
      <c r="B572" s="712" t="s">
        <v>117</v>
      </c>
      <c r="C572" s="13" t="str">
        <f>'Entry Sheet'!D72</f>
        <v>J. CHASE</v>
      </c>
      <c r="D572" s="13">
        <f>'Entry Sheet'!E72</f>
        <v>37.5</v>
      </c>
      <c r="E572" s="846" t="s">
        <v>513</v>
      </c>
    </row>
    <row r="573" ht="15.75" customHeight="1">
      <c r="A573" s="885" t="str">
        <f>Settings!$A$6</f>
        <v>SAVAGES</v>
      </c>
      <c r="B573" s="712" t="s">
        <v>117</v>
      </c>
      <c r="C573" s="13" t="str">
        <f>'Entry Sheet'!D73</f>
        <v>T. HIGGINS</v>
      </c>
      <c r="D573" s="13">
        <f>'Entry Sheet'!E73</f>
        <v>14.6</v>
      </c>
      <c r="E573" s="846" t="s">
        <v>513</v>
      </c>
    </row>
    <row r="574" ht="15.75" customHeight="1">
      <c r="A574" s="885" t="str">
        <f>Settings!$A$6</f>
        <v>SAVAGES</v>
      </c>
      <c r="B574" s="712" t="s">
        <v>117</v>
      </c>
      <c r="C574" s="13" t="str">
        <f>'Entry Sheet'!D74</f>
        <v>K. ALLEN</v>
      </c>
      <c r="D574" s="13">
        <f>'Entry Sheet'!E74</f>
        <v>17.1</v>
      </c>
      <c r="E574" s="846" t="s">
        <v>513</v>
      </c>
    </row>
    <row r="575" ht="15.75" customHeight="1">
      <c r="A575" s="885" t="str">
        <f>Settings!$A$6</f>
        <v>SAVAGES</v>
      </c>
      <c r="B575" s="712" t="s">
        <v>117</v>
      </c>
      <c r="C575" s="13" t="str">
        <f>'Entry Sheet'!D75</f>
        <v/>
      </c>
      <c r="D575" s="13" t="str">
        <f>'Entry Sheet'!E75</f>
        <v/>
      </c>
      <c r="E575" s="846" t="s">
        <v>513</v>
      </c>
    </row>
    <row r="576" ht="15.75" customHeight="1">
      <c r="A576" s="885" t="str">
        <f>Settings!$A$6</f>
        <v>SAVAGES</v>
      </c>
      <c r="B576" s="764" t="s">
        <v>132</v>
      </c>
      <c r="C576" s="13" t="str">
        <f>'Entry Sheet'!D76</f>
        <v>T. MCBRIDE</v>
      </c>
      <c r="D576" s="13">
        <f>'Entry Sheet'!E76</f>
        <v>13.8</v>
      </c>
      <c r="E576" s="846" t="s">
        <v>513</v>
      </c>
    </row>
    <row r="577" ht="15.75" customHeight="1">
      <c r="A577" s="885" t="str">
        <f>Settings!$A$6</f>
        <v>SAVAGES</v>
      </c>
      <c r="B577" s="795" t="s">
        <v>136</v>
      </c>
      <c r="C577" s="13" t="str">
        <f>'Entry Sheet'!D77</f>
        <v>D. LONDON</v>
      </c>
      <c r="D577" s="13">
        <f>'Entry Sheet'!E77</f>
        <v>5.9</v>
      </c>
      <c r="E577" s="846" t="s">
        <v>513</v>
      </c>
    </row>
    <row r="578" ht="15.75" customHeight="1">
      <c r="A578" s="885" t="str">
        <f>Settings!$A$6</f>
        <v>SAVAGES</v>
      </c>
      <c r="B578" s="818" t="s">
        <v>139</v>
      </c>
      <c r="C578" s="13" t="str">
        <f>'Entry Sheet'!D78</f>
        <v>DET D/ST</v>
      </c>
      <c r="D578" s="13">
        <f>'Entry Sheet'!E78</f>
        <v>17.92</v>
      </c>
      <c r="E578" s="846" t="s">
        <v>513</v>
      </c>
    </row>
    <row r="579" ht="15.75" customHeight="1">
      <c r="A579" s="885" t="str">
        <f>Settings!$A$6</f>
        <v>SAVAGES</v>
      </c>
      <c r="B579" s="833" t="s">
        <v>146</v>
      </c>
      <c r="C579" s="13" t="str">
        <f>'Entry Sheet'!D79</f>
        <v>C. LITTLE</v>
      </c>
      <c r="D579" s="13">
        <f>'Entry Sheet'!E79</f>
        <v>10</v>
      </c>
      <c r="E579" s="846" t="s">
        <v>513</v>
      </c>
    </row>
    <row r="580" ht="15.75" customHeight="1">
      <c r="A580" s="885" t="str">
        <f>Settings!$A$6</f>
        <v>SAVAGES</v>
      </c>
      <c r="B580" s="842" t="s">
        <v>162</v>
      </c>
      <c r="C580" s="13" t="str">
        <f>'Entry Sheet'!D80</f>
        <v>BAL HC</v>
      </c>
      <c r="D580" s="13">
        <f>'Entry Sheet'!E80</f>
        <v>20.3</v>
      </c>
      <c r="E580" s="846" t="s">
        <v>513</v>
      </c>
    </row>
    <row r="581" ht="15.75" customHeight="1">
      <c r="A581" s="885" t="str">
        <f>Settings!$A$6</f>
        <v>SAVAGES</v>
      </c>
      <c r="B581" s="587" t="s">
        <v>100</v>
      </c>
      <c r="C581" s="13" t="str">
        <f>'Entry Sheet'!F68</f>
        <v>J. GOFF</v>
      </c>
      <c r="D581" s="13">
        <f>'Entry Sheet'!G68</f>
        <v>17.48</v>
      </c>
      <c r="E581" s="589" t="s">
        <v>514</v>
      </c>
    </row>
    <row r="582" ht="15.75" customHeight="1">
      <c r="A582" s="885" t="str">
        <f>Settings!$A$6</f>
        <v>SAVAGES</v>
      </c>
      <c r="B582" s="596" t="s">
        <v>106</v>
      </c>
      <c r="C582" s="13" t="str">
        <f>'Entry Sheet'!F69</f>
        <v>T. ETIENNE JR</v>
      </c>
      <c r="D582" s="13">
        <f>'Entry Sheet'!G69</f>
        <v>13.2</v>
      </c>
      <c r="E582" s="589" t="s">
        <v>514</v>
      </c>
    </row>
    <row r="583" ht="15.75" customHeight="1">
      <c r="A583" s="885" t="str">
        <f>Settings!$A$6</f>
        <v>SAVAGES</v>
      </c>
      <c r="B583" s="596" t="s">
        <v>106</v>
      </c>
      <c r="C583" s="13" t="str">
        <f>'Entry Sheet'!F70</f>
        <v>J. DOBBINS</v>
      </c>
      <c r="D583" s="13">
        <f>'Entry Sheet'!G70</f>
        <v>16.4</v>
      </c>
      <c r="E583" s="589" t="s">
        <v>514</v>
      </c>
    </row>
    <row r="584" ht="15.75" customHeight="1">
      <c r="A584" s="885" t="str">
        <f>Settings!$A$6</f>
        <v>SAVAGES</v>
      </c>
      <c r="B584" s="596" t="s">
        <v>106</v>
      </c>
      <c r="C584" s="13" t="str">
        <f>'Entry Sheet'!F71</f>
        <v/>
      </c>
      <c r="D584" s="13" t="str">
        <f>'Entry Sheet'!G71</f>
        <v/>
      </c>
      <c r="E584" s="589" t="s">
        <v>514</v>
      </c>
    </row>
    <row r="585" ht="15.75" customHeight="1">
      <c r="A585" s="885" t="str">
        <f>Settings!$A$6</f>
        <v>SAVAGES</v>
      </c>
      <c r="B585" s="712" t="s">
        <v>117</v>
      </c>
      <c r="C585" s="13" t="str">
        <f>'Entry Sheet'!F72</f>
        <v>J. CHASE</v>
      </c>
      <c r="D585" s="13">
        <f>'Entry Sheet'!G72</f>
        <v>9</v>
      </c>
      <c r="E585" s="589" t="s">
        <v>514</v>
      </c>
    </row>
    <row r="586" ht="15.75" customHeight="1">
      <c r="A586" s="885" t="str">
        <f>Settings!$A$6</f>
        <v>SAVAGES</v>
      </c>
      <c r="B586" s="712" t="s">
        <v>117</v>
      </c>
      <c r="C586" s="13" t="str">
        <f>'Entry Sheet'!F73</f>
        <v>D. LONDON</v>
      </c>
      <c r="D586" s="13">
        <f>'Entry Sheet'!G73</f>
        <v>10.5</v>
      </c>
      <c r="E586" s="589" t="s">
        <v>514</v>
      </c>
    </row>
    <row r="587" ht="15.75" customHeight="1">
      <c r="A587" s="885" t="str">
        <f>Settings!$A$6</f>
        <v>SAVAGES</v>
      </c>
      <c r="B587" s="712" t="s">
        <v>117</v>
      </c>
      <c r="C587" s="13" t="str">
        <f>'Entry Sheet'!F74</f>
        <v>K. ALLEN</v>
      </c>
      <c r="D587" s="13">
        <f>'Entry Sheet'!G74</f>
        <v>19.5</v>
      </c>
      <c r="E587" s="589" t="s">
        <v>514</v>
      </c>
    </row>
    <row r="588" ht="15.75" customHeight="1">
      <c r="A588" s="885" t="str">
        <f>Settings!$A$6</f>
        <v>SAVAGES</v>
      </c>
      <c r="B588" s="712" t="s">
        <v>117</v>
      </c>
      <c r="C588" s="13" t="str">
        <f>'Entry Sheet'!F75</f>
        <v/>
      </c>
      <c r="D588" s="13" t="str">
        <f>'Entry Sheet'!G75</f>
        <v/>
      </c>
      <c r="E588" s="589" t="s">
        <v>514</v>
      </c>
    </row>
    <row r="589" ht="15.75" customHeight="1">
      <c r="A589" s="885" t="str">
        <f>Settings!$A$6</f>
        <v>SAVAGES</v>
      </c>
      <c r="B589" s="764" t="s">
        <v>132</v>
      </c>
      <c r="C589" s="13" t="str">
        <f>'Entry Sheet'!F76</f>
        <v>T. MCBRIDE</v>
      </c>
      <c r="D589" s="13">
        <f>'Entry Sheet'!G76</f>
        <v>15.3</v>
      </c>
      <c r="E589" s="589" t="s">
        <v>514</v>
      </c>
    </row>
    <row r="590" ht="15.75" customHeight="1">
      <c r="A590" s="885" t="str">
        <f>Settings!$A$6</f>
        <v>SAVAGES</v>
      </c>
      <c r="B590" s="795" t="s">
        <v>136</v>
      </c>
      <c r="C590" s="13" t="str">
        <f>'Entry Sheet'!F77</f>
        <v>Q. JOHNSTON</v>
      </c>
      <c r="D590" s="13">
        <f>'Entry Sheet'!G77</f>
        <v>14.9</v>
      </c>
      <c r="E590" s="589" t="s">
        <v>514</v>
      </c>
    </row>
    <row r="591" ht="15.75" customHeight="1">
      <c r="A591" s="885" t="str">
        <f>Settings!$A$6</f>
        <v>SAVAGES</v>
      </c>
      <c r="B591" s="818" t="s">
        <v>139</v>
      </c>
      <c r="C591" s="13" t="str">
        <f>'Entry Sheet'!F78</f>
        <v>DET D/ST</v>
      </c>
      <c r="D591" s="13">
        <f>'Entry Sheet'!G78</f>
        <v>21.5</v>
      </c>
      <c r="E591" s="589" t="s">
        <v>514</v>
      </c>
    </row>
    <row r="592" ht="15.75" customHeight="1">
      <c r="A592" s="885" t="str">
        <f>Settings!$A$6</f>
        <v>SAVAGES</v>
      </c>
      <c r="B592" s="833" t="s">
        <v>146</v>
      </c>
      <c r="C592" s="13" t="str">
        <f>'Entry Sheet'!F79</f>
        <v>C. LITTLE</v>
      </c>
      <c r="D592" s="13">
        <f>'Entry Sheet'!G79</f>
        <v>3.5</v>
      </c>
      <c r="E592" s="589" t="s">
        <v>514</v>
      </c>
    </row>
    <row r="593" ht="15.75" customHeight="1">
      <c r="A593" s="885" t="str">
        <f>Settings!$A$6</f>
        <v>SAVAGES</v>
      </c>
      <c r="B593" s="842" t="s">
        <v>162</v>
      </c>
      <c r="C593" s="13" t="str">
        <f>'Entry Sheet'!F80</f>
        <v>BAL HC</v>
      </c>
      <c r="D593" s="13">
        <f>'Entry Sheet'!G80</f>
        <v>6</v>
      </c>
      <c r="E593" s="589" t="s">
        <v>514</v>
      </c>
    </row>
    <row r="594" ht="15.75" customHeight="1">
      <c r="A594" s="885" t="str">
        <f>Settings!$A$6</f>
        <v>SAVAGES</v>
      </c>
      <c r="B594" s="587" t="s">
        <v>100</v>
      </c>
      <c r="C594" s="13" t="str">
        <f>'Entry Sheet'!H68</f>
        <v>J. GOFF</v>
      </c>
      <c r="D594" s="13">
        <f>'Entry Sheet'!I68</f>
        <v>16.92</v>
      </c>
      <c r="E594" s="846" t="s">
        <v>515</v>
      </c>
    </row>
    <row r="595" ht="15.75" customHeight="1">
      <c r="A595" s="885" t="str">
        <f>Settings!$A$6</f>
        <v>SAVAGES</v>
      </c>
      <c r="B595" s="596" t="s">
        <v>106</v>
      </c>
      <c r="C595" s="13" t="str">
        <f>'Entry Sheet'!H69</f>
        <v>T. ETIENNE JR.</v>
      </c>
      <c r="D595" s="13">
        <f>'Entry Sheet'!I69</f>
        <v>22.4</v>
      </c>
      <c r="E595" s="846" t="s">
        <v>515</v>
      </c>
    </row>
    <row r="596" ht="15.75" customHeight="1">
      <c r="A596" s="885" t="str">
        <f>Settings!$A$6</f>
        <v>SAVAGES</v>
      </c>
      <c r="B596" s="596" t="s">
        <v>106</v>
      </c>
      <c r="C596" s="13" t="str">
        <f>'Entry Sheet'!H70</f>
        <v>J. DOBBINS</v>
      </c>
      <c r="D596" s="13">
        <f>'Entry Sheet'!I70</f>
        <v>14.1</v>
      </c>
      <c r="E596" s="846" t="s">
        <v>515</v>
      </c>
    </row>
    <row r="597" ht="15.75" customHeight="1">
      <c r="A597" s="885" t="str">
        <f>Settings!$A$6</f>
        <v>SAVAGES</v>
      </c>
      <c r="B597" s="596" t="s">
        <v>106</v>
      </c>
      <c r="C597" s="13" t="str">
        <f>'Entry Sheet'!H71</f>
        <v/>
      </c>
      <c r="D597" s="13" t="str">
        <f>'Entry Sheet'!I71</f>
        <v/>
      </c>
      <c r="E597" s="846" t="s">
        <v>515</v>
      </c>
    </row>
    <row r="598" ht="15.75" customHeight="1">
      <c r="A598" s="885" t="str">
        <f>Settings!$A$6</f>
        <v>SAVAGES</v>
      </c>
      <c r="B598" s="712" t="s">
        <v>117</v>
      </c>
      <c r="C598" s="13" t="str">
        <f>'Entry Sheet'!H72</f>
        <v>J. CHASE</v>
      </c>
      <c r="D598" s="13">
        <f>'Entry Sheet'!I72</f>
        <v>7.3</v>
      </c>
      <c r="E598" s="846" t="s">
        <v>515</v>
      </c>
    </row>
    <row r="599" ht="15.75" customHeight="1">
      <c r="A599" s="885" t="str">
        <f>Settings!$A$6</f>
        <v>SAVAGES</v>
      </c>
      <c r="B599" s="712" t="s">
        <v>117</v>
      </c>
      <c r="C599" s="13" t="str">
        <f>'Entry Sheet'!H73</f>
        <v>Q. JOHNSTON</v>
      </c>
      <c r="D599" s="13">
        <f>'Entry Sheet'!I73</f>
        <v>23.8</v>
      </c>
      <c r="E599" s="846" t="s">
        <v>515</v>
      </c>
    </row>
    <row r="600" ht="15.75" customHeight="1">
      <c r="A600" s="885" t="str">
        <f>Settings!$A$6</f>
        <v>SAVAGES</v>
      </c>
      <c r="B600" s="712" t="s">
        <v>117</v>
      </c>
      <c r="C600" s="13" t="str">
        <f>'Entry Sheet'!H74</f>
        <v>K. ALLEN</v>
      </c>
      <c r="D600" s="13">
        <f>'Entry Sheet'!I74</f>
        <v>8.7</v>
      </c>
      <c r="E600" s="846" t="s">
        <v>515</v>
      </c>
    </row>
    <row r="601" ht="15.75" customHeight="1">
      <c r="A601" s="885" t="str">
        <f>Settings!$A$6</f>
        <v>SAVAGES</v>
      </c>
      <c r="B601" s="712" t="s">
        <v>117</v>
      </c>
      <c r="C601" s="13" t="str">
        <f>'Entry Sheet'!H75</f>
        <v/>
      </c>
      <c r="D601" s="13" t="str">
        <f>'Entry Sheet'!I75</f>
        <v/>
      </c>
      <c r="E601" s="846" t="s">
        <v>515</v>
      </c>
    </row>
    <row r="602" ht="15.75" customHeight="1">
      <c r="A602" s="885" t="str">
        <f>Settings!$A$6</f>
        <v>SAVAGES</v>
      </c>
      <c r="B602" s="764" t="s">
        <v>132</v>
      </c>
      <c r="C602" s="13" t="str">
        <f>'Entry Sheet'!H76</f>
        <v>T. MCBRIDE</v>
      </c>
      <c r="D602" s="13">
        <f>'Entry Sheet'!I76</f>
        <v>12.2</v>
      </c>
      <c r="E602" s="846" t="s">
        <v>515</v>
      </c>
    </row>
    <row r="603" ht="15.75" customHeight="1">
      <c r="A603" s="885" t="str">
        <f>Settings!$A$6</f>
        <v>SAVAGES</v>
      </c>
      <c r="B603" s="795" t="s">
        <v>136</v>
      </c>
      <c r="C603" s="13" t="str">
        <f>'Entry Sheet'!H77</f>
        <v>D. LONDON</v>
      </c>
      <c r="D603" s="13">
        <f>'Entry Sheet'!I77</f>
        <v>26</v>
      </c>
      <c r="E603" s="846" t="s">
        <v>515</v>
      </c>
    </row>
    <row r="604" ht="15.75" customHeight="1">
      <c r="A604" s="885" t="str">
        <f>Settings!$A$6</f>
        <v>SAVAGES</v>
      </c>
      <c r="B604" s="818" t="s">
        <v>139</v>
      </c>
      <c r="C604" s="13" t="str">
        <f>'Entry Sheet'!H78</f>
        <v>DET D/ST</v>
      </c>
      <c r="D604" s="13">
        <f>'Entry Sheet'!I78</f>
        <v>36.13</v>
      </c>
      <c r="E604" s="846" t="s">
        <v>515</v>
      </c>
    </row>
    <row r="605" ht="15.75" customHeight="1">
      <c r="A605" s="885" t="str">
        <f>Settings!$A$6</f>
        <v>SAVAGES</v>
      </c>
      <c r="B605" s="833" t="s">
        <v>146</v>
      </c>
      <c r="C605" s="13" t="str">
        <f>'Entry Sheet'!H79</f>
        <v>C. LITTLE</v>
      </c>
      <c r="D605" s="13">
        <f>'Entry Sheet'!I79</f>
        <v>7.5</v>
      </c>
      <c r="E605" s="846" t="s">
        <v>515</v>
      </c>
    </row>
    <row r="606" ht="15.75" customHeight="1">
      <c r="A606" s="885" t="str">
        <f>Settings!$A$6</f>
        <v>SAVAGES</v>
      </c>
      <c r="B606" s="842" t="s">
        <v>162</v>
      </c>
      <c r="C606" s="13" t="str">
        <f>'Entry Sheet'!H80</f>
        <v>BAL HC</v>
      </c>
      <c r="D606" s="13">
        <f>'Entry Sheet'!I80</f>
        <v>0</v>
      </c>
      <c r="E606" s="846" t="s">
        <v>515</v>
      </c>
    </row>
    <row r="607" ht="15.75" customHeight="1">
      <c r="A607" s="885" t="str">
        <f>Settings!$A$6</f>
        <v>SAVAGES</v>
      </c>
      <c r="B607" s="587" t="s">
        <v>100</v>
      </c>
      <c r="C607" s="13" t="str">
        <f>'Entry Sheet'!J68</f>
        <v>J. GOFF</v>
      </c>
      <c r="D607" s="13">
        <f>'Entry Sheet'!K68</f>
        <v>29.32</v>
      </c>
      <c r="E607" s="589" t="s">
        <v>516</v>
      </c>
    </row>
    <row r="608" ht="15.75" customHeight="1">
      <c r="A608" s="885" t="str">
        <f>Settings!$A$6</f>
        <v>SAVAGES</v>
      </c>
      <c r="B608" s="596" t="s">
        <v>106</v>
      </c>
      <c r="C608" s="13" t="str">
        <f>'Entry Sheet'!J69</f>
        <v>T. ETIENNE JR</v>
      </c>
      <c r="D608" s="13">
        <f>'Entry Sheet'!K69</f>
        <v>10</v>
      </c>
      <c r="E608" s="589" t="s">
        <v>516</v>
      </c>
    </row>
    <row r="609" ht="15.75" customHeight="1">
      <c r="A609" s="885" t="str">
        <f>Settings!$A$6</f>
        <v>SAVAGES</v>
      </c>
      <c r="B609" s="596" t="s">
        <v>106</v>
      </c>
      <c r="C609" s="13" t="str">
        <f>'Entry Sheet'!J70</f>
        <v>J. DOBBINS</v>
      </c>
      <c r="D609" s="13">
        <f>'Entry Sheet'!K70</f>
        <v>17.4</v>
      </c>
      <c r="E609" s="589" t="s">
        <v>516</v>
      </c>
    </row>
    <row r="610" ht="15.75" customHeight="1">
      <c r="A610" s="885" t="str">
        <f>Settings!$A$6</f>
        <v>SAVAGES</v>
      </c>
      <c r="B610" s="596" t="s">
        <v>106</v>
      </c>
      <c r="C610" s="13" t="str">
        <f>'Entry Sheet'!J71</f>
        <v/>
      </c>
      <c r="D610" s="13" t="str">
        <f>'Entry Sheet'!K71</f>
        <v/>
      </c>
      <c r="E610" s="589" t="s">
        <v>516</v>
      </c>
    </row>
    <row r="611" ht="15.75" customHeight="1">
      <c r="A611" s="885" t="str">
        <f>Settings!$A$6</f>
        <v>SAVAGES</v>
      </c>
      <c r="B611" s="712" t="s">
        <v>117</v>
      </c>
      <c r="C611" s="13" t="str">
        <f>'Entry Sheet'!J72</f>
        <v>J. CHASE</v>
      </c>
      <c r="D611" s="13">
        <f>'Entry Sheet'!K72</f>
        <v>30</v>
      </c>
      <c r="E611" s="589" t="s">
        <v>516</v>
      </c>
    </row>
    <row r="612" ht="15.75" customHeight="1">
      <c r="A612" s="885" t="str">
        <f>Settings!$A$6</f>
        <v>SAVAGES</v>
      </c>
      <c r="B612" s="712" t="s">
        <v>117</v>
      </c>
      <c r="C612" s="13" t="str">
        <f>'Entry Sheet'!J73</f>
        <v>Q. JOHNSTON</v>
      </c>
      <c r="D612" s="13">
        <f>'Entry Sheet'!K73</f>
        <v>7</v>
      </c>
      <c r="E612" s="589" t="s">
        <v>516</v>
      </c>
    </row>
    <row r="613" ht="15.75" customHeight="1">
      <c r="A613" s="885" t="str">
        <f>Settings!$A$6</f>
        <v>SAVAGES</v>
      </c>
      <c r="B613" s="712" t="s">
        <v>117</v>
      </c>
      <c r="C613" s="13" t="str">
        <f>'Entry Sheet'!J74</f>
        <v>K. ALLEN</v>
      </c>
      <c r="D613" s="13">
        <f>'Entry Sheet'!K74</f>
        <v>10.8</v>
      </c>
      <c r="E613" s="589" t="s">
        <v>516</v>
      </c>
    </row>
    <row r="614" ht="15.75" customHeight="1">
      <c r="A614" s="885" t="str">
        <f>Settings!$A$6</f>
        <v>SAVAGES</v>
      </c>
      <c r="B614" s="712" t="s">
        <v>117</v>
      </c>
      <c r="C614" s="13" t="str">
        <f>'Entry Sheet'!J75</f>
        <v/>
      </c>
      <c r="D614" s="13" t="str">
        <f>'Entry Sheet'!K75</f>
        <v/>
      </c>
      <c r="E614" s="589" t="s">
        <v>516</v>
      </c>
    </row>
    <row r="615" ht="15.75" customHeight="1">
      <c r="A615" s="885" t="str">
        <f>Settings!$A$6</f>
        <v>SAVAGES</v>
      </c>
      <c r="B615" s="764" t="s">
        <v>132</v>
      </c>
      <c r="C615" s="13" t="str">
        <f>'Entry Sheet'!J76</f>
        <v>T. MCBRIDE</v>
      </c>
      <c r="D615" s="13">
        <f>'Entry Sheet'!K76</f>
        <v>9.1</v>
      </c>
      <c r="E615" s="589" t="s">
        <v>516</v>
      </c>
    </row>
    <row r="616" ht="15.75" customHeight="1">
      <c r="A616" s="885" t="str">
        <f>Settings!$A$6</f>
        <v>SAVAGES</v>
      </c>
      <c r="B616" s="795" t="s">
        <v>136</v>
      </c>
      <c r="C616" s="13" t="str">
        <f>'Entry Sheet'!J77</f>
        <v>A. JEANTY</v>
      </c>
      <c r="D616" s="13">
        <f>'Entry Sheet'!K77</f>
        <v>17.3</v>
      </c>
      <c r="E616" s="589" t="s">
        <v>516</v>
      </c>
    </row>
    <row r="617" ht="15.75" customHeight="1">
      <c r="A617" s="885" t="str">
        <f>Settings!$A$6</f>
        <v>SAVAGES</v>
      </c>
      <c r="B617" s="818" t="s">
        <v>139</v>
      </c>
      <c r="C617" s="13" t="str">
        <f>'Entry Sheet'!J78</f>
        <v>DET D/T</v>
      </c>
      <c r="D617" s="13">
        <f>'Entry Sheet'!K78</f>
        <v>24.23</v>
      </c>
      <c r="E617" s="589" t="s">
        <v>516</v>
      </c>
    </row>
    <row r="618" ht="15.75" customHeight="1">
      <c r="A618" s="885" t="str">
        <f>Settings!$A$6</f>
        <v>SAVAGES</v>
      </c>
      <c r="B618" s="833" t="s">
        <v>146</v>
      </c>
      <c r="C618" s="13" t="str">
        <f>'Entry Sheet'!J79</f>
        <v>C. LITTLE</v>
      </c>
      <c r="D618" s="13">
        <f>'Entry Sheet'!K79</f>
        <v>10</v>
      </c>
      <c r="E618" s="589" t="s">
        <v>516</v>
      </c>
    </row>
    <row r="619" ht="15.75" customHeight="1">
      <c r="A619" s="885" t="str">
        <f>Settings!$A$6</f>
        <v>SAVAGES</v>
      </c>
      <c r="B619" s="842" t="s">
        <v>162</v>
      </c>
      <c r="C619" s="13" t="str">
        <f>'Entry Sheet'!J80</f>
        <v>BAL HC</v>
      </c>
      <c r="D619" s="13">
        <f>'Entry Sheet'!K80</f>
        <v>-9</v>
      </c>
      <c r="E619" s="589" t="s">
        <v>516</v>
      </c>
    </row>
    <row r="620" ht="15.75" customHeight="1">
      <c r="A620" s="885" t="str">
        <f>Settings!$A$6</f>
        <v>SAVAGES</v>
      </c>
      <c r="B620" s="587" t="s">
        <v>100</v>
      </c>
      <c r="C620" s="13" t="str">
        <f>'Entry Sheet'!L68</f>
        <v>J. GOFF</v>
      </c>
      <c r="D620" s="13">
        <f>'Entry Sheet'!M68</f>
        <v>24.32</v>
      </c>
      <c r="E620" s="846" t="s">
        <v>517</v>
      </c>
    </row>
    <row r="621" ht="15.75" customHeight="1">
      <c r="A621" s="885" t="str">
        <f>Settings!$A$6</f>
        <v>SAVAGES</v>
      </c>
      <c r="B621" s="596" t="s">
        <v>106</v>
      </c>
      <c r="C621" s="13" t="str">
        <f>'Entry Sheet'!L69</f>
        <v>T. ETIENNE JR</v>
      </c>
      <c r="D621" s="13">
        <f>'Entry Sheet'!M69</f>
        <v>10.7</v>
      </c>
      <c r="E621" s="846" t="s">
        <v>517</v>
      </c>
    </row>
    <row r="622" ht="15.75" customHeight="1">
      <c r="A622" s="885" t="str">
        <f>Settings!$A$6</f>
        <v>SAVAGES</v>
      </c>
      <c r="B622" s="596" t="s">
        <v>106</v>
      </c>
      <c r="C622" s="13" t="str">
        <f>'Entry Sheet'!L70</f>
        <v>J. DOBBINS</v>
      </c>
      <c r="D622" s="13">
        <f>'Entry Sheet'!M70</f>
        <v>5.4</v>
      </c>
      <c r="E622" s="846" t="s">
        <v>517</v>
      </c>
    </row>
    <row r="623" ht="15.75" customHeight="1">
      <c r="A623" s="885" t="str">
        <f>Settings!$A$6</f>
        <v>SAVAGES</v>
      </c>
      <c r="B623" s="596" t="s">
        <v>106</v>
      </c>
      <c r="C623" s="13" t="str">
        <f>'Entry Sheet'!L71</f>
        <v/>
      </c>
      <c r="D623" s="13" t="str">
        <f>'Entry Sheet'!M71</f>
        <v/>
      </c>
      <c r="E623" s="846" t="s">
        <v>517</v>
      </c>
    </row>
    <row r="624" ht="15.75" customHeight="1">
      <c r="A624" s="885" t="str">
        <f>Settings!$A$6</f>
        <v>SAVAGES</v>
      </c>
      <c r="B624" s="712" t="s">
        <v>117</v>
      </c>
      <c r="C624" s="13" t="str">
        <f>'Entry Sheet'!L72</f>
        <v>J. CHASE</v>
      </c>
      <c r="D624" s="13">
        <f>'Entry Sheet'!M72</f>
        <v>25.2</v>
      </c>
      <c r="E624" s="846" t="s">
        <v>517</v>
      </c>
    </row>
    <row r="625" ht="15.75" customHeight="1">
      <c r="A625" s="885" t="str">
        <f>Settings!$A$6</f>
        <v>SAVAGES</v>
      </c>
      <c r="B625" s="712" t="s">
        <v>117</v>
      </c>
      <c r="C625" s="13" t="str">
        <f>'Entry Sheet'!L73</f>
        <v>D. LONDON</v>
      </c>
      <c r="D625" s="13">
        <f>'Entry Sheet'!M73</f>
        <v>32.8</v>
      </c>
      <c r="E625" s="846" t="s">
        <v>517</v>
      </c>
    </row>
    <row r="626" ht="15.75" customHeight="1">
      <c r="A626" s="885" t="str">
        <f>Settings!$A$6</f>
        <v>SAVAGES</v>
      </c>
      <c r="B626" s="712" t="s">
        <v>117</v>
      </c>
      <c r="C626" s="13" t="str">
        <f>'Entry Sheet'!L74</f>
        <v>K. ALLEN</v>
      </c>
      <c r="D626" s="13">
        <f>'Entry Sheet'!M74</f>
        <v>6.7</v>
      </c>
      <c r="E626" s="846" t="s">
        <v>517</v>
      </c>
    </row>
    <row r="627" ht="15.75" customHeight="1">
      <c r="A627" s="885" t="str">
        <f>Settings!$A$6</f>
        <v>SAVAGES</v>
      </c>
      <c r="B627" s="712" t="s">
        <v>117</v>
      </c>
      <c r="C627" s="13" t="str">
        <f>'Entry Sheet'!L75</f>
        <v/>
      </c>
      <c r="D627" s="13" t="str">
        <f>'Entry Sheet'!M75</f>
        <v/>
      </c>
      <c r="E627" s="846" t="s">
        <v>517</v>
      </c>
    </row>
    <row r="628" ht="15.75" customHeight="1">
      <c r="A628" s="885" t="str">
        <f>Settings!$A$6</f>
        <v>SAVAGES</v>
      </c>
      <c r="B628" s="764" t="s">
        <v>132</v>
      </c>
      <c r="C628" s="13" t="str">
        <f>'Entry Sheet'!L76</f>
        <v>T. MCBRIDE</v>
      </c>
      <c r="D628" s="13">
        <f>'Entry Sheet'!M76</f>
        <v>21.2</v>
      </c>
      <c r="E628" s="846" t="s">
        <v>517</v>
      </c>
    </row>
    <row r="629" ht="15.75" customHeight="1">
      <c r="A629" s="885" t="str">
        <f>Settings!$A$6</f>
        <v>SAVAGES</v>
      </c>
      <c r="B629" s="795" t="s">
        <v>136</v>
      </c>
      <c r="C629" s="13" t="str">
        <f>'Entry Sheet'!L77</f>
        <v>A. JEANTY</v>
      </c>
      <c r="D629" s="13">
        <f>'Entry Sheet'!M77</f>
        <v>18.9</v>
      </c>
      <c r="E629" s="846" t="s">
        <v>517</v>
      </c>
    </row>
    <row r="630" ht="15.75" customHeight="1">
      <c r="A630" s="885" t="str">
        <f>Settings!$A$6</f>
        <v>SAVAGES</v>
      </c>
      <c r="B630" s="818" t="s">
        <v>139</v>
      </c>
      <c r="C630" s="13" t="str">
        <f>'Entry Sheet'!L78</f>
        <v>DET D/ST</v>
      </c>
      <c r="D630" s="13">
        <f>'Entry Sheet'!M78</f>
        <v>10</v>
      </c>
      <c r="E630" s="846" t="s">
        <v>517</v>
      </c>
    </row>
    <row r="631" ht="15.75" customHeight="1">
      <c r="A631" s="885" t="str">
        <f>Settings!$A$6</f>
        <v>SAVAGES</v>
      </c>
      <c r="B631" s="833" t="s">
        <v>146</v>
      </c>
      <c r="C631" s="13" t="str">
        <f>'Entry Sheet'!L79</f>
        <v>C. LITTLE</v>
      </c>
      <c r="D631" s="13">
        <f>'Entry Sheet'!M79</f>
        <v>-1</v>
      </c>
      <c r="E631" s="846" t="s">
        <v>517</v>
      </c>
    </row>
    <row r="632" ht="15.75" customHeight="1">
      <c r="A632" s="885" t="str">
        <f>Settings!$A$6</f>
        <v>SAVAGES</v>
      </c>
      <c r="B632" s="842" t="s">
        <v>162</v>
      </c>
      <c r="C632" s="13" t="str">
        <f>'Entry Sheet'!L80</f>
        <v>JAX HC</v>
      </c>
      <c r="D632" s="13">
        <f>'Entry Sheet'!M80</f>
        <v>0.6</v>
      </c>
      <c r="E632" s="846" t="s">
        <v>517</v>
      </c>
    </row>
    <row r="633" ht="15.75" customHeight="1">
      <c r="A633" s="885" t="str">
        <f>Settings!$A$6</f>
        <v>SAVAGES</v>
      </c>
      <c r="B633" s="587" t="s">
        <v>100</v>
      </c>
      <c r="C633" s="13" t="str">
        <f>'Entry Sheet'!N68</f>
        <v>J. GOFF</v>
      </c>
      <c r="D633" s="13">
        <f>'Entry Sheet'!O68</f>
        <v>13.94</v>
      </c>
      <c r="E633" s="589" t="s">
        <v>518</v>
      </c>
    </row>
    <row r="634" ht="15.75" customHeight="1">
      <c r="A634" s="885" t="str">
        <f>Settings!$A$6</f>
        <v>SAVAGES</v>
      </c>
      <c r="B634" s="596" t="s">
        <v>106</v>
      </c>
      <c r="C634" s="13" t="str">
        <f>'Entry Sheet'!N69</f>
        <v>A. JEANTY</v>
      </c>
      <c r="D634" s="13">
        <f>'Entry Sheet'!O69</f>
        <v>5</v>
      </c>
      <c r="E634" s="589" t="s">
        <v>518</v>
      </c>
    </row>
    <row r="635" ht="15.75" customHeight="1">
      <c r="A635" s="885" t="str">
        <f>Settings!$A$6</f>
        <v>SAVAGES</v>
      </c>
      <c r="B635" s="596" t="s">
        <v>106</v>
      </c>
      <c r="C635" s="13" t="str">
        <f>'Entry Sheet'!N70</f>
        <v>T. ETIENNE JR.</v>
      </c>
      <c r="D635" s="13">
        <f>'Entry Sheet'!O70</f>
        <v>7.3</v>
      </c>
      <c r="E635" s="589" t="s">
        <v>518</v>
      </c>
    </row>
    <row r="636" ht="15.75" customHeight="1">
      <c r="A636" s="885" t="str">
        <f>Settings!$A$6</f>
        <v>SAVAGES</v>
      </c>
      <c r="B636" s="596" t="s">
        <v>106</v>
      </c>
      <c r="C636" s="13" t="str">
        <f>'Entry Sheet'!N71</f>
        <v/>
      </c>
      <c r="D636" s="13" t="str">
        <f>'Entry Sheet'!O71</f>
        <v/>
      </c>
      <c r="E636" s="589" t="s">
        <v>518</v>
      </c>
    </row>
    <row r="637" ht="15.75" customHeight="1">
      <c r="A637" s="885" t="str">
        <f>Settings!$A$6</f>
        <v>SAVAGES</v>
      </c>
      <c r="B637" s="712" t="s">
        <v>117</v>
      </c>
      <c r="C637" s="13" t="str">
        <f>'Entry Sheet'!N72</f>
        <v>J. CHASE</v>
      </c>
      <c r="D637" s="13">
        <f>'Entry Sheet'!O72</f>
        <v>39.1</v>
      </c>
      <c r="E637" s="589" t="s">
        <v>518</v>
      </c>
    </row>
    <row r="638" ht="15.75" customHeight="1">
      <c r="A638" s="885" t="str">
        <f>Settings!$A$6</f>
        <v>SAVAGES</v>
      </c>
      <c r="B638" s="712" t="s">
        <v>117</v>
      </c>
      <c r="C638" s="13" t="str">
        <f>'Entry Sheet'!N73</f>
        <v>D. LONDON</v>
      </c>
      <c r="D638" s="13">
        <f>'Entry Sheet'!O73</f>
        <v>8.2</v>
      </c>
      <c r="E638" s="589" t="s">
        <v>518</v>
      </c>
    </row>
    <row r="639" ht="15.75" customHeight="1">
      <c r="A639" s="885" t="str">
        <f>Settings!$A$6</f>
        <v>SAVAGES</v>
      </c>
      <c r="B639" s="712" t="s">
        <v>117</v>
      </c>
      <c r="C639" s="13" t="str">
        <f>'Entry Sheet'!N74</f>
        <v>K. ALLEN</v>
      </c>
      <c r="D639" s="13">
        <f>'Entry Sheet'!O74</f>
        <v>29.9</v>
      </c>
      <c r="E639" s="589" t="s">
        <v>518</v>
      </c>
    </row>
    <row r="640" ht="15.75" customHeight="1">
      <c r="A640" s="885" t="str">
        <f>Settings!$A$6</f>
        <v>SAVAGES</v>
      </c>
      <c r="B640" s="712" t="s">
        <v>117</v>
      </c>
      <c r="C640" s="13" t="str">
        <f>'Entry Sheet'!N75</f>
        <v/>
      </c>
      <c r="D640" s="13" t="str">
        <f>'Entry Sheet'!O75</f>
        <v/>
      </c>
      <c r="E640" s="589" t="s">
        <v>518</v>
      </c>
    </row>
    <row r="641" ht="15.75" customHeight="1">
      <c r="A641" s="885" t="str">
        <f>Settings!$A$6</f>
        <v>SAVAGES</v>
      </c>
      <c r="B641" s="764" t="s">
        <v>132</v>
      </c>
      <c r="C641" s="13" t="str">
        <f>'Entry Sheet'!N76</f>
        <v>T. MCBRIDE</v>
      </c>
      <c r="D641" s="13">
        <f>'Entry Sheet'!O76</f>
        <v>29.4</v>
      </c>
      <c r="E641" s="589" t="s">
        <v>518</v>
      </c>
    </row>
    <row r="642" ht="15.75" customHeight="1">
      <c r="A642" s="885" t="str">
        <f>Settings!$A$6</f>
        <v>SAVAGES</v>
      </c>
      <c r="B642" s="795" t="s">
        <v>136</v>
      </c>
      <c r="C642" s="13" t="str">
        <f>'Entry Sheet'!N77</f>
        <v>D. GODERT</v>
      </c>
      <c r="D642" s="13">
        <f>'Entry Sheet'!O77</f>
        <v>4.8</v>
      </c>
      <c r="E642" s="589" t="s">
        <v>518</v>
      </c>
    </row>
    <row r="643" ht="15.75" customHeight="1">
      <c r="A643" s="885" t="str">
        <f>Settings!$A$6</f>
        <v>SAVAGES</v>
      </c>
      <c r="B643" s="818" t="s">
        <v>139</v>
      </c>
      <c r="C643" s="13" t="str">
        <f>'Entry Sheet'!N78</f>
        <v>DET D/ST</v>
      </c>
      <c r="D643" s="13">
        <f>'Entry Sheet'!O78</f>
        <v>23.7</v>
      </c>
      <c r="E643" s="589" t="s">
        <v>518</v>
      </c>
    </row>
    <row r="644" ht="15.75" customHeight="1">
      <c r="A644" s="885" t="str">
        <f>Settings!$A$6</f>
        <v>SAVAGES</v>
      </c>
      <c r="B644" s="833" t="s">
        <v>146</v>
      </c>
      <c r="C644" s="13" t="str">
        <f>'Entry Sheet'!N79</f>
        <v>E. PINEIRO</v>
      </c>
      <c r="D644" s="13">
        <f>'Entry Sheet'!O79</f>
        <v>12</v>
      </c>
      <c r="E644" s="589" t="s">
        <v>518</v>
      </c>
    </row>
    <row r="645" ht="15.75" customHeight="1">
      <c r="A645" s="885" t="str">
        <f>Settings!$A$6</f>
        <v>SAVAGES</v>
      </c>
      <c r="B645" s="842" t="s">
        <v>162</v>
      </c>
      <c r="C645" s="13" t="str">
        <f>'Entry Sheet'!N80</f>
        <v>JAX HC</v>
      </c>
      <c r="D645" s="13">
        <f>'Entry Sheet'!O80</f>
        <v>-9.9</v>
      </c>
      <c r="E645" s="589" t="s">
        <v>518</v>
      </c>
    </row>
    <row r="646" ht="15.75" customHeight="1">
      <c r="A646" s="885" t="str">
        <f>Settings!$A$6</f>
        <v>SAVAGES</v>
      </c>
      <c r="B646" s="587" t="s">
        <v>100</v>
      </c>
      <c r="C646" s="13" t="str">
        <f>'Entry Sheet'!P68</f>
        <v>A. RODGERS</v>
      </c>
      <c r="D646" s="13">
        <f>'Entry Sheet'!Q68</f>
        <v>23.16</v>
      </c>
      <c r="E646" s="846" t="s">
        <v>519</v>
      </c>
    </row>
    <row r="647" ht="15.75" customHeight="1">
      <c r="A647" s="885" t="str">
        <f>Settings!$A$6</f>
        <v>SAVAGES</v>
      </c>
      <c r="B647" s="596" t="s">
        <v>106</v>
      </c>
      <c r="C647" s="13" t="str">
        <f>'Entry Sheet'!P69</f>
        <v>J.K. DOBBINS</v>
      </c>
      <c r="D647" s="13">
        <f>'Entry Sheet'!Q69</f>
        <v>16.6</v>
      </c>
      <c r="E647" s="846" t="s">
        <v>519</v>
      </c>
    </row>
    <row r="648" ht="15.75" customHeight="1">
      <c r="A648" s="885" t="str">
        <f>Settings!$A$6</f>
        <v>SAVAGES</v>
      </c>
      <c r="B648" s="596" t="s">
        <v>106</v>
      </c>
      <c r="C648" s="13" t="str">
        <f>'Entry Sheet'!P70</f>
        <v>T. ALLGEIER</v>
      </c>
      <c r="D648" s="13">
        <f>'Entry Sheet'!Q70</f>
        <v>9.8</v>
      </c>
      <c r="E648" s="846" t="s">
        <v>519</v>
      </c>
    </row>
    <row r="649" ht="15.75" customHeight="1">
      <c r="A649" s="885" t="str">
        <f>Settings!$A$6</f>
        <v>SAVAGES</v>
      </c>
      <c r="B649" s="596" t="s">
        <v>106</v>
      </c>
      <c r="C649" s="13" t="str">
        <f>'Entry Sheet'!P71</f>
        <v/>
      </c>
      <c r="D649" s="13" t="str">
        <f>'Entry Sheet'!Q71</f>
        <v/>
      </c>
      <c r="E649" s="846" t="s">
        <v>519</v>
      </c>
    </row>
    <row r="650" ht="15.75" customHeight="1">
      <c r="A650" s="885" t="str">
        <f>Settings!$A$6</f>
        <v>SAVAGES</v>
      </c>
      <c r="B650" s="712" t="s">
        <v>117</v>
      </c>
      <c r="C650" s="13" t="str">
        <f>'Entry Sheet'!P72</f>
        <v>J. CHASE</v>
      </c>
      <c r="D650" s="13">
        <f>'Entry Sheet'!Q72</f>
        <v>21.1</v>
      </c>
      <c r="E650" s="846" t="s">
        <v>519</v>
      </c>
    </row>
    <row r="651" ht="15.75" customHeight="1">
      <c r="A651" s="885" t="str">
        <f>Settings!$A$6</f>
        <v>SAVAGES</v>
      </c>
      <c r="B651" s="712" t="s">
        <v>117</v>
      </c>
      <c r="C651" s="13" t="str">
        <f>'Entry Sheet'!P73</f>
        <v>D. LONDON</v>
      </c>
      <c r="D651" s="13">
        <f>'Entry Sheet'!Q73</f>
        <v>0</v>
      </c>
      <c r="E651" s="846" t="s">
        <v>519</v>
      </c>
    </row>
    <row r="652" ht="15.75" customHeight="1">
      <c r="A652" s="885" t="str">
        <f>Settings!$A$6</f>
        <v>SAVAGES</v>
      </c>
      <c r="B652" s="712" t="s">
        <v>117</v>
      </c>
      <c r="C652" s="13" t="str">
        <f>'Entry Sheet'!P74</f>
        <v>K. ALLEN</v>
      </c>
      <c r="D652" s="13">
        <f>'Entry Sheet'!Q74</f>
        <v>8.4</v>
      </c>
      <c r="E652" s="846" t="s">
        <v>519</v>
      </c>
    </row>
    <row r="653" ht="15.75" customHeight="1">
      <c r="A653" s="885" t="str">
        <f>Settings!$A$6</f>
        <v>SAVAGES</v>
      </c>
      <c r="B653" s="712" t="s">
        <v>117</v>
      </c>
      <c r="C653" s="13" t="str">
        <f>'Entry Sheet'!P75</f>
        <v/>
      </c>
      <c r="D653" s="13" t="str">
        <f>'Entry Sheet'!Q75</f>
        <v/>
      </c>
      <c r="E653" s="846" t="s">
        <v>519</v>
      </c>
    </row>
    <row r="654" ht="15.75" customHeight="1">
      <c r="A654" s="885" t="str">
        <f>Settings!$A$6</f>
        <v>SAVAGES</v>
      </c>
      <c r="B654" s="764" t="s">
        <v>132</v>
      </c>
      <c r="C654" s="13" t="str">
        <f>'Entry Sheet'!P76</f>
        <v>D. GOEDERT</v>
      </c>
      <c r="D654" s="13">
        <f>'Entry Sheet'!Q76</f>
        <v>17.8</v>
      </c>
      <c r="E654" s="846" t="s">
        <v>519</v>
      </c>
    </row>
    <row r="655" ht="15.75" customHeight="1">
      <c r="A655" s="885" t="str">
        <f>Settings!$A$6</f>
        <v>SAVAGES</v>
      </c>
      <c r="B655" s="795" t="s">
        <v>136</v>
      </c>
      <c r="C655" s="13" t="str">
        <f>'Entry Sheet'!P77</f>
        <v>T. HIGGINS</v>
      </c>
      <c r="D655" s="13">
        <f>'Entry Sheet'!Q77</f>
        <v>11.4</v>
      </c>
      <c r="E655" s="846" t="s">
        <v>519</v>
      </c>
    </row>
    <row r="656" ht="15.75" customHeight="1">
      <c r="A656" s="885" t="str">
        <f>Settings!$A$6</f>
        <v>SAVAGES</v>
      </c>
      <c r="B656" s="818" t="s">
        <v>139</v>
      </c>
      <c r="C656" s="13" t="str">
        <f>'Entry Sheet'!P78</f>
        <v>MIN D/ST</v>
      </c>
      <c r="D656" s="13">
        <f>'Entry Sheet'!Q78</f>
        <v>4.75</v>
      </c>
      <c r="E656" s="846" t="s">
        <v>519</v>
      </c>
    </row>
    <row r="657" ht="15.75" customHeight="1">
      <c r="A657" s="885" t="str">
        <f>Settings!$A$6</f>
        <v>SAVAGES</v>
      </c>
      <c r="B657" s="833" t="s">
        <v>146</v>
      </c>
      <c r="C657" s="13" t="str">
        <f>'Entry Sheet'!P79</f>
        <v>E. PINEIRO</v>
      </c>
      <c r="D657" s="13">
        <f>'Entry Sheet'!Q79</f>
        <v>1</v>
      </c>
      <c r="E657" s="846" t="s">
        <v>519</v>
      </c>
    </row>
    <row r="658" ht="15.75" customHeight="1">
      <c r="A658" s="885" t="str">
        <f>Settings!$A$6</f>
        <v>SAVAGES</v>
      </c>
      <c r="B658" s="842" t="s">
        <v>162</v>
      </c>
      <c r="C658" s="13" t="str">
        <f>'Entry Sheet'!P80</f>
        <v>CIN HC</v>
      </c>
      <c r="D658" s="13">
        <f>'Entry Sheet'!Q80</f>
        <v>9.4</v>
      </c>
      <c r="E658" s="846" t="s">
        <v>519</v>
      </c>
    </row>
    <row r="659" ht="15.75" customHeight="1">
      <c r="A659" s="885" t="str">
        <f>Settings!$A$6</f>
        <v>SAVAGES</v>
      </c>
      <c r="B659" s="587" t="s">
        <v>100</v>
      </c>
      <c r="C659" s="13" t="str">
        <f>'Entry Sheet'!R68</f>
        <v>A. RODGERS</v>
      </c>
      <c r="D659" s="13">
        <f>'Entry Sheet'!S68</f>
        <v>17.32</v>
      </c>
      <c r="E659" s="589" t="s">
        <v>520</v>
      </c>
    </row>
    <row r="660" ht="15.75" customHeight="1">
      <c r="A660" s="885" t="str">
        <f>Settings!$A$6</f>
        <v>SAVAGES</v>
      </c>
      <c r="B660" s="596" t="s">
        <v>106</v>
      </c>
      <c r="C660" s="13" t="str">
        <f>'Entry Sheet'!R69</f>
        <v>T. ETIENNE</v>
      </c>
      <c r="D660" s="13">
        <f>'Entry Sheet'!S69</f>
        <v>18.7</v>
      </c>
      <c r="E660" s="589" t="s">
        <v>520</v>
      </c>
    </row>
    <row r="661" ht="15.75" customHeight="1">
      <c r="A661" s="885" t="str">
        <f>Settings!$A$6</f>
        <v>SAVAGES</v>
      </c>
      <c r="B661" s="596" t="s">
        <v>106</v>
      </c>
      <c r="C661" s="13" t="str">
        <f>'Entry Sheet'!R70</f>
        <v>J.K. DOBBINS</v>
      </c>
      <c r="D661" s="13">
        <f>'Entry Sheet'!S70</f>
        <v>8.4</v>
      </c>
      <c r="E661" s="589" t="s">
        <v>520</v>
      </c>
    </row>
    <row r="662" ht="15.75" customHeight="1">
      <c r="A662" s="885" t="str">
        <f>Settings!$A$6</f>
        <v>SAVAGES</v>
      </c>
      <c r="B662" s="596" t="s">
        <v>106</v>
      </c>
      <c r="C662" s="13" t="str">
        <f>'Entry Sheet'!R71</f>
        <v/>
      </c>
      <c r="D662" s="13" t="str">
        <f>'Entry Sheet'!S71</f>
        <v/>
      </c>
      <c r="E662" s="589" t="s">
        <v>520</v>
      </c>
    </row>
    <row r="663" ht="15.75" customHeight="1">
      <c r="A663" s="885" t="str">
        <f>Settings!$A$6</f>
        <v>SAVAGES</v>
      </c>
      <c r="B663" s="712" t="s">
        <v>117</v>
      </c>
      <c r="C663" s="13" t="str">
        <f>'Entry Sheet'!R72</f>
        <v>J. CHASE</v>
      </c>
      <c r="D663" s="13">
        <f>'Entry Sheet'!S72</f>
        <v>18.1</v>
      </c>
      <c r="E663" s="589" t="s">
        <v>520</v>
      </c>
    </row>
    <row r="664" ht="15.75" customHeight="1">
      <c r="A664" s="885" t="str">
        <f>Settings!$A$6</f>
        <v>SAVAGES</v>
      </c>
      <c r="B664" s="712" t="s">
        <v>117</v>
      </c>
      <c r="C664" s="13" t="str">
        <f>'Entry Sheet'!R73</f>
        <v>D. LONDON</v>
      </c>
      <c r="D664" s="13">
        <f>'Entry Sheet'!S73</f>
        <v>39.8</v>
      </c>
      <c r="E664" s="589" t="s">
        <v>520</v>
      </c>
    </row>
    <row r="665" ht="15.75" customHeight="1">
      <c r="A665" s="885" t="str">
        <f>Settings!$A$6</f>
        <v>SAVAGES</v>
      </c>
      <c r="B665" s="712" t="s">
        <v>117</v>
      </c>
      <c r="C665" s="13" t="str">
        <f>'Entry Sheet'!R74</f>
        <v>K. ALLEN</v>
      </c>
      <c r="D665" s="13">
        <f>'Entry Sheet'!S74</f>
        <v>6.1</v>
      </c>
      <c r="E665" s="589" t="s">
        <v>520</v>
      </c>
    </row>
    <row r="666" ht="15.75" customHeight="1">
      <c r="A666" s="885" t="str">
        <f>Settings!$A$6</f>
        <v>SAVAGES</v>
      </c>
      <c r="B666" s="712" t="s">
        <v>117</v>
      </c>
      <c r="C666" s="13" t="str">
        <f>'Entry Sheet'!R75</f>
        <v/>
      </c>
      <c r="D666" s="13" t="str">
        <f>'Entry Sheet'!S75</f>
        <v/>
      </c>
      <c r="E666" s="589" t="s">
        <v>520</v>
      </c>
    </row>
    <row r="667" ht="15.75" customHeight="1">
      <c r="A667" s="885" t="str">
        <f>Settings!$A$6</f>
        <v>SAVAGES</v>
      </c>
      <c r="B667" s="764" t="s">
        <v>132</v>
      </c>
      <c r="C667" s="13" t="str">
        <f>'Entry Sheet'!R76</f>
        <v>T. MCBRIDE</v>
      </c>
      <c r="D667" s="13">
        <f>'Entry Sheet'!S76</f>
        <v>16.5</v>
      </c>
      <c r="E667" s="589" t="s">
        <v>520</v>
      </c>
    </row>
    <row r="668" ht="15.75" customHeight="1">
      <c r="A668" s="885" t="str">
        <f>Settings!$A$6</f>
        <v>SAVAGES</v>
      </c>
      <c r="B668" s="795" t="s">
        <v>136</v>
      </c>
      <c r="C668" s="13" t="str">
        <f>'Entry Sheet'!R77</f>
        <v>A. JEANTY</v>
      </c>
      <c r="D668" s="13">
        <f>'Entry Sheet'!S77</f>
        <v>21.2</v>
      </c>
      <c r="E668" s="589" t="s">
        <v>520</v>
      </c>
    </row>
    <row r="669" ht="15.75" customHeight="1">
      <c r="A669" s="885" t="str">
        <f>Settings!$A$6</f>
        <v>SAVAGES</v>
      </c>
      <c r="B669" s="818" t="s">
        <v>139</v>
      </c>
      <c r="C669" s="13" t="str">
        <f>'Entry Sheet'!R78</f>
        <v>DET D/ST</v>
      </c>
      <c r="D669" s="13">
        <f>'Entry Sheet'!S78</f>
        <v>23.7</v>
      </c>
      <c r="E669" s="589" t="s">
        <v>520</v>
      </c>
    </row>
    <row r="670" ht="15.75" customHeight="1">
      <c r="A670" s="885" t="str">
        <f>Settings!$A$6</f>
        <v>SAVAGES</v>
      </c>
      <c r="B670" s="833" t="s">
        <v>146</v>
      </c>
      <c r="C670" s="13" t="str">
        <f>'Entry Sheet'!R79</f>
        <v>E. PINEIRO</v>
      </c>
      <c r="D670" s="13">
        <f>'Entry Sheet'!S79</f>
        <v>13</v>
      </c>
      <c r="E670" s="589" t="s">
        <v>520</v>
      </c>
    </row>
    <row r="671" ht="15.75" customHeight="1">
      <c r="A671" s="885" t="str">
        <f>Settings!$A$6</f>
        <v>SAVAGES</v>
      </c>
      <c r="B671" s="842" t="s">
        <v>162</v>
      </c>
      <c r="C671" s="13" t="str">
        <f>'Entry Sheet'!R80</f>
        <v>CIN HC</v>
      </c>
      <c r="D671" s="13">
        <f>'Entry Sheet'!S80</f>
        <v>9.6</v>
      </c>
      <c r="E671" s="589" t="s">
        <v>520</v>
      </c>
    </row>
    <row r="672" ht="15.75" customHeight="1">
      <c r="A672" s="885" t="str">
        <f>Settings!$A$6</f>
        <v>SAVAGES</v>
      </c>
      <c r="B672" s="587" t="s">
        <v>100</v>
      </c>
      <c r="C672" s="13" t="str">
        <f>'Entry Sheet'!T68</f>
        <v>J. GOFF</v>
      </c>
      <c r="D672" s="13">
        <f>'Entry Sheet'!U68</f>
        <v>35.2</v>
      </c>
      <c r="E672" s="846" t="s">
        <v>521</v>
      </c>
    </row>
    <row r="673" ht="15.75" customHeight="1">
      <c r="A673" s="885" t="str">
        <f>Settings!$A$6</f>
        <v>SAVAGES</v>
      </c>
      <c r="B673" s="596" t="s">
        <v>106</v>
      </c>
      <c r="C673" s="13" t="str">
        <f>'Entry Sheet'!T69</f>
        <v>A. JEANTY</v>
      </c>
      <c r="D673" s="13">
        <f>'Entry Sheet'!U69</f>
        <v>17.2</v>
      </c>
      <c r="E673" s="846" t="s">
        <v>521</v>
      </c>
    </row>
    <row r="674" ht="15.75" customHeight="1">
      <c r="A674" s="885" t="str">
        <f>Settings!$A$6</f>
        <v>SAVAGES</v>
      </c>
      <c r="B674" s="596" t="s">
        <v>106</v>
      </c>
      <c r="C674" s="13" t="str">
        <f>'Entry Sheet'!T70</f>
        <v>J. DOBBINS</v>
      </c>
      <c r="D674" s="13">
        <f>'Entry Sheet'!U70</f>
        <v>11.2</v>
      </c>
      <c r="E674" s="846" t="s">
        <v>521</v>
      </c>
    </row>
    <row r="675" ht="15.75" customHeight="1">
      <c r="A675" s="885" t="str">
        <f>Settings!$A$6</f>
        <v>SAVAGES</v>
      </c>
      <c r="B675" s="596" t="s">
        <v>106</v>
      </c>
      <c r="C675" s="13" t="str">
        <f>'Entry Sheet'!T71</f>
        <v/>
      </c>
      <c r="D675" s="13" t="str">
        <f>'Entry Sheet'!U71</f>
        <v/>
      </c>
      <c r="E675" s="846" t="s">
        <v>521</v>
      </c>
    </row>
    <row r="676" ht="15.75" customHeight="1">
      <c r="A676" s="885" t="str">
        <f>Settings!$A$6</f>
        <v>SAVAGES</v>
      </c>
      <c r="B676" s="712" t="s">
        <v>117</v>
      </c>
      <c r="C676" s="13" t="str">
        <f>'Entry Sheet'!T72</f>
        <v>D. LONDON</v>
      </c>
      <c r="D676" s="13">
        <f>'Entry Sheet'!U72</f>
        <v>25.4</v>
      </c>
      <c r="E676" s="846" t="s">
        <v>521</v>
      </c>
    </row>
    <row r="677" ht="15.75" customHeight="1">
      <c r="A677" s="885" t="str">
        <f>Settings!$A$6</f>
        <v>SAVAGES</v>
      </c>
      <c r="B677" s="712" t="s">
        <v>117</v>
      </c>
      <c r="C677" s="13" t="str">
        <f>'Entry Sheet'!T73</f>
        <v>Q. JOHNSTON</v>
      </c>
      <c r="D677" s="13">
        <f>'Entry Sheet'!U73</f>
        <v>9.2</v>
      </c>
      <c r="E677" s="846" t="s">
        <v>521</v>
      </c>
    </row>
    <row r="678" ht="15.75" customHeight="1">
      <c r="A678" s="885" t="str">
        <f>Settings!$A$6</f>
        <v>SAVAGES</v>
      </c>
      <c r="B678" s="712" t="s">
        <v>117</v>
      </c>
      <c r="C678" s="13" t="str">
        <f>'Entry Sheet'!T74</f>
        <v>K. ALLEN</v>
      </c>
      <c r="D678" s="13">
        <f>'Entry Sheet'!U74</f>
        <v>3.9</v>
      </c>
      <c r="E678" s="846" t="s">
        <v>521</v>
      </c>
    </row>
    <row r="679" ht="15.75" customHeight="1">
      <c r="A679" s="885" t="str">
        <f>Settings!$A$6</f>
        <v>SAVAGES</v>
      </c>
      <c r="B679" s="712" t="s">
        <v>117</v>
      </c>
      <c r="C679" s="13" t="str">
        <f>'Entry Sheet'!T75</f>
        <v/>
      </c>
      <c r="D679" s="13" t="str">
        <f>'Entry Sheet'!U75</f>
        <v/>
      </c>
      <c r="E679" s="846" t="s">
        <v>521</v>
      </c>
    </row>
    <row r="680" ht="15.75" customHeight="1">
      <c r="A680" s="885" t="str">
        <f>Settings!$A$6</f>
        <v>SAVAGES</v>
      </c>
      <c r="B680" s="764" t="s">
        <v>132</v>
      </c>
      <c r="C680" s="13" t="str">
        <f>'Entry Sheet'!T76</f>
        <v>T. MCBRIDE</v>
      </c>
      <c r="D680" s="13">
        <f>'Entry Sheet'!U76</f>
        <v>28.7</v>
      </c>
      <c r="E680" s="846" t="s">
        <v>521</v>
      </c>
    </row>
    <row r="681" ht="15.75" customHeight="1">
      <c r="A681" s="885" t="str">
        <f>Settings!$A$6</f>
        <v>SAVAGES</v>
      </c>
      <c r="B681" s="795" t="s">
        <v>136</v>
      </c>
      <c r="C681" s="13" t="str">
        <f>'Entry Sheet'!T77</f>
        <v>T. ETIENNE</v>
      </c>
      <c r="D681" s="13">
        <f>'Entry Sheet'!U77</f>
        <v>17.3</v>
      </c>
      <c r="E681" s="846" t="s">
        <v>521</v>
      </c>
    </row>
    <row r="682" ht="15.75" customHeight="1">
      <c r="A682" s="885" t="str">
        <f>Settings!$A$6</f>
        <v>SAVAGES</v>
      </c>
      <c r="B682" s="818" t="s">
        <v>139</v>
      </c>
      <c r="C682" s="13" t="str">
        <f>'Entry Sheet'!T78</f>
        <v>DET D/ST</v>
      </c>
      <c r="D682" s="13">
        <f>'Entry Sheet'!U78</f>
        <v>8.24</v>
      </c>
      <c r="E682" s="846" t="s">
        <v>521</v>
      </c>
    </row>
    <row r="683" ht="15.75" customHeight="1">
      <c r="A683" s="885" t="str">
        <f>Settings!$A$6</f>
        <v>SAVAGES</v>
      </c>
      <c r="B683" s="833" t="s">
        <v>146</v>
      </c>
      <c r="C683" s="13" t="str">
        <f>'Entry Sheet'!T79</f>
        <v>E. PINEIRO</v>
      </c>
      <c r="D683" s="13">
        <f>'Entry Sheet'!U79</f>
        <v>2</v>
      </c>
      <c r="E683" s="846" t="s">
        <v>521</v>
      </c>
    </row>
    <row r="684" ht="15.75" customHeight="1">
      <c r="A684" s="885" t="str">
        <f>Settings!$A$6</f>
        <v>SAVAGES</v>
      </c>
      <c r="B684" s="842" t="s">
        <v>162</v>
      </c>
      <c r="C684" s="13" t="str">
        <f>'Entry Sheet'!T80</f>
        <v>CAR HC</v>
      </c>
      <c r="D684" s="13">
        <f>'Entry Sheet'!U80</f>
        <v>-1.9</v>
      </c>
      <c r="E684" s="846" t="s">
        <v>521</v>
      </c>
    </row>
    <row r="685" ht="15.75" customHeight="1">
      <c r="A685" s="885" t="str">
        <f>Settings!$A$6</f>
        <v>SAVAGES</v>
      </c>
      <c r="B685" s="587" t="s">
        <v>100</v>
      </c>
      <c r="C685" s="13" t="str">
        <f>'Entry Sheet'!V68</f>
        <v>A. RODGERS</v>
      </c>
      <c r="D685" s="13">
        <f>'Entry Sheet'!W68</f>
        <v>12.14</v>
      </c>
      <c r="E685" s="589" t="s">
        <v>522</v>
      </c>
    </row>
    <row r="686" ht="15.75" customHeight="1">
      <c r="A686" s="885" t="str">
        <f>Settings!$A$6</f>
        <v>SAVAGES</v>
      </c>
      <c r="B686" s="596" t="s">
        <v>106</v>
      </c>
      <c r="C686" s="13" t="str">
        <f>'Entry Sheet'!V69</f>
        <v>A. JEANTY</v>
      </c>
      <c r="D686" s="13">
        <f>'Entry Sheet'!W69</f>
        <v>10</v>
      </c>
      <c r="E686" s="589" t="s">
        <v>522</v>
      </c>
    </row>
    <row r="687" ht="15.75" customHeight="1">
      <c r="A687" s="885" t="str">
        <f>Settings!$A$6</f>
        <v>SAVAGES</v>
      </c>
      <c r="B687" s="596" t="s">
        <v>106</v>
      </c>
      <c r="C687" s="13" t="str">
        <f>'Entry Sheet'!V70</f>
        <v>T. ETIENNE</v>
      </c>
      <c r="D687" s="13">
        <f>'Entry Sheet'!W70</f>
        <v>21.2</v>
      </c>
      <c r="E687" s="589" t="s">
        <v>522</v>
      </c>
    </row>
    <row r="688" ht="15.75" customHeight="1">
      <c r="A688" s="885" t="str">
        <f>Settings!$A$6</f>
        <v>SAVAGES</v>
      </c>
      <c r="B688" s="596" t="s">
        <v>106</v>
      </c>
      <c r="C688" s="13" t="str">
        <f>'Entry Sheet'!V71</f>
        <v/>
      </c>
      <c r="D688" s="13" t="str">
        <f>'Entry Sheet'!W71</f>
        <v/>
      </c>
      <c r="E688" s="589" t="s">
        <v>522</v>
      </c>
    </row>
    <row r="689" ht="15.75" customHeight="1">
      <c r="A689" s="885" t="str">
        <f>Settings!$A$6</f>
        <v>SAVAGES</v>
      </c>
      <c r="B689" s="712" t="s">
        <v>117</v>
      </c>
      <c r="C689" s="13" t="str">
        <f>'Entry Sheet'!V72</f>
        <v>J. CHASE</v>
      </c>
      <c r="D689" s="13">
        <f>'Entry Sheet'!W72</f>
        <v>6</v>
      </c>
      <c r="E689" s="589" t="s">
        <v>522</v>
      </c>
    </row>
    <row r="690" ht="15.75" customHeight="1">
      <c r="A690" s="885" t="str">
        <f>Settings!$A$6</f>
        <v>SAVAGES</v>
      </c>
      <c r="B690" s="712" t="s">
        <v>117</v>
      </c>
      <c r="C690" s="13" t="str">
        <f>'Entry Sheet'!V73</f>
        <v>D. LONDON</v>
      </c>
      <c r="D690" s="13">
        <f>'Entry Sheet'!W73</f>
        <v>19.9</v>
      </c>
      <c r="E690" s="589" t="s">
        <v>522</v>
      </c>
    </row>
    <row r="691" ht="15.75" customHeight="1">
      <c r="A691" s="885" t="str">
        <f>Settings!$A$6</f>
        <v>SAVAGES</v>
      </c>
      <c r="B691" s="712" t="s">
        <v>117</v>
      </c>
      <c r="C691" s="13" t="str">
        <f>'Entry Sheet'!V74</f>
        <v>T. HIGGINS</v>
      </c>
      <c r="D691" s="13">
        <f>'Entry Sheet'!W74</f>
        <v>15.3</v>
      </c>
      <c r="E691" s="589" t="s">
        <v>522</v>
      </c>
    </row>
    <row r="692" ht="15.75" customHeight="1">
      <c r="A692" s="885" t="str">
        <f>Settings!$A$6</f>
        <v>SAVAGES</v>
      </c>
      <c r="B692" s="712" t="s">
        <v>117</v>
      </c>
      <c r="C692" s="13" t="str">
        <f>'Entry Sheet'!V75</f>
        <v/>
      </c>
      <c r="D692" s="13" t="str">
        <f>'Entry Sheet'!W75</f>
        <v/>
      </c>
      <c r="E692" s="589" t="s">
        <v>522</v>
      </c>
    </row>
    <row r="693" ht="15.75" customHeight="1">
      <c r="A693" s="885" t="str">
        <f>Settings!$A$6</f>
        <v>SAVAGES</v>
      </c>
      <c r="B693" s="764" t="s">
        <v>132</v>
      </c>
      <c r="C693" s="13" t="str">
        <f>'Entry Sheet'!V76</f>
        <v>T. MCBRIDE</v>
      </c>
      <c r="D693" s="13">
        <f>'Entry Sheet'!W76</f>
        <v>28.5</v>
      </c>
      <c r="E693" s="589" t="s">
        <v>522</v>
      </c>
    </row>
    <row r="694" ht="15.75" customHeight="1">
      <c r="A694" s="885" t="str">
        <f>Settings!$A$6</f>
        <v>SAVAGES</v>
      </c>
      <c r="B694" s="795" t="s">
        <v>136</v>
      </c>
      <c r="C694" s="13" t="str">
        <f>'Entry Sheet'!V77</f>
        <v>Q. JOHNSTON</v>
      </c>
      <c r="D694" s="13">
        <f>'Entry Sheet'!W77</f>
        <v>0</v>
      </c>
      <c r="E694" s="589" t="s">
        <v>522</v>
      </c>
    </row>
    <row r="695" ht="15.75" customHeight="1">
      <c r="A695" s="885" t="str">
        <f>Settings!$A$6</f>
        <v>SAVAGES</v>
      </c>
      <c r="B695" s="818" t="s">
        <v>139</v>
      </c>
      <c r="C695" s="13" t="str">
        <f>'Entry Sheet'!V78</f>
        <v>DET D/ST</v>
      </c>
      <c r="D695" s="13">
        <f>'Entry Sheet'!W78</f>
        <v>8.34</v>
      </c>
      <c r="E695" s="589" t="s">
        <v>522</v>
      </c>
    </row>
    <row r="696" ht="15.75" customHeight="1">
      <c r="A696" s="885" t="str">
        <f>Settings!$A$6</f>
        <v>SAVAGES</v>
      </c>
      <c r="B696" s="833" t="s">
        <v>146</v>
      </c>
      <c r="C696" s="13" t="str">
        <f>'Entry Sheet'!V79</f>
        <v>E. PINEIRO</v>
      </c>
      <c r="D696" s="13">
        <f>'Entry Sheet'!W79</f>
        <v>14</v>
      </c>
      <c r="E696" s="589" t="s">
        <v>522</v>
      </c>
    </row>
    <row r="697" ht="15.75" customHeight="1">
      <c r="A697" s="885" t="str">
        <f>Settings!$A$6</f>
        <v>SAVAGES</v>
      </c>
      <c r="B697" s="842" t="s">
        <v>162</v>
      </c>
      <c r="C697" s="13" t="str">
        <f>'Entry Sheet'!V80</f>
        <v>CIN HC</v>
      </c>
      <c r="D697" s="13">
        <f>'Entry Sheet'!W80</f>
        <v>-4.4</v>
      </c>
      <c r="E697" s="589" t="s">
        <v>522</v>
      </c>
    </row>
    <row r="698" ht="15.75" customHeight="1">
      <c r="A698" s="885" t="str">
        <f>Settings!$A$6</f>
        <v>SAVAGES</v>
      </c>
      <c r="B698" s="587" t="s">
        <v>100</v>
      </c>
      <c r="C698" s="13" t="str">
        <f>'Entry Sheet'!X68</f>
        <v>J. GOFF</v>
      </c>
      <c r="D698" s="13">
        <f>'Entry Sheet'!Y68</f>
        <v>23.16</v>
      </c>
      <c r="E698" s="846" t="s">
        <v>523</v>
      </c>
    </row>
    <row r="699" ht="15.75" customHeight="1">
      <c r="A699" s="885" t="str">
        <f>Settings!$A$6</f>
        <v>SAVAGES</v>
      </c>
      <c r="B699" s="596" t="s">
        <v>106</v>
      </c>
      <c r="C699" s="13" t="str">
        <f>'Entry Sheet'!X69</f>
        <v>A. JEANTY</v>
      </c>
      <c r="D699" s="13">
        <f>'Entry Sheet'!Y69</f>
        <v>26.5</v>
      </c>
      <c r="E699" s="846" t="s">
        <v>523</v>
      </c>
    </row>
    <row r="700" ht="15.75" customHeight="1">
      <c r="A700" s="885" t="str">
        <f>Settings!$A$6</f>
        <v>SAVAGES</v>
      </c>
      <c r="B700" s="596" t="s">
        <v>106</v>
      </c>
      <c r="C700" s="13" t="str">
        <f>'Entry Sheet'!X70</f>
        <v>T. ETIENNE</v>
      </c>
      <c r="D700" s="13">
        <f>'Entry Sheet'!Y70</f>
        <v>22.1</v>
      </c>
      <c r="E700" s="846" t="s">
        <v>523</v>
      </c>
    </row>
    <row r="701" ht="15.75" customHeight="1">
      <c r="A701" s="885" t="str">
        <f>Settings!$A$6</f>
        <v>SAVAGES</v>
      </c>
      <c r="B701" s="596" t="s">
        <v>106</v>
      </c>
      <c r="C701" s="13" t="str">
        <f>'Entry Sheet'!X71</f>
        <v/>
      </c>
      <c r="D701" s="13" t="str">
        <f>'Entry Sheet'!Y71</f>
        <v/>
      </c>
      <c r="E701" s="846" t="s">
        <v>523</v>
      </c>
    </row>
    <row r="702" ht="15.75" customHeight="1">
      <c r="A702" s="885" t="str">
        <f>Settings!$A$6</f>
        <v>SAVAGES</v>
      </c>
      <c r="B702" s="712" t="s">
        <v>117</v>
      </c>
      <c r="C702" s="13" t="str">
        <f>'Entry Sheet'!X72</f>
        <v>J. CHASE</v>
      </c>
      <c r="D702" s="13">
        <f>'Entry Sheet'!Y72</f>
        <v>0</v>
      </c>
      <c r="E702" s="846" t="s">
        <v>523</v>
      </c>
    </row>
    <row r="703" ht="15.75" customHeight="1">
      <c r="A703" s="885" t="str">
        <f>Settings!$A$6</f>
        <v>SAVAGES</v>
      </c>
      <c r="B703" s="712" t="s">
        <v>117</v>
      </c>
      <c r="C703" s="13" t="str">
        <f>'Entry Sheet'!X73</f>
        <v>T. HIGGINS</v>
      </c>
      <c r="D703" s="13">
        <f>'Entry Sheet'!Y73</f>
        <v>8.1</v>
      </c>
      <c r="E703" s="846" t="s">
        <v>523</v>
      </c>
    </row>
    <row r="704" ht="15.75" customHeight="1">
      <c r="A704" s="885" t="str">
        <f>Settings!$A$6</f>
        <v>SAVAGES</v>
      </c>
      <c r="B704" s="712" t="s">
        <v>117</v>
      </c>
      <c r="C704" s="13" t="str">
        <f>'Entry Sheet'!X74</f>
        <v>D. MOONEY</v>
      </c>
      <c r="D704" s="13">
        <f>'Entry Sheet'!Y74</f>
        <v>16.4</v>
      </c>
      <c r="E704" s="846" t="s">
        <v>523</v>
      </c>
    </row>
    <row r="705" ht="15.75" customHeight="1">
      <c r="A705" s="885" t="str">
        <f>Settings!$A$6</f>
        <v>SAVAGES</v>
      </c>
      <c r="B705" s="712" t="s">
        <v>117</v>
      </c>
      <c r="C705" s="13" t="str">
        <f>'Entry Sheet'!X75</f>
        <v/>
      </c>
      <c r="D705" s="13" t="str">
        <f>'Entry Sheet'!Y75</f>
        <v/>
      </c>
      <c r="E705" s="846" t="s">
        <v>523</v>
      </c>
    </row>
    <row r="706" ht="15.75" customHeight="1">
      <c r="A706" s="885" t="str">
        <f>Settings!$A$6</f>
        <v>SAVAGES</v>
      </c>
      <c r="B706" s="764" t="s">
        <v>132</v>
      </c>
      <c r="C706" s="13" t="str">
        <f>'Entry Sheet'!X76</f>
        <v>T. MCBRIDE</v>
      </c>
      <c r="D706" s="13">
        <f>'Entry Sheet'!Y76</f>
        <v>16.9</v>
      </c>
      <c r="E706" s="846" t="s">
        <v>523</v>
      </c>
    </row>
    <row r="707" ht="15.75" customHeight="1">
      <c r="A707" s="885" t="str">
        <f>Settings!$A$6</f>
        <v>SAVAGES</v>
      </c>
      <c r="B707" s="795" t="s">
        <v>136</v>
      </c>
      <c r="C707" s="13" t="str">
        <f>'Entry Sheet'!X77</f>
        <v>D. GOEDERT</v>
      </c>
      <c r="D707" s="13">
        <f>'Entry Sheet'!Y77</f>
        <v>4</v>
      </c>
      <c r="E707" s="846" t="s">
        <v>523</v>
      </c>
    </row>
    <row r="708" ht="15.75" customHeight="1">
      <c r="A708" s="885" t="str">
        <f>Settings!$A$6</f>
        <v>SAVAGES</v>
      </c>
      <c r="B708" s="818" t="s">
        <v>139</v>
      </c>
      <c r="C708" s="13" t="str">
        <f>'Entry Sheet'!X78</f>
        <v>DET D/ST</v>
      </c>
      <c r="D708" s="13">
        <f>'Entry Sheet'!Y78</f>
        <v>4.15</v>
      </c>
      <c r="E708" s="846" t="s">
        <v>523</v>
      </c>
    </row>
    <row r="709" ht="15.75" customHeight="1">
      <c r="A709" s="885" t="str">
        <f>Settings!$A$6</f>
        <v>SAVAGES</v>
      </c>
      <c r="B709" s="833" t="s">
        <v>146</v>
      </c>
      <c r="C709" s="13" t="str">
        <f>'Entry Sheet'!X79</f>
        <v>C. MCLAUGHLIN</v>
      </c>
      <c r="D709" s="13">
        <f>'Entry Sheet'!Y79</f>
        <v>1</v>
      </c>
      <c r="E709" s="846" t="s">
        <v>523</v>
      </c>
    </row>
    <row r="710" ht="15.75" customHeight="1">
      <c r="A710" s="885" t="str">
        <f>Settings!$A$6</f>
        <v>SAVAGES</v>
      </c>
      <c r="B710" s="842" t="s">
        <v>162</v>
      </c>
      <c r="C710" s="13" t="str">
        <f>'Entry Sheet'!X80</f>
        <v>SF HC</v>
      </c>
      <c r="D710" s="13">
        <f>'Entry Sheet'!Y80</f>
        <v>10</v>
      </c>
      <c r="E710" s="846" t="s">
        <v>523</v>
      </c>
    </row>
    <row r="711" ht="15.75" customHeight="1">
      <c r="A711" s="885" t="str">
        <f>Settings!$A$6</f>
        <v>SAVAGES</v>
      </c>
      <c r="B711" s="587" t="s">
        <v>100</v>
      </c>
      <c r="C711" s="13" t="str">
        <f>'Entry Sheet'!Z68</f>
        <v>J. GOFF</v>
      </c>
      <c r="D711" s="13">
        <f>'Entry Sheet'!AA68</f>
        <v>27.54</v>
      </c>
      <c r="E711" s="589" t="s">
        <v>524</v>
      </c>
    </row>
    <row r="712" ht="15.75" customHeight="1">
      <c r="A712" s="885" t="str">
        <f>Settings!$A$6</f>
        <v>SAVAGES</v>
      </c>
      <c r="B712" s="596" t="s">
        <v>106</v>
      </c>
      <c r="C712" s="13" t="str">
        <f>'Entry Sheet'!Z69</f>
        <v>A. JEANTY</v>
      </c>
      <c r="D712" s="13">
        <f>'Entry Sheet'!AA69</f>
        <v>13.6</v>
      </c>
      <c r="E712" s="589" t="s">
        <v>524</v>
      </c>
    </row>
    <row r="713" ht="15.75" customHeight="1">
      <c r="A713" s="885" t="str">
        <f>Settings!$A$6</f>
        <v>SAVAGES</v>
      </c>
      <c r="B713" s="596" t="s">
        <v>106</v>
      </c>
      <c r="C713" s="13" t="str">
        <f>'Entry Sheet'!Z70</f>
        <v>T. ETIENNE</v>
      </c>
      <c r="D713" s="13">
        <f>'Entry Sheet'!AA70</f>
        <v>6.3</v>
      </c>
      <c r="E713" s="589" t="s">
        <v>524</v>
      </c>
    </row>
    <row r="714" ht="15.75" customHeight="1">
      <c r="A714" s="885" t="str">
        <f>Settings!$A$6</f>
        <v>SAVAGES</v>
      </c>
      <c r="B714" s="596" t="s">
        <v>106</v>
      </c>
      <c r="C714" s="13" t="str">
        <f>'Entry Sheet'!Z71</f>
        <v/>
      </c>
      <c r="D714" s="13" t="str">
        <f>'Entry Sheet'!AA71</f>
        <v/>
      </c>
      <c r="E714" s="589" t="s">
        <v>524</v>
      </c>
    </row>
    <row r="715" ht="15.75" customHeight="1">
      <c r="A715" s="885" t="str">
        <f>Settings!$A$6</f>
        <v>SAVAGES</v>
      </c>
      <c r="B715" s="712" t="s">
        <v>117</v>
      </c>
      <c r="C715" s="13" t="str">
        <f>'Entry Sheet'!Z72</f>
        <v>J. CHASE</v>
      </c>
      <c r="D715" s="13">
        <f>'Entry Sheet'!AA72</f>
        <v>19</v>
      </c>
      <c r="E715" s="589" t="s">
        <v>524</v>
      </c>
    </row>
    <row r="716" ht="15.75" customHeight="1">
      <c r="A716" s="885" t="str">
        <f>Settings!$A$6</f>
        <v>SAVAGES</v>
      </c>
      <c r="B716" s="712" t="s">
        <v>117</v>
      </c>
      <c r="C716" s="13" t="str">
        <f>'Entry Sheet'!Z73</f>
        <v>T. HIGGINS</v>
      </c>
      <c r="D716" s="13">
        <f>'Entry Sheet'!AA73</f>
        <v>0</v>
      </c>
      <c r="E716" s="589" t="s">
        <v>524</v>
      </c>
    </row>
    <row r="717" ht="15.75" customHeight="1">
      <c r="A717" s="885" t="str">
        <f>Settings!$A$6</f>
        <v>SAVAGES</v>
      </c>
      <c r="B717" s="712" t="s">
        <v>117</v>
      </c>
      <c r="C717" s="13" t="str">
        <f>'Entry Sheet'!Z74</f>
        <v>D. MOONEY</v>
      </c>
      <c r="D717" s="13">
        <f>'Entry Sheet'!AA74</f>
        <v>4.5</v>
      </c>
      <c r="E717" s="589" t="s">
        <v>524</v>
      </c>
    </row>
    <row r="718" ht="15.75" customHeight="1">
      <c r="A718" s="885" t="str">
        <f>Settings!$A$6</f>
        <v>SAVAGES</v>
      </c>
      <c r="B718" s="712" t="s">
        <v>117</v>
      </c>
      <c r="C718" s="13" t="str">
        <f>'Entry Sheet'!Z75</f>
        <v/>
      </c>
      <c r="D718" s="13" t="str">
        <f>'Entry Sheet'!AA75</f>
        <v/>
      </c>
      <c r="E718" s="589" t="s">
        <v>524</v>
      </c>
    </row>
    <row r="719" ht="15.75" customHeight="1">
      <c r="A719" s="885" t="str">
        <f>Settings!$A$6</f>
        <v>SAVAGES</v>
      </c>
      <c r="B719" s="764" t="s">
        <v>132</v>
      </c>
      <c r="C719" s="13" t="str">
        <f>'Entry Sheet'!Z76</f>
        <v>T. MCBRIDE</v>
      </c>
      <c r="D719" s="13">
        <f>'Entry Sheet'!AA76</f>
        <v>22.2</v>
      </c>
      <c r="E719" s="589" t="s">
        <v>524</v>
      </c>
    </row>
    <row r="720" ht="15.75" customHeight="1">
      <c r="A720" s="885" t="str">
        <f>Settings!$A$6</f>
        <v>SAVAGES</v>
      </c>
      <c r="B720" s="795" t="s">
        <v>136</v>
      </c>
      <c r="C720" s="13" t="str">
        <f>'Entry Sheet'!Z77</f>
        <v>D. GOEDERT</v>
      </c>
      <c r="D720" s="13">
        <f>'Entry Sheet'!AA77</f>
        <v>4.7</v>
      </c>
      <c r="E720" s="589" t="s">
        <v>524</v>
      </c>
    </row>
    <row r="721" ht="15.75" customHeight="1">
      <c r="A721" s="885" t="str">
        <f>Settings!$A$6</f>
        <v>SAVAGES</v>
      </c>
      <c r="B721" s="818" t="s">
        <v>139</v>
      </c>
      <c r="C721" s="13" t="str">
        <f>'Entry Sheet'!Z78</f>
        <v>DET D/ST</v>
      </c>
      <c r="D721" s="13">
        <f>'Entry Sheet'!AA78</f>
        <v>2.73</v>
      </c>
      <c r="E721" s="589" t="s">
        <v>524</v>
      </c>
    </row>
    <row r="722" ht="15.75" customHeight="1">
      <c r="A722" s="885" t="str">
        <f>Settings!$A$6</f>
        <v>SAVAGES</v>
      </c>
      <c r="B722" s="833" t="s">
        <v>146</v>
      </c>
      <c r="C722" s="13" t="str">
        <f>'Entry Sheet'!Z79</f>
        <v>C. MCLAUGHLIN</v>
      </c>
      <c r="D722" s="13">
        <f>'Entry Sheet'!AA79</f>
        <v>11</v>
      </c>
      <c r="E722" s="589" t="s">
        <v>524</v>
      </c>
    </row>
    <row r="723" ht="15.75" customHeight="1">
      <c r="A723" s="885" t="str">
        <f>Settings!$A$6</f>
        <v>SAVAGES</v>
      </c>
      <c r="B723" s="842" t="s">
        <v>162</v>
      </c>
      <c r="C723" s="13" t="str">
        <f>'Entry Sheet'!Z80</f>
        <v>SF HC</v>
      </c>
      <c r="D723" s="13">
        <f>'Entry Sheet'!AA80</f>
        <v>13.8</v>
      </c>
      <c r="E723" s="589" t="s">
        <v>524</v>
      </c>
    </row>
    <row r="724" ht="15.75" customHeight="1">
      <c r="A724" s="885" t="str">
        <f>Settings!$A$6</f>
        <v>SAVAGES</v>
      </c>
      <c r="B724" s="587" t="s">
        <v>100</v>
      </c>
      <c r="C724" s="13" t="str">
        <f>'Entry Sheet'!AB68</f>
        <v>J. GOFF</v>
      </c>
      <c r="D724" s="13">
        <f>'Entry Sheet'!AC68</f>
        <v>22.56</v>
      </c>
      <c r="E724" s="846" t="s">
        <v>525</v>
      </c>
    </row>
    <row r="725" ht="15.75" customHeight="1">
      <c r="A725" s="885" t="str">
        <f>Settings!$A$6</f>
        <v>SAVAGES</v>
      </c>
      <c r="B725" s="596" t="s">
        <v>106</v>
      </c>
      <c r="C725" s="13" t="str">
        <f>'Entry Sheet'!AB69</f>
        <v>A. JEANTY</v>
      </c>
      <c r="D725" s="13">
        <f>'Entry Sheet'!AC69</f>
        <v>6.8</v>
      </c>
      <c r="E725" s="846" t="s">
        <v>525</v>
      </c>
    </row>
    <row r="726" ht="15.75" customHeight="1">
      <c r="A726" s="885" t="str">
        <f>Settings!$A$6</f>
        <v>SAVAGES</v>
      </c>
      <c r="B726" s="596" t="s">
        <v>106</v>
      </c>
      <c r="C726" s="13" t="str">
        <f>'Entry Sheet'!AB70</f>
        <v>T. ETIENNE</v>
      </c>
      <c r="D726" s="13">
        <f>'Entry Sheet'!AC70</f>
        <v>23.2</v>
      </c>
      <c r="E726" s="846" t="s">
        <v>525</v>
      </c>
    </row>
    <row r="727" ht="15.75" customHeight="1">
      <c r="A727" s="885" t="str">
        <f>Settings!$A$6</f>
        <v>SAVAGES</v>
      </c>
      <c r="B727" s="596" t="s">
        <v>106</v>
      </c>
      <c r="C727" s="13" t="str">
        <f>'Entry Sheet'!AB71</f>
        <v/>
      </c>
      <c r="D727" s="13" t="str">
        <f>'Entry Sheet'!AC71</f>
        <v/>
      </c>
      <c r="E727" s="846" t="s">
        <v>525</v>
      </c>
    </row>
    <row r="728" ht="15.75" customHeight="1">
      <c r="A728" s="885" t="str">
        <f>Settings!$A$6</f>
        <v>SAVAGES</v>
      </c>
      <c r="B728" s="712" t="s">
        <v>117</v>
      </c>
      <c r="C728" s="13" t="str">
        <f>'Entry Sheet'!AB72</f>
        <v>J. CHASE</v>
      </c>
      <c r="D728" s="13">
        <f>'Entry Sheet'!AC72</f>
        <v>10.3</v>
      </c>
      <c r="E728" s="846" t="s">
        <v>525</v>
      </c>
    </row>
    <row r="729" ht="15.75" customHeight="1">
      <c r="A729" s="885" t="str">
        <f>Settings!$A$6</f>
        <v>SAVAGES</v>
      </c>
      <c r="B729" s="712" t="s">
        <v>117</v>
      </c>
      <c r="C729" s="13" t="str">
        <f>'Entry Sheet'!AB73</f>
        <v>T. HIGGINS</v>
      </c>
      <c r="D729" s="13">
        <f>'Entry Sheet'!AC73</f>
        <v>27.2</v>
      </c>
      <c r="E729" s="846" t="s">
        <v>525</v>
      </c>
    </row>
    <row r="730" ht="15.75" customHeight="1">
      <c r="A730" s="885" t="str">
        <f>Settings!$A$6</f>
        <v>SAVAGES</v>
      </c>
      <c r="B730" s="712" t="s">
        <v>117</v>
      </c>
      <c r="C730" s="13" t="str">
        <f>'Entry Sheet'!AB74</f>
        <v>K. ALLEN</v>
      </c>
      <c r="D730" s="13">
        <f>'Entry Sheet'!AC74</f>
        <v>5.2</v>
      </c>
      <c r="E730" s="846" t="s">
        <v>525</v>
      </c>
    </row>
    <row r="731" ht="15.75" customHeight="1">
      <c r="A731" s="885" t="str">
        <f>Settings!$A$6</f>
        <v>SAVAGES</v>
      </c>
      <c r="B731" s="712" t="s">
        <v>117</v>
      </c>
      <c r="C731" s="13" t="str">
        <f>'Entry Sheet'!AB75</f>
        <v/>
      </c>
      <c r="D731" s="13" t="str">
        <f>'Entry Sheet'!AC75</f>
        <v/>
      </c>
      <c r="E731" s="846" t="s">
        <v>525</v>
      </c>
    </row>
    <row r="732" ht="15.75" customHeight="1">
      <c r="A732" s="885" t="str">
        <f>Settings!$A$6</f>
        <v>SAVAGES</v>
      </c>
      <c r="B732" s="764" t="s">
        <v>132</v>
      </c>
      <c r="C732" s="13" t="str">
        <f>'Entry Sheet'!AB76</f>
        <v>T. MCBRIDE</v>
      </c>
      <c r="D732" s="13">
        <f>'Entry Sheet'!AC76</f>
        <v>10.8</v>
      </c>
      <c r="E732" s="846" t="s">
        <v>525</v>
      </c>
    </row>
    <row r="733" ht="15.75" customHeight="1">
      <c r="A733" s="885" t="str">
        <f>Settings!$A$6</f>
        <v>SAVAGES</v>
      </c>
      <c r="B733" s="795" t="s">
        <v>136</v>
      </c>
      <c r="C733" s="13" t="str">
        <f>'Entry Sheet'!AB77</f>
        <v>D. GOEDERT</v>
      </c>
      <c r="D733" s="13">
        <f>'Entry Sheet'!AC77</f>
        <v>15.8</v>
      </c>
      <c r="E733" s="846" t="s">
        <v>525</v>
      </c>
    </row>
    <row r="734" ht="15.75" customHeight="1">
      <c r="A734" s="885" t="str">
        <f>Settings!$A$6</f>
        <v>SAVAGES</v>
      </c>
      <c r="B734" s="818" t="s">
        <v>139</v>
      </c>
      <c r="C734" s="13" t="str">
        <f>'Entry Sheet'!AB78</f>
        <v>MIN D/ST</v>
      </c>
      <c r="D734" s="13">
        <f>'Entry Sheet'!AC78</f>
        <v>22.39</v>
      </c>
      <c r="E734" s="846" t="s">
        <v>525</v>
      </c>
    </row>
    <row r="735" ht="15.75" customHeight="1">
      <c r="A735" s="885" t="str">
        <f>Settings!$A$6</f>
        <v>SAVAGES</v>
      </c>
      <c r="B735" s="833" t="s">
        <v>146</v>
      </c>
      <c r="C735" s="13" t="str">
        <f>'Entry Sheet'!AB79</f>
        <v>C. MCLAUGHLIN</v>
      </c>
      <c r="D735" s="13">
        <f>'Entry Sheet'!AC79</f>
        <v>9</v>
      </c>
      <c r="E735" s="846" t="s">
        <v>525</v>
      </c>
    </row>
    <row r="736" ht="15.75" customHeight="1">
      <c r="A736" s="885" t="str">
        <f>Settings!$A$6</f>
        <v>SAVAGES</v>
      </c>
      <c r="B736" s="842" t="s">
        <v>162</v>
      </c>
      <c r="C736" s="13" t="str">
        <f>'Entry Sheet'!AB80</f>
        <v>SF HC</v>
      </c>
      <c r="D736" s="13">
        <f>'Entry Sheet'!AC80</f>
        <v>0</v>
      </c>
      <c r="E736" s="846" t="s">
        <v>525</v>
      </c>
    </row>
    <row r="737" ht="15.75" customHeight="1">
      <c r="B737" s="587" t="s">
        <v>100</v>
      </c>
      <c r="E737" s="589" t="s">
        <v>512</v>
      </c>
    </row>
    <row r="738" ht="15.75" customHeight="1">
      <c r="B738" s="596" t="s">
        <v>106</v>
      </c>
      <c r="E738" s="589" t="s">
        <v>512</v>
      </c>
    </row>
    <row r="739" ht="15.75" customHeight="1">
      <c r="B739" s="596" t="s">
        <v>106</v>
      </c>
      <c r="E739" s="589" t="s">
        <v>512</v>
      </c>
    </row>
    <row r="740" ht="15.75" customHeight="1">
      <c r="B740" s="596" t="s">
        <v>106</v>
      </c>
      <c r="E740" s="589" t="s">
        <v>512</v>
      </c>
    </row>
    <row r="741" ht="15.75" customHeight="1">
      <c r="B741" s="712" t="s">
        <v>117</v>
      </c>
      <c r="E741" s="589" t="s">
        <v>512</v>
      </c>
    </row>
    <row r="742" ht="15.75" customHeight="1">
      <c r="B742" s="712" t="s">
        <v>117</v>
      </c>
      <c r="E742" s="589" t="s">
        <v>512</v>
      </c>
    </row>
    <row r="743" ht="15.75" customHeight="1">
      <c r="B743" s="712" t="s">
        <v>117</v>
      </c>
      <c r="E743" s="589" t="s">
        <v>512</v>
      </c>
    </row>
    <row r="744" ht="15.75" customHeight="1">
      <c r="B744" s="712" t="s">
        <v>117</v>
      </c>
      <c r="E744" s="589" t="s">
        <v>512</v>
      </c>
    </row>
    <row r="745" ht="15.75" customHeight="1">
      <c r="B745" s="764" t="s">
        <v>132</v>
      </c>
      <c r="E745" s="589" t="s">
        <v>512</v>
      </c>
    </row>
    <row r="746" ht="15.75" customHeight="1">
      <c r="B746" s="795" t="s">
        <v>136</v>
      </c>
      <c r="E746" s="589" t="s">
        <v>512</v>
      </c>
    </row>
    <row r="747" ht="15.75" customHeight="1">
      <c r="B747" s="818" t="s">
        <v>139</v>
      </c>
      <c r="E747" s="589" t="s">
        <v>512</v>
      </c>
    </row>
    <row r="748" ht="15.75" customHeight="1">
      <c r="B748" s="833" t="s">
        <v>146</v>
      </c>
      <c r="E748" s="589" t="s">
        <v>512</v>
      </c>
    </row>
    <row r="749" ht="15.75" customHeight="1">
      <c r="B749" s="842" t="s">
        <v>162</v>
      </c>
      <c r="E749" s="589" t="s">
        <v>512</v>
      </c>
    </row>
    <row r="750" ht="15.75" customHeight="1">
      <c r="B750" s="587" t="s">
        <v>100</v>
      </c>
      <c r="E750" s="846" t="s">
        <v>513</v>
      </c>
    </row>
    <row r="751" ht="15.75" customHeight="1">
      <c r="B751" s="596" t="s">
        <v>106</v>
      </c>
      <c r="E751" s="846" t="s">
        <v>513</v>
      </c>
    </row>
    <row r="752" ht="15.75" customHeight="1">
      <c r="B752" s="596" t="s">
        <v>106</v>
      </c>
      <c r="E752" s="846" t="s">
        <v>513</v>
      </c>
    </row>
    <row r="753" ht="15.75" customHeight="1">
      <c r="B753" s="596" t="s">
        <v>106</v>
      </c>
      <c r="E753" s="846" t="s">
        <v>513</v>
      </c>
    </row>
    <row r="754" ht="15.75" customHeight="1">
      <c r="B754" s="712" t="s">
        <v>117</v>
      </c>
      <c r="E754" s="846" t="s">
        <v>513</v>
      </c>
    </row>
    <row r="755" ht="15.75" customHeight="1">
      <c r="B755" s="712" t="s">
        <v>117</v>
      </c>
      <c r="E755" s="846" t="s">
        <v>513</v>
      </c>
    </row>
    <row r="756" ht="15.75" customHeight="1">
      <c r="B756" s="712" t="s">
        <v>117</v>
      </c>
      <c r="E756" s="846" t="s">
        <v>513</v>
      </c>
    </row>
    <row r="757" ht="15.75" customHeight="1">
      <c r="B757" s="712" t="s">
        <v>117</v>
      </c>
      <c r="E757" s="846" t="s">
        <v>513</v>
      </c>
    </row>
    <row r="758" ht="15.75" customHeight="1">
      <c r="B758" s="764" t="s">
        <v>132</v>
      </c>
      <c r="E758" s="846" t="s">
        <v>513</v>
      </c>
    </row>
    <row r="759" ht="15.75" customHeight="1">
      <c r="B759" s="795" t="s">
        <v>136</v>
      </c>
      <c r="E759" s="846" t="s">
        <v>513</v>
      </c>
    </row>
    <row r="760" ht="15.75" customHeight="1">
      <c r="B760" s="818" t="s">
        <v>139</v>
      </c>
      <c r="E760" s="846" t="s">
        <v>513</v>
      </c>
    </row>
    <row r="761" ht="15.75" customHeight="1">
      <c r="B761" s="833" t="s">
        <v>146</v>
      </c>
      <c r="E761" s="846" t="s">
        <v>513</v>
      </c>
    </row>
    <row r="762" ht="15.75" customHeight="1">
      <c r="B762" s="842" t="s">
        <v>162</v>
      </c>
      <c r="E762" s="846" t="s">
        <v>513</v>
      </c>
    </row>
    <row r="763" ht="15.75" customHeight="1">
      <c r="B763" s="587" t="s">
        <v>100</v>
      </c>
      <c r="E763" s="589" t="s">
        <v>514</v>
      </c>
    </row>
    <row r="764" ht="15.75" customHeight="1">
      <c r="B764" s="596" t="s">
        <v>106</v>
      </c>
      <c r="E764" s="589" t="s">
        <v>514</v>
      </c>
    </row>
    <row r="765" ht="15.75" customHeight="1">
      <c r="B765" s="596" t="s">
        <v>106</v>
      </c>
      <c r="E765" s="589" t="s">
        <v>514</v>
      </c>
    </row>
    <row r="766" ht="15.75" customHeight="1">
      <c r="B766" s="596" t="s">
        <v>106</v>
      </c>
      <c r="E766" s="589" t="s">
        <v>514</v>
      </c>
    </row>
    <row r="767" ht="15.75" customHeight="1">
      <c r="B767" s="712" t="s">
        <v>117</v>
      </c>
      <c r="E767" s="589" t="s">
        <v>514</v>
      </c>
    </row>
    <row r="768" ht="15.75" customHeight="1">
      <c r="B768" s="712" t="s">
        <v>117</v>
      </c>
      <c r="E768" s="589" t="s">
        <v>514</v>
      </c>
    </row>
    <row r="769" ht="15.75" customHeight="1">
      <c r="B769" s="712" t="s">
        <v>117</v>
      </c>
      <c r="E769" s="589" t="s">
        <v>514</v>
      </c>
    </row>
    <row r="770" ht="15.75" customHeight="1">
      <c r="B770" s="712" t="s">
        <v>117</v>
      </c>
      <c r="E770" s="589" t="s">
        <v>514</v>
      </c>
    </row>
    <row r="771" ht="15.75" customHeight="1">
      <c r="B771" s="764" t="s">
        <v>132</v>
      </c>
      <c r="E771" s="589" t="s">
        <v>514</v>
      </c>
    </row>
    <row r="772" ht="15.75" customHeight="1">
      <c r="B772" s="795" t="s">
        <v>136</v>
      </c>
      <c r="E772" s="589" t="s">
        <v>514</v>
      </c>
    </row>
    <row r="773" ht="15.75" customHeight="1">
      <c r="B773" s="818" t="s">
        <v>139</v>
      </c>
      <c r="E773" s="589" t="s">
        <v>514</v>
      </c>
    </row>
    <row r="774" ht="15.75" customHeight="1">
      <c r="B774" s="833" t="s">
        <v>146</v>
      </c>
      <c r="E774" s="589" t="s">
        <v>514</v>
      </c>
    </row>
    <row r="775" ht="15.75" customHeight="1">
      <c r="B775" s="842" t="s">
        <v>162</v>
      </c>
      <c r="E775" s="589" t="s">
        <v>514</v>
      </c>
    </row>
    <row r="776" ht="15.75" customHeight="1">
      <c r="B776" s="587" t="s">
        <v>100</v>
      </c>
      <c r="E776" s="846" t="s">
        <v>515</v>
      </c>
    </row>
    <row r="777" ht="15.75" customHeight="1">
      <c r="B777" s="596" t="s">
        <v>106</v>
      </c>
      <c r="E777" s="846" t="s">
        <v>515</v>
      </c>
    </row>
    <row r="778" ht="15.75" customHeight="1">
      <c r="B778" s="596" t="s">
        <v>106</v>
      </c>
      <c r="E778" s="846" t="s">
        <v>515</v>
      </c>
    </row>
    <row r="779" ht="15.75" customHeight="1">
      <c r="B779" s="596" t="s">
        <v>106</v>
      </c>
      <c r="E779" s="846" t="s">
        <v>515</v>
      </c>
    </row>
    <row r="780" ht="15.75" customHeight="1">
      <c r="B780" s="712" t="s">
        <v>117</v>
      </c>
      <c r="E780" s="846" t="s">
        <v>515</v>
      </c>
    </row>
    <row r="781" ht="15.75" customHeight="1">
      <c r="B781" s="712" t="s">
        <v>117</v>
      </c>
      <c r="E781" s="846" t="s">
        <v>515</v>
      </c>
    </row>
    <row r="782" ht="15.75" customHeight="1">
      <c r="B782" s="712" t="s">
        <v>117</v>
      </c>
      <c r="E782" s="846" t="s">
        <v>515</v>
      </c>
    </row>
    <row r="783" ht="15.75" customHeight="1">
      <c r="B783" s="712" t="s">
        <v>117</v>
      </c>
      <c r="E783" s="846" t="s">
        <v>515</v>
      </c>
    </row>
    <row r="784" ht="15.75" customHeight="1">
      <c r="B784" s="764" t="s">
        <v>132</v>
      </c>
      <c r="E784" s="846" t="s">
        <v>515</v>
      </c>
    </row>
    <row r="785" ht="15.75" customHeight="1">
      <c r="B785" s="795" t="s">
        <v>136</v>
      </c>
      <c r="E785" s="846" t="s">
        <v>515</v>
      </c>
    </row>
    <row r="786" ht="15.75" customHeight="1">
      <c r="B786" s="818" t="s">
        <v>139</v>
      </c>
      <c r="E786" s="846" t="s">
        <v>515</v>
      </c>
    </row>
    <row r="787" ht="15.75" customHeight="1">
      <c r="B787" s="833" t="s">
        <v>146</v>
      </c>
      <c r="E787" s="846" t="s">
        <v>515</v>
      </c>
    </row>
    <row r="788" ht="15.75" customHeight="1">
      <c r="B788" s="842" t="s">
        <v>162</v>
      </c>
      <c r="E788" s="846" t="s">
        <v>515</v>
      </c>
    </row>
    <row r="789" ht="15.75" customHeight="1">
      <c r="B789" s="587" t="s">
        <v>100</v>
      </c>
      <c r="E789" s="589" t="s">
        <v>516</v>
      </c>
    </row>
    <row r="790" ht="15.75" customHeight="1">
      <c r="B790" s="596" t="s">
        <v>106</v>
      </c>
      <c r="E790" s="589" t="s">
        <v>516</v>
      </c>
    </row>
    <row r="791" ht="15.75" customHeight="1">
      <c r="B791" s="596" t="s">
        <v>106</v>
      </c>
      <c r="E791" s="589" t="s">
        <v>516</v>
      </c>
    </row>
    <row r="792" ht="15.75" customHeight="1">
      <c r="B792" s="596" t="s">
        <v>106</v>
      </c>
      <c r="E792" s="589" t="s">
        <v>516</v>
      </c>
    </row>
    <row r="793" ht="15.75" customHeight="1">
      <c r="B793" s="712" t="s">
        <v>117</v>
      </c>
      <c r="E793" s="589" t="s">
        <v>516</v>
      </c>
    </row>
    <row r="794" ht="15.75" customHeight="1">
      <c r="B794" s="712" t="s">
        <v>117</v>
      </c>
      <c r="E794" s="589" t="s">
        <v>516</v>
      </c>
    </row>
    <row r="795" ht="15.75" customHeight="1">
      <c r="B795" s="712" t="s">
        <v>117</v>
      </c>
      <c r="E795" s="589" t="s">
        <v>516</v>
      </c>
    </row>
    <row r="796" ht="15.75" customHeight="1">
      <c r="B796" s="712" t="s">
        <v>117</v>
      </c>
      <c r="E796" s="589" t="s">
        <v>516</v>
      </c>
    </row>
    <row r="797" ht="15.75" customHeight="1">
      <c r="B797" s="764" t="s">
        <v>132</v>
      </c>
      <c r="E797" s="589" t="s">
        <v>516</v>
      </c>
    </row>
    <row r="798" ht="15.75" customHeight="1">
      <c r="B798" s="795" t="s">
        <v>136</v>
      </c>
      <c r="E798" s="589" t="s">
        <v>516</v>
      </c>
    </row>
    <row r="799" ht="15.75" customHeight="1">
      <c r="B799" s="818" t="s">
        <v>139</v>
      </c>
      <c r="E799" s="589" t="s">
        <v>516</v>
      </c>
    </row>
    <row r="800" ht="15.75" customHeight="1">
      <c r="B800" s="833" t="s">
        <v>146</v>
      </c>
      <c r="E800" s="589" t="s">
        <v>516</v>
      </c>
    </row>
    <row r="801" ht="15.75" customHeight="1">
      <c r="B801" s="842" t="s">
        <v>162</v>
      </c>
      <c r="E801" s="589" t="s">
        <v>516</v>
      </c>
    </row>
    <row r="802" ht="15.75" customHeight="1">
      <c r="B802" s="587" t="s">
        <v>100</v>
      </c>
      <c r="E802" s="846" t="s">
        <v>517</v>
      </c>
    </row>
    <row r="803" ht="15.75" customHeight="1">
      <c r="B803" s="596" t="s">
        <v>106</v>
      </c>
      <c r="E803" s="846" t="s">
        <v>517</v>
      </c>
    </row>
    <row r="804" ht="15.75" customHeight="1">
      <c r="B804" s="596" t="s">
        <v>106</v>
      </c>
      <c r="E804" s="846" t="s">
        <v>517</v>
      </c>
    </row>
    <row r="805" ht="15.75" customHeight="1">
      <c r="B805" s="596" t="s">
        <v>106</v>
      </c>
      <c r="E805" s="846" t="s">
        <v>517</v>
      </c>
    </row>
    <row r="806" ht="15.75" customHeight="1">
      <c r="B806" s="712" t="s">
        <v>117</v>
      </c>
      <c r="E806" s="846" t="s">
        <v>517</v>
      </c>
    </row>
    <row r="807" ht="15.75" customHeight="1">
      <c r="B807" s="712" t="s">
        <v>117</v>
      </c>
      <c r="E807" s="846" t="s">
        <v>517</v>
      </c>
    </row>
    <row r="808" ht="15.75" customHeight="1">
      <c r="B808" s="712" t="s">
        <v>117</v>
      </c>
      <c r="E808" s="846" t="s">
        <v>517</v>
      </c>
    </row>
    <row r="809" ht="15.75" customHeight="1">
      <c r="B809" s="712" t="s">
        <v>117</v>
      </c>
      <c r="E809" s="846" t="s">
        <v>517</v>
      </c>
    </row>
    <row r="810" ht="15.75" customHeight="1">
      <c r="B810" s="764" t="s">
        <v>132</v>
      </c>
      <c r="E810" s="846" t="s">
        <v>517</v>
      </c>
    </row>
    <row r="811" ht="15.75" customHeight="1">
      <c r="B811" s="795" t="s">
        <v>136</v>
      </c>
      <c r="E811" s="846" t="s">
        <v>517</v>
      </c>
    </row>
    <row r="812" ht="15.75" customHeight="1">
      <c r="B812" s="818" t="s">
        <v>139</v>
      </c>
      <c r="E812" s="846" t="s">
        <v>517</v>
      </c>
    </row>
    <row r="813" ht="15.75" customHeight="1">
      <c r="B813" s="833" t="s">
        <v>146</v>
      </c>
      <c r="E813" s="846" t="s">
        <v>517</v>
      </c>
    </row>
    <row r="814" ht="15.75" customHeight="1">
      <c r="B814" s="842" t="s">
        <v>162</v>
      </c>
      <c r="E814" s="846" t="s">
        <v>517</v>
      </c>
    </row>
    <row r="815" ht="15.75" customHeight="1">
      <c r="B815" s="587" t="s">
        <v>100</v>
      </c>
      <c r="E815" s="589" t="s">
        <v>518</v>
      </c>
    </row>
    <row r="816" ht="15.75" customHeight="1">
      <c r="B816" s="596" t="s">
        <v>106</v>
      </c>
      <c r="E816" s="589" t="s">
        <v>518</v>
      </c>
    </row>
    <row r="817" ht="15.75" customHeight="1">
      <c r="B817" s="596" t="s">
        <v>106</v>
      </c>
      <c r="E817" s="589" t="s">
        <v>518</v>
      </c>
    </row>
    <row r="818" ht="15.75" customHeight="1">
      <c r="B818" s="596" t="s">
        <v>106</v>
      </c>
      <c r="E818" s="589" t="s">
        <v>518</v>
      </c>
    </row>
    <row r="819" ht="15.75" customHeight="1">
      <c r="B819" s="712" t="s">
        <v>117</v>
      </c>
      <c r="E819" s="589" t="s">
        <v>518</v>
      </c>
    </row>
    <row r="820" ht="15.75" customHeight="1">
      <c r="B820" s="712" t="s">
        <v>117</v>
      </c>
      <c r="E820" s="589" t="s">
        <v>518</v>
      </c>
    </row>
    <row r="821" ht="15.75" customHeight="1">
      <c r="B821" s="712" t="s">
        <v>117</v>
      </c>
      <c r="E821" s="589" t="s">
        <v>518</v>
      </c>
    </row>
    <row r="822" ht="15.75" customHeight="1">
      <c r="B822" s="712" t="s">
        <v>117</v>
      </c>
      <c r="E822" s="589" t="s">
        <v>518</v>
      </c>
    </row>
    <row r="823" ht="15.75" customHeight="1">
      <c r="B823" s="764" t="s">
        <v>132</v>
      </c>
      <c r="E823" s="589" t="s">
        <v>518</v>
      </c>
    </row>
    <row r="824" ht="15.75" customHeight="1">
      <c r="B824" s="795" t="s">
        <v>136</v>
      </c>
      <c r="E824" s="589" t="s">
        <v>518</v>
      </c>
    </row>
    <row r="825" ht="15.75" customHeight="1">
      <c r="B825" s="818" t="s">
        <v>139</v>
      </c>
      <c r="E825" s="589" t="s">
        <v>518</v>
      </c>
    </row>
    <row r="826" ht="15.75" customHeight="1">
      <c r="B826" s="833" t="s">
        <v>146</v>
      </c>
      <c r="E826" s="589" t="s">
        <v>518</v>
      </c>
    </row>
    <row r="827" ht="15.75" customHeight="1">
      <c r="B827" s="842" t="s">
        <v>162</v>
      </c>
      <c r="E827" s="589" t="s">
        <v>518</v>
      </c>
    </row>
    <row r="828" ht="15.75" customHeight="1">
      <c r="B828" s="587" t="s">
        <v>100</v>
      </c>
      <c r="E828" s="846" t="s">
        <v>519</v>
      </c>
    </row>
    <row r="829" ht="15.75" customHeight="1">
      <c r="B829" s="596" t="s">
        <v>106</v>
      </c>
      <c r="E829" s="846" t="s">
        <v>519</v>
      </c>
    </row>
    <row r="830" ht="15.75" customHeight="1">
      <c r="B830" s="596" t="s">
        <v>106</v>
      </c>
      <c r="E830" s="846" t="s">
        <v>519</v>
      </c>
    </row>
    <row r="831" ht="15.75" customHeight="1">
      <c r="B831" s="596" t="s">
        <v>106</v>
      </c>
      <c r="E831" s="846" t="s">
        <v>519</v>
      </c>
    </row>
    <row r="832" ht="15.75" customHeight="1">
      <c r="B832" s="712" t="s">
        <v>117</v>
      </c>
      <c r="E832" s="846" t="s">
        <v>519</v>
      </c>
    </row>
    <row r="833" ht="15.75" customHeight="1">
      <c r="B833" s="712" t="s">
        <v>117</v>
      </c>
      <c r="E833" s="846" t="s">
        <v>519</v>
      </c>
    </row>
    <row r="834" ht="15.75" customHeight="1">
      <c r="B834" s="712" t="s">
        <v>117</v>
      </c>
      <c r="E834" s="846" t="s">
        <v>519</v>
      </c>
    </row>
    <row r="835" ht="15.75" customHeight="1">
      <c r="B835" s="712" t="s">
        <v>117</v>
      </c>
      <c r="E835" s="846" t="s">
        <v>519</v>
      </c>
    </row>
    <row r="836" ht="15.75" customHeight="1">
      <c r="B836" s="764" t="s">
        <v>132</v>
      </c>
      <c r="E836" s="846" t="s">
        <v>519</v>
      </c>
    </row>
    <row r="837" ht="15.75" customHeight="1">
      <c r="B837" s="795" t="s">
        <v>136</v>
      </c>
      <c r="E837" s="846" t="s">
        <v>519</v>
      </c>
    </row>
    <row r="838" ht="15.75" customHeight="1">
      <c r="B838" s="818" t="s">
        <v>139</v>
      </c>
      <c r="E838" s="846" t="s">
        <v>519</v>
      </c>
    </row>
    <row r="839" ht="15.75" customHeight="1">
      <c r="B839" s="833" t="s">
        <v>146</v>
      </c>
      <c r="E839" s="846" t="s">
        <v>519</v>
      </c>
    </row>
    <row r="840" ht="15.75" customHeight="1">
      <c r="B840" s="842" t="s">
        <v>162</v>
      </c>
      <c r="E840" s="846" t="s">
        <v>519</v>
      </c>
    </row>
    <row r="841" ht="15.75" customHeight="1">
      <c r="B841" s="587" t="s">
        <v>100</v>
      </c>
      <c r="E841" s="589" t="s">
        <v>520</v>
      </c>
    </row>
    <row r="842" ht="15.75" customHeight="1">
      <c r="B842" s="596" t="s">
        <v>106</v>
      </c>
      <c r="E842" s="589" t="s">
        <v>520</v>
      </c>
    </row>
    <row r="843" ht="15.75" customHeight="1">
      <c r="B843" s="596" t="s">
        <v>106</v>
      </c>
      <c r="E843" s="589" t="s">
        <v>520</v>
      </c>
    </row>
    <row r="844" ht="15.75" customHeight="1">
      <c r="B844" s="596" t="s">
        <v>106</v>
      </c>
      <c r="E844" s="589" t="s">
        <v>520</v>
      </c>
    </row>
    <row r="845" ht="15.75" customHeight="1">
      <c r="B845" s="712" t="s">
        <v>117</v>
      </c>
      <c r="E845" s="589" t="s">
        <v>520</v>
      </c>
    </row>
    <row r="846" ht="15.75" customHeight="1">
      <c r="B846" s="712" t="s">
        <v>117</v>
      </c>
      <c r="E846" s="589" t="s">
        <v>520</v>
      </c>
    </row>
    <row r="847" ht="15.75" customHeight="1">
      <c r="B847" s="712" t="s">
        <v>117</v>
      </c>
      <c r="E847" s="589" t="s">
        <v>520</v>
      </c>
    </row>
    <row r="848" ht="15.75" customHeight="1">
      <c r="B848" s="712" t="s">
        <v>117</v>
      </c>
      <c r="E848" s="589" t="s">
        <v>520</v>
      </c>
    </row>
    <row r="849" ht="15.75" customHeight="1">
      <c r="B849" s="764" t="s">
        <v>132</v>
      </c>
      <c r="E849" s="589" t="s">
        <v>520</v>
      </c>
    </row>
    <row r="850" ht="15.75" customHeight="1">
      <c r="B850" s="795" t="s">
        <v>136</v>
      </c>
      <c r="E850" s="589" t="s">
        <v>520</v>
      </c>
    </row>
    <row r="851" ht="15.75" customHeight="1">
      <c r="B851" s="818" t="s">
        <v>139</v>
      </c>
      <c r="E851" s="589" t="s">
        <v>520</v>
      </c>
    </row>
    <row r="852" ht="15.75" customHeight="1">
      <c r="B852" s="833" t="s">
        <v>146</v>
      </c>
      <c r="E852" s="589" t="s">
        <v>520</v>
      </c>
    </row>
    <row r="853" ht="15.75" customHeight="1">
      <c r="B853" s="842" t="s">
        <v>162</v>
      </c>
      <c r="E853" s="589" t="s">
        <v>520</v>
      </c>
    </row>
    <row r="854" ht="15.75" customHeight="1">
      <c r="B854" s="587" t="s">
        <v>100</v>
      </c>
      <c r="E854" s="846" t="s">
        <v>521</v>
      </c>
    </row>
    <row r="855" ht="15.75" customHeight="1">
      <c r="B855" s="596" t="s">
        <v>106</v>
      </c>
      <c r="E855" s="846" t="s">
        <v>521</v>
      </c>
    </row>
    <row r="856" ht="15.75" customHeight="1">
      <c r="B856" s="596" t="s">
        <v>106</v>
      </c>
      <c r="E856" s="846" t="s">
        <v>521</v>
      </c>
    </row>
    <row r="857" ht="15.75" customHeight="1">
      <c r="B857" s="596" t="s">
        <v>106</v>
      </c>
      <c r="E857" s="846" t="s">
        <v>521</v>
      </c>
    </row>
    <row r="858" ht="15.75" customHeight="1">
      <c r="B858" s="712" t="s">
        <v>117</v>
      </c>
      <c r="E858" s="846" t="s">
        <v>521</v>
      </c>
    </row>
    <row r="859" ht="15.75" customHeight="1">
      <c r="B859" s="712" t="s">
        <v>117</v>
      </c>
      <c r="E859" s="846" t="s">
        <v>521</v>
      </c>
    </row>
    <row r="860" ht="15.75" customHeight="1">
      <c r="B860" s="712" t="s">
        <v>117</v>
      </c>
      <c r="E860" s="846" t="s">
        <v>521</v>
      </c>
    </row>
    <row r="861" ht="15.75" customHeight="1">
      <c r="B861" s="712" t="s">
        <v>117</v>
      </c>
      <c r="E861" s="846" t="s">
        <v>521</v>
      </c>
    </row>
    <row r="862" ht="15.75" customHeight="1">
      <c r="B862" s="764" t="s">
        <v>132</v>
      </c>
      <c r="E862" s="846" t="s">
        <v>521</v>
      </c>
    </row>
    <row r="863" ht="15.75" customHeight="1">
      <c r="B863" s="795" t="s">
        <v>136</v>
      </c>
      <c r="E863" s="846" t="s">
        <v>521</v>
      </c>
    </row>
    <row r="864" ht="15.75" customHeight="1">
      <c r="B864" s="818" t="s">
        <v>139</v>
      </c>
      <c r="E864" s="846" t="s">
        <v>521</v>
      </c>
    </row>
    <row r="865" ht="15.75" customHeight="1">
      <c r="B865" s="833" t="s">
        <v>146</v>
      </c>
      <c r="E865" s="846" t="s">
        <v>521</v>
      </c>
    </row>
    <row r="866" ht="15.75" customHeight="1">
      <c r="B866" s="842" t="s">
        <v>162</v>
      </c>
      <c r="E866" s="846" t="s">
        <v>521</v>
      </c>
    </row>
    <row r="867" ht="15.75" customHeight="1">
      <c r="B867" s="587" t="s">
        <v>100</v>
      </c>
      <c r="E867" s="589" t="s">
        <v>522</v>
      </c>
    </row>
    <row r="868" ht="15.75" customHeight="1">
      <c r="B868" s="596" t="s">
        <v>106</v>
      </c>
      <c r="E868" s="589" t="s">
        <v>522</v>
      </c>
    </row>
    <row r="869" ht="15.75" customHeight="1">
      <c r="B869" s="596" t="s">
        <v>106</v>
      </c>
      <c r="E869" s="589" t="s">
        <v>522</v>
      </c>
    </row>
    <row r="870" ht="15.75" customHeight="1">
      <c r="B870" s="596" t="s">
        <v>106</v>
      </c>
      <c r="E870" s="589" t="s">
        <v>522</v>
      </c>
    </row>
    <row r="871" ht="15.75" customHeight="1">
      <c r="B871" s="712" t="s">
        <v>117</v>
      </c>
      <c r="E871" s="589" t="s">
        <v>522</v>
      </c>
    </row>
    <row r="872" ht="15.75" customHeight="1">
      <c r="B872" s="712" t="s">
        <v>117</v>
      </c>
      <c r="E872" s="589" t="s">
        <v>522</v>
      </c>
    </row>
    <row r="873" ht="15.75" customHeight="1">
      <c r="B873" s="712" t="s">
        <v>117</v>
      </c>
      <c r="E873" s="589" t="s">
        <v>522</v>
      </c>
    </row>
    <row r="874" ht="15.75" customHeight="1">
      <c r="B874" s="712" t="s">
        <v>117</v>
      </c>
      <c r="E874" s="589" t="s">
        <v>522</v>
      </c>
    </row>
    <row r="875" ht="15.75" customHeight="1">
      <c r="B875" s="764" t="s">
        <v>132</v>
      </c>
      <c r="E875" s="589" t="s">
        <v>522</v>
      </c>
    </row>
    <row r="876" ht="15.75" customHeight="1">
      <c r="B876" s="795" t="s">
        <v>136</v>
      </c>
      <c r="E876" s="589" t="s">
        <v>522</v>
      </c>
    </row>
    <row r="877" ht="15.75" customHeight="1">
      <c r="B877" s="818" t="s">
        <v>139</v>
      </c>
      <c r="E877" s="589" t="s">
        <v>522</v>
      </c>
    </row>
    <row r="878" ht="15.75" customHeight="1">
      <c r="B878" s="833" t="s">
        <v>146</v>
      </c>
      <c r="E878" s="589" t="s">
        <v>522</v>
      </c>
    </row>
    <row r="879" ht="15.75" customHeight="1">
      <c r="B879" s="842" t="s">
        <v>162</v>
      </c>
      <c r="E879" s="589" t="s">
        <v>522</v>
      </c>
    </row>
    <row r="880" ht="15.75" customHeight="1">
      <c r="B880" s="587" t="s">
        <v>100</v>
      </c>
      <c r="E880" s="846" t="s">
        <v>523</v>
      </c>
    </row>
    <row r="881" ht="15.75" customHeight="1">
      <c r="B881" s="596" t="s">
        <v>106</v>
      </c>
      <c r="E881" s="846" t="s">
        <v>523</v>
      </c>
    </row>
    <row r="882" ht="15.75" customHeight="1">
      <c r="B882" s="596" t="s">
        <v>106</v>
      </c>
      <c r="E882" s="846" t="s">
        <v>523</v>
      </c>
    </row>
    <row r="883" ht="15.75" customHeight="1">
      <c r="B883" s="596" t="s">
        <v>106</v>
      </c>
      <c r="E883" s="846" t="s">
        <v>523</v>
      </c>
    </row>
    <row r="884" ht="15.75" customHeight="1">
      <c r="B884" s="712" t="s">
        <v>117</v>
      </c>
      <c r="E884" s="846" t="s">
        <v>523</v>
      </c>
    </row>
    <row r="885" ht="15.75" customHeight="1">
      <c r="B885" s="712" t="s">
        <v>117</v>
      </c>
      <c r="E885" s="846" t="s">
        <v>523</v>
      </c>
    </row>
    <row r="886" ht="15.75" customHeight="1">
      <c r="B886" s="712" t="s">
        <v>117</v>
      </c>
      <c r="E886" s="846" t="s">
        <v>523</v>
      </c>
    </row>
    <row r="887" ht="15.75" customHeight="1">
      <c r="B887" s="712" t="s">
        <v>117</v>
      </c>
      <c r="E887" s="846" t="s">
        <v>523</v>
      </c>
    </row>
    <row r="888" ht="15.75" customHeight="1">
      <c r="B888" s="764" t="s">
        <v>132</v>
      </c>
      <c r="E888" s="846" t="s">
        <v>523</v>
      </c>
    </row>
    <row r="889" ht="15.75" customHeight="1">
      <c r="B889" s="795" t="s">
        <v>136</v>
      </c>
      <c r="E889" s="846" t="s">
        <v>523</v>
      </c>
    </row>
    <row r="890" ht="15.75" customHeight="1">
      <c r="B890" s="818" t="s">
        <v>139</v>
      </c>
      <c r="E890" s="846" t="s">
        <v>523</v>
      </c>
    </row>
    <row r="891" ht="15.75" customHeight="1">
      <c r="B891" s="833" t="s">
        <v>146</v>
      </c>
      <c r="E891" s="846" t="s">
        <v>523</v>
      </c>
    </row>
    <row r="892" ht="15.75" customHeight="1">
      <c r="B892" s="842" t="s">
        <v>162</v>
      </c>
      <c r="E892" s="846" t="s">
        <v>523</v>
      </c>
    </row>
    <row r="893" ht="15.75" customHeight="1">
      <c r="B893" s="587" t="s">
        <v>100</v>
      </c>
      <c r="E893" s="589" t="s">
        <v>524</v>
      </c>
    </row>
    <row r="894" ht="15.75" customHeight="1">
      <c r="B894" s="596" t="s">
        <v>106</v>
      </c>
      <c r="E894" s="589" t="s">
        <v>524</v>
      </c>
    </row>
    <row r="895" ht="15.75" customHeight="1">
      <c r="B895" s="596" t="s">
        <v>106</v>
      </c>
      <c r="E895" s="589" t="s">
        <v>524</v>
      </c>
    </row>
    <row r="896" ht="15.75" customHeight="1">
      <c r="B896" s="596" t="s">
        <v>106</v>
      </c>
      <c r="E896" s="589" t="s">
        <v>524</v>
      </c>
    </row>
    <row r="897" ht="15.75" customHeight="1">
      <c r="B897" s="712" t="s">
        <v>117</v>
      </c>
      <c r="E897" s="589" t="s">
        <v>524</v>
      </c>
    </row>
    <row r="898" ht="15.75" customHeight="1">
      <c r="B898" s="712" t="s">
        <v>117</v>
      </c>
      <c r="E898" s="589" t="s">
        <v>524</v>
      </c>
    </row>
    <row r="899" ht="15.75" customHeight="1">
      <c r="B899" s="712" t="s">
        <v>117</v>
      </c>
      <c r="E899" s="589" t="s">
        <v>524</v>
      </c>
    </row>
    <row r="900" ht="15.75" customHeight="1">
      <c r="B900" s="712" t="s">
        <v>117</v>
      </c>
      <c r="E900" s="589" t="s">
        <v>524</v>
      </c>
    </row>
    <row r="901" ht="15.75" customHeight="1">
      <c r="B901" s="764" t="s">
        <v>132</v>
      </c>
      <c r="E901" s="589" t="s">
        <v>524</v>
      </c>
    </row>
    <row r="902" ht="15.75" customHeight="1">
      <c r="B902" s="795" t="s">
        <v>136</v>
      </c>
      <c r="E902" s="589" t="s">
        <v>524</v>
      </c>
    </row>
    <row r="903" ht="15.75" customHeight="1">
      <c r="B903" s="818" t="s">
        <v>139</v>
      </c>
      <c r="E903" s="589" t="s">
        <v>524</v>
      </c>
    </row>
    <row r="904" ht="15.75" customHeight="1">
      <c r="B904" s="833" t="s">
        <v>146</v>
      </c>
      <c r="E904" s="589" t="s">
        <v>524</v>
      </c>
    </row>
    <row r="905" ht="15.75" customHeight="1">
      <c r="B905" s="842" t="s">
        <v>162</v>
      </c>
      <c r="E905" s="589" t="s">
        <v>524</v>
      </c>
    </row>
    <row r="906" ht="15.75" customHeight="1">
      <c r="B906" s="587" t="s">
        <v>100</v>
      </c>
      <c r="E906" s="846" t="s">
        <v>525</v>
      </c>
    </row>
    <row r="907" ht="15.75" customHeight="1">
      <c r="B907" s="596" t="s">
        <v>106</v>
      </c>
      <c r="E907" s="846" t="s">
        <v>525</v>
      </c>
    </row>
    <row r="908" ht="15.75" customHeight="1">
      <c r="B908" s="596" t="s">
        <v>106</v>
      </c>
      <c r="E908" s="846" t="s">
        <v>525</v>
      </c>
    </row>
    <row r="909" ht="15.75" customHeight="1">
      <c r="B909" s="596" t="s">
        <v>106</v>
      </c>
      <c r="E909" s="846" t="s">
        <v>525</v>
      </c>
    </row>
    <row r="910" ht="15.75" customHeight="1">
      <c r="B910" s="712" t="s">
        <v>117</v>
      </c>
      <c r="E910" s="846" t="s">
        <v>525</v>
      </c>
    </row>
    <row r="911" ht="15.75" customHeight="1">
      <c r="B911" s="712" t="s">
        <v>117</v>
      </c>
      <c r="E911" s="846" t="s">
        <v>525</v>
      </c>
    </row>
    <row r="912" ht="15.75" customHeight="1">
      <c r="B912" s="712" t="s">
        <v>117</v>
      </c>
      <c r="E912" s="846" t="s">
        <v>525</v>
      </c>
    </row>
    <row r="913" ht="15.75" customHeight="1">
      <c r="B913" s="712" t="s">
        <v>117</v>
      </c>
      <c r="E913" s="846" t="s">
        <v>525</v>
      </c>
    </row>
    <row r="914" ht="15.75" customHeight="1">
      <c r="B914" s="764" t="s">
        <v>132</v>
      </c>
      <c r="E914" s="846" t="s">
        <v>525</v>
      </c>
    </row>
    <row r="915" ht="15.75" customHeight="1">
      <c r="B915" s="795" t="s">
        <v>136</v>
      </c>
      <c r="E915" s="846" t="s">
        <v>525</v>
      </c>
    </row>
    <row r="916" ht="15.75" customHeight="1">
      <c r="B916" s="818" t="s">
        <v>139</v>
      </c>
      <c r="E916" s="846" t="s">
        <v>525</v>
      </c>
    </row>
    <row r="917" ht="15.75" customHeight="1">
      <c r="B917" s="833" t="s">
        <v>146</v>
      </c>
      <c r="E917" s="846" t="s">
        <v>525</v>
      </c>
    </row>
    <row r="918" ht="15.75" customHeight="1">
      <c r="B918" s="842" t="s">
        <v>162</v>
      </c>
      <c r="E918" s="846" t="s">
        <v>525</v>
      </c>
    </row>
    <row r="919" ht="15.75" customHeight="1">
      <c r="B919" s="587" t="s">
        <v>100</v>
      </c>
      <c r="E919" s="589" t="s">
        <v>512</v>
      </c>
    </row>
    <row r="920" ht="15.75" customHeight="1">
      <c r="B920" s="596" t="s">
        <v>106</v>
      </c>
      <c r="E920" s="589" t="s">
        <v>512</v>
      </c>
    </row>
    <row r="921" ht="15.75" customHeight="1">
      <c r="B921" s="596" t="s">
        <v>106</v>
      </c>
      <c r="E921" s="589" t="s">
        <v>512</v>
      </c>
    </row>
    <row r="922" ht="15.75" customHeight="1">
      <c r="B922" s="596" t="s">
        <v>106</v>
      </c>
      <c r="E922" s="589" t="s">
        <v>512</v>
      </c>
    </row>
    <row r="923" ht="15.75" customHeight="1">
      <c r="B923" s="712" t="s">
        <v>117</v>
      </c>
      <c r="E923" s="589" t="s">
        <v>512</v>
      </c>
    </row>
    <row r="924" ht="15.75" customHeight="1">
      <c r="B924" s="712" t="s">
        <v>117</v>
      </c>
      <c r="E924" s="589" t="s">
        <v>512</v>
      </c>
    </row>
    <row r="925" ht="15.75" customHeight="1">
      <c r="B925" s="712" t="s">
        <v>117</v>
      </c>
      <c r="E925" s="589" t="s">
        <v>512</v>
      </c>
    </row>
    <row r="926" ht="15.75" customHeight="1">
      <c r="B926" s="712" t="s">
        <v>117</v>
      </c>
      <c r="E926" s="589" t="s">
        <v>512</v>
      </c>
    </row>
    <row r="927" ht="15.75" customHeight="1">
      <c r="B927" s="764" t="s">
        <v>132</v>
      </c>
      <c r="E927" s="589" t="s">
        <v>512</v>
      </c>
    </row>
    <row r="928" ht="15.75" customHeight="1">
      <c r="B928" s="795" t="s">
        <v>136</v>
      </c>
      <c r="E928" s="589" t="s">
        <v>512</v>
      </c>
    </row>
    <row r="929" ht="15.75" customHeight="1">
      <c r="B929" s="818" t="s">
        <v>139</v>
      </c>
      <c r="E929" s="589" t="s">
        <v>512</v>
      </c>
    </row>
    <row r="930" ht="15.75" customHeight="1">
      <c r="B930" s="833" t="s">
        <v>146</v>
      </c>
      <c r="E930" s="589" t="s">
        <v>512</v>
      </c>
    </row>
    <row r="931" ht="15.75" customHeight="1">
      <c r="B931" s="842" t="s">
        <v>162</v>
      </c>
      <c r="E931" s="589" t="s">
        <v>512</v>
      </c>
    </row>
    <row r="932" ht="15.75" customHeight="1">
      <c r="B932" s="587" t="s">
        <v>100</v>
      </c>
      <c r="E932" s="846" t="s">
        <v>513</v>
      </c>
    </row>
    <row r="933" ht="15.75" customHeight="1">
      <c r="B933" s="596" t="s">
        <v>106</v>
      </c>
      <c r="E933" s="846" t="s">
        <v>513</v>
      </c>
    </row>
    <row r="934" ht="15.75" customHeight="1">
      <c r="B934" s="596" t="s">
        <v>106</v>
      </c>
      <c r="E934" s="846" t="s">
        <v>513</v>
      </c>
    </row>
    <row r="935" ht="15.75" customHeight="1">
      <c r="B935" s="596" t="s">
        <v>106</v>
      </c>
      <c r="E935" s="846" t="s">
        <v>513</v>
      </c>
    </row>
    <row r="936" ht="15.75" customHeight="1">
      <c r="B936" s="712" t="s">
        <v>117</v>
      </c>
      <c r="E936" s="846" t="s">
        <v>513</v>
      </c>
    </row>
    <row r="937" ht="15.75" customHeight="1">
      <c r="B937" s="712" t="s">
        <v>117</v>
      </c>
      <c r="E937" s="846" t="s">
        <v>513</v>
      </c>
    </row>
    <row r="938" ht="15.75" customHeight="1">
      <c r="B938" s="712" t="s">
        <v>117</v>
      </c>
      <c r="E938" s="846" t="s">
        <v>513</v>
      </c>
    </row>
    <row r="939" ht="15.75" customHeight="1">
      <c r="B939" s="712" t="s">
        <v>117</v>
      </c>
      <c r="E939" s="846" t="s">
        <v>513</v>
      </c>
    </row>
    <row r="940" ht="15.75" customHeight="1">
      <c r="B940" s="764" t="s">
        <v>132</v>
      </c>
      <c r="E940" s="846" t="s">
        <v>513</v>
      </c>
    </row>
    <row r="941" ht="15.75" customHeight="1">
      <c r="B941" s="795" t="s">
        <v>136</v>
      </c>
      <c r="E941" s="846" t="s">
        <v>513</v>
      </c>
    </row>
    <row r="942" ht="15.75" customHeight="1">
      <c r="B942" s="818" t="s">
        <v>139</v>
      </c>
      <c r="E942" s="846" t="s">
        <v>513</v>
      </c>
    </row>
    <row r="943" ht="15.75" customHeight="1">
      <c r="B943" s="833" t="s">
        <v>146</v>
      </c>
      <c r="E943" s="846" t="s">
        <v>513</v>
      </c>
    </row>
    <row r="944" ht="15.75" customHeight="1">
      <c r="B944" s="842" t="s">
        <v>162</v>
      </c>
      <c r="E944" s="846" t="s">
        <v>513</v>
      </c>
    </row>
    <row r="945" ht="15.75" customHeight="1">
      <c r="B945" s="587" t="s">
        <v>100</v>
      </c>
      <c r="E945" s="589" t="s">
        <v>514</v>
      </c>
    </row>
    <row r="946" ht="15.75" customHeight="1">
      <c r="B946" s="596" t="s">
        <v>106</v>
      </c>
      <c r="E946" s="589" t="s">
        <v>514</v>
      </c>
    </row>
    <row r="947" ht="15.75" customHeight="1">
      <c r="B947" s="596" t="s">
        <v>106</v>
      </c>
      <c r="E947" s="589" t="s">
        <v>514</v>
      </c>
    </row>
    <row r="948" ht="15.75" customHeight="1">
      <c r="B948" s="596" t="s">
        <v>106</v>
      </c>
      <c r="E948" s="589" t="s">
        <v>514</v>
      </c>
    </row>
    <row r="949" ht="15.75" customHeight="1">
      <c r="B949" s="712" t="s">
        <v>117</v>
      </c>
      <c r="E949" s="589" t="s">
        <v>514</v>
      </c>
    </row>
    <row r="950" ht="15.75" customHeight="1">
      <c r="B950" s="712" t="s">
        <v>117</v>
      </c>
      <c r="E950" s="589" t="s">
        <v>514</v>
      </c>
    </row>
    <row r="951" ht="15.75" customHeight="1">
      <c r="B951" s="712" t="s">
        <v>117</v>
      </c>
      <c r="E951" s="589" t="s">
        <v>514</v>
      </c>
    </row>
    <row r="952" ht="15.75" customHeight="1">
      <c r="B952" s="712" t="s">
        <v>117</v>
      </c>
      <c r="E952" s="589" t="s">
        <v>514</v>
      </c>
    </row>
    <row r="953" ht="15.75" customHeight="1">
      <c r="B953" s="764" t="s">
        <v>132</v>
      </c>
      <c r="E953" s="589" t="s">
        <v>514</v>
      </c>
    </row>
    <row r="954" ht="15.75" customHeight="1">
      <c r="B954" s="795" t="s">
        <v>136</v>
      </c>
      <c r="E954" s="589" t="s">
        <v>514</v>
      </c>
    </row>
    <row r="955" ht="15.75" customHeight="1">
      <c r="B955" s="818" t="s">
        <v>139</v>
      </c>
      <c r="E955" s="589" t="s">
        <v>514</v>
      </c>
    </row>
    <row r="956" ht="15.75" customHeight="1">
      <c r="B956" s="833" t="s">
        <v>146</v>
      </c>
      <c r="E956" s="589" t="s">
        <v>514</v>
      </c>
    </row>
    <row r="957" ht="15.75" customHeight="1">
      <c r="B957" s="842" t="s">
        <v>162</v>
      </c>
      <c r="E957" s="589" t="s">
        <v>514</v>
      </c>
    </row>
    <row r="958" ht="15.75" customHeight="1">
      <c r="B958" s="587" t="s">
        <v>100</v>
      </c>
      <c r="E958" s="846" t="s">
        <v>515</v>
      </c>
    </row>
    <row r="959" ht="15.75" customHeight="1">
      <c r="B959" s="596" t="s">
        <v>106</v>
      </c>
      <c r="E959" s="846" t="s">
        <v>515</v>
      </c>
    </row>
    <row r="960" ht="15.75" customHeight="1">
      <c r="B960" s="596" t="s">
        <v>106</v>
      </c>
      <c r="E960" s="846" t="s">
        <v>515</v>
      </c>
    </row>
    <row r="961" ht="15.75" customHeight="1">
      <c r="B961" s="596" t="s">
        <v>106</v>
      </c>
      <c r="E961" s="846" t="s">
        <v>515</v>
      </c>
    </row>
    <row r="962" ht="15.75" customHeight="1">
      <c r="B962" s="712" t="s">
        <v>117</v>
      </c>
      <c r="E962" s="846" t="s">
        <v>515</v>
      </c>
    </row>
    <row r="963" ht="15.75" customHeight="1">
      <c r="B963" s="712" t="s">
        <v>117</v>
      </c>
      <c r="E963" s="846" t="s">
        <v>515</v>
      </c>
    </row>
    <row r="964" ht="15.75" customHeight="1">
      <c r="B964" s="712" t="s">
        <v>117</v>
      </c>
      <c r="E964" s="846" t="s">
        <v>515</v>
      </c>
    </row>
    <row r="965" ht="15.75" customHeight="1">
      <c r="B965" s="712" t="s">
        <v>117</v>
      </c>
      <c r="E965" s="846" t="s">
        <v>515</v>
      </c>
    </row>
    <row r="966" ht="15.75" customHeight="1">
      <c r="B966" s="764" t="s">
        <v>132</v>
      </c>
      <c r="E966" s="846" t="s">
        <v>515</v>
      </c>
    </row>
    <row r="967" ht="15.75" customHeight="1">
      <c r="B967" s="795" t="s">
        <v>136</v>
      </c>
      <c r="E967" s="846" t="s">
        <v>515</v>
      </c>
    </row>
    <row r="968" ht="15.75" customHeight="1">
      <c r="B968" s="818" t="s">
        <v>139</v>
      </c>
      <c r="E968" s="846" t="s">
        <v>515</v>
      </c>
    </row>
    <row r="969" ht="15.75" customHeight="1">
      <c r="B969" s="833" t="s">
        <v>146</v>
      </c>
      <c r="E969" s="846" t="s">
        <v>515</v>
      </c>
    </row>
    <row r="970" ht="15.75" customHeight="1">
      <c r="B970" s="842" t="s">
        <v>162</v>
      </c>
      <c r="E970" s="846" t="s">
        <v>515</v>
      </c>
    </row>
    <row r="971" ht="15.75" customHeight="1">
      <c r="B971" s="587" t="s">
        <v>100</v>
      </c>
      <c r="E971" s="589" t="s">
        <v>516</v>
      </c>
    </row>
    <row r="972" ht="15.75" customHeight="1">
      <c r="B972" s="596" t="s">
        <v>106</v>
      </c>
      <c r="E972" s="589" t="s">
        <v>516</v>
      </c>
    </row>
    <row r="973" ht="15.75" customHeight="1">
      <c r="B973" s="596" t="s">
        <v>106</v>
      </c>
      <c r="E973" s="589" t="s">
        <v>516</v>
      </c>
    </row>
    <row r="974" ht="15.75" customHeight="1">
      <c r="B974" s="596" t="s">
        <v>106</v>
      </c>
      <c r="E974" s="589" t="s">
        <v>516</v>
      </c>
    </row>
    <row r="975" ht="15.75" customHeight="1">
      <c r="B975" s="712" t="s">
        <v>117</v>
      </c>
      <c r="E975" s="589" t="s">
        <v>516</v>
      </c>
    </row>
    <row r="976" ht="15.75" customHeight="1">
      <c r="B976" s="712" t="s">
        <v>117</v>
      </c>
      <c r="E976" s="589" t="s">
        <v>516</v>
      </c>
    </row>
    <row r="977" ht="15.75" customHeight="1">
      <c r="B977" s="712" t="s">
        <v>117</v>
      </c>
      <c r="E977" s="589" t="s">
        <v>516</v>
      </c>
    </row>
    <row r="978" ht="15.75" customHeight="1">
      <c r="B978" s="712" t="s">
        <v>117</v>
      </c>
      <c r="E978" s="589" t="s">
        <v>516</v>
      </c>
    </row>
    <row r="979" ht="15.75" customHeight="1">
      <c r="B979" s="764" t="s">
        <v>132</v>
      </c>
      <c r="E979" s="589" t="s">
        <v>516</v>
      </c>
    </row>
    <row r="980" ht="15.75" customHeight="1">
      <c r="B980" s="795" t="s">
        <v>136</v>
      </c>
      <c r="E980" s="589" t="s">
        <v>516</v>
      </c>
    </row>
    <row r="981" ht="15.75" customHeight="1">
      <c r="B981" s="818" t="s">
        <v>139</v>
      </c>
      <c r="E981" s="589" t="s">
        <v>516</v>
      </c>
    </row>
    <row r="982" ht="15.75" customHeight="1">
      <c r="B982" s="833" t="s">
        <v>146</v>
      </c>
      <c r="E982" s="589" t="s">
        <v>516</v>
      </c>
    </row>
    <row r="983" ht="15.75" customHeight="1">
      <c r="B983" s="842" t="s">
        <v>162</v>
      </c>
      <c r="E983" s="589" t="s">
        <v>516</v>
      </c>
    </row>
    <row r="984" ht="15.75" customHeight="1">
      <c r="B984" s="587" t="s">
        <v>100</v>
      </c>
      <c r="E984" s="846" t="s">
        <v>517</v>
      </c>
    </row>
    <row r="985" ht="15.75" customHeight="1">
      <c r="B985" s="596" t="s">
        <v>106</v>
      </c>
      <c r="E985" s="846" t="s">
        <v>517</v>
      </c>
    </row>
    <row r="986" ht="15.75" customHeight="1">
      <c r="B986" s="596" t="s">
        <v>106</v>
      </c>
      <c r="E986" s="846" t="s">
        <v>517</v>
      </c>
    </row>
    <row r="987" ht="15.75" customHeight="1">
      <c r="B987" s="596" t="s">
        <v>106</v>
      </c>
      <c r="E987" s="846" t="s">
        <v>517</v>
      </c>
    </row>
    <row r="988" ht="15.75" customHeight="1">
      <c r="B988" s="712" t="s">
        <v>117</v>
      </c>
      <c r="E988" s="846" t="s">
        <v>517</v>
      </c>
    </row>
    <row r="989" ht="15.75" customHeight="1">
      <c r="B989" s="712" t="s">
        <v>117</v>
      </c>
      <c r="E989" s="846" t="s">
        <v>517</v>
      </c>
    </row>
    <row r="990" ht="15.75" customHeight="1">
      <c r="B990" s="712" t="s">
        <v>117</v>
      </c>
      <c r="E990" s="846" t="s">
        <v>517</v>
      </c>
    </row>
    <row r="991" ht="15.75" customHeight="1">
      <c r="B991" s="712" t="s">
        <v>117</v>
      </c>
      <c r="E991" s="846" t="s">
        <v>517</v>
      </c>
    </row>
    <row r="992" ht="15.75" customHeight="1">
      <c r="B992" s="764" t="s">
        <v>132</v>
      </c>
      <c r="E992" s="846" t="s">
        <v>517</v>
      </c>
    </row>
    <row r="993" ht="15.75" customHeight="1">
      <c r="B993" s="795" t="s">
        <v>136</v>
      </c>
      <c r="E993" s="846" t="s">
        <v>517</v>
      </c>
    </row>
    <row r="994" ht="15.75" customHeight="1">
      <c r="B994" s="818" t="s">
        <v>139</v>
      </c>
      <c r="E994" s="846" t="s">
        <v>517</v>
      </c>
    </row>
    <row r="995" ht="15.75" customHeight="1">
      <c r="B995" s="833" t="s">
        <v>146</v>
      </c>
      <c r="E995" s="846" t="s">
        <v>517</v>
      </c>
    </row>
    <row r="996" ht="15.75" customHeight="1">
      <c r="B996" s="842" t="s">
        <v>162</v>
      </c>
      <c r="E996" s="846" t="s">
        <v>517</v>
      </c>
    </row>
    <row r="997" ht="15.75" customHeight="1">
      <c r="B997" s="587" t="s">
        <v>100</v>
      </c>
      <c r="E997" s="589" t="s">
        <v>518</v>
      </c>
    </row>
    <row r="998" ht="15.75" customHeight="1">
      <c r="B998" s="596" t="s">
        <v>106</v>
      </c>
      <c r="E998" s="589" t="s">
        <v>518</v>
      </c>
    </row>
    <row r="999" ht="15.75" customHeight="1">
      <c r="B999" s="596" t="s">
        <v>106</v>
      </c>
      <c r="E999" s="589" t="s">
        <v>518</v>
      </c>
    </row>
    <row r="1000" ht="15.75" customHeight="1">
      <c r="B1000" s="596" t="s">
        <v>106</v>
      </c>
      <c r="E1000" s="589" t="s">
        <v>518</v>
      </c>
    </row>
    <row r="1001" ht="15.75" customHeight="1">
      <c r="B1001" s="712" t="s">
        <v>117</v>
      </c>
      <c r="E1001" s="589" t="s">
        <v>518</v>
      </c>
    </row>
    <row r="1002" ht="15.75" customHeight="1">
      <c r="B1002" s="712" t="s">
        <v>117</v>
      </c>
      <c r="E1002" s="589" t="s">
        <v>518</v>
      </c>
    </row>
    <row r="1003" ht="15.75" customHeight="1">
      <c r="B1003" s="712" t="s">
        <v>117</v>
      </c>
      <c r="E1003" s="589" t="s">
        <v>518</v>
      </c>
    </row>
    <row r="1004" ht="15.75" customHeight="1">
      <c r="B1004" s="712" t="s">
        <v>117</v>
      </c>
      <c r="E1004" s="589" t="s">
        <v>518</v>
      </c>
    </row>
    <row r="1005" ht="15.75" customHeight="1">
      <c r="B1005" s="764" t="s">
        <v>132</v>
      </c>
      <c r="E1005" s="589" t="s">
        <v>518</v>
      </c>
    </row>
    <row r="1006" ht="15.75" customHeight="1">
      <c r="B1006" s="795" t="s">
        <v>136</v>
      </c>
      <c r="E1006" s="589" t="s">
        <v>518</v>
      </c>
    </row>
    <row r="1007" ht="15.75" customHeight="1">
      <c r="B1007" s="818" t="s">
        <v>139</v>
      </c>
      <c r="E1007" s="589" t="s">
        <v>518</v>
      </c>
    </row>
    <row r="1008" ht="15.75" customHeight="1">
      <c r="B1008" s="833" t="s">
        <v>146</v>
      </c>
      <c r="E1008" s="589" t="s">
        <v>518</v>
      </c>
    </row>
    <row r="1009" ht="15.75" customHeight="1">
      <c r="B1009" s="842" t="s">
        <v>162</v>
      </c>
      <c r="E1009" s="589" t="s">
        <v>518</v>
      </c>
    </row>
    <row r="1010" ht="15.75" customHeight="1">
      <c r="B1010" s="587" t="s">
        <v>100</v>
      </c>
      <c r="E1010" s="846" t="s">
        <v>519</v>
      </c>
    </row>
    <row r="1011" ht="15.75" customHeight="1">
      <c r="B1011" s="596" t="s">
        <v>106</v>
      </c>
      <c r="E1011" s="846" t="s">
        <v>519</v>
      </c>
    </row>
    <row r="1012" ht="15.75" customHeight="1">
      <c r="B1012" s="596" t="s">
        <v>106</v>
      </c>
      <c r="E1012" s="846" t="s">
        <v>519</v>
      </c>
    </row>
    <row r="1013" ht="15.75" customHeight="1">
      <c r="B1013" s="596" t="s">
        <v>106</v>
      </c>
      <c r="E1013" s="846" t="s">
        <v>519</v>
      </c>
    </row>
    <row r="1014" ht="15.75" customHeight="1">
      <c r="B1014" s="712" t="s">
        <v>117</v>
      </c>
      <c r="E1014" s="846" t="s">
        <v>519</v>
      </c>
    </row>
    <row r="1015" ht="15.75" customHeight="1">
      <c r="B1015" s="712" t="s">
        <v>117</v>
      </c>
      <c r="E1015" s="846" t="s">
        <v>519</v>
      </c>
    </row>
    <row r="1016" ht="15.75" customHeight="1">
      <c r="B1016" s="712" t="s">
        <v>117</v>
      </c>
      <c r="E1016" s="846" t="s">
        <v>519</v>
      </c>
    </row>
    <row r="1017" ht="15.75" customHeight="1">
      <c r="B1017" s="712" t="s">
        <v>117</v>
      </c>
      <c r="E1017" s="846" t="s">
        <v>519</v>
      </c>
    </row>
    <row r="1018" ht="15.75" customHeight="1">
      <c r="B1018" s="764" t="s">
        <v>132</v>
      </c>
      <c r="E1018" s="846" t="s">
        <v>519</v>
      </c>
    </row>
    <row r="1019" ht="15.75" customHeight="1">
      <c r="B1019" s="795" t="s">
        <v>136</v>
      </c>
      <c r="E1019" s="846" t="s">
        <v>519</v>
      </c>
    </row>
    <row r="1020" ht="15.75" customHeight="1">
      <c r="B1020" s="818" t="s">
        <v>139</v>
      </c>
      <c r="E1020" s="846" t="s">
        <v>519</v>
      </c>
    </row>
    <row r="1021" ht="15.75" customHeight="1">
      <c r="B1021" s="833" t="s">
        <v>146</v>
      </c>
      <c r="E1021" s="846" t="s">
        <v>519</v>
      </c>
    </row>
    <row r="1022" ht="15.75" customHeight="1">
      <c r="B1022" s="842" t="s">
        <v>162</v>
      </c>
      <c r="E1022" s="846" t="s">
        <v>519</v>
      </c>
    </row>
    <row r="1023" ht="15.75" customHeight="1">
      <c r="B1023" s="587" t="s">
        <v>100</v>
      </c>
      <c r="E1023" s="589" t="s">
        <v>520</v>
      </c>
    </row>
    <row r="1024" ht="15.75" customHeight="1">
      <c r="B1024" s="596" t="s">
        <v>106</v>
      </c>
      <c r="E1024" s="589" t="s">
        <v>520</v>
      </c>
    </row>
    <row r="1025" ht="15.75" customHeight="1">
      <c r="B1025" s="596" t="s">
        <v>106</v>
      </c>
      <c r="E1025" s="589" t="s">
        <v>520</v>
      </c>
    </row>
    <row r="1026" ht="15.75" customHeight="1">
      <c r="B1026" s="596" t="s">
        <v>106</v>
      </c>
      <c r="E1026" s="589" t="s">
        <v>520</v>
      </c>
    </row>
    <row r="1027" ht="15.75" customHeight="1">
      <c r="B1027" s="712" t="s">
        <v>117</v>
      </c>
      <c r="E1027" s="589" t="s">
        <v>520</v>
      </c>
    </row>
    <row r="1028" ht="15.75" customHeight="1">
      <c r="B1028" s="712" t="s">
        <v>117</v>
      </c>
      <c r="E1028" s="589" t="s">
        <v>520</v>
      </c>
    </row>
    <row r="1029" ht="15.75" customHeight="1">
      <c r="B1029" s="712" t="s">
        <v>117</v>
      </c>
      <c r="E1029" s="589" t="s">
        <v>520</v>
      </c>
    </row>
    <row r="1030" ht="15.75" customHeight="1">
      <c r="B1030" s="712" t="s">
        <v>117</v>
      </c>
      <c r="E1030" s="589" t="s">
        <v>520</v>
      </c>
    </row>
    <row r="1031" ht="15.75" customHeight="1">
      <c r="B1031" s="764" t="s">
        <v>132</v>
      </c>
      <c r="E1031" s="589" t="s">
        <v>520</v>
      </c>
    </row>
    <row r="1032" ht="15.75" customHeight="1">
      <c r="B1032" s="795" t="s">
        <v>136</v>
      </c>
      <c r="E1032" s="589" t="s">
        <v>520</v>
      </c>
    </row>
    <row r="1033" ht="15.75" customHeight="1">
      <c r="B1033" s="818" t="s">
        <v>139</v>
      </c>
      <c r="E1033" s="589" t="s">
        <v>520</v>
      </c>
    </row>
    <row r="1034" ht="15.75" customHeight="1">
      <c r="B1034" s="833" t="s">
        <v>146</v>
      </c>
      <c r="E1034" s="589" t="s">
        <v>520</v>
      </c>
    </row>
    <row r="1035" ht="15.75" customHeight="1">
      <c r="B1035" s="842" t="s">
        <v>162</v>
      </c>
      <c r="E1035" s="589" t="s">
        <v>520</v>
      </c>
    </row>
    <row r="1036" ht="15.75" customHeight="1">
      <c r="B1036" s="587" t="s">
        <v>100</v>
      </c>
      <c r="E1036" s="846" t="s">
        <v>521</v>
      </c>
    </row>
    <row r="1037" ht="15.75" customHeight="1">
      <c r="B1037" s="596" t="s">
        <v>106</v>
      </c>
      <c r="E1037" s="846" t="s">
        <v>521</v>
      </c>
    </row>
    <row r="1038" ht="15.75" customHeight="1">
      <c r="B1038" s="596" t="s">
        <v>106</v>
      </c>
      <c r="E1038" s="846" t="s">
        <v>521</v>
      </c>
    </row>
    <row r="1039" ht="15.75" customHeight="1">
      <c r="B1039" s="596" t="s">
        <v>106</v>
      </c>
      <c r="E1039" s="846" t="s">
        <v>521</v>
      </c>
    </row>
    <row r="1040" ht="15.75" customHeight="1">
      <c r="B1040" s="712" t="s">
        <v>117</v>
      </c>
      <c r="E1040" s="846" t="s">
        <v>521</v>
      </c>
    </row>
    <row r="1041" ht="15.75" customHeight="1">
      <c r="B1041" s="712" t="s">
        <v>117</v>
      </c>
      <c r="E1041" s="846" t="s">
        <v>521</v>
      </c>
    </row>
    <row r="1042" ht="15.75" customHeight="1">
      <c r="B1042" s="712" t="s">
        <v>117</v>
      </c>
      <c r="E1042" s="846" t="s">
        <v>521</v>
      </c>
    </row>
    <row r="1043" ht="15.75" customHeight="1">
      <c r="B1043" s="712" t="s">
        <v>117</v>
      </c>
      <c r="E1043" s="846" t="s">
        <v>521</v>
      </c>
    </row>
    <row r="1044" ht="15.75" customHeight="1">
      <c r="B1044" s="764" t="s">
        <v>132</v>
      </c>
      <c r="E1044" s="846" t="s">
        <v>521</v>
      </c>
    </row>
    <row r="1045" ht="15.75" customHeight="1">
      <c r="B1045" s="795" t="s">
        <v>136</v>
      </c>
      <c r="E1045" s="846" t="s">
        <v>521</v>
      </c>
    </row>
    <row r="1046" ht="15.75" customHeight="1">
      <c r="B1046" s="818" t="s">
        <v>139</v>
      </c>
      <c r="E1046" s="846" t="s">
        <v>521</v>
      </c>
    </row>
    <row r="1047" ht="15.75" customHeight="1">
      <c r="B1047" s="833" t="s">
        <v>146</v>
      </c>
      <c r="E1047" s="846" t="s">
        <v>521</v>
      </c>
    </row>
    <row r="1048" ht="15.75" customHeight="1">
      <c r="B1048" s="842" t="s">
        <v>162</v>
      </c>
      <c r="E1048" s="846" t="s">
        <v>521</v>
      </c>
    </row>
    <row r="1049" ht="15.75" customHeight="1">
      <c r="B1049" s="587" t="s">
        <v>100</v>
      </c>
      <c r="E1049" s="589" t="s">
        <v>522</v>
      </c>
    </row>
    <row r="1050" ht="15.75" customHeight="1">
      <c r="B1050" s="596" t="s">
        <v>106</v>
      </c>
      <c r="E1050" s="589" t="s">
        <v>522</v>
      </c>
    </row>
    <row r="1051" ht="15.75" customHeight="1">
      <c r="B1051" s="596" t="s">
        <v>106</v>
      </c>
      <c r="E1051" s="589" t="s">
        <v>522</v>
      </c>
    </row>
    <row r="1052" ht="15.75" customHeight="1">
      <c r="B1052" s="596" t="s">
        <v>106</v>
      </c>
      <c r="E1052" s="589" t="s">
        <v>522</v>
      </c>
    </row>
    <row r="1053" ht="15.75" customHeight="1">
      <c r="B1053" s="712" t="s">
        <v>117</v>
      </c>
      <c r="E1053" s="589" t="s">
        <v>522</v>
      </c>
    </row>
    <row r="1054" ht="15.75" customHeight="1">
      <c r="B1054" s="712" t="s">
        <v>117</v>
      </c>
      <c r="E1054" s="589" t="s">
        <v>522</v>
      </c>
    </row>
    <row r="1055" ht="15.75" customHeight="1">
      <c r="B1055" s="712" t="s">
        <v>117</v>
      </c>
      <c r="E1055" s="589" t="s">
        <v>522</v>
      </c>
    </row>
    <row r="1056" ht="15.75" customHeight="1">
      <c r="B1056" s="712" t="s">
        <v>117</v>
      </c>
      <c r="E1056" s="589" t="s">
        <v>522</v>
      </c>
    </row>
    <row r="1057" ht="15.75" customHeight="1">
      <c r="B1057" s="764" t="s">
        <v>132</v>
      </c>
      <c r="E1057" s="589" t="s">
        <v>522</v>
      </c>
    </row>
    <row r="1058" ht="15.75" customHeight="1">
      <c r="B1058" s="795" t="s">
        <v>136</v>
      </c>
      <c r="E1058" s="589" t="s">
        <v>522</v>
      </c>
    </row>
    <row r="1059" ht="15.75" customHeight="1">
      <c r="B1059" s="818" t="s">
        <v>139</v>
      </c>
      <c r="E1059" s="589" t="s">
        <v>522</v>
      </c>
    </row>
    <row r="1060" ht="15.75" customHeight="1">
      <c r="B1060" s="833" t="s">
        <v>146</v>
      </c>
      <c r="E1060" s="589" t="s">
        <v>522</v>
      </c>
    </row>
    <row r="1061" ht="15.75" customHeight="1">
      <c r="B1061" s="842" t="s">
        <v>162</v>
      </c>
      <c r="E1061" s="589" t="s">
        <v>522</v>
      </c>
    </row>
    <row r="1062" ht="15.75" customHeight="1">
      <c r="B1062" s="587" t="s">
        <v>100</v>
      </c>
      <c r="E1062" s="846" t="s">
        <v>523</v>
      </c>
    </row>
    <row r="1063" ht="15.75" customHeight="1">
      <c r="B1063" s="596" t="s">
        <v>106</v>
      </c>
      <c r="E1063" s="846" t="s">
        <v>523</v>
      </c>
    </row>
    <row r="1064" ht="15.75" customHeight="1">
      <c r="B1064" s="596" t="s">
        <v>106</v>
      </c>
      <c r="E1064" s="846" t="s">
        <v>523</v>
      </c>
    </row>
    <row r="1065" ht="15.75" customHeight="1">
      <c r="B1065" s="596" t="s">
        <v>106</v>
      </c>
      <c r="E1065" s="846" t="s">
        <v>523</v>
      </c>
    </row>
    <row r="1066" ht="15.75" customHeight="1">
      <c r="B1066" s="712" t="s">
        <v>117</v>
      </c>
      <c r="E1066" s="846" t="s">
        <v>523</v>
      </c>
    </row>
    <row r="1067" ht="15.75" customHeight="1">
      <c r="B1067" s="712" t="s">
        <v>117</v>
      </c>
      <c r="E1067" s="846" t="s">
        <v>523</v>
      </c>
    </row>
    <row r="1068" ht="15.75" customHeight="1">
      <c r="B1068" s="712" t="s">
        <v>117</v>
      </c>
      <c r="E1068" s="846" t="s">
        <v>523</v>
      </c>
    </row>
    <row r="1069" ht="15.75" customHeight="1">
      <c r="B1069" s="712" t="s">
        <v>117</v>
      </c>
      <c r="E1069" s="846" t="s">
        <v>523</v>
      </c>
    </row>
    <row r="1070" ht="15.75" customHeight="1">
      <c r="B1070" s="764" t="s">
        <v>132</v>
      </c>
      <c r="E1070" s="846" t="s">
        <v>523</v>
      </c>
    </row>
    <row r="1071" ht="15.75" customHeight="1">
      <c r="B1071" s="795" t="s">
        <v>136</v>
      </c>
      <c r="E1071" s="846" t="s">
        <v>523</v>
      </c>
    </row>
    <row r="1072" ht="15.75" customHeight="1">
      <c r="B1072" s="818" t="s">
        <v>139</v>
      </c>
      <c r="E1072" s="846" t="s">
        <v>523</v>
      </c>
    </row>
    <row r="1073" ht="15.75" customHeight="1">
      <c r="B1073" s="833" t="s">
        <v>146</v>
      </c>
      <c r="E1073" s="846" t="s">
        <v>523</v>
      </c>
    </row>
    <row r="1074" ht="15.75" customHeight="1">
      <c r="B1074" s="842" t="s">
        <v>162</v>
      </c>
      <c r="E1074" s="846" t="s">
        <v>523</v>
      </c>
    </row>
    <row r="1075" ht="15.75" customHeight="1">
      <c r="B1075" s="587" t="s">
        <v>100</v>
      </c>
      <c r="E1075" s="589" t="s">
        <v>524</v>
      </c>
    </row>
    <row r="1076" ht="15.75" customHeight="1">
      <c r="B1076" s="596" t="s">
        <v>106</v>
      </c>
      <c r="E1076" s="589" t="s">
        <v>524</v>
      </c>
    </row>
    <row r="1077" ht="15.75" customHeight="1">
      <c r="B1077" s="596" t="s">
        <v>106</v>
      </c>
      <c r="E1077" s="589" t="s">
        <v>524</v>
      </c>
    </row>
    <row r="1078" ht="15.75" customHeight="1">
      <c r="B1078" s="596" t="s">
        <v>106</v>
      </c>
      <c r="E1078" s="589" t="s">
        <v>524</v>
      </c>
    </row>
    <row r="1079" ht="15.75" customHeight="1">
      <c r="B1079" s="712" t="s">
        <v>117</v>
      </c>
      <c r="E1079" s="589" t="s">
        <v>524</v>
      </c>
    </row>
    <row r="1080" ht="15.75" customHeight="1">
      <c r="B1080" s="712" t="s">
        <v>117</v>
      </c>
      <c r="E1080" s="589" t="s">
        <v>524</v>
      </c>
    </row>
    <row r="1081" ht="15.75" customHeight="1">
      <c r="B1081" s="712" t="s">
        <v>117</v>
      </c>
      <c r="E1081" s="589" t="s">
        <v>524</v>
      </c>
    </row>
    <row r="1082" ht="15.75" customHeight="1">
      <c r="B1082" s="712" t="s">
        <v>117</v>
      </c>
      <c r="E1082" s="589" t="s">
        <v>524</v>
      </c>
    </row>
    <row r="1083" ht="15.75" customHeight="1">
      <c r="B1083" s="764" t="s">
        <v>132</v>
      </c>
      <c r="E1083" s="589" t="s">
        <v>524</v>
      </c>
    </row>
    <row r="1084" ht="15.75" customHeight="1">
      <c r="B1084" s="795" t="s">
        <v>136</v>
      </c>
      <c r="E1084" s="589" t="s">
        <v>524</v>
      </c>
    </row>
    <row r="1085" ht="15.75" customHeight="1">
      <c r="B1085" s="818" t="s">
        <v>139</v>
      </c>
      <c r="E1085" s="589" t="s">
        <v>524</v>
      </c>
    </row>
    <row r="1086" ht="15.75" customHeight="1">
      <c r="B1086" s="833" t="s">
        <v>146</v>
      </c>
      <c r="E1086" s="589" t="s">
        <v>524</v>
      </c>
    </row>
    <row r="1087" ht="15.75" customHeight="1">
      <c r="B1087" s="842" t="s">
        <v>162</v>
      </c>
      <c r="E1087" s="589" t="s">
        <v>524</v>
      </c>
    </row>
    <row r="1088" ht="15.75" customHeight="1">
      <c r="B1088" s="587" t="s">
        <v>100</v>
      </c>
      <c r="E1088" s="846" t="s">
        <v>525</v>
      </c>
    </row>
    <row r="1089" ht="15.75" customHeight="1">
      <c r="B1089" s="596" t="s">
        <v>106</v>
      </c>
      <c r="E1089" s="846" t="s">
        <v>525</v>
      </c>
    </row>
    <row r="1090" ht="15.75" customHeight="1">
      <c r="B1090" s="596" t="s">
        <v>106</v>
      </c>
      <c r="E1090" s="846" t="s">
        <v>525</v>
      </c>
    </row>
    <row r="1091" ht="15.75" customHeight="1">
      <c r="B1091" s="596" t="s">
        <v>106</v>
      </c>
      <c r="E1091" s="846" t="s">
        <v>525</v>
      </c>
    </row>
    <row r="1092" ht="15.75" customHeight="1">
      <c r="B1092" s="712" t="s">
        <v>117</v>
      </c>
      <c r="E1092" s="846" t="s">
        <v>525</v>
      </c>
    </row>
    <row r="1093" ht="15.75" customHeight="1">
      <c r="B1093" s="712" t="s">
        <v>117</v>
      </c>
      <c r="E1093" s="846" t="s">
        <v>525</v>
      </c>
    </row>
    <row r="1094" ht="15.75" customHeight="1">
      <c r="B1094" s="712" t="s">
        <v>117</v>
      </c>
      <c r="E1094" s="846" t="s">
        <v>525</v>
      </c>
    </row>
    <row r="1095" ht="15.75" customHeight="1">
      <c r="B1095" s="712" t="s">
        <v>117</v>
      </c>
      <c r="E1095" s="846" t="s">
        <v>525</v>
      </c>
    </row>
    <row r="1096" ht="15.75" customHeight="1">
      <c r="B1096" s="764" t="s">
        <v>132</v>
      </c>
      <c r="E1096" s="846" t="s">
        <v>525</v>
      </c>
    </row>
    <row r="1097" ht="15.75" customHeight="1">
      <c r="B1097" s="795" t="s">
        <v>136</v>
      </c>
      <c r="E1097" s="846" t="s">
        <v>525</v>
      </c>
    </row>
    <row r="1098" ht="15.75" customHeight="1">
      <c r="B1098" s="818" t="s">
        <v>139</v>
      </c>
      <c r="E1098" s="846" t="s">
        <v>525</v>
      </c>
    </row>
    <row r="1099" ht="15.75" customHeight="1">
      <c r="B1099" s="833" t="s">
        <v>146</v>
      </c>
      <c r="E1099" s="846" t="s">
        <v>525</v>
      </c>
    </row>
    <row r="1100" ht="15.75" customHeight="1">
      <c r="B1100" s="842" t="s">
        <v>162</v>
      </c>
      <c r="E1100" s="846" t="s">
        <v>525</v>
      </c>
    </row>
    <row r="1101" ht="15.75" customHeight="1">
      <c r="B1101" s="587" t="s">
        <v>100</v>
      </c>
      <c r="E1101" s="589" t="s">
        <v>512</v>
      </c>
    </row>
    <row r="1102" ht="15.75" customHeight="1">
      <c r="B1102" s="596" t="s">
        <v>106</v>
      </c>
      <c r="E1102" s="589" t="s">
        <v>512</v>
      </c>
    </row>
    <row r="1103" ht="15.75" customHeight="1">
      <c r="B1103" s="596" t="s">
        <v>106</v>
      </c>
      <c r="E1103" s="589" t="s">
        <v>512</v>
      </c>
    </row>
    <row r="1104" ht="15.75" customHeight="1">
      <c r="B1104" s="596" t="s">
        <v>106</v>
      </c>
      <c r="E1104" s="589" t="s">
        <v>512</v>
      </c>
    </row>
    <row r="1105" ht="15.75" customHeight="1">
      <c r="B1105" s="712" t="s">
        <v>117</v>
      </c>
      <c r="E1105" s="589" t="s">
        <v>512</v>
      </c>
    </row>
    <row r="1106" ht="15.75" customHeight="1">
      <c r="B1106" s="712" t="s">
        <v>117</v>
      </c>
      <c r="E1106" s="589" t="s">
        <v>512</v>
      </c>
    </row>
    <row r="1107" ht="15.75" customHeight="1">
      <c r="B1107" s="712" t="s">
        <v>117</v>
      </c>
      <c r="E1107" s="589" t="s">
        <v>512</v>
      </c>
    </row>
    <row r="1108" ht="15.75" customHeight="1">
      <c r="B1108" s="712" t="s">
        <v>117</v>
      </c>
      <c r="E1108" s="589" t="s">
        <v>512</v>
      </c>
    </row>
    <row r="1109" ht="15.75" customHeight="1">
      <c r="B1109" s="764" t="s">
        <v>132</v>
      </c>
      <c r="E1109" s="589" t="s">
        <v>512</v>
      </c>
    </row>
    <row r="1110" ht="15.75" customHeight="1">
      <c r="B1110" s="795" t="s">
        <v>136</v>
      </c>
      <c r="E1110" s="589" t="s">
        <v>512</v>
      </c>
    </row>
    <row r="1111" ht="15.75" customHeight="1">
      <c r="B1111" s="818" t="s">
        <v>139</v>
      </c>
      <c r="E1111" s="589" t="s">
        <v>512</v>
      </c>
    </row>
    <row r="1112" ht="15.75" customHeight="1">
      <c r="B1112" s="833" t="s">
        <v>146</v>
      </c>
      <c r="E1112" s="589" t="s">
        <v>512</v>
      </c>
    </row>
    <row r="1113" ht="15.75" customHeight="1">
      <c r="B1113" s="842" t="s">
        <v>162</v>
      </c>
      <c r="E1113" s="589" t="s">
        <v>512</v>
      </c>
    </row>
    <row r="1114" ht="15.75" customHeight="1">
      <c r="B1114" s="587" t="s">
        <v>100</v>
      </c>
      <c r="E1114" s="846" t="s">
        <v>513</v>
      </c>
    </row>
    <row r="1115" ht="15.75" customHeight="1">
      <c r="B1115" s="596" t="s">
        <v>106</v>
      </c>
      <c r="E1115" s="846" t="s">
        <v>513</v>
      </c>
    </row>
    <row r="1116" ht="15.75" customHeight="1">
      <c r="B1116" s="596" t="s">
        <v>106</v>
      </c>
      <c r="E1116" s="846" t="s">
        <v>513</v>
      </c>
    </row>
    <row r="1117" ht="15.75" customHeight="1">
      <c r="B1117" s="596" t="s">
        <v>106</v>
      </c>
      <c r="E1117" s="846" t="s">
        <v>513</v>
      </c>
    </row>
    <row r="1118" ht="15.75" customHeight="1">
      <c r="B1118" s="712" t="s">
        <v>117</v>
      </c>
      <c r="E1118" s="846" t="s">
        <v>513</v>
      </c>
    </row>
    <row r="1119" ht="15.75" customHeight="1">
      <c r="B1119" s="712" t="s">
        <v>117</v>
      </c>
      <c r="E1119" s="846" t="s">
        <v>513</v>
      </c>
    </row>
    <row r="1120" ht="15.75" customHeight="1">
      <c r="B1120" s="712" t="s">
        <v>117</v>
      </c>
      <c r="E1120" s="846" t="s">
        <v>513</v>
      </c>
    </row>
    <row r="1121" ht="15.75" customHeight="1">
      <c r="B1121" s="712" t="s">
        <v>117</v>
      </c>
      <c r="E1121" s="846" t="s">
        <v>513</v>
      </c>
    </row>
    <row r="1122" ht="15.75" customHeight="1">
      <c r="B1122" s="764" t="s">
        <v>132</v>
      </c>
      <c r="E1122" s="846" t="s">
        <v>513</v>
      </c>
    </row>
    <row r="1123" ht="15.75" customHeight="1">
      <c r="B1123" s="795" t="s">
        <v>136</v>
      </c>
      <c r="E1123" s="846" t="s">
        <v>513</v>
      </c>
    </row>
    <row r="1124" ht="15.75" customHeight="1">
      <c r="B1124" s="818" t="s">
        <v>139</v>
      </c>
      <c r="E1124" s="846" t="s">
        <v>513</v>
      </c>
    </row>
    <row r="1125" ht="15.75" customHeight="1">
      <c r="B1125" s="833" t="s">
        <v>146</v>
      </c>
      <c r="E1125" s="846" t="s">
        <v>513</v>
      </c>
    </row>
    <row r="1126" ht="15.75" customHeight="1">
      <c r="B1126" s="842" t="s">
        <v>162</v>
      </c>
      <c r="E1126" s="846" t="s">
        <v>513</v>
      </c>
    </row>
    <row r="1127" ht="15.75" customHeight="1">
      <c r="B1127" s="587" t="s">
        <v>100</v>
      </c>
      <c r="E1127" s="589" t="s">
        <v>514</v>
      </c>
    </row>
    <row r="1128" ht="15.75" customHeight="1">
      <c r="B1128" s="596" t="s">
        <v>106</v>
      </c>
      <c r="E1128" s="589" t="s">
        <v>514</v>
      </c>
    </row>
    <row r="1129" ht="15.75" customHeight="1">
      <c r="B1129" s="596" t="s">
        <v>106</v>
      </c>
      <c r="E1129" s="589" t="s">
        <v>514</v>
      </c>
    </row>
    <row r="1130" ht="15.75" customHeight="1">
      <c r="B1130" s="596" t="s">
        <v>106</v>
      </c>
      <c r="E1130" s="589" t="s">
        <v>514</v>
      </c>
    </row>
    <row r="1131" ht="15.75" customHeight="1">
      <c r="B1131" s="712" t="s">
        <v>117</v>
      </c>
      <c r="E1131" s="589" t="s">
        <v>514</v>
      </c>
    </row>
    <row r="1132" ht="15.75" customHeight="1">
      <c r="B1132" s="712" t="s">
        <v>117</v>
      </c>
      <c r="E1132" s="589" t="s">
        <v>514</v>
      </c>
    </row>
    <row r="1133" ht="15.75" customHeight="1">
      <c r="B1133" s="712" t="s">
        <v>117</v>
      </c>
      <c r="E1133" s="589" t="s">
        <v>514</v>
      </c>
    </row>
    <row r="1134" ht="15.75" customHeight="1">
      <c r="B1134" s="712" t="s">
        <v>117</v>
      </c>
      <c r="E1134" s="589" t="s">
        <v>514</v>
      </c>
    </row>
    <row r="1135" ht="15.75" customHeight="1">
      <c r="B1135" s="764" t="s">
        <v>132</v>
      </c>
      <c r="E1135" s="589" t="s">
        <v>514</v>
      </c>
    </row>
    <row r="1136" ht="15.75" customHeight="1">
      <c r="B1136" s="795" t="s">
        <v>136</v>
      </c>
      <c r="E1136" s="589" t="s">
        <v>514</v>
      </c>
    </row>
    <row r="1137" ht="15.75" customHeight="1">
      <c r="B1137" s="818" t="s">
        <v>139</v>
      </c>
      <c r="E1137" s="589" t="s">
        <v>514</v>
      </c>
    </row>
    <row r="1138" ht="15.75" customHeight="1">
      <c r="B1138" s="833" t="s">
        <v>146</v>
      </c>
      <c r="E1138" s="589" t="s">
        <v>514</v>
      </c>
    </row>
    <row r="1139" ht="15.75" customHeight="1">
      <c r="B1139" s="842" t="s">
        <v>162</v>
      </c>
      <c r="E1139" s="589" t="s">
        <v>514</v>
      </c>
    </row>
    <row r="1140" ht="15.75" customHeight="1">
      <c r="B1140" s="587" t="s">
        <v>100</v>
      </c>
      <c r="E1140" s="846" t="s">
        <v>515</v>
      </c>
    </row>
    <row r="1141" ht="15.75" customHeight="1">
      <c r="B1141" s="596" t="s">
        <v>106</v>
      </c>
      <c r="E1141" s="846" t="s">
        <v>515</v>
      </c>
    </row>
    <row r="1142" ht="15.75" customHeight="1">
      <c r="B1142" s="596" t="s">
        <v>106</v>
      </c>
      <c r="E1142" s="846" t="s">
        <v>515</v>
      </c>
    </row>
    <row r="1143" ht="15.75" customHeight="1">
      <c r="B1143" s="596" t="s">
        <v>106</v>
      </c>
      <c r="E1143" s="846" t="s">
        <v>515</v>
      </c>
    </row>
    <row r="1144" ht="15.75" customHeight="1">
      <c r="B1144" s="712" t="s">
        <v>117</v>
      </c>
      <c r="E1144" s="846" t="s">
        <v>515</v>
      </c>
    </row>
    <row r="1145" ht="15.75" customHeight="1">
      <c r="B1145" s="712" t="s">
        <v>117</v>
      </c>
      <c r="E1145" s="846" t="s">
        <v>515</v>
      </c>
    </row>
    <row r="1146" ht="15.75" customHeight="1">
      <c r="B1146" s="712" t="s">
        <v>117</v>
      </c>
      <c r="E1146" s="846" t="s">
        <v>515</v>
      </c>
    </row>
    <row r="1147" ht="15.75" customHeight="1">
      <c r="B1147" s="712" t="s">
        <v>117</v>
      </c>
      <c r="E1147" s="846" t="s">
        <v>515</v>
      </c>
    </row>
    <row r="1148" ht="15.75" customHeight="1">
      <c r="B1148" s="764" t="s">
        <v>132</v>
      </c>
      <c r="E1148" s="846" t="s">
        <v>515</v>
      </c>
    </row>
    <row r="1149" ht="15.75" customHeight="1">
      <c r="B1149" s="795" t="s">
        <v>136</v>
      </c>
      <c r="E1149" s="846" t="s">
        <v>515</v>
      </c>
    </row>
    <row r="1150" ht="15.75" customHeight="1">
      <c r="B1150" s="818" t="s">
        <v>139</v>
      </c>
      <c r="E1150" s="846" t="s">
        <v>515</v>
      </c>
    </row>
    <row r="1151" ht="15.75" customHeight="1">
      <c r="B1151" s="833" t="s">
        <v>146</v>
      </c>
      <c r="E1151" s="846" t="s">
        <v>515</v>
      </c>
    </row>
    <row r="1152" ht="15.75" customHeight="1">
      <c r="B1152" s="842" t="s">
        <v>162</v>
      </c>
      <c r="E1152" s="846" t="s">
        <v>515</v>
      </c>
    </row>
    <row r="1153" ht="15.75" customHeight="1">
      <c r="B1153" s="587" t="s">
        <v>100</v>
      </c>
      <c r="E1153" s="589" t="s">
        <v>516</v>
      </c>
    </row>
    <row r="1154" ht="15.75" customHeight="1">
      <c r="B1154" s="596" t="s">
        <v>106</v>
      </c>
      <c r="E1154" s="589" t="s">
        <v>516</v>
      </c>
    </row>
    <row r="1155" ht="15.75" customHeight="1">
      <c r="B1155" s="596" t="s">
        <v>106</v>
      </c>
      <c r="E1155" s="589" t="s">
        <v>516</v>
      </c>
    </row>
    <row r="1156" ht="15.75" customHeight="1">
      <c r="B1156" s="596" t="s">
        <v>106</v>
      </c>
      <c r="E1156" s="589" t="s">
        <v>516</v>
      </c>
    </row>
    <row r="1157" ht="15.75" customHeight="1">
      <c r="B1157" s="712" t="s">
        <v>117</v>
      </c>
      <c r="E1157" s="589" t="s">
        <v>516</v>
      </c>
    </row>
    <row r="1158" ht="15.75" customHeight="1">
      <c r="B1158" s="712" t="s">
        <v>117</v>
      </c>
      <c r="E1158" s="589" t="s">
        <v>516</v>
      </c>
    </row>
    <row r="1159" ht="15.75" customHeight="1">
      <c r="B1159" s="712" t="s">
        <v>117</v>
      </c>
      <c r="E1159" s="589" t="s">
        <v>516</v>
      </c>
    </row>
    <row r="1160" ht="15.75" customHeight="1">
      <c r="B1160" s="712" t="s">
        <v>117</v>
      </c>
      <c r="E1160" s="589" t="s">
        <v>516</v>
      </c>
    </row>
    <row r="1161" ht="15.75" customHeight="1">
      <c r="B1161" s="764" t="s">
        <v>132</v>
      </c>
      <c r="E1161" s="589" t="s">
        <v>516</v>
      </c>
    </row>
    <row r="1162" ht="15.75" customHeight="1">
      <c r="B1162" s="795" t="s">
        <v>136</v>
      </c>
      <c r="E1162" s="589" t="s">
        <v>516</v>
      </c>
    </row>
    <row r="1163" ht="15.75" customHeight="1">
      <c r="B1163" s="818" t="s">
        <v>139</v>
      </c>
      <c r="E1163" s="589" t="s">
        <v>516</v>
      </c>
    </row>
    <row r="1164" ht="15.75" customHeight="1">
      <c r="B1164" s="833" t="s">
        <v>146</v>
      </c>
      <c r="E1164" s="589" t="s">
        <v>516</v>
      </c>
    </row>
    <row r="1165" ht="15.75" customHeight="1">
      <c r="B1165" s="842" t="s">
        <v>162</v>
      </c>
      <c r="E1165" s="589" t="s">
        <v>516</v>
      </c>
    </row>
    <row r="1166" ht="15.75" customHeight="1">
      <c r="B1166" s="587" t="s">
        <v>100</v>
      </c>
      <c r="E1166" s="846" t="s">
        <v>517</v>
      </c>
    </row>
    <row r="1167" ht="15.75" customHeight="1">
      <c r="B1167" s="596" t="s">
        <v>106</v>
      </c>
      <c r="E1167" s="846" t="s">
        <v>517</v>
      </c>
    </row>
    <row r="1168" ht="15.75" customHeight="1">
      <c r="B1168" s="596" t="s">
        <v>106</v>
      </c>
      <c r="E1168" s="846" t="s">
        <v>517</v>
      </c>
    </row>
    <row r="1169" ht="15.75" customHeight="1">
      <c r="B1169" s="596" t="s">
        <v>106</v>
      </c>
      <c r="E1169" s="846" t="s">
        <v>517</v>
      </c>
    </row>
    <row r="1170" ht="15.75" customHeight="1">
      <c r="B1170" s="712" t="s">
        <v>117</v>
      </c>
      <c r="E1170" s="846" t="s">
        <v>517</v>
      </c>
    </row>
    <row r="1171" ht="15.75" customHeight="1">
      <c r="B1171" s="712" t="s">
        <v>117</v>
      </c>
      <c r="E1171" s="846" t="s">
        <v>517</v>
      </c>
    </row>
    <row r="1172" ht="15.75" customHeight="1">
      <c r="B1172" s="712" t="s">
        <v>117</v>
      </c>
      <c r="E1172" s="846" t="s">
        <v>517</v>
      </c>
    </row>
    <row r="1173" ht="15.75" customHeight="1">
      <c r="B1173" s="712" t="s">
        <v>117</v>
      </c>
      <c r="E1173" s="846" t="s">
        <v>517</v>
      </c>
    </row>
    <row r="1174" ht="15.75" customHeight="1">
      <c r="B1174" s="764" t="s">
        <v>132</v>
      </c>
      <c r="E1174" s="846" t="s">
        <v>517</v>
      </c>
    </row>
    <row r="1175" ht="15.75" customHeight="1">
      <c r="B1175" s="795" t="s">
        <v>136</v>
      </c>
      <c r="E1175" s="846" t="s">
        <v>517</v>
      </c>
    </row>
    <row r="1176" ht="15.75" customHeight="1">
      <c r="B1176" s="818" t="s">
        <v>139</v>
      </c>
      <c r="E1176" s="846" t="s">
        <v>517</v>
      </c>
    </row>
    <row r="1177" ht="15.75" customHeight="1">
      <c r="B1177" s="833" t="s">
        <v>146</v>
      </c>
      <c r="E1177" s="846" t="s">
        <v>517</v>
      </c>
    </row>
    <row r="1178" ht="15.75" customHeight="1">
      <c r="B1178" s="842" t="s">
        <v>162</v>
      </c>
      <c r="E1178" s="846" t="s">
        <v>517</v>
      </c>
    </row>
    <row r="1179" ht="15.75" customHeight="1">
      <c r="B1179" s="587" t="s">
        <v>100</v>
      </c>
      <c r="E1179" s="589" t="s">
        <v>518</v>
      </c>
    </row>
    <row r="1180" ht="15.75" customHeight="1">
      <c r="B1180" s="596" t="s">
        <v>106</v>
      </c>
      <c r="E1180" s="589" t="s">
        <v>518</v>
      </c>
    </row>
    <row r="1181" ht="15.75" customHeight="1">
      <c r="B1181" s="596" t="s">
        <v>106</v>
      </c>
      <c r="E1181" s="589" t="s">
        <v>518</v>
      </c>
    </row>
    <row r="1182" ht="15.75" customHeight="1">
      <c r="B1182" s="596" t="s">
        <v>106</v>
      </c>
      <c r="E1182" s="589" t="s">
        <v>518</v>
      </c>
    </row>
    <row r="1183" ht="15.75" customHeight="1">
      <c r="B1183" s="712" t="s">
        <v>117</v>
      </c>
      <c r="E1183" s="589" t="s">
        <v>518</v>
      </c>
    </row>
    <row r="1184" ht="15.75" customHeight="1">
      <c r="B1184" s="712" t="s">
        <v>117</v>
      </c>
      <c r="E1184" s="589" t="s">
        <v>518</v>
      </c>
    </row>
    <row r="1185" ht="15.75" customHeight="1">
      <c r="B1185" s="712" t="s">
        <v>117</v>
      </c>
      <c r="E1185" s="589" t="s">
        <v>518</v>
      </c>
    </row>
    <row r="1186" ht="15.75" customHeight="1">
      <c r="B1186" s="712" t="s">
        <v>117</v>
      </c>
      <c r="E1186" s="589" t="s">
        <v>518</v>
      </c>
    </row>
    <row r="1187" ht="15.75" customHeight="1">
      <c r="B1187" s="764" t="s">
        <v>132</v>
      </c>
      <c r="E1187" s="589" t="s">
        <v>518</v>
      </c>
    </row>
    <row r="1188" ht="15.75" customHeight="1">
      <c r="B1188" s="795" t="s">
        <v>136</v>
      </c>
      <c r="E1188" s="589" t="s">
        <v>518</v>
      </c>
    </row>
    <row r="1189" ht="15.75" customHeight="1">
      <c r="B1189" s="818" t="s">
        <v>139</v>
      </c>
      <c r="E1189" s="589" t="s">
        <v>518</v>
      </c>
    </row>
    <row r="1190" ht="15.75" customHeight="1">
      <c r="B1190" s="833" t="s">
        <v>146</v>
      </c>
      <c r="E1190" s="589" t="s">
        <v>518</v>
      </c>
    </row>
    <row r="1191" ht="15.75" customHeight="1">
      <c r="B1191" s="842" t="s">
        <v>162</v>
      </c>
      <c r="E1191" s="589" t="s">
        <v>518</v>
      </c>
    </row>
    <row r="1192" ht="15.75" customHeight="1">
      <c r="B1192" s="587" t="s">
        <v>100</v>
      </c>
      <c r="E1192" s="846" t="s">
        <v>519</v>
      </c>
    </row>
    <row r="1193" ht="15.75" customHeight="1">
      <c r="B1193" s="596" t="s">
        <v>106</v>
      </c>
      <c r="E1193" s="846" t="s">
        <v>519</v>
      </c>
    </row>
    <row r="1194" ht="15.75" customHeight="1">
      <c r="B1194" s="596" t="s">
        <v>106</v>
      </c>
      <c r="E1194" s="846" t="s">
        <v>519</v>
      </c>
    </row>
    <row r="1195" ht="15.75" customHeight="1">
      <c r="B1195" s="596" t="s">
        <v>106</v>
      </c>
      <c r="E1195" s="846" t="s">
        <v>519</v>
      </c>
    </row>
    <row r="1196" ht="15.75" customHeight="1">
      <c r="B1196" s="712" t="s">
        <v>117</v>
      </c>
      <c r="E1196" s="846" t="s">
        <v>519</v>
      </c>
    </row>
    <row r="1197" ht="15.75" customHeight="1">
      <c r="B1197" s="712" t="s">
        <v>117</v>
      </c>
      <c r="E1197" s="846" t="s">
        <v>519</v>
      </c>
    </row>
    <row r="1198" ht="15.75" customHeight="1">
      <c r="B1198" s="712" t="s">
        <v>117</v>
      </c>
      <c r="E1198" s="846" t="s">
        <v>519</v>
      </c>
    </row>
    <row r="1199" ht="15.75" customHeight="1">
      <c r="B1199" s="712" t="s">
        <v>117</v>
      </c>
      <c r="E1199" s="846" t="s">
        <v>519</v>
      </c>
    </row>
    <row r="1200" ht="15.75" customHeight="1">
      <c r="B1200" s="764" t="s">
        <v>132</v>
      </c>
      <c r="E1200" s="846" t="s">
        <v>519</v>
      </c>
    </row>
    <row r="1201" ht="15.75" customHeight="1">
      <c r="B1201" s="795" t="s">
        <v>136</v>
      </c>
      <c r="E1201" s="846" t="s">
        <v>519</v>
      </c>
    </row>
    <row r="1202" ht="15.75" customHeight="1">
      <c r="B1202" s="818" t="s">
        <v>139</v>
      </c>
      <c r="E1202" s="846" t="s">
        <v>519</v>
      </c>
    </row>
    <row r="1203" ht="15.75" customHeight="1">
      <c r="B1203" s="833" t="s">
        <v>146</v>
      </c>
      <c r="E1203" s="846" t="s">
        <v>519</v>
      </c>
    </row>
    <row r="1204" ht="15.75" customHeight="1">
      <c r="B1204" s="842" t="s">
        <v>162</v>
      </c>
      <c r="E1204" s="846" t="s">
        <v>519</v>
      </c>
    </row>
    <row r="1205" ht="15.75" customHeight="1">
      <c r="B1205" s="587" t="s">
        <v>100</v>
      </c>
      <c r="E1205" s="589" t="s">
        <v>520</v>
      </c>
    </row>
    <row r="1206" ht="15.75" customHeight="1">
      <c r="B1206" s="596" t="s">
        <v>106</v>
      </c>
      <c r="E1206" s="589" t="s">
        <v>520</v>
      </c>
    </row>
    <row r="1207" ht="15.75" customHeight="1">
      <c r="B1207" s="596" t="s">
        <v>106</v>
      </c>
      <c r="E1207" s="589" t="s">
        <v>520</v>
      </c>
    </row>
    <row r="1208" ht="15.75" customHeight="1">
      <c r="B1208" s="596" t="s">
        <v>106</v>
      </c>
      <c r="E1208" s="589" t="s">
        <v>520</v>
      </c>
    </row>
    <row r="1209" ht="15.75" customHeight="1">
      <c r="B1209" s="712" t="s">
        <v>117</v>
      </c>
      <c r="E1209" s="589" t="s">
        <v>520</v>
      </c>
    </row>
    <row r="1210" ht="15.75" customHeight="1">
      <c r="B1210" s="712" t="s">
        <v>117</v>
      </c>
      <c r="E1210" s="589" t="s">
        <v>520</v>
      </c>
    </row>
    <row r="1211" ht="15.75" customHeight="1">
      <c r="B1211" s="712" t="s">
        <v>117</v>
      </c>
      <c r="E1211" s="589" t="s">
        <v>520</v>
      </c>
    </row>
    <row r="1212" ht="15.75" customHeight="1">
      <c r="B1212" s="712" t="s">
        <v>117</v>
      </c>
      <c r="E1212" s="589" t="s">
        <v>520</v>
      </c>
    </row>
    <row r="1213" ht="15.75" customHeight="1">
      <c r="B1213" s="764" t="s">
        <v>132</v>
      </c>
      <c r="E1213" s="589" t="s">
        <v>520</v>
      </c>
    </row>
    <row r="1214" ht="15.75" customHeight="1">
      <c r="B1214" s="795" t="s">
        <v>136</v>
      </c>
      <c r="E1214" s="589" t="s">
        <v>520</v>
      </c>
    </row>
    <row r="1215" ht="15.75" customHeight="1">
      <c r="B1215" s="818" t="s">
        <v>139</v>
      </c>
      <c r="E1215" s="589" t="s">
        <v>520</v>
      </c>
    </row>
    <row r="1216" ht="15.75" customHeight="1">
      <c r="B1216" s="833" t="s">
        <v>146</v>
      </c>
      <c r="E1216" s="589" t="s">
        <v>520</v>
      </c>
    </row>
    <row r="1217" ht="15.75" customHeight="1">
      <c r="B1217" s="842" t="s">
        <v>162</v>
      </c>
      <c r="E1217" s="589" t="s">
        <v>520</v>
      </c>
    </row>
    <row r="1218" ht="15.75" customHeight="1">
      <c r="B1218" s="587" t="s">
        <v>100</v>
      </c>
      <c r="E1218" s="846" t="s">
        <v>521</v>
      </c>
    </row>
    <row r="1219" ht="15.75" customHeight="1">
      <c r="B1219" s="596" t="s">
        <v>106</v>
      </c>
      <c r="E1219" s="846" t="s">
        <v>521</v>
      </c>
    </row>
    <row r="1220" ht="15.75" customHeight="1">
      <c r="B1220" s="596" t="s">
        <v>106</v>
      </c>
      <c r="E1220" s="846" t="s">
        <v>521</v>
      </c>
    </row>
    <row r="1221" ht="15.75" customHeight="1">
      <c r="B1221" s="596" t="s">
        <v>106</v>
      </c>
      <c r="E1221" s="846" t="s">
        <v>521</v>
      </c>
    </row>
    <row r="1222" ht="15.75" customHeight="1">
      <c r="B1222" s="712" t="s">
        <v>117</v>
      </c>
      <c r="E1222" s="846" t="s">
        <v>521</v>
      </c>
    </row>
    <row r="1223" ht="15.75" customHeight="1">
      <c r="B1223" s="712" t="s">
        <v>117</v>
      </c>
      <c r="E1223" s="846" t="s">
        <v>521</v>
      </c>
    </row>
    <row r="1224" ht="15.75" customHeight="1">
      <c r="B1224" s="712" t="s">
        <v>117</v>
      </c>
      <c r="E1224" s="846" t="s">
        <v>521</v>
      </c>
    </row>
    <row r="1225" ht="15.75" customHeight="1">
      <c r="B1225" s="712" t="s">
        <v>117</v>
      </c>
      <c r="E1225" s="846" t="s">
        <v>521</v>
      </c>
    </row>
    <row r="1226" ht="15.75" customHeight="1">
      <c r="B1226" s="764" t="s">
        <v>132</v>
      </c>
      <c r="E1226" s="846" t="s">
        <v>521</v>
      </c>
    </row>
    <row r="1227" ht="15.75" customHeight="1">
      <c r="B1227" s="795" t="s">
        <v>136</v>
      </c>
      <c r="E1227" s="846" t="s">
        <v>521</v>
      </c>
    </row>
    <row r="1228" ht="15.75" customHeight="1">
      <c r="B1228" s="818" t="s">
        <v>139</v>
      </c>
      <c r="E1228" s="846" t="s">
        <v>521</v>
      </c>
    </row>
    <row r="1229" ht="15.75" customHeight="1">
      <c r="B1229" s="833" t="s">
        <v>146</v>
      </c>
      <c r="E1229" s="846" t="s">
        <v>521</v>
      </c>
    </row>
    <row r="1230" ht="15.75" customHeight="1">
      <c r="B1230" s="842" t="s">
        <v>162</v>
      </c>
      <c r="E1230" s="846" t="s">
        <v>521</v>
      </c>
    </row>
    <row r="1231" ht="15.75" customHeight="1">
      <c r="B1231" s="587" t="s">
        <v>100</v>
      </c>
      <c r="E1231" s="589" t="s">
        <v>522</v>
      </c>
    </row>
    <row r="1232" ht="15.75" customHeight="1">
      <c r="B1232" s="596" t="s">
        <v>106</v>
      </c>
      <c r="E1232" s="589" t="s">
        <v>522</v>
      </c>
    </row>
    <row r="1233" ht="15.75" customHeight="1">
      <c r="B1233" s="596" t="s">
        <v>106</v>
      </c>
      <c r="E1233" s="589" t="s">
        <v>522</v>
      </c>
    </row>
    <row r="1234" ht="15.75" customHeight="1">
      <c r="B1234" s="596" t="s">
        <v>106</v>
      </c>
      <c r="E1234" s="589" t="s">
        <v>522</v>
      </c>
    </row>
    <row r="1235" ht="15.75" customHeight="1">
      <c r="B1235" s="712" t="s">
        <v>117</v>
      </c>
      <c r="E1235" s="589" t="s">
        <v>522</v>
      </c>
    </row>
    <row r="1236" ht="15.75" customHeight="1">
      <c r="B1236" s="712" t="s">
        <v>117</v>
      </c>
      <c r="E1236" s="589" t="s">
        <v>522</v>
      </c>
    </row>
    <row r="1237" ht="15.75" customHeight="1">
      <c r="B1237" s="712" t="s">
        <v>117</v>
      </c>
      <c r="E1237" s="589" t="s">
        <v>522</v>
      </c>
    </row>
    <row r="1238" ht="15.75" customHeight="1">
      <c r="B1238" s="712" t="s">
        <v>117</v>
      </c>
      <c r="E1238" s="589" t="s">
        <v>522</v>
      </c>
    </row>
    <row r="1239" ht="15.75" customHeight="1">
      <c r="B1239" s="764" t="s">
        <v>132</v>
      </c>
      <c r="E1239" s="589" t="s">
        <v>522</v>
      </c>
    </row>
    <row r="1240" ht="15.75" customHeight="1">
      <c r="B1240" s="795" t="s">
        <v>136</v>
      </c>
      <c r="E1240" s="589" t="s">
        <v>522</v>
      </c>
    </row>
    <row r="1241" ht="15.75" customHeight="1">
      <c r="B1241" s="818" t="s">
        <v>139</v>
      </c>
      <c r="E1241" s="589" t="s">
        <v>522</v>
      </c>
    </row>
    <row r="1242" ht="15.75" customHeight="1">
      <c r="B1242" s="833" t="s">
        <v>146</v>
      </c>
      <c r="E1242" s="589" t="s">
        <v>522</v>
      </c>
    </row>
    <row r="1243" ht="15.75" customHeight="1">
      <c r="B1243" s="842" t="s">
        <v>162</v>
      </c>
      <c r="E1243" s="589" t="s">
        <v>522</v>
      </c>
    </row>
    <row r="1244" ht="15.75" customHeight="1">
      <c r="B1244" s="587" t="s">
        <v>100</v>
      </c>
      <c r="E1244" s="846" t="s">
        <v>523</v>
      </c>
    </row>
    <row r="1245" ht="15.75" customHeight="1">
      <c r="B1245" s="596" t="s">
        <v>106</v>
      </c>
      <c r="E1245" s="846" t="s">
        <v>523</v>
      </c>
    </row>
    <row r="1246" ht="15.75" customHeight="1">
      <c r="B1246" s="596" t="s">
        <v>106</v>
      </c>
      <c r="E1246" s="846" t="s">
        <v>523</v>
      </c>
    </row>
    <row r="1247" ht="15.75" customHeight="1">
      <c r="B1247" s="596" t="s">
        <v>106</v>
      </c>
      <c r="E1247" s="846" t="s">
        <v>523</v>
      </c>
    </row>
    <row r="1248" ht="15.75" customHeight="1">
      <c r="B1248" s="712" t="s">
        <v>117</v>
      </c>
      <c r="E1248" s="846" t="s">
        <v>523</v>
      </c>
    </row>
    <row r="1249" ht="15.75" customHeight="1">
      <c r="B1249" s="712" t="s">
        <v>117</v>
      </c>
      <c r="E1249" s="846" t="s">
        <v>523</v>
      </c>
    </row>
    <row r="1250" ht="15.75" customHeight="1">
      <c r="B1250" s="712" t="s">
        <v>117</v>
      </c>
      <c r="E1250" s="846" t="s">
        <v>523</v>
      </c>
    </row>
    <row r="1251" ht="15.75" customHeight="1">
      <c r="B1251" s="712" t="s">
        <v>117</v>
      </c>
      <c r="E1251" s="846" t="s">
        <v>523</v>
      </c>
    </row>
    <row r="1252" ht="15.75" customHeight="1">
      <c r="B1252" s="764" t="s">
        <v>132</v>
      </c>
      <c r="E1252" s="846" t="s">
        <v>523</v>
      </c>
    </row>
    <row r="1253" ht="15.75" customHeight="1">
      <c r="B1253" s="795" t="s">
        <v>136</v>
      </c>
      <c r="E1253" s="846" t="s">
        <v>523</v>
      </c>
    </row>
    <row r="1254" ht="15.75" customHeight="1">
      <c r="B1254" s="818" t="s">
        <v>139</v>
      </c>
      <c r="E1254" s="846" t="s">
        <v>523</v>
      </c>
    </row>
    <row r="1255" ht="15.75" customHeight="1">
      <c r="B1255" s="833" t="s">
        <v>146</v>
      </c>
      <c r="E1255" s="846" t="s">
        <v>523</v>
      </c>
    </row>
    <row r="1256" ht="15.75" customHeight="1">
      <c r="B1256" s="842" t="s">
        <v>162</v>
      </c>
      <c r="E1256" s="846" t="s">
        <v>523</v>
      </c>
    </row>
    <row r="1257" ht="15.75" customHeight="1">
      <c r="B1257" s="587" t="s">
        <v>100</v>
      </c>
      <c r="E1257" s="589" t="s">
        <v>524</v>
      </c>
    </row>
    <row r="1258" ht="15.75" customHeight="1">
      <c r="B1258" s="596" t="s">
        <v>106</v>
      </c>
      <c r="E1258" s="589" t="s">
        <v>524</v>
      </c>
    </row>
    <row r="1259" ht="15.75" customHeight="1">
      <c r="B1259" s="596" t="s">
        <v>106</v>
      </c>
      <c r="E1259" s="589" t="s">
        <v>524</v>
      </c>
    </row>
    <row r="1260" ht="15.75" customHeight="1">
      <c r="B1260" s="596" t="s">
        <v>106</v>
      </c>
      <c r="E1260" s="589" t="s">
        <v>524</v>
      </c>
    </row>
    <row r="1261" ht="15.75" customHeight="1">
      <c r="B1261" s="712" t="s">
        <v>117</v>
      </c>
      <c r="E1261" s="589" t="s">
        <v>524</v>
      </c>
    </row>
    <row r="1262" ht="15.75" customHeight="1">
      <c r="B1262" s="712" t="s">
        <v>117</v>
      </c>
      <c r="E1262" s="589" t="s">
        <v>524</v>
      </c>
    </row>
    <row r="1263" ht="15.75" customHeight="1">
      <c r="B1263" s="712" t="s">
        <v>117</v>
      </c>
      <c r="E1263" s="589" t="s">
        <v>524</v>
      </c>
    </row>
    <row r="1264" ht="15.75" customHeight="1">
      <c r="B1264" s="712" t="s">
        <v>117</v>
      </c>
      <c r="E1264" s="589" t="s">
        <v>524</v>
      </c>
    </row>
    <row r="1265" ht="15.75" customHeight="1">
      <c r="B1265" s="764" t="s">
        <v>132</v>
      </c>
      <c r="E1265" s="589" t="s">
        <v>524</v>
      </c>
    </row>
    <row r="1266" ht="15.75" customHeight="1">
      <c r="B1266" s="795" t="s">
        <v>136</v>
      </c>
      <c r="E1266" s="589" t="s">
        <v>524</v>
      </c>
    </row>
    <row r="1267" ht="15.75" customHeight="1">
      <c r="B1267" s="818" t="s">
        <v>139</v>
      </c>
      <c r="E1267" s="589" t="s">
        <v>524</v>
      </c>
    </row>
    <row r="1268" ht="15.75" customHeight="1">
      <c r="B1268" s="833" t="s">
        <v>146</v>
      </c>
      <c r="E1268" s="589" t="s">
        <v>524</v>
      </c>
    </row>
    <row r="1269" ht="15.75" customHeight="1">
      <c r="B1269" s="842" t="s">
        <v>162</v>
      </c>
      <c r="E1269" s="589" t="s">
        <v>524</v>
      </c>
    </row>
    <row r="1270" ht="15.75" customHeight="1">
      <c r="B1270" s="587" t="s">
        <v>100</v>
      </c>
      <c r="E1270" s="846" t="s">
        <v>525</v>
      </c>
    </row>
    <row r="1271" ht="15.75" customHeight="1">
      <c r="B1271" s="596" t="s">
        <v>106</v>
      </c>
      <c r="E1271" s="846" t="s">
        <v>525</v>
      </c>
    </row>
    <row r="1272" ht="15.75" customHeight="1">
      <c r="B1272" s="596" t="s">
        <v>106</v>
      </c>
      <c r="E1272" s="846" t="s">
        <v>525</v>
      </c>
    </row>
    <row r="1273" ht="15.75" customHeight="1">
      <c r="B1273" s="596" t="s">
        <v>106</v>
      </c>
      <c r="E1273" s="846" t="s">
        <v>525</v>
      </c>
    </row>
    <row r="1274" ht="15.75" customHeight="1">
      <c r="B1274" s="712" t="s">
        <v>117</v>
      </c>
      <c r="E1274" s="846" t="s">
        <v>525</v>
      </c>
    </row>
    <row r="1275" ht="15.75" customHeight="1">
      <c r="B1275" s="712" t="s">
        <v>117</v>
      </c>
      <c r="E1275" s="846" t="s">
        <v>525</v>
      </c>
    </row>
    <row r="1276" ht="15.75" customHeight="1">
      <c r="B1276" s="712" t="s">
        <v>117</v>
      </c>
      <c r="E1276" s="846" t="s">
        <v>525</v>
      </c>
    </row>
    <row r="1277" ht="15.75" customHeight="1">
      <c r="B1277" s="712" t="s">
        <v>117</v>
      </c>
      <c r="E1277" s="846" t="s">
        <v>525</v>
      </c>
    </row>
    <row r="1278" ht="15.75" customHeight="1">
      <c r="B1278" s="764" t="s">
        <v>132</v>
      </c>
      <c r="E1278" s="846" t="s">
        <v>525</v>
      </c>
    </row>
    <row r="1279" ht="15.75" customHeight="1">
      <c r="B1279" s="795" t="s">
        <v>136</v>
      </c>
      <c r="E1279" s="846" t="s">
        <v>525</v>
      </c>
    </row>
    <row r="1280" ht="15.75" customHeight="1">
      <c r="B1280" s="818" t="s">
        <v>139</v>
      </c>
      <c r="E1280" s="846" t="s">
        <v>525</v>
      </c>
    </row>
    <row r="1281" ht="15.75" customHeight="1">
      <c r="B1281" s="833" t="s">
        <v>146</v>
      </c>
      <c r="E1281" s="846" t="s">
        <v>525</v>
      </c>
    </row>
    <row r="1282" ht="15.75" customHeight="1">
      <c r="B1282" s="842" t="s">
        <v>162</v>
      </c>
      <c r="E1282" s="846" t="s">
        <v>525</v>
      </c>
    </row>
    <row r="1283" ht="15.75" customHeight="1">
      <c r="B1283" s="587" t="s">
        <v>100</v>
      </c>
      <c r="E1283" s="589" t="s">
        <v>512</v>
      </c>
    </row>
    <row r="1284" ht="15.75" customHeight="1">
      <c r="B1284" s="596" t="s">
        <v>106</v>
      </c>
      <c r="E1284" s="589" t="s">
        <v>512</v>
      </c>
    </row>
    <row r="1285" ht="15.75" customHeight="1">
      <c r="B1285" s="596" t="s">
        <v>106</v>
      </c>
      <c r="E1285" s="589" t="s">
        <v>512</v>
      </c>
    </row>
    <row r="1286" ht="15.75" customHeight="1">
      <c r="B1286" s="596" t="s">
        <v>106</v>
      </c>
      <c r="E1286" s="589" t="s">
        <v>512</v>
      </c>
    </row>
    <row r="1287" ht="15.75" customHeight="1">
      <c r="B1287" s="712" t="s">
        <v>117</v>
      </c>
      <c r="E1287" s="589" t="s">
        <v>512</v>
      </c>
    </row>
    <row r="1288" ht="15.75" customHeight="1">
      <c r="B1288" s="712" t="s">
        <v>117</v>
      </c>
      <c r="E1288" s="589" t="s">
        <v>512</v>
      </c>
    </row>
    <row r="1289" ht="15.75" customHeight="1">
      <c r="B1289" s="712" t="s">
        <v>117</v>
      </c>
      <c r="E1289" s="589" t="s">
        <v>512</v>
      </c>
    </row>
    <row r="1290" ht="15.75" customHeight="1">
      <c r="B1290" s="712" t="s">
        <v>117</v>
      </c>
      <c r="E1290" s="589" t="s">
        <v>512</v>
      </c>
    </row>
    <row r="1291" ht="15.75" customHeight="1">
      <c r="B1291" s="764" t="s">
        <v>132</v>
      </c>
      <c r="E1291" s="589" t="s">
        <v>512</v>
      </c>
    </row>
    <row r="1292" ht="15.75" customHeight="1">
      <c r="B1292" s="795" t="s">
        <v>136</v>
      </c>
      <c r="E1292" s="589" t="s">
        <v>512</v>
      </c>
    </row>
    <row r="1293" ht="15.75" customHeight="1">
      <c r="B1293" s="818" t="s">
        <v>139</v>
      </c>
      <c r="E1293" s="589" t="s">
        <v>512</v>
      </c>
    </row>
    <row r="1294" ht="15.75" customHeight="1">
      <c r="B1294" s="833" t="s">
        <v>146</v>
      </c>
      <c r="E1294" s="589" t="s">
        <v>512</v>
      </c>
    </row>
    <row r="1295" ht="15.75" customHeight="1">
      <c r="B1295" s="842" t="s">
        <v>162</v>
      </c>
      <c r="E1295" s="589" t="s">
        <v>512</v>
      </c>
    </row>
    <row r="1296" ht="15.75" customHeight="1">
      <c r="B1296" s="587" t="s">
        <v>100</v>
      </c>
      <c r="E1296" s="846" t="s">
        <v>513</v>
      </c>
    </row>
    <row r="1297" ht="15.75" customHeight="1">
      <c r="B1297" s="596" t="s">
        <v>106</v>
      </c>
      <c r="E1297" s="846" t="s">
        <v>513</v>
      </c>
    </row>
    <row r="1298" ht="15.75" customHeight="1">
      <c r="B1298" s="596" t="s">
        <v>106</v>
      </c>
      <c r="E1298" s="846" t="s">
        <v>513</v>
      </c>
    </row>
    <row r="1299" ht="15.75" customHeight="1">
      <c r="B1299" s="596" t="s">
        <v>106</v>
      </c>
      <c r="E1299" s="846" t="s">
        <v>513</v>
      </c>
    </row>
    <row r="1300" ht="15.75" customHeight="1">
      <c r="B1300" s="712" t="s">
        <v>117</v>
      </c>
      <c r="E1300" s="846" t="s">
        <v>513</v>
      </c>
    </row>
    <row r="1301" ht="15.75" customHeight="1">
      <c r="B1301" s="712" t="s">
        <v>117</v>
      </c>
      <c r="E1301" s="846" t="s">
        <v>513</v>
      </c>
    </row>
    <row r="1302" ht="15.75" customHeight="1">
      <c r="B1302" s="712" t="s">
        <v>117</v>
      </c>
      <c r="E1302" s="846" t="s">
        <v>513</v>
      </c>
    </row>
    <row r="1303" ht="15.75" customHeight="1">
      <c r="B1303" s="712" t="s">
        <v>117</v>
      </c>
      <c r="E1303" s="846" t="s">
        <v>513</v>
      </c>
    </row>
    <row r="1304" ht="15.75" customHeight="1">
      <c r="B1304" s="764" t="s">
        <v>132</v>
      </c>
      <c r="E1304" s="846" t="s">
        <v>513</v>
      </c>
    </row>
    <row r="1305" ht="15.75" customHeight="1">
      <c r="B1305" s="795" t="s">
        <v>136</v>
      </c>
      <c r="E1305" s="846" t="s">
        <v>513</v>
      </c>
    </row>
    <row r="1306" ht="15.75" customHeight="1">
      <c r="B1306" s="818" t="s">
        <v>139</v>
      </c>
      <c r="E1306" s="846" t="s">
        <v>513</v>
      </c>
    </row>
    <row r="1307" ht="15.75" customHeight="1">
      <c r="B1307" s="833" t="s">
        <v>146</v>
      </c>
      <c r="E1307" s="846" t="s">
        <v>513</v>
      </c>
    </row>
    <row r="1308" ht="15.75" customHeight="1">
      <c r="B1308" s="842" t="s">
        <v>162</v>
      </c>
      <c r="E1308" s="846" t="s">
        <v>513</v>
      </c>
    </row>
    <row r="1309" ht="15.75" customHeight="1">
      <c r="B1309" s="587" t="s">
        <v>100</v>
      </c>
      <c r="E1309" s="589" t="s">
        <v>514</v>
      </c>
    </row>
    <row r="1310" ht="15.75" customHeight="1">
      <c r="B1310" s="596" t="s">
        <v>106</v>
      </c>
      <c r="E1310" s="589" t="s">
        <v>514</v>
      </c>
    </row>
    <row r="1311" ht="15.75" customHeight="1">
      <c r="B1311" s="596" t="s">
        <v>106</v>
      </c>
      <c r="E1311" s="589" t="s">
        <v>514</v>
      </c>
    </row>
    <row r="1312" ht="15.75" customHeight="1">
      <c r="B1312" s="596" t="s">
        <v>106</v>
      </c>
      <c r="E1312" s="589" t="s">
        <v>514</v>
      </c>
    </row>
    <row r="1313" ht="15.75" customHeight="1">
      <c r="B1313" s="712" t="s">
        <v>117</v>
      </c>
      <c r="E1313" s="589" t="s">
        <v>514</v>
      </c>
    </row>
    <row r="1314" ht="15.75" customHeight="1">
      <c r="B1314" s="712" t="s">
        <v>117</v>
      </c>
      <c r="E1314" s="589" t="s">
        <v>514</v>
      </c>
    </row>
    <row r="1315" ht="15.75" customHeight="1">
      <c r="B1315" s="712" t="s">
        <v>117</v>
      </c>
      <c r="E1315" s="589" t="s">
        <v>514</v>
      </c>
    </row>
    <row r="1316" ht="15.75" customHeight="1">
      <c r="B1316" s="712" t="s">
        <v>117</v>
      </c>
      <c r="E1316" s="589" t="s">
        <v>514</v>
      </c>
    </row>
    <row r="1317" ht="15.75" customHeight="1">
      <c r="B1317" s="764" t="s">
        <v>132</v>
      </c>
      <c r="E1317" s="589" t="s">
        <v>514</v>
      </c>
    </row>
    <row r="1318" ht="15.75" customHeight="1">
      <c r="B1318" s="795" t="s">
        <v>136</v>
      </c>
      <c r="E1318" s="589" t="s">
        <v>514</v>
      </c>
    </row>
    <row r="1319" ht="15.75" customHeight="1">
      <c r="B1319" s="818" t="s">
        <v>139</v>
      </c>
      <c r="E1319" s="589" t="s">
        <v>514</v>
      </c>
    </row>
    <row r="1320" ht="15.75" customHeight="1">
      <c r="B1320" s="833" t="s">
        <v>146</v>
      </c>
      <c r="E1320" s="589" t="s">
        <v>514</v>
      </c>
    </row>
    <row r="1321" ht="15.75" customHeight="1">
      <c r="B1321" s="842" t="s">
        <v>162</v>
      </c>
      <c r="E1321" s="589" t="s">
        <v>514</v>
      </c>
    </row>
    <row r="1322" ht="15.75" customHeight="1">
      <c r="B1322" s="587" t="s">
        <v>100</v>
      </c>
      <c r="E1322" s="846" t="s">
        <v>515</v>
      </c>
    </row>
    <row r="1323" ht="15.75" customHeight="1">
      <c r="B1323" s="596" t="s">
        <v>106</v>
      </c>
      <c r="E1323" s="846" t="s">
        <v>515</v>
      </c>
    </row>
    <row r="1324" ht="15.75" customHeight="1">
      <c r="B1324" s="596" t="s">
        <v>106</v>
      </c>
      <c r="E1324" s="846" t="s">
        <v>515</v>
      </c>
    </row>
    <row r="1325" ht="15.75" customHeight="1">
      <c r="B1325" s="596" t="s">
        <v>106</v>
      </c>
      <c r="E1325" s="846" t="s">
        <v>515</v>
      </c>
    </row>
    <row r="1326" ht="15.75" customHeight="1">
      <c r="B1326" s="712" t="s">
        <v>117</v>
      </c>
      <c r="E1326" s="846" t="s">
        <v>515</v>
      </c>
    </row>
    <row r="1327" ht="15.75" customHeight="1">
      <c r="B1327" s="712" t="s">
        <v>117</v>
      </c>
      <c r="E1327" s="846" t="s">
        <v>515</v>
      </c>
    </row>
    <row r="1328" ht="15.75" customHeight="1">
      <c r="B1328" s="712" t="s">
        <v>117</v>
      </c>
      <c r="E1328" s="846" t="s">
        <v>515</v>
      </c>
    </row>
    <row r="1329" ht="15.75" customHeight="1">
      <c r="B1329" s="712" t="s">
        <v>117</v>
      </c>
      <c r="E1329" s="846" t="s">
        <v>515</v>
      </c>
    </row>
    <row r="1330" ht="15.75" customHeight="1">
      <c r="B1330" s="764" t="s">
        <v>132</v>
      </c>
      <c r="E1330" s="846" t="s">
        <v>515</v>
      </c>
    </row>
    <row r="1331" ht="15.75" customHeight="1">
      <c r="B1331" s="795" t="s">
        <v>136</v>
      </c>
      <c r="E1331" s="846" t="s">
        <v>515</v>
      </c>
    </row>
    <row r="1332" ht="15.75" customHeight="1">
      <c r="B1332" s="818" t="s">
        <v>139</v>
      </c>
      <c r="E1332" s="846" t="s">
        <v>515</v>
      </c>
    </row>
    <row r="1333" ht="15.75" customHeight="1">
      <c r="B1333" s="833" t="s">
        <v>146</v>
      </c>
      <c r="E1333" s="846" t="s">
        <v>515</v>
      </c>
    </row>
    <row r="1334" ht="15.75" customHeight="1">
      <c r="B1334" s="842" t="s">
        <v>162</v>
      </c>
      <c r="E1334" s="846" t="s">
        <v>515</v>
      </c>
    </row>
    <row r="1335" ht="15.75" customHeight="1">
      <c r="B1335" s="587" t="s">
        <v>100</v>
      </c>
      <c r="E1335" s="589" t="s">
        <v>516</v>
      </c>
    </row>
    <row r="1336" ht="15.75" customHeight="1">
      <c r="B1336" s="596" t="s">
        <v>106</v>
      </c>
      <c r="E1336" s="589" t="s">
        <v>516</v>
      </c>
    </row>
    <row r="1337" ht="15.75" customHeight="1">
      <c r="B1337" s="596" t="s">
        <v>106</v>
      </c>
      <c r="E1337" s="589" t="s">
        <v>516</v>
      </c>
    </row>
    <row r="1338" ht="15.75" customHeight="1">
      <c r="B1338" s="596" t="s">
        <v>106</v>
      </c>
      <c r="E1338" s="589" t="s">
        <v>516</v>
      </c>
    </row>
    <row r="1339" ht="15.75" customHeight="1">
      <c r="B1339" s="712" t="s">
        <v>117</v>
      </c>
      <c r="E1339" s="589" t="s">
        <v>516</v>
      </c>
    </row>
    <row r="1340" ht="15.75" customHeight="1">
      <c r="B1340" s="712" t="s">
        <v>117</v>
      </c>
      <c r="E1340" s="589" t="s">
        <v>516</v>
      </c>
    </row>
    <row r="1341" ht="15.75" customHeight="1">
      <c r="B1341" s="712" t="s">
        <v>117</v>
      </c>
      <c r="E1341" s="589" t="s">
        <v>516</v>
      </c>
    </row>
    <row r="1342" ht="15.75" customHeight="1">
      <c r="B1342" s="712" t="s">
        <v>117</v>
      </c>
      <c r="E1342" s="589" t="s">
        <v>516</v>
      </c>
    </row>
    <row r="1343" ht="15.75" customHeight="1">
      <c r="B1343" s="764" t="s">
        <v>132</v>
      </c>
      <c r="E1343" s="589" t="s">
        <v>516</v>
      </c>
    </row>
    <row r="1344" ht="15.75" customHeight="1">
      <c r="B1344" s="795" t="s">
        <v>136</v>
      </c>
      <c r="E1344" s="589" t="s">
        <v>516</v>
      </c>
    </row>
    <row r="1345" ht="15.75" customHeight="1">
      <c r="B1345" s="818" t="s">
        <v>139</v>
      </c>
      <c r="E1345" s="589" t="s">
        <v>516</v>
      </c>
    </row>
    <row r="1346" ht="15.75" customHeight="1">
      <c r="B1346" s="833" t="s">
        <v>146</v>
      </c>
      <c r="E1346" s="589" t="s">
        <v>516</v>
      </c>
    </row>
    <row r="1347" ht="15.75" customHeight="1">
      <c r="B1347" s="842" t="s">
        <v>162</v>
      </c>
      <c r="E1347" s="589" t="s">
        <v>516</v>
      </c>
    </row>
    <row r="1348" ht="15.75" customHeight="1">
      <c r="B1348" s="587" t="s">
        <v>100</v>
      </c>
      <c r="E1348" s="846" t="s">
        <v>517</v>
      </c>
    </row>
    <row r="1349" ht="15.75" customHeight="1">
      <c r="B1349" s="596" t="s">
        <v>106</v>
      </c>
      <c r="E1349" s="846" t="s">
        <v>517</v>
      </c>
    </row>
    <row r="1350" ht="15.75" customHeight="1">
      <c r="B1350" s="596" t="s">
        <v>106</v>
      </c>
      <c r="E1350" s="846" t="s">
        <v>517</v>
      </c>
    </row>
    <row r="1351" ht="15.75" customHeight="1">
      <c r="B1351" s="596" t="s">
        <v>106</v>
      </c>
      <c r="E1351" s="846" t="s">
        <v>517</v>
      </c>
    </row>
    <row r="1352" ht="15.75" customHeight="1">
      <c r="B1352" s="712" t="s">
        <v>117</v>
      </c>
      <c r="E1352" s="846" t="s">
        <v>517</v>
      </c>
    </row>
    <row r="1353" ht="15.75" customHeight="1">
      <c r="B1353" s="712" t="s">
        <v>117</v>
      </c>
      <c r="E1353" s="846" t="s">
        <v>517</v>
      </c>
    </row>
    <row r="1354" ht="15.75" customHeight="1">
      <c r="B1354" s="712" t="s">
        <v>117</v>
      </c>
      <c r="E1354" s="846" t="s">
        <v>517</v>
      </c>
    </row>
    <row r="1355" ht="15.75" customHeight="1">
      <c r="B1355" s="712" t="s">
        <v>117</v>
      </c>
      <c r="E1355" s="846" t="s">
        <v>517</v>
      </c>
    </row>
    <row r="1356" ht="15.75" customHeight="1">
      <c r="B1356" s="764" t="s">
        <v>132</v>
      </c>
      <c r="E1356" s="846" t="s">
        <v>517</v>
      </c>
    </row>
    <row r="1357" ht="15.75" customHeight="1">
      <c r="B1357" s="795" t="s">
        <v>136</v>
      </c>
      <c r="E1357" s="846" t="s">
        <v>517</v>
      </c>
    </row>
    <row r="1358" ht="15.75" customHeight="1">
      <c r="B1358" s="818" t="s">
        <v>139</v>
      </c>
      <c r="E1358" s="846" t="s">
        <v>517</v>
      </c>
    </row>
    <row r="1359" ht="15.75" customHeight="1">
      <c r="B1359" s="833" t="s">
        <v>146</v>
      </c>
      <c r="E1359" s="846" t="s">
        <v>517</v>
      </c>
    </row>
    <row r="1360" ht="15.75" customHeight="1">
      <c r="B1360" s="842" t="s">
        <v>162</v>
      </c>
      <c r="E1360" s="846" t="s">
        <v>517</v>
      </c>
    </row>
    <row r="1361" ht="15.75" customHeight="1">
      <c r="B1361" s="587" t="s">
        <v>100</v>
      </c>
      <c r="E1361" s="589" t="s">
        <v>518</v>
      </c>
    </row>
    <row r="1362" ht="15.75" customHeight="1">
      <c r="B1362" s="596" t="s">
        <v>106</v>
      </c>
      <c r="E1362" s="589" t="s">
        <v>518</v>
      </c>
    </row>
    <row r="1363" ht="15.75" customHeight="1">
      <c r="B1363" s="596" t="s">
        <v>106</v>
      </c>
      <c r="E1363" s="589" t="s">
        <v>518</v>
      </c>
    </row>
    <row r="1364" ht="15.75" customHeight="1">
      <c r="B1364" s="596" t="s">
        <v>106</v>
      </c>
      <c r="E1364" s="589" t="s">
        <v>518</v>
      </c>
    </row>
    <row r="1365" ht="15.75" customHeight="1">
      <c r="B1365" s="712" t="s">
        <v>117</v>
      </c>
      <c r="E1365" s="589" t="s">
        <v>518</v>
      </c>
    </row>
    <row r="1366" ht="15.75" customHeight="1">
      <c r="B1366" s="712" t="s">
        <v>117</v>
      </c>
      <c r="E1366" s="589" t="s">
        <v>518</v>
      </c>
    </row>
    <row r="1367" ht="15.75" customHeight="1">
      <c r="B1367" s="712" t="s">
        <v>117</v>
      </c>
      <c r="E1367" s="589" t="s">
        <v>518</v>
      </c>
    </row>
    <row r="1368" ht="15.75" customHeight="1">
      <c r="B1368" s="712" t="s">
        <v>117</v>
      </c>
      <c r="E1368" s="589" t="s">
        <v>518</v>
      </c>
    </row>
    <row r="1369" ht="15.75" customHeight="1">
      <c r="B1369" s="764" t="s">
        <v>132</v>
      </c>
      <c r="E1369" s="589" t="s">
        <v>518</v>
      </c>
    </row>
    <row r="1370" ht="15.75" customHeight="1">
      <c r="B1370" s="795" t="s">
        <v>136</v>
      </c>
      <c r="E1370" s="589" t="s">
        <v>518</v>
      </c>
    </row>
    <row r="1371" ht="15.75" customHeight="1">
      <c r="B1371" s="818" t="s">
        <v>139</v>
      </c>
      <c r="E1371" s="589" t="s">
        <v>518</v>
      </c>
    </row>
    <row r="1372" ht="15.75" customHeight="1">
      <c r="B1372" s="833" t="s">
        <v>146</v>
      </c>
      <c r="E1372" s="589" t="s">
        <v>518</v>
      </c>
    </row>
    <row r="1373" ht="15.75" customHeight="1">
      <c r="B1373" s="842" t="s">
        <v>162</v>
      </c>
      <c r="E1373" s="589" t="s">
        <v>518</v>
      </c>
    </row>
    <row r="1374" ht="15.75" customHeight="1">
      <c r="B1374" s="587" t="s">
        <v>100</v>
      </c>
      <c r="E1374" s="846" t="s">
        <v>519</v>
      </c>
    </row>
    <row r="1375" ht="15.75" customHeight="1">
      <c r="B1375" s="596" t="s">
        <v>106</v>
      </c>
      <c r="E1375" s="846" t="s">
        <v>519</v>
      </c>
    </row>
    <row r="1376" ht="15.75" customHeight="1">
      <c r="B1376" s="596" t="s">
        <v>106</v>
      </c>
      <c r="E1376" s="846" t="s">
        <v>519</v>
      </c>
    </row>
    <row r="1377" ht="15.75" customHeight="1">
      <c r="B1377" s="596" t="s">
        <v>106</v>
      </c>
      <c r="E1377" s="846" t="s">
        <v>519</v>
      </c>
    </row>
    <row r="1378" ht="15.75" customHeight="1">
      <c r="B1378" s="712" t="s">
        <v>117</v>
      </c>
      <c r="E1378" s="846" t="s">
        <v>519</v>
      </c>
    </row>
    <row r="1379" ht="15.75" customHeight="1">
      <c r="B1379" s="712" t="s">
        <v>117</v>
      </c>
      <c r="E1379" s="846" t="s">
        <v>519</v>
      </c>
    </row>
    <row r="1380" ht="15.75" customHeight="1">
      <c r="B1380" s="712" t="s">
        <v>117</v>
      </c>
      <c r="E1380" s="846" t="s">
        <v>519</v>
      </c>
    </row>
    <row r="1381" ht="15.75" customHeight="1">
      <c r="B1381" s="712" t="s">
        <v>117</v>
      </c>
      <c r="E1381" s="846" t="s">
        <v>519</v>
      </c>
    </row>
    <row r="1382" ht="15.75" customHeight="1">
      <c r="B1382" s="764" t="s">
        <v>132</v>
      </c>
      <c r="E1382" s="846" t="s">
        <v>519</v>
      </c>
    </row>
    <row r="1383" ht="15.75" customHeight="1">
      <c r="B1383" s="795" t="s">
        <v>136</v>
      </c>
      <c r="E1383" s="846" t="s">
        <v>519</v>
      </c>
    </row>
    <row r="1384" ht="15.75" customHeight="1">
      <c r="B1384" s="818" t="s">
        <v>139</v>
      </c>
      <c r="E1384" s="846" t="s">
        <v>519</v>
      </c>
    </row>
    <row r="1385" ht="15.75" customHeight="1">
      <c r="B1385" s="833" t="s">
        <v>146</v>
      </c>
      <c r="E1385" s="846" t="s">
        <v>519</v>
      </c>
    </row>
    <row r="1386" ht="15.75" customHeight="1">
      <c r="B1386" s="842" t="s">
        <v>162</v>
      </c>
      <c r="E1386" s="846" t="s">
        <v>519</v>
      </c>
    </row>
    <row r="1387" ht="15.75" customHeight="1">
      <c r="B1387" s="587" t="s">
        <v>100</v>
      </c>
      <c r="E1387" s="589" t="s">
        <v>520</v>
      </c>
    </row>
    <row r="1388" ht="15.75" customHeight="1">
      <c r="B1388" s="596" t="s">
        <v>106</v>
      </c>
      <c r="E1388" s="589" t="s">
        <v>520</v>
      </c>
    </row>
    <row r="1389" ht="15.75" customHeight="1">
      <c r="B1389" s="596" t="s">
        <v>106</v>
      </c>
      <c r="E1389" s="589" t="s">
        <v>520</v>
      </c>
    </row>
    <row r="1390" ht="15.75" customHeight="1">
      <c r="B1390" s="596" t="s">
        <v>106</v>
      </c>
      <c r="E1390" s="589" t="s">
        <v>520</v>
      </c>
    </row>
    <row r="1391" ht="15.75" customHeight="1">
      <c r="B1391" s="712" t="s">
        <v>117</v>
      </c>
      <c r="E1391" s="589" t="s">
        <v>520</v>
      </c>
    </row>
    <row r="1392" ht="15.75" customHeight="1">
      <c r="B1392" s="712" t="s">
        <v>117</v>
      </c>
      <c r="E1392" s="589" t="s">
        <v>520</v>
      </c>
    </row>
    <row r="1393" ht="15.75" customHeight="1">
      <c r="B1393" s="712" t="s">
        <v>117</v>
      </c>
      <c r="E1393" s="589" t="s">
        <v>520</v>
      </c>
    </row>
    <row r="1394" ht="15.75" customHeight="1">
      <c r="B1394" s="712" t="s">
        <v>117</v>
      </c>
      <c r="E1394" s="589" t="s">
        <v>520</v>
      </c>
    </row>
    <row r="1395" ht="15.75" customHeight="1">
      <c r="B1395" s="764" t="s">
        <v>132</v>
      </c>
      <c r="E1395" s="589" t="s">
        <v>520</v>
      </c>
    </row>
    <row r="1396" ht="15.75" customHeight="1">
      <c r="B1396" s="795" t="s">
        <v>136</v>
      </c>
      <c r="E1396" s="589" t="s">
        <v>520</v>
      </c>
    </row>
    <row r="1397" ht="15.75" customHeight="1">
      <c r="B1397" s="818" t="s">
        <v>139</v>
      </c>
      <c r="E1397" s="589" t="s">
        <v>520</v>
      </c>
    </row>
    <row r="1398" ht="15.75" customHeight="1">
      <c r="B1398" s="833" t="s">
        <v>146</v>
      </c>
      <c r="E1398" s="589" t="s">
        <v>520</v>
      </c>
    </row>
    <row r="1399" ht="15.75" customHeight="1">
      <c r="B1399" s="842" t="s">
        <v>162</v>
      </c>
      <c r="E1399" s="589" t="s">
        <v>520</v>
      </c>
    </row>
    <row r="1400" ht="15.75" customHeight="1">
      <c r="B1400" s="587" t="s">
        <v>100</v>
      </c>
      <c r="E1400" s="846" t="s">
        <v>521</v>
      </c>
    </row>
    <row r="1401" ht="15.75" customHeight="1">
      <c r="B1401" s="596" t="s">
        <v>106</v>
      </c>
      <c r="E1401" s="846" t="s">
        <v>521</v>
      </c>
    </row>
    <row r="1402" ht="15.75" customHeight="1">
      <c r="B1402" s="596" t="s">
        <v>106</v>
      </c>
      <c r="E1402" s="846" t="s">
        <v>521</v>
      </c>
    </row>
    <row r="1403" ht="15.75" customHeight="1">
      <c r="B1403" s="596" t="s">
        <v>106</v>
      </c>
      <c r="E1403" s="846" t="s">
        <v>521</v>
      </c>
    </row>
    <row r="1404" ht="15.75" customHeight="1">
      <c r="B1404" s="712" t="s">
        <v>117</v>
      </c>
      <c r="E1404" s="846" t="s">
        <v>521</v>
      </c>
    </row>
    <row r="1405" ht="15.75" customHeight="1">
      <c r="B1405" s="712" t="s">
        <v>117</v>
      </c>
      <c r="E1405" s="846" t="s">
        <v>521</v>
      </c>
    </row>
    <row r="1406" ht="15.75" customHeight="1">
      <c r="B1406" s="712" t="s">
        <v>117</v>
      </c>
      <c r="E1406" s="846" t="s">
        <v>521</v>
      </c>
    </row>
    <row r="1407" ht="15.75" customHeight="1">
      <c r="B1407" s="712" t="s">
        <v>117</v>
      </c>
      <c r="E1407" s="846" t="s">
        <v>521</v>
      </c>
    </row>
    <row r="1408" ht="15.75" customHeight="1">
      <c r="B1408" s="764" t="s">
        <v>132</v>
      </c>
      <c r="E1408" s="846" t="s">
        <v>521</v>
      </c>
    </row>
    <row r="1409" ht="15.75" customHeight="1">
      <c r="B1409" s="795" t="s">
        <v>136</v>
      </c>
      <c r="E1409" s="846" t="s">
        <v>521</v>
      </c>
    </row>
    <row r="1410" ht="15.75" customHeight="1">
      <c r="B1410" s="818" t="s">
        <v>139</v>
      </c>
      <c r="E1410" s="846" t="s">
        <v>521</v>
      </c>
    </row>
    <row r="1411" ht="15.75" customHeight="1">
      <c r="B1411" s="833" t="s">
        <v>146</v>
      </c>
      <c r="E1411" s="846" t="s">
        <v>521</v>
      </c>
    </row>
    <row r="1412" ht="15.75" customHeight="1">
      <c r="B1412" s="842" t="s">
        <v>162</v>
      </c>
      <c r="E1412" s="846" t="s">
        <v>521</v>
      </c>
    </row>
    <row r="1413" ht="15.75" customHeight="1">
      <c r="B1413" s="587" t="s">
        <v>100</v>
      </c>
      <c r="E1413" s="589" t="s">
        <v>522</v>
      </c>
    </row>
    <row r="1414" ht="15.75" customHeight="1">
      <c r="B1414" s="596" t="s">
        <v>106</v>
      </c>
      <c r="E1414" s="589" t="s">
        <v>522</v>
      </c>
    </row>
    <row r="1415" ht="15.75" customHeight="1">
      <c r="B1415" s="596" t="s">
        <v>106</v>
      </c>
      <c r="E1415" s="589" t="s">
        <v>522</v>
      </c>
    </row>
    <row r="1416" ht="15.75" customHeight="1">
      <c r="B1416" s="596" t="s">
        <v>106</v>
      </c>
      <c r="E1416" s="589" t="s">
        <v>522</v>
      </c>
    </row>
    <row r="1417" ht="15.75" customHeight="1">
      <c r="B1417" s="712" t="s">
        <v>117</v>
      </c>
      <c r="E1417" s="589" t="s">
        <v>522</v>
      </c>
    </row>
    <row r="1418" ht="15.75" customHeight="1">
      <c r="B1418" s="712" t="s">
        <v>117</v>
      </c>
      <c r="E1418" s="589" t="s">
        <v>522</v>
      </c>
    </row>
    <row r="1419" ht="15.75" customHeight="1">
      <c r="B1419" s="712" t="s">
        <v>117</v>
      </c>
      <c r="E1419" s="589" t="s">
        <v>522</v>
      </c>
    </row>
    <row r="1420" ht="15.75" customHeight="1">
      <c r="B1420" s="712" t="s">
        <v>117</v>
      </c>
      <c r="E1420" s="589" t="s">
        <v>522</v>
      </c>
    </row>
    <row r="1421" ht="15.75" customHeight="1">
      <c r="B1421" s="764" t="s">
        <v>132</v>
      </c>
      <c r="E1421" s="589" t="s">
        <v>522</v>
      </c>
    </row>
    <row r="1422" ht="15.75" customHeight="1">
      <c r="B1422" s="795" t="s">
        <v>136</v>
      </c>
      <c r="E1422" s="589" t="s">
        <v>522</v>
      </c>
    </row>
    <row r="1423" ht="15.75" customHeight="1">
      <c r="B1423" s="818" t="s">
        <v>139</v>
      </c>
      <c r="E1423" s="589" t="s">
        <v>522</v>
      </c>
    </row>
    <row r="1424" ht="15.75" customHeight="1">
      <c r="B1424" s="833" t="s">
        <v>146</v>
      </c>
      <c r="E1424" s="589" t="s">
        <v>522</v>
      </c>
    </row>
    <row r="1425" ht="15.75" customHeight="1">
      <c r="B1425" s="842" t="s">
        <v>162</v>
      </c>
      <c r="E1425" s="589" t="s">
        <v>522</v>
      </c>
    </row>
    <row r="1426" ht="15.75" customHeight="1">
      <c r="B1426" s="587" t="s">
        <v>100</v>
      </c>
      <c r="E1426" s="846" t="s">
        <v>523</v>
      </c>
    </row>
    <row r="1427" ht="15.75" customHeight="1">
      <c r="B1427" s="596" t="s">
        <v>106</v>
      </c>
      <c r="E1427" s="846" t="s">
        <v>523</v>
      </c>
    </row>
    <row r="1428" ht="15.75" customHeight="1">
      <c r="B1428" s="596" t="s">
        <v>106</v>
      </c>
      <c r="E1428" s="846" t="s">
        <v>523</v>
      </c>
    </row>
    <row r="1429" ht="15.75" customHeight="1">
      <c r="B1429" s="596" t="s">
        <v>106</v>
      </c>
      <c r="E1429" s="846" t="s">
        <v>523</v>
      </c>
    </row>
    <row r="1430" ht="15.75" customHeight="1">
      <c r="B1430" s="712" t="s">
        <v>117</v>
      </c>
      <c r="E1430" s="846" t="s">
        <v>523</v>
      </c>
    </row>
    <row r="1431" ht="15.75" customHeight="1">
      <c r="B1431" s="712" t="s">
        <v>117</v>
      </c>
      <c r="E1431" s="846" t="s">
        <v>523</v>
      </c>
    </row>
    <row r="1432" ht="15.75" customHeight="1">
      <c r="B1432" s="712" t="s">
        <v>117</v>
      </c>
      <c r="E1432" s="846" t="s">
        <v>523</v>
      </c>
    </row>
    <row r="1433" ht="15.75" customHeight="1">
      <c r="B1433" s="712" t="s">
        <v>117</v>
      </c>
      <c r="E1433" s="846" t="s">
        <v>523</v>
      </c>
    </row>
    <row r="1434" ht="15.75" customHeight="1">
      <c r="B1434" s="764" t="s">
        <v>132</v>
      </c>
      <c r="E1434" s="846" t="s">
        <v>523</v>
      </c>
    </row>
    <row r="1435" ht="15.75" customHeight="1">
      <c r="B1435" s="795" t="s">
        <v>136</v>
      </c>
      <c r="E1435" s="846" t="s">
        <v>523</v>
      </c>
    </row>
    <row r="1436" ht="15.75" customHeight="1">
      <c r="B1436" s="818" t="s">
        <v>139</v>
      </c>
      <c r="E1436" s="846" t="s">
        <v>523</v>
      </c>
    </row>
    <row r="1437" ht="15.75" customHeight="1">
      <c r="B1437" s="833" t="s">
        <v>146</v>
      </c>
      <c r="E1437" s="846" t="s">
        <v>523</v>
      </c>
    </row>
    <row r="1438" ht="15.75" customHeight="1">
      <c r="B1438" s="842" t="s">
        <v>162</v>
      </c>
      <c r="E1438" s="846" t="s">
        <v>523</v>
      </c>
    </row>
    <row r="1439" ht="15.75" customHeight="1">
      <c r="B1439" s="587" t="s">
        <v>100</v>
      </c>
      <c r="E1439" s="589" t="s">
        <v>524</v>
      </c>
    </row>
    <row r="1440" ht="15.75" customHeight="1">
      <c r="B1440" s="596" t="s">
        <v>106</v>
      </c>
      <c r="E1440" s="589" t="s">
        <v>524</v>
      </c>
    </row>
    <row r="1441" ht="15.75" customHeight="1">
      <c r="B1441" s="596" t="s">
        <v>106</v>
      </c>
      <c r="E1441" s="589" t="s">
        <v>524</v>
      </c>
    </row>
    <row r="1442" ht="15.75" customHeight="1">
      <c r="B1442" s="596" t="s">
        <v>106</v>
      </c>
      <c r="E1442" s="589" t="s">
        <v>524</v>
      </c>
    </row>
    <row r="1443" ht="15.75" customHeight="1">
      <c r="B1443" s="712" t="s">
        <v>117</v>
      </c>
      <c r="E1443" s="589" t="s">
        <v>524</v>
      </c>
    </row>
    <row r="1444" ht="15.75" customHeight="1">
      <c r="B1444" s="712" t="s">
        <v>117</v>
      </c>
      <c r="E1444" s="589" t="s">
        <v>524</v>
      </c>
    </row>
    <row r="1445" ht="15.75" customHeight="1">
      <c r="B1445" s="712" t="s">
        <v>117</v>
      </c>
      <c r="E1445" s="589" t="s">
        <v>524</v>
      </c>
    </row>
    <row r="1446" ht="15.75" customHeight="1">
      <c r="B1446" s="712" t="s">
        <v>117</v>
      </c>
      <c r="E1446" s="589" t="s">
        <v>524</v>
      </c>
    </row>
    <row r="1447" ht="15.75" customHeight="1">
      <c r="B1447" s="764" t="s">
        <v>132</v>
      </c>
      <c r="E1447" s="589" t="s">
        <v>524</v>
      </c>
    </row>
    <row r="1448" ht="15.75" customHeight="1">
      <c r="B1448" s="795" t="s">
        <v>136</v>
      </c>
      <c r="E1448" s="589" t="s">
        <v>524</v>
      </c>
    </row>
    <row r="1449" ht="15.75" customHeight="1">
      <c r="B1449" s="818" t="s">
        <v>139</v>
      </c>
      <c r="E1449" s="589" t="s">
        <v>524</v>
      </c>
    </row>
    <row r="1450" ht="15.75" customHeight="1">
      <c r="B1450" s="833" t="s">
        <v>146</v>
      </c>
      <c r="E1450" s="589" t="s">
        <v>524</v>
      </c>
    </row>
    <row r="1451" ht="15.75" customHeight="1">
      <c r="B1451" s="842" t="s">
        <v>162</v>
      </c>
      <c r="E1451" s="589" t="s">
        <v>524</v>
      </c>
    </row>
    <row r="1452" ht="15.75" customHeight="1">
      <c r="B1452" s="587" t="s">
        <v>100</v>
      </c>
      <c r="E1452" s="846" t="s">
        <v>525</v>
      </c>
    </row>
    <row r="1453" ht="15.75" customHeight="1">
      <c r="B1453" s="596" t="s">
        <v>106</v>
      </c>
      <c r="E1453" s="846" t="s">
        <v>525</v>
      </c>
    </row>
    <row r="1454" ht="15.75" customHeight="1">
      <c r="B1454" s="596" t="s">
        <v>106</v>
      </c>
      <c r="E1454" s="846" t="s">
        <v>525</v>
      </c>
    </row>
    <row r="1455" ht="15.75" customHeight="1">
      <c r="B1455" s="596" t="s">
        <v>106</v>
      </c>
      <c r="E1455" s="846" t="s">
        <v>525</v>
      </c>
    </row>
    <row r="1456" ht="15.75" customHeight="1">
      <c r="B1456" s="712" t="s">
        <v>117</v>
      </c>
      <c r="E1456" s="846" t="s">
        <v>525</v>
      </c>
    </row>
    <row r="1457" ht="15.75" customHeight="1">
      <c r="B1457" s="712" t="s">
        <v>117</v>
      </c>
      <c r="E1457" s="846" t="s">
        <v>525</v>
      </c>
    </row>
    <row r="1458" ht="15.75" customHeight="1">
      <c r="B1458" s="712" t="s">
        <v>117</v>
      </c>
      <c r="E1458" s="846" t="s">
        <v>525</v>
      </c>
    </row>
    <row r="1459" ht="15.75" customHeight="1">
      <c r="B1459" s="712" t="s">
        <v>117</v>
      </c>
      <c r="E1459" s="846" t="s">
        <v>525</v>
      </c>
    </row>
    <row r="1460" ht="15.75" customHeight="1">
      <c r="B1460" s="764" t="s">
        <v>132</v>
      </c>
      <c r="E1460" s="846" t="s">
        <v>525</v>
      </c>
    </row>
    <row r="1461" ht="15.75" customHeight="1">
      <c r="B1461" s="795" t="s">
        <v>136</v>
      </c>
      <c r="E1461" s="846" t="s">
        <v>525</v>
      </c>
    </row>
    <row r="1462" ht="15.75" customHeight="1">
      <c r="B1462" s="818" t="s">
        <v>139</v>
      </c>
      <c r="E1462" s="846" t="s">
        <v>525</v>
      </c>
    </row>
    <row r="1463" ht="15.75" customHeight="1">
      <c r="B1463" s="833" t="s">
        <v>146</v>
      </c>
      <c r="E1463" s="846" t="s">
        <v>525</v>
      </c>
    </row>
    <row r="1464" ht="15.75" customHeight="1">
      <c r="B1464" s="842" t="s">
        <v>162</v>
      </c>
      <c r="E1464" s="846" t="s">
        <v>525</v>
      </c>
    </row>
  </sheetData>
  <printOptions/>
  <pageMargins bottom="0.75" footer="0.0" header="0.0" left="0.7" right="0.7" top="0.75"/>
  <pageSetup orientation="landscape"/>
  <drawing r:id="rId1"/>
</worksheet>
</file>